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ctor Classification" sheetId="1" r:id="rId4"/>
    <sheet state="visible" name="Pivot Table 3" sheetId="2" r:id="rId5"/>
    <sheet state="visible" name="Detail45" sheetId="3" r:id="rId6"/>
    <sheet state="visible" name="Pivot Table 1" sheetId="4" r:id="rId7"/>
    <sheet state="visible" name="Sheet1" sheetId="5" r:id="rId8"/>
    <sheet state="visible" name="Top750" sheetId="6" r:id="rId9"/>
    <sheet state="visible" name="Pivot Table 2" sheetId="7" r:id="rId10"/>
  </sheets>
  <definedNames>
    <definedName hidden="1" localSheetId="0" name="_xlnm._FilterDatabase">'Sector Classification'!$B$1:$P$4175</definedName>
    <definedName hidden="1" localSheetId="5" name="_xlnm._FilterDatabase">'Top750'!$A$1:$AB$4673</definedName>
  </definedNames>
  <calcPr/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<sst xmlns="http://schemas.openxmlformats.org/spreadsheetml/2006/main" count="52040" uniqueCount="16806">
  <si>
    <t>ISIN No</t>
  </si>
  <si>
    <t>BSE Code</t>
  </si>
  <si>
    <t>Issuer Name</t>
  </si>
  <si>
    <t>NSE Code</t>
  </si>
  <si>
    <t>Security Name</t>
  </si>
  <si>
    <t>Status</t>
  </si>
  <si>
    <t>Group</t>
  </si>
  <si>
    <t>Face Value</t>
  </si>
  <si>
    <t>Instrument</t>
  </si>
  <si>
    <t>Sector</t>
  </si>
  <si>
    <t>Industry</t>
  </si>
  <si>
    <t>group</t>
  </si>
  <si>
    <t>Subgroup</t>
  </si>
  <si>
    <t>M Cap</t>
  </si>
  <si>
    <t>Final Sector</t>
  </si>
  <si>
    <t>INE117A01022</t>
  </si>
  <si>
    <t>Atul Limited.</t>
  </si>
  <si>
    <t>ATUL</t>
  </si>
  <si>
    <t>ATUL LTD.</t>
  </si>
  <si>
    <t>Active</t>
  </si>
  <si>
    <t>A</t>
  </si>
  <si>
    <t>INE100A01010</t>
  </si>
  <si>
    <t>Equity</t>
  </si>
  <si>
    <t>Commodities</t>
  </si>
  <si>
    <t>Chemicals</t>
  </si>
  <si>
    <t>Chemicals &amp; Petrochemicals</t>
  </si>
  <si>
    <t>Specialty Chemicals</t>
  </si>
  <si>
    <t>INE208C01025</t>
  </si>
  <si>
    <t>Century Textiles &amp; Industries Ltd.</t>
  </si>
  <si>
    <t>CENTURYTEX</t>
  </si>
  <si>
    <t>CENTURY TEXTILES &amp; INDUSTRIES LTD.</t>
  </si>
  <si>
    <t>INE055A01016</t>
  </si>
  <si>
    <t>Forest Materials</t>
  </si>
  <si>
    <t>Paper, Forest &amp; Jute Products</t>
  </si>
  <si>
    <t>Paper &amp; Paper Products</t>
  </si>
  <si>
    <t>INE885A01032</t>
  </si>
  <si>
    <t>BASF India Ltd</t>
  </si>
  <si>
    <t>BASF</t>
  </si>
  <si>
    <t>BASF INDIA LTD.</t>
  </si>
  <si>
    <t>INE373A01013</t>
  </si>
  <si>
    <t>INE432A01017</t>
  </si>
  <si>
    <t>Ambalal Sarabhai Enterprise Ltd.</t>
  </si>
  <si>
    <t>AMBALALSA</t>
  </si>
  <si>
    <t>AMBALAL SARABHAI ENTERPRISES LTD.</t>
  </si>
  <si>
    <t>X</t>
  </si>
  <si>
    <t>Healthcare</t>
  </si>
  <si>
    <t>Pharmaceuticals &amp; Biotechnology</t>
  </si>
  <si>
    <t>Pharmaceuticals</t>
  </si>
  <si>
    <t>INE714B01016</t>
  </si>
  <si>
    <t>Andhra Petrochemicals Ltd.</t>
  </si>
  <si>
    <t>ANDHRAPET</t>
  </si>
  <si>
    <t>ANDHRA PETROCHEMICALS LTD.</t>
  </si>
  <si>
    <t>Commodity Chemicals</t>
  </si>
  <si>
    <t>INE436A01026</t>
  </si>
  <si>
    <t>Ansal Properties &amp; Infrastructure Ltd.</t>
  </si>
  <si>
    <t>ANSALAPI</t>
  </si>
  <si>
    <t>ANSAL PROPERTIES &amp; INFRASTRUCTURE LTD.</t>
  </si>
  <si>
    <t>Z</t>
  </si>
  <si>
    <t>Consumer Discretionary</t>
  </si>
  <si>
    <t>Realty</t>
  </si>
  <si>
    <t>Residential, Commercial Projects</t>
  </si>
  <si>
    <t>INE096A01010</t>
  </si>
  <si>
    <t>UTIQUE ENTERPRISES LIMITED</t>
  </si>
  <si>
    <t>UTIQUE</t>
  </si>
  <si>
    <t>Utique Enterprises Ltd</t>
  </si>
  <si>
    <t>Metals &amp; Mining</t>
  </si>
  <si>
    <t>Non - Ferrous Metals</t>
  </si>
  <si>
    <t>Precious Metals</t>
  </si>
  <si>
    <t>INE957C01019</t>
  </si>
  <si>
    <t>Aruna Hotels Ltd.</t>
  </si>
  <si>
    <t>ARUNAHTEL</t>
  </si>
  <si>
    <t>ARUNA HOTELS LTD.</t>
  </si>
  <si>
    <t>XT</t>
  </si>
  <si>
    <t>Consumer Services</t>
  </si>
  <si>
    <t>Leisure Services</t>
  </si>
  <si>
    <t>Hotels &amp; Resorts</t>
  </si>
  <si>
    <t>INE032A01023</t>
  </si>
  <si>
    <t>Bombay Dyeing &amp; Mfg. Co. Ltd.</t>
  </si>
  <si>
    <t>BOMDYEING</t>
  </si>
  <si>
    <t>BOMBAY DYEING &amp; MFG.CO.LTD.</t>
  </si>
  <si>
    <t>Textiles</t>
  </si>
  <si>
    <t>Textiles &amp; Apparels</t>
  </si>
  <si>
    <t>Other Textile Products</t>
  </si>
  <si>
    <t>INE363A01022</t>
  </si>
  <si>
    <t>Asian Hotels (North) Limited</t>
  </si>
  <si>
    <t>ASIANHOTNR</t>
  </si>
  <si>
    <t>T</t>
  </si>
  <si>
    <t>Chambal Fertilisers &amp; Chemicals Ltd</t>
  </si>
  <si>
    <t>CHAMBLFERT</t>
  </si>
  <si>
    <t>CHAMBAL FERTILISERS &amp; CHEMICALS LTD.</t>
  </si>
  <si>
    <t>INE085A01013</t>
  </si>
  <si>
    <t>Fertilizers &amp; Agrochemicals</t>
  </si>
  <si>
    <t>Fertilizers</t>
  </si>
  <si>
    <t>INE447A01015</t>
  </si>
  <si>
    <t>ATV Projects India Ltd</t>
  </si>
  <si>
    <t>ATVPR</t>
  </si>
  <si>
    <t>ATV PROJECTS INDIA LTD.</t>
  </si>
  <si>
    <t>Industrials</t>
  </si>
  <si>
    <t>Capital Goods</t>
  </si>
  <si>
    <t>Industrial Manufacturing</t>
  </si>
  <si>
    <t>Industrial Products</t>
  </si>
  <si>
    <t>INE193E01025</t>
  </si>
  <si>
    <t>Steel Authority of India Ltd.</t>
  </si>
  <si>
    <t>SAIL</t>
  </si>
  <si>
    <t>STEEL AUTHORITY OF INDIA LTD.</t>
  </si>
  <si>
    <t>INE114A01011</t>
  </si>
  <si>
    <t>Ferrous Metals</t>
  </si>
  <si>
    <t>Iron &amp; Steel</t>
  </si>
  <si>
    <t>INE306A01021</t>
  </si>
  <si>
    <t>Elantas Beck India Ltd</t>
  </si>
  <si>
    <t>ELANTAS</t>
  </si>
  <si>
    <t>ELANTAS BECK INDIA LTD.-$</t>
  </si>
  <si>
    <t>B</t>
  </si>
  <si>
    <t>INE280B01018</t>
  </si>
  <si>
    <t>INE451A01017</t>
  </si>
  <si>
    <t>E.I.D. Parry (India) Ltd.</t>
  </si>
  <si>
    <t>EIDPARRY</t>
  </si>
  <si>
    <t>E.I.D.-PARRY (INDIA) LTD.</t>
  </si>
  <si>
    <t>INE126A01031</t>
  </si>
  <si>
    <t>INE296A01024</t>
  </si>
  <si>
    <t>GHCL Ltd.</t>
  </si>
  <si>
    <t>GHCL</t>
  </si>
  <si>
    <t>GHCL LTD.</t>
  </si>
  <si>
    <t>INE539A01019</t>
  </si>
  <si>
    <t>INE119A01028</t>
  </si>
  <si>
    <t>Himadri Speciality Chemical Ltd.</t>
  </si>
  <si>
    <t>HSCL</t>
  </si>
  <si>
    <t>Himadri Speciality Chemical Ltd</t>
  </si>
  <si>
    <t>INE019C01026</t>
  </si>
  <si>
    <t>INE213C01025</t>
  </si>
  <si>
    <t>Banco Products (India) Ltd.</t>
  </si>
  <si>
    <t>BANCOINDIA</t>
  </si>
  <si>
    <t>BANCO PRODUCTS (INDIA) LTD.-$</t>
  </si>
  <si>
    <t>Automobile and Auto Components</t>
  </si>
  <si>
    <t>Auto Components</t>
  </si>
  <si>
    <t>Auto Components &amp; Equipments</t>
  </si>
  <si>
    <t>Hindustan Zinc Ltd.</t>
  </si>
  <si>
    <t>HINDZINC</t>
  </si>
  <si>
    <t>HINDUSTAN ZINC LTD.</t>
  </si>
  <si>
    <t>INE267A01025</t>
  </si>
  <si>
    <t>Zinc</t>
  </si>
  <si>
    <t>INE459A01010</t>
  </si>
  <si>
    <t>Bannari Amman Sugars Ltd.</t>
  </si>
  <si>
    <t>BANARISUG</t>
  </si>
  <si>
    <t>BANNARI AMMAN SUGARS LTD.</t>
  </si>
  <si>
    <t>Fast Moving Consumer Goods</t>
  </si>
  <si>
    <t>Agricultural Food &amp; other Products</t>
  </si>
  <si>
    <t>Sugar</t>
  </si>
  <si>
    <t>JSW Steel Limited</t>
  </si>
  <si>
    <t>JSWSTEEL</t>
  </si>
  <si>
    <t>JSW STEEL LTD.</t>
  </si>
  <si>
    <t>INE019A01038</t>
  </si>
  <si>
    <t>INE176A01028</t>
  </si>
  <si>
    <t>Kirloskar Ferrous Industries Ltd.</t>
  </si>
  <si>
    <t>KIRLFER</t>
  </si>
  <si>
    <t>KIRLOSKAR FERROUS INDUSTRIES LTD.</t>
  </si>
  <si>
    <t>INE884B01025</t>
  </si>
  <si>
    <t>Pig Iron</t>
  </si>
  <si>
    <t>INE258A01016</t>
  </si>
  <si>
    <t>The Ramco Cements Limited</t>
  </si>
  <si>
    <t>RAMCOCEM</t>
  </si>
  <si>
    <t>INE331A01037</t>
  </si>
  <si>
    <t>Construction Materials</t>
  </si>
  <si>
    <t>Cement &amp; Cement Products</t>
  </si>
  <si>
    <t>INE263A01024</t>
  </si>
  <si>
    <t>Vedanta Limited</t>
  </si>
  <si>
    <t>VEDL</t>
  </si>
  <si>
    <t>INE205A01025</t>
  </si>
  <si>
    <t>Diversified Metals</t>
  </si>
  <si>
    <t>INE922A01025</t>
  </si>
  <si>
    <t>Bhansali Engineering Polymers Ltd.</t>
  </si>
  <si>
    <t>BEPL</t>
  </si>
  <si>
    <t>BHANSALI ENGINEERING POLYMERS LTD.-$</t>
  </si>
  <si>
    <t>INE819C01011</t>
  </si>
  <si>
    <t>Bihar Sponge Iron Ltd</t>
  </si>
  <si>
    <t>BIHSPONG</t>
  </si>
  <si>
    <t>BIHAR SPONGE IRON LTD.</t>
  </si>
  <si>
    <t>Sponge Iron</t>
  </si>
  <si>
    <t>INE071A01013</t>
  </si>
  <si>
    <t>Binani Industries Limited</t>
  </si>
  <si>
    <t>BINANIIND</t>
  </si>
  <si>
    <t>BINANI INDUSTRIES LTD.</t>
  </si>
  <si>
    <t>Media, Entertainment &amp; Publication</t>
  </si>
  <si>
    <t>Media</t>
  </si>
  <si>
    <t>Print Media</t>
  </si>
  <si>
    <t>INE800A01015</t>
  </si>
  <si>
    <t>Birla Cable Limited</t>
  </si>
  <si>
    <t>BIRLACABLE</t>
  </si>
  <si>
    <t>Birla Cable Ltd</t>
  </si>
  <si>
    <t>Telecommunication</t>
  </si>
  <si>
    <t>Telecom - Equipment &amp; Accessories</t>
  </si>
  <si>
    <t>INE472A01039</t>
  </si>
  <si>
    <t>Grasim Industries Ltd</t>
  </si>
  <si>
    <t>GRASIM</t>
  </si>
  <si>
    <t>GRASIM INDUSTRIES LTD.</t>
  </si>
  <si>
    <t>INE047A01021</t>
  </si>
  <si>
    <t>INE131C01011</t>
  </si>
  <si>
    <t>Disa India Ltd.</t>
  </si>
  <si>
    <t>DISAQ</t>
  </si>
  <si>
    <t>DISA INDIA LTD.</t>
  </si>
  <si>
    <t>INE418C01012</t>
  </si>
  <si>
    <t>QUEST CAPITAL MARKETS LIMITED</t>
  </si>
  <si>
    <t>QUESTCAP</t>
  </si>
  <si>
    <t>Quest Capital Markets Ltd</t>
  </si>
  <si>
    <t>Financial Services</t>
  </si>
  <si>
    <t>Capital Markets</t>
  </si>
  <si>
    <t>Other Capital Market related Services</t>
  </si>
  <si>
    <t>INE110A01019</t>
  </si>
  <si>
    <t>BPL Ltd.</t>
  </si>
  <si>
    <t>BPL</t>
  </si>
  <si>
    <t>BPL LTD.</t>
  </si>
  <si>
    <t>Consumer Durables</t>
  </si>
  <si>
    <t>Consumer Electronics</t>
  </si>
  <si>
    <t>INE959C01023</t>
  </si>
  <si>
    <t>ORIENTAL AROMATICS LIMITED</t>
  </si>
  <si>
    <t>OAL</t>
  </si>
  <si>
    <t>Oriental Aromatics Ltd-$</t>
  </si>
  <si>
    <t>INE281A01026</t>
  </si>
  <si>
    <t>Century Extrusions Ltd.</t>
  </si>
  <si>
    <t>CENTEXT</t>
  </si>
  <si>
    <t>CENTURY EXTRUSIONS LTD.</t>
  </si>
  <si>
    <t>Aluminium, Copper &amp; Zinc Products</t>
  </si>
  <si>
    <t>INE486A01021</t>
  </si>
  <si>
    <t>Pidilite Industries Ltd.</t>
  </si>
  <si>
    <t>PIDILITIND</t>
  </si>
  <si>
    <t>PIDILITE INDUSTRIES LTD.</t>
  </si>
  <si>
    <t>INE318A01026</t>
  </si>
  <si>
    <t>Birla Corporation Ltd.</t>
  </si>
  <si>
    <t>BIRLACORPN</t>
  </si>
  <si>
    <t>BIRLA CORPORATION LTD.</t>
  </si>
  <si>
    <t>INE340A01012</t>
  </si>
  <si>
    <t>INE302A01020</t>
  </si>
  <si>
    <t>PRISM JOHNSON LIMITED.</t>
  </si>
  <si>
    <t>PRSMJOHNSN</t>
  </si>
  <si>
    <t>Prism Johnson Ltd</t>
  </si>
  <si>
    <t>INE010A01011</t>
  </si>
  <si>
    <t>INE059A01026</t>
  </si>
  <si>
    <t>Rain Industries Limited</t>
  </si>
  <si>
    <t>RAIN</t>
  </si>
  <si>
    <t>Rain Industries Ltd</t>
  </si>
  <si>
    <t>INE855B01025</t>
  </si>
  <si>
    <t>Petrochemicals</t>
  </si>
  <si>
    <t>INE303A01010</t>
  </si>
  <si>
    <t>DIC India Ltd</t>
  </si>
  <si>
    <t>DICIND</t>
  </si>
  <si>
    <t>DIC INDIA LTD.</t>
  </si>
  <si>
    <t>Printing Inks</t>
  </si>
  <si>
    <t>INE007A01025</t>
  </si>
  <si>
    <t>Rallis India Ltd</t>
  </si>
  <si>
    <t>RALLIS</t>
  </si>
  <si>
    <t>RALLIS INDIA LTD.</t>
  </si>
  <si>
    <t>INE613A01020</t>
  </si>
  <si>
    <t>Pesticides &amp; Agrochemicals</t>
  </si>
  <si>
    <t>INE067A01029</t>
  </si>
  <si>
    <t>JK Lakshmi Cement Limited</t>
  </si>
  <si>
    <t>JKLAKSHMI</t>
  </si>
  <si>
    <t>JK LAKSHMI CEMENT LTD.</t>
  </si>
  <si>
    <t>INE786A01032</t>
  </si>
  <si>
    <t>INE016A01026</t>
  </si>
  <si>
    <t>Shree Cements Ltd.</t>
  </si>
  <si>
    <t>SHREECEM</t>
  </si>
  <si>
    <t>SHREE CEMENT LTD.</t>
  </si>
  <si>
    <t>INE070A01015</t>
  </si>
  <si>
    <t>INE495A01022</t>
  </si>
  <si>
    <t>Dalmia Bharat Sugar and Industries Ltd</t>
  </si>
  <si>
    <t>DALMIASUG</t>
  </si>
  <si>
    <t>INE034A01011</t>
  </si>
  <si>
    <t>Supreme Petrochem Ltd.</t>
  </si>
  <si>
    <t>SPLPETRO</t>
  </si>
  <si>
    <t>SUPREME PETROCHEM LTD.</t>
  </si>
  <si>
    <t>INE663A01033</t>
  </si>
  <si>
    <t>INE257A01026</t>
  </si>
  <si>
    <t>ACC Ltd</t>
  </si>
  <si>
    <t>ACC</t>
  </si>
  <si>
    <t>ACC LTD.</t>
  </si>
  <si>
    <t>INE012A01025</t>
  </si>
  <si>
    <t>INE094A01015</t>
  </si>
  <si>
    <t>Ambuja Cements Ltd.</t>
  </si>
  <si>
    <t>AMBUJACEM</t>
  </si>
  <si>
    <t>AMBUJA CEMENTS LTD.</t>
  </si>
  <si>
    <t>INE079A01024</t>
  </si>
  <si>
    <t>INE039A01010</t>
  </si>
  <si>
    <t>Hindalco Industries Ltd.</t>
  </si>
  <si>
    <t>HINDALCO</t>
  </si>
  <si>
    <t>HINDALCO INDUSTRIES LTD.</t>
  </si>
  <si>
    <t>INE038A01020</t>
  </si>
  <si>
    <t>Aluminium</t>
  </si>
  <si>
    <t>INE153A01019</t>
  </si>
  <si>
    <t>Mahanagar Telephone Nigam Ltd.</t>
  </si>
  <si>
    <t>MTNL</t>
  </si>
  <si>
    <t>MAHANAGAR TELEPHONE NIGAM LTD.</t>
  </si>
  <si>
    <t>Telecom - Services</t>
  </si>
  <si>
    <t>Telecom - Cellular &amp; Fixed line services</t>
  </si>
  <si>
    <t>INE103A01014</t>
  </si>
  <si>
    <t>TATA STEEL LIMITED</t>
  </si>
  <si>
    <t>TATASTEEL</t>
  </si>
  <si>
    <t>TATA STEEL LTD.</t>
  </si>
  <si>
    <t>INE081A01020</t>
  </si>
  <si>
    <t>INE178A01016</t>
  </si>
  <si>
    <t>Deepak Fertilizers &amp;Petrochemicals</t>
  </si>
  <si>
    <t>DEEPAKFERT</t>
  </si>
  <si>
    <t>DEEPAK FERTILISERS &amp; PETROCHEMICALS CORPORATION LTD.</t>
  </si>
  <si>
    <t>INE501A01019</t>
  </si>
  <si>
    <t>INE062A01020</t>
  </si>
  <si>
    <t>Gujarat Narmada Valley Fert.Co.Ltd</t>
  </si>
  <si>
    <t>GNFC</t>
  </si>
  <si>
    <t>GUJARAT NARMADA VALLEY FERTILIZERS &amp; CHEMICALS LTD.</t>
  </si>
  <si>
    <t>INE113A01013</t>
  </si>
  <si>
    <t>Gujarat State Fertilizers &amp; Chem.Ltd</t>
  </si>
  <si>
    <t>GSFC</t>
  </si>
  <si>
    <t>GUJARAT STATE FERTILIZERS &amp; CHEMICALS LTD.</t>
  </si>
  <si>
    <t>INE026A01025</t>
  </si>
  <si>
    <t>INE280A01028</t>
  </si>
  <si>
    <t>Tata Chemicals Ltd</t>
  </si>
  <si>
    <t>TATACHEM</t>
  </si>
  <si>
    <t>TATA CHEMICALS LTD.</t>
  </si>
  <si>
    <t>INE092A01019</t>
  </si>
  <si>
    <t>INE008A01015</t>
  </si>
  <si>
    <t>Kesoram Industries Ltd</t>
  </si>
  <si>
    <t>KESORAMIND</t>
  </si>
  <si>
    <t>KESORAM INDUSTRIES LTD.</t>
  </si>
  <si>
    <t>INE087A01019</t>
  </si>
  <si>
    <t>INE500A01029</t>
  </si>
  <si>
    <t>DCW Ltd.</t>
  </si>
  <si>
    <t>DCW</t>
  </si>
  <si>
    <t>DCW LTD.</t>
  </si>
  <si>
    <t>INE041A01016</t>
  </si>
  <si>
    <t>Dhampur Sugar Mills Ltd.</t>
  </si>
  <si>
    <t>DHAMPURSUG</t>
  </si>
  <si>
    <t>DHAMPUR SUGAR MILLS LTD.</t>
  </si>
  <si>
    <t>INE591D01014</t>
  </si>
  <si>
    <t>Diamines &amp; Chemicals Ltd.</t>
  </si>
  <si>
    <t>DIAMINESQ</t>
  </si>
  <si>
    <t>DIAMINES &amp; CHEMICALS LTD.-$</t>
  </si>
  <si>
    <t>SRF Ltd.</t>
  </si>
  <si>
    <t>SRF</t>
  </si>
  <si>
    <t>SRF LTD.</t>
  </si>
  <si>
    <t>INE647A01010</t>
  </si>
  <si>
    <t>INE089A01023</t>
  </si>
  <si>
    <t>Sarda Energy &amp; Minerals Ltd</t>
  </si>
  <si>
    <t>SARDAEN</t>
  </si>
  <si>
    <t>SARDA ENERGY &amp; MINERALS LTD.-$</t>
  </si>
  <si>
    <t>INE385C01021</t>
  </si>
  <si>
    <t>Bayer CropScience Limited.</t>
  </si>
  <si>
    <t>BAYERCROP</t>
  </si>
  <si>
    <t>BAYER CROPSCIENCE LTD.</t>
  </si>
  <si>
    <t>INE462A01022</t>
  </si>
  <si>
    <t>INE199A01012</t>
  </si>
  <si>
    <t>Coromandel International Limited</t>
  </si>
  <si>
    <t>COROMANDEL</t>
  </si>
  <si>
    <t>COROMANDEL INTERNATIONAL LTD.</t>
  </si>
  <si>
    <t>INE169A01031</t>
  </si>
  <si>
    <t>INE086A01029</t>
  </si>
  <si>
    <t>Deepak Nitrite Limited</t>
  </si>
  <si>
    <t>DEEPAKNTR</t>
  </si>
  <si>
    <t>DEEPAK NITRITE LTD.-$</t>
  </si>
  <si>
    <t>INE288B01029</t>
  </si>
  <si>
    <t>INE284A01012</t>
  </si>
  <si>
    <t>PCBL LIMITED</t>
  </si>
  <si>
    <t>PCBL</t>
  </si>
  <si>
    <t>PCBL Ltd</t>
  </si>
  <si>
    <t>INE602A01031</t>
  </si>
  <si>
    <t>Carbon Black</t>
  </si>
  <si>
    <t>INE255A01020</t>
  </si>
  <si>
    <t>Sudarshan Chemical Indus. Ltd.</t>
  </si>
  <si>
    <t>SUDARSCHEM</t>
  </si>
  <si>
    <t>SUDARSHAN CHEMICAL INDUSTRIES LTD.</t>
  </si>
  <si>
    <t>INE659A01023</t>
  </si>
  <si>
    <t>Dyes And Pigments</t>
  </si>
  <si>
    <t>INE778B01029</t>
  </si>
  <si>
    <t>Ester Industries Ltd.</t>
  </si>
  <si>
    <t>ESTER</t>
  </si>
  <si>
    <t>ESTER INDUSTRIES LTD.</t>
  </si>
  <si>
    <t>Packaging</t>
  </si>
  <si>
    <t>INE512A01016</t>
  </si>
  <si>
    <t>FGP Ltd</t>
  </si>
  <si>
    <t>FGP</t>
  </si>
  <si>
    <t>FGP LTD.</t>
  </si>
  <si>
    <t>Finance</t>
  </si>
  <si>
    <t>Non Banking Financial Company (NBFC)</t>
  </si>
  <si>
    <t>INE160F01013</t>
  </si>
  <si>
    <t>P.H. Capital Ltd.</t>
  </si>
  <si>
    <t>PHCAP</t>
  </si>
  <si>
    <t>PH CAPITAL LTD.</t>
  </si>
  <si>
    <t>Investment Company</t>
  </si>
  <si>
    <t>INE235A01022</t>
  </si>
  <si>
    <t>Alkyl Amines Chemicals Ltd.</t>
  </si>
  <si>
    <t>ALKYLAMINE</t>
  </si>
  <si>
    <t>ALKYL AMINES CHEMICALS LTD.-$</t>
  </si>
  <si>
    <t>INE150B01039</t>
  </si>
  <si>
    <t>INE515A01019</t>
  </si>
  <si>
    <t>JOHN COCKERILL INDIA LIMITED</t>
  </si>
  <si>
    <t>COCKERILL</t>
  </si>
  <si>
    <t>John Cockerill India Ltd-$</t>
  </si>
  <si>
    <t>INE516A01017</t>
  </si>
  <si>
    <t>Uflex Limited</t>
  </si>
  <si>
    <t>UFLEX</t>
  </si>
  <si>
    <t>UFLEX LTD.</t>
  </si>
  <si>
    <t>INE519A01011</t>
  </si>
  <si>
    <t>Foseco India Ltd</t>
  </si>
  <si>
    <t>FOSECOIND</t>
  </si>
  <si>
    <t>FOSECO INDIA LTD.</t>
  </si>
  <si>
    <t>INE973A01010</t>
  </si>
  <si>
    <t>Golden Tobacco Ltd.</t>
  </si>
  <si>
    <t>GOLDENTOBC</t>
  </si>
  <si>
    <t>GOLDEN TOBACCO LTD.</t>
  </si>
  <si>
    <t>INE388A01029</t>
  </si>
  <si>
    <t>Ganesh Benzoplast Ltd.</t>
  </si>
  <si>
    <t>GANESHBE</t>
  </si>
  <si>
    <t>GANESH BENZOPLAST LTD.</t>
  </si>
  <si>
    <t>Energy</t>
  </si>
  <si>
    <t>Oil, Gas &amp; Consumable, Fuels</t>
  </si>
  <si>
    <t>Oil</t>
  </si>
  <si>
    <t>Oil Storage &amp; Transportation</t>
  </si>
  <si>
    <t>INE085D01033</t>
  </si>
  <si>
    <t>Dhanuka Agritech Ltd.</t>
  </si>
  <si>
    <t>DHANUKA</t>
  </si>
  <si>
    <t>DHANUKA AGRITECH LTD.</t>
  </si>
  <si>
    <t>INE435G01025</t>
  </si>
  <si>
    <t>INE043A01012</t>
  </si>
  <si>
    <t>GTL Ltd</t>
  </si>
  <si>
    <t>GTL</t>
  </si>
  <si>
    <t>GTL LTD.</t>
  </si>
  <si>
    <t>Other Telecom Services</t>
  </si>
  <si>
    <t>INE260B01028</t>
  </si>
  <si>
    <t>UPL Limited</t>
  </si>
  <si>
    <t>UPL</t>
  </si>
  <si>
    <t>INE628A01036</t>
  </si>
  <si>
    <t>INE233A01035</t>
  </si>
  <si>
    <t>Lloyds Metals and Energy Limited</t>
  </si>
  <si>
    <t>LLOYDSME</t>
  </si>
  <si>
    <t>LLOYDS METALS AND ENERGY LTD.</t>
  </si>
  <si>
    <t>INE281B01032</t>
  </si>
  <si>
    <t>INE531A01024</t>
  </si>
  <si>
    <t>Adani Enterprises Ltd.</t>
  </si>
  <si>
    <t>ADANIENT</t>
  </si>
  <si>
    <t>ADANI ENTERPRISES LTD.</t>
  </si>
  <si>
    <t>INE423A01024</t>
  </si>
  <si>
    <t>Metals &amp; Minerals Trading</t>
  </si>
  <si>
    <t>Trading - Minerals</t>
  </si>
  <si>
    <t>INE300A01016</t>
  </si>
  <si>
    <t>Goodricke Group Ltd.</t>
  </si>
  <si>
    <t>GOODRICKE</t>
  </si>
  <si>
    <t>GOODRICKE GROUP LTD.</t>
  </si>
  <si>
    <t>Tea &amp; Coffee</t>
  </si>
  <si>
    <t>INE533A01012</t>
  </si>
  <si>
    <t>Goodyear India Ltd.</t>
  </si>
  <si>
    <t>GOODYEAR</t>
  </si>
  <si>
    <t>GOODYEAR INDIA LTD.</t>
  </si>
  <si>
    <t>Tyres &amp; Rubber Products</t>
  </si>
  <si>
    <t>INE537A01013</t>
  </si>
  <si>
    <t>GTN Industries Limited</t>
  </si>
  <si>
    <t>GTNINDS</t>
  </si>
  <si>
    <t>GTN INDUSTRIES LTD.</t>
  </si>
  <si>
    <t>Hindustan Copper Ltd.</t>
  </si>
  <si>
    <t>HINDCOPPER</t>
  </si>
  <si>
    <t>HINDUSTAN COPPER LTD.</t>
  </si>
  <si>
    <t>INE531E01026</t>
  </si>
  <si>
    <t>Copper</t>
  </si>
  <si>
    <t>INE538A01037</t>
  </si>
  <si>
    <t>GFL LIMITED</t>
  </si>
  <si>
    <t>GFLLIMITED</t>
  </si>
  <si>
    <t>GFL Ltd</t>
  </si>
  <si>
    <t>Holding Company</t>
  </si>
  <si>
    <t>INE540A01017</t>
  </si>
  <si>
    <t>Gujarat Lease Financing Limited</t>
  </si>
  <si>
    <t>GLFL</t>
  </si>
  <si>
    <t>GUJARAT LEASE FINANCING LTD.</t>
  </si>
  <si>
    <t>Other Financial Services</t>
  </si>
  <si>
    <t>INE236A01020</t>
  </si>
  <si>
    <t>HCL Infosystems Ltd</t>
  </si>
  <si>
    <t>HCL-INSYS</t>
  </si>
  <si>
    <t>HCL INFOSYSTEMS LTD.</t>
  </si>
  <si>
    <t>Information Technology</t>
  </si>
  <si>
    <t>IT - Hardware</t>
  </si>
  <si>
    <t>Computers Hardware &amp; Equipments</t>
  </si>
  <si>
    <t>INE040A01034</t>
  </si>
  <si>
    <t>Linde India Limited</t>
  </si>
  <si>
    <t>LINDEINDIA</t>
  </si>
  <si>
    <t>INE473A01011</t>
  </si>
  <si>
    <t>Industrial Gases</t>
  </si>
  <si>
    <t>INE158A01026</t>
  </si>
  <si>
    <t>National Fertilizers Ltd.</t>
  </si>
  <si>
    <t>NFL</t>
  </si>
  <si>
    <t>NATIONAL FERTILIZERS LTD.</t>
  </si>
  <si>
    <t>INE870D01012</t>
  </si>
  <si>
    <t>INE548A01028</t>
  </si>
  <si>
    <t>PI Industries Limited</t>
  </si>
  <si>
    <t>PIIND</t>
  </si>
  <si>
    <t>PI Industries Ltd</t>
  </si>
  <si>
    <t>INE603J01030</t>
  </si>
  <si>
    <t>Vinati Organics Ltd.</t>
  </si>
  <si>
    <t>VINATIORGA</t>
  </si>
  <si>
    <t>VINATI ORGANICS LTD.-$</t>
  </si>
  <si>
    <t>INE410B01037</t>
  </si>
  <si>
    <t>INE549A01026</t>
  </si>
  <si>
    <t>Aarti Industries Ltd</t>
  </si>
  <si>
    <t>AARTIIND</t>
  </si>
  <si>
    <t>AARTI INDUSTRIES LTD.</t>
  </si>
  <si>
    <t>INE769A01020</t>
  </si>
  <si>
    <t>INE345A01011</t>
  </si>
  <si>
    <t>Hindustan Oil Exploration Co. Ltd.</t>
  </si>
  <si>
    <t>HINDOILEXP</t>
  </si>
  <si>
    <t>HINDUSTAN OIL EXPLORATION CO.LTD.</t>
  </si>
  <si>
    <t>Oil Exploration &amp; Production</t>
  </si>
  <si>
    <t>INE415A01038</t>
  </si>
  <si>
    <t>AGI GREENPAC LIMITED</t>
  </si>
  <si>
    <t>AGI</t>
  </si>
  <si>
    <t>Agi Greenpac Ltd</t>
  </si>
  <si>
    <t>Rashtriya Chemicals &amp; Fertilizers Limited</t>
  </si>
  <si>
    <t>RCF</t>
  </si>
  <si>
    <t>RASHTRIYA CHEMICALS &amp; FERTILIZERS LTD.</t>
  </si>
  <si>
    <t>INE027A01015</t>
  </si>
  <si>
    <t>INE353A01023</t>
  </si>
  <si>
    <t>NDL Ventures Limited</t>
  </si>
  <si>
    <t>NDLVENTURE</t>
  </si>
  <si>
    <t>NDL Ventures Ltd</t>
  </si>
  <si>
    <t>INE262A01018</t>
  </si>
  <si>
    <t>NMDC Ltd</t>
  </si>
  <si>
    <t>NMDC</t>
  </si>
  <si>
    <t>NMDC LTD.</t>
  </si>
  <si>
    <t>INE584A01023</t>
  </si>
  <si>
    <t>Minerals &amp; Mining</t>
  </si>
  <si>
    <t>Industrial Minerals</t>
  </si>
  <si>
    <t>INE962B01011</t>
  </si>
  <si>
    <t>Prag Bosimi Synthetics Ltd.</t>
  </si>
  <si>
    <t>PRAGBOS</t>
  </si>
  <si>
    <t>PRAG BOSIMI SYNTHETICS LTD.</t>
  </si>
  <si>
    <t>INE102A01024</t>
  </si>
  <si>
    <t>HLV LIMITED</t>
  </si>
  <si>
    <t>HLVLTD</t>
  </si>
  <si>
    <t>HLV Ltd</t>
  </si>
  <si>
    <t>INE204A01010</t>
  </si>
  <si>
    <t>IG Petrochemicals Ltd</t>
  </si>
  <si>
    <t>IGPL</t>
  </si>
  <si>
    <t>I G PETROCHEMICALS LTD.</t>
  </si>
  <si>
    <t>INE560A01015</t>
  </si>
  <si>
    <t>India Glycols Ltd</t>
  </si>
  <si>
    <t>INDIAGLYCO</t>
  </si>
  <si>
    <t>INDIA GLYCOLS LTD.</t>
  </si>
  <si>
    <t>INE333C01013</t>
  </si>
  <si>
    <t>India Lease Devl. Ltd.</t>
  </si>
  <si>
    <t>INDLEASE</t>
  </si>
  <si>
    <t>INDIA LEASE DEVELOPMENT LTD.</t>
  </si>
  <si>
    <t>INE680B01019</t>
  </si>
  <si>
    <t>Margo Finance Limited</t>
  </si>
  <si>
    <t>MARGOFIN</t>
  </si>
  <si>
    <t>INE156A01020</t>
  </si>
  <si>
    <t>Indo Rama Synthetics (India) Ltd.</t>
  </si>
  <si>
    <t>INDORAMA</t>
  </si>
  <si>
    <t>INDO RAMA SYNTHETICS (INDIA) LTD.</t>
  </si>
  <si>
    <t>INE009A01021</t>
  </si>
  <si>
    <t>Gujarat Alkalis &amp; Chemicals Ltd.</t>
  </si>
  <si>
    <t>GUJALKALI</t>
  </si>
  <si>
    <t>GUJARAT ALKALIES &amp; CHEMICALS LTD.</t>
  </si>
  <si>
    <t>INE186A01019</t>
  </si>
  <si>
    <t>INE177A01018</t>
  </si>
  <si>
    <t>India Cements Ltd.</t>
  </si>
  <si>
    <t>INDIACEM</t>
  </si>
  <si>
    <t>INDIA CEMENTS LTD.</t>
  </si>
  <si>
    <t>INE383A01012</t>
  </si>
  <si>
    <t>INE262B01016</t>
  </si>
  <si>
    <t>International Travel House Ltd</t>
  </si>
  <si>
    <t>ITHL</t>
  </si>
  <si>
    <t>INTERNATIONAL TRAVEL HOUSE LTD.-$</t>
  </si>
  <si>
    <t>Tour, Travel Related Services</t>
  </si>
  <si>
    <t>INE570A01022</t>
  </si>
  <si>
    <t>PRIVI SPECIALITY CHEMICALS LIMITED</t>
  </si>
  <si>
    <t>PRIVISCL</t>
  </si>
  <si>
    <t>Privi Speciality Chemicals Ltd</t>
  </si>
  <si>
    <t>INE959A01019</t>
  </si>
  <si>
    <t>INE209A01019</t>
  </si>
  <si>
    <t>Agro Tech Foods Ltd</t>
  </si>
  <si>
    <t>ATFL</t>
  </si>
  <si>
    <t>AGRO TECH FOODS LTD.</t>
  </si>
  <si>
    <t>Edible Oil</t>
  </si>
  <si>
    <t>INE175A01038</t>
  </si>
  <si>
    <t>Jain Irrigation Systems Ltd.</t>
  </si>
  <si>
    <t>JISLJALEQS</t>
  </si>
  <si>
    <t>JAIN IRRIGATION SYSTEMS LTD.</t>
  </si>
  <si>
    <t>Plastic Products - Industrial</t>
  </si>
  <si>
    <t>INE711C01028</t>
  </si>
  <si>
    <t>Jasch Industries Ltd.</t>
  </si>
  <si>
    <t>JASCH</t>
  </si>
  <si>
    <t>JASCH INDUSTRIES LTD.</t>
  </si>
  <si>
    <t>INE197D01010</t>
  </si>
  <si>
    <t>Jindal Poly Films Ltd.</t>
  </si>
  <si>
    <t>JINDALPOLY</t>
  </si>
  <si>
    <t>JINDAL POLY FILMS LTD.</t>
  </si>
  <si>
    <t>Balaji Amines Ltd.</t>
  </si>
  <si>
    <t>BALAMINES</t>
  </si>
  <si>
    <t>BALAJI AMINES LTD.-$</t>
  </si>
  <si>
    <t>INE050E01027</t>
  </si>
  <si>
    <t>INE864B01027</t>
  </si>
  <si>
    <t>Umang Dairies Limited</t>
  </si>
  <si>
    <t>UMANGDAIRY</t>
  </si>
  <si>
    <t>UMANG DAIRIES LTD.</t>
  </si>
  <si>
    <t>Food Products</t>
  </si>
  <si>
    <t>Dairy Products</t>
  </si>
  <si>
    <t>INE217B01036</t>
  </si>
  <si>
    <t>JK Paper Ltd.</t>
  </si>
  <si>
    <t>JKPAPER</t>
  </si>
  <si>
    <t>JK PAPER LTD.</t>
  </si>
  <si>
    <t>INE789E01012</t>
  </si>
  <si>
    <t>INE437B01014</t>
  </si>
  <si>
    <t>Kakatiya Cement Sugar &amp; Industries Ltd.</t>
  </si>
  <si>
    <t>KAKATCEM</t>
  </si>
  <si>
    <t>KAKATIYA CEMENT SUGAR &amp; INDUSTRIES LTD.</t>
  </si>
  <si>
    <t>INE907A01026</t>
  </si>
  <si>
    <t>Kalyani Steels Ltd</t>
  </si>
  <si>
    <t>KSL</t>
  </si>
  <si>
    <t>KALYANI STEELS LTD.</t>
  </si>
  <si>
    <t>Iron &amp; Steel Products</t>
  </si>
  <si>
    <t>INE252C01015</t>
  </si>
  <si>
    <t>Gujarat Mineral Development Corpora</t>
  </si>
  <si>
    <t>GMDCLTD</t>
  </si>
  <si>
    <t>GUJARAT MINERAL DEVELOPMENT CORPORATION LTD.</t>
  </si>
  <si>
    <t>INE131A01031</t>
  </si>
  <si>
    <t>INE716A01013</t>
  </si>
  <si>
    <t>National Aluminium Co. Ltd.</t>
  </si>
  <si>
    <t>NATIONALUM</t>
  </si>
  <si>
    <t>NATIONAL ALUMINIUM CO.LTD.</t>
  </si>
  <si>
    <t>INE139A01034</t>
  </si>
  <si>
    <t>INE104A01012</t>
  </si>
  <si>
    <t>K.G.Denim Ltd</t>
  </si>
  <si>
    <t>KGDENIM</t>
  </si>
  <si>
    <t>KG DENIM LTD.</t>
  </si>
  <si>
    <t>INE266B01017</t>
  </si>
  <si>
    <t>Kinetic Engineering Ltd.</t>
  </si>
  <si>
    <t>KINETICENG</t>
  </si>
  <si>
    <t>KINETIC ENGINEERING LTD.</t>
  </si>
  <si>
    <t>INE732A01036</t>
  </si>
  <si>
    <t>Jindal Steel &amp; Power Ltd</t>
  </si>
  <si>
    <t>JINDALSTEL</t>
  </si>
  <si>
    <t>JINDAL STEEL &amp; POWER LTD.</t>
  </si>
  <si>
    <t>INE749A01030</t>
  </si>
  <si>
    <t>INE250A01039</t>
  </si>
  <si>
    <t>Navin Fluorine International Limited</t>
  </si>
  <si>
    <t>NAVINFLUOR</t>
  </si>
  <si>
    <t>Navin Fluorine International Limited-$</t>
  </si>
  <si>
    <t>INE048G01026</t>
  </si>
  <si>
    <t>Jindal Stainless Limited</t>
  </si>
  <si>
    <t>JSL</t>
  </si>
  <si>
    <t>JINDAL STAINLESS LTD.</t>
  </si>
  <si>
    <t>INE220G01021</t>
  </si>
  <si>
    <t>INE601C01013</t>
  </si>
  <si>
    <t>Envair Electrodyne Ltd.</t>
  </si>
  <si>
    <t>ENVAIREL</t>
  </si>
  <si>
    <t>ENVAIR ELECTRODYNE LTD.</t>
  </si>
  <si>
    <t>INE237A01028</t>
  </si>
  <si>
    <t>UltraTech Cement Ltd</t>
  </si>
  <si>
    <t>ULTRACEMCO</t>
  </si>
  <si>
    <t>ULTRATECH CEMENT LTD.</t>
  </si>
  <si>
    <t>INE481G01011</t>
  </si>
  <si>
    <t>INE073A01019</t>
  </si>
  <si>
    <t>KRISHNA FILAMENT INDUSTRIES LIMITED</t>
  </si>
  <si>
    <t>KRIFILIND</t>
  </si>
  <si>
    <t>Krishna Filament Industries Ltd</t>
  </si>
  <si>
    <t>INE999A01015</t>
  </si>
  <si>
    <t>J.K. CEMENT LTD</t>
  </si>
  <si>
    <t>JKCEMENT</t>
  </si>
  <si>
    <t>J.K.CEMENT LTD.</t>
  </si>
  <si>
    <t>INE823G01014</t>
  </si>
  <si>
    <t>INE337A01034</t>
  </si>
  <si>
    <t>L.g.Balkrishnan &amp; Bros. Ltd.</t>
  </si>
  <si>
    <t>LGBBROSLTD</t>
  </si>
  <si>
    <t>L.G.BALAKRISHNAN &amp; BROS.LTD.</t>
  </si>
  <si>
    <t>INE849A01020</t>
  </si>
  <si>
    <t>Solar Industries India Limited</t>
  </si>
  <si>
    <t>SOLARINDS</t>
  </si>
  <si>
    <t>SOLAR INDUSTRIES INDIA LTD.</t>
  </si>
  <si>
    <t>INE343H01029</t>
  </si>
  <si>
    <t>Explosives</t>
  </si>
  <si>
    <t>INE269B01029</t>
  </si>
  <si>
    <t>Jai Balaji Industries Limited</t>
  </si>
  <si>
    <t>JAIBALAJI</t>
  </si>
  <si>
    <t>JAI BALAJI INDUSTRIES LTD.</t>
  </si>
  <si>
    <t>INE091G01018</t>
  </si>
  <si>
    <t>INE115A01026</t>
  </si>
  <si>
    <t>GRAVITA INDIA LIMITED</t>
  </si>
  <si>
    <t>GRAVITA</t>
  </si>
  <si>
    <t>GRAVITA INDIA LTD.</t>
  </si>
  <si>
    <t>INE024L01027</t>
  </si>
  <si>
    <t>INE326A01037</t>
  </si>
  <si>
    <t>MOIL Limited</t>
  </si>
  <si>
    <t>MOIL</t>
  </si>
  <si>
    <t>MOIL LTD.</t>
  </si>
  <si>
    <t>INE490G01020</t>
  </si>
  <si>
    <t>INE933A01014</t>
  </si>
  <si>
    <t>Lyka Labs Ltd.</t>
  </si>
  <si>
    <t>LYKALABS</t>
  </si>
  <si>
    <t>LYKA LABS LTD.</t>
  </si>
  <si>
    <t>ORIENT CEMENT LIMITED</t>
  </si>
  <si>
    <t>ORIENTCEM</t>
  </si>
  <si>
    <t>Orient Cement Ltd</t>
  </si>
  <si>
    <t>INE876N01018</t>
  </si>
  <si>
    <t>INE965B01022</t>
  </si>
  <si>
    <t>HYBRID FINANCIAL SERVICES LIMITED</t>
  </si>
  <si>
    <t>HYBRIDFIN</t>
  </si>
  <si>
    <t>Hybrid Financial Services Ltd</t>
  </si>
  <si>
    <t>INE270B01035</t>
  </si>
  <si>
    <t>Mafatlal Industries Ltd.</t>
  </si>
  <si>
    <t>MAFATIND</t>
  </si>
  <si>
    <t>MAFATLAL INDUSTRIES LTD.-$</t>
  </si>
  <si>
    <t>INE271B01025</t>
  </si>
  <si>
    <t>Star Cement Limited</t>
  </si>
  <si>
    <t>STARCEMENT</t>
  </si>
  <si>
    <t>Star Cement Ltd</t>
  </si>
  <si>
    <t>INE460H01021</t>
  </si>
  <si>
    <t>INE288A01013</t>
  </si>
  <si>
    <t>KIOCL Limited</t>
  </si>
  <si>
    <t>KIOCL</t>
  </si>
  <si>
    <t>KIOCL Ltd</t>
  </si>
  <si>
    <t>INE880L01014</t>
  </si>
  <si>
    <t>INE201B01022</t>
  </si>
  <si>
    <t>Galaxy Surfactants Limited</t>
  </si>
  <si>
    <t>GALAXYSURF</t>
  </si>
  <si>
    <t>Galaxy Surfactants Ltd</t>
  </si>
  <si>
    <t>INE600K01018</t>
  </si>
  <si>
    <t>INE201A01024</t>
  </si>
  <si>
    <t>Manali Petrochemicals Ltd.</t>
  </si>
  <si>
    <t>MANALIPETC</t>
  </si>
  <si>
    <t>MANALI PETROCHEMICAL LTD.</t>
  </si>
  <si>
    <t>INE461A01024</t>
  </si>
  <si>
    <t>Baroda Rayon Corpn. Ltd.</t>
  </si>
  <si>
    <t>BARODARY</t>
  </si>
  <si>
    <t>BARODA RAYON CORPORATION LTD.</t>
  </si>
  <si>
    <t>INE180A01020</t>
  </si>
  <si>
    <t>Fine Organic Industries Limited</t>
  </si>
  <si>
    <t>FINEORG</t>
  </si>
  <si>
    <t>Fine Organic Industries Ltd</t>
  </si>
  <si>
    <t>INE686Y01026</t>
  </si>
  <si>
    <t>INE401C01018</t>
  </si>
  <si>
    <t>Mid India Industries Limited</t>
  </si>
  <si>
    <t>MIDINDIA</t>
  </si>
  <si>
    <t>MID INDIA INDUSTRIES LTD.</t>
  </si>
  <si>
    <t>INE831A01028</t>
  </si>
  <si>
    <t>Mirc Electronics Ltd</t>
  </si>
  <si>
    <t>MIRCELECTR</t>
  </si>
  <si>
    <t>MIRC ELECTRONICS LTD.</t>
  </si>
  <si>
    <t>INE485A01015</t>
  </si>
  <si>
    <t>Century Enka Ltd.</t>
  </si>
  <si>
    <t>CENTENKA</t>
  </si>
  <si>
    <t>CENTURY ENKA LTD.</t>
  </si>
  <si>
    <t>INE794W01014</t>
  </si>
  <si>
    <t>Modern Thread (India) Ltd.</t>
  </si>
  <si>
    <t>MODTHREAD</t>
  </si>
  <si>
    <t>MODERN THREADS (INDIA) LTD.</t>
  </si>
  <si>
    <t>INE846D01012</t>
  </si>
  <si>
    <t>Lords Chloro Alkali Ltd</t>
  </si>
  <si>
    <t>LORDSCHLO</t>
  </si>
  <si>
    <t>LORDS CHLORO ALKALI LTD.</t>
  </si>
  <si>
    <t>INE285B01017</t>
  </si>
  <si>
    <t>DALMIA BHARAT LIMITED</t>
  </si>
  <si>
    <t>DALBHARAT</t>
  </si>
  <si>
    <t>Dalmia Bharat Ltd</t>
  </si>
  <si>
    <t>INE00R701025</t>
  </si>
  <si>
    <t>INE083A01026</t>
  </si>
  <si>
    <t>Morepen Laboratories Ltd.</t>
  </si>
  <si>
    <t>MOREPENLAB</t>
  </si>
  <si>
    <t>MOREPEN LABORATORIES LTD.</t>
  </si>
  <si>
    <t>INE883A01011</t>
  </si>
  <si>
    <t>Gujarat Fluorochemicals Limited</t>
  </si>
  <si>
    <t>FLUOROCHEM</t>
  </si>
  <si>
    <t>Gujarat Fluorochemicals Ltd</t>
  </si>
  <si>
    <t>INE09N301011</t>
  </si>
  <si>
    <t>INE578A01017</t>
  </si>
  <si>
    <t>HeidelbergCement  India Limited</t>
  </si>
  <si>
    <t>HEIDELBERG</t>
  </si>
  <si>
    <t>HEIDELBERGCEMENT INDIA LTD.</t>
  </si>
  <si>
    <t>INE868B01028</t>
  </si>
  <si>
    <t>SUMITOMO CHEMICAL INDIA LIMITED</t>
  </si>
  <si>
    <t>SUMICHEM</t>
  </si>
  <si>
    <t>Sumitomo Chemical India Ltd</t>
  </si>
  <si>
    <t>INE258G01013</t>
  </si>
  <si>
    <t>Jubilant Ingrevia Limited</t>
  </si>
  <si>
    <t>JUBLINGREA</t>
  </si>
  <si>
    <t>Jubilant Ingrevia Ltd</t>
  </si>
  <si>
    <t>INE0BY001018</t>
  </si>
  <si>
    <t>INE290A01027</t>
  </si>
  <si>
    <t>Nahar Spinning Mills Ltd.</t>
  </si>
  <si>
    <t>NAHARSPING</t>
  </si>
  <si>
    <t>NAHAR SPINNING MILLS LTD.</t>
  </si>
  <si>
    <t>INE585A01020</t>
  </si>
  <si>
    <t>Naperol Investments Limited</t>
  </si>
  <si>
    <t>NAPEROL</t>
  </si>
  <si>
    <t>Naperol Investments Ltd</t>
  </si>
  <si>
    <t>Anupam Rasayan India Limited</t>
  </si>
  <si>
    <t>ANURAS</t>
  </si>
  <si>
    <t>Anupam Rasayan India Ltd</t>
  </si>
  <si>
    <t>INE930P01018</t>
  </si>
  <si>
    <t>INE140A01024</t>
  </si>
  <si>
    <t>Laxmi Organic Industries Limited</t>
  </si>
  <si>
    <t>LXCHEM</t>
  </si>
  <si>
    <t>Laxmi Organic Industries Ltd</t>
  </si>
  <si>
    <t>INE576O01020</t>
  </si>
  <si>
    <t>INE161A01038</t>
  </si>
  <si>
    <t>NIIT Ltd.</t>
  </si>
  <si>
    <t>NIITLTD</t>
  </si>
  <si>
    <t>NIIT LTD.</t>
  </si>
  <si>
    <t>Other Consumer Services</t>
  </si>
  <si>
    <t>Education</t>
  </si>
  <si>
    <t>INE903A01025</t>
  </si>
  <si>
    <t>Jaykay Enterprises Limited</t>
  </si>
  <si>
    <t>JAYKAY</t>
  </si>
  <si>
    <t>JAYKAY ENTERPRISES LTD.</t>
  </si>
  <si>
    <t>Aerospace &amp; Defense</t>
  </si>
  <si>
    <t>INE910A01012</t>
  </si>
  <si>
    <t>Clean Science and Technology Limited</t>
  </si>
  <si>
    <t>CLEAN</t>
  </si>
  <si>
    <t>Clean Science and Technology Ltd</t>
  </si>
  <si>
    <t>INE227W01023</t>
  </si>
  <si>
    <t>INE213A01029</t>
  </si>
  <si>
    <t>Epigral Limited</t>
  </si>
  <si>
    <t>EPIGRAL</t>
  </si>
  <si>
    <t>Epigral Ltd</t>
  </si>
  <si>
    <t>INE071N01016</t>
  </si>
  <si>
    <t>INE591A01010</t>
  </si>
  <si>
    <t>Oil Country Tubular Ltd.</t>
  </si>
  <si>
    <t>OILCOUNTUB</t>
  </si>
  <si>
    <t>OIL COUNTRY TUBULAR LTD.</t>
  </si>
  <si>
    <t>Oil Equipment &amp; Services</t>
  </si>
  <si>
    <t>INE750A01020</t>
  </si>
  <si>
    <t>Oriental Hotels Ltd.</t>
  </si>
  <si>
    <t>ORIENTHOT</t>
  </si>
  <si>
    <t>ORIENTAL HOTELS LTD.</t>
  </si>
  <si>
    <t>INE142A01012</t>
  </si>
  <si>
    <t>Nuvoco Vistas Corporation Limited</t>
  </si>
  <si>
    <t>NUVOCO</t>
  </si>
  <si>
    <t>Nuvoco Vistas Corporation Ltd</t>
  </si>
  <si>
    <t>INE118D01016</t>
  </si>
  <si>
    <t>INE557C01017</t>
  </si>
  <si>
    <t>Indian Sucrose Ltd.</t>
  </si>
  <si>
    <t>INDSUCR</t>
  </si>
  <si>
    <t>INDIAN SUCROSE LTD.</t>
  </si>
  <si>
    <t>INE167E01037</t>
  </si>
  <si>
    <t>Panyam Cements &amp; Mineral Inds. Ltd.</t>
  </si>
  <si>
    <t>PANCM</t>
  </si>
  <si>
    <t>PANYAM CEMENTS &amp; MINERAL INDUSTRIES LTD.</t>
  </si>
  <si>
    <t>INE002A01018</t>
  </si>
  <si>
    <t>Chemplast Sanmar Limited</t>
  </si>
  <si>
    <t>CHEMPLASTS</t>
  </si>
  <si>
    <t>Chemplast Sanmar Ltd</t>
  </si>
  <si>
    <t>INE488A01050</t>
  </si>
  <si>
    <t>INE600A01035</t>
  </si>
  <si>
    <t>Pil Italica Lifestyle Limited</t>
  </si>
  <si>
    <t>PILITA</t>
  </si>
  <si>
    <t>Pil Italica Lifestyle Ltd</t>
  </si>
  <si>
    <t>Plastic Products - Consumer</t>
  </si>
  <si>
    <t>INE301A01014</t>
  </si>
  <si>
    <t>Paradeep Phosphates Limited</t>
  </si>
  <si>
    <t>PARADEEP</t>
  </si>
  <si>
    <t>Paradeep Phosphates Ltd</t>
  </si>
  <si>
    <t>INE088F01024</t>
  </si>
  <si>
    <t>Aether Industries Limited</t>
  </si>
  <si>
    <t>AETHER</t>
  </si>
  <si>
    <t>Aether Industries Ltd</t>
  </si>
  <si>
    <t>INE0BWX01014</t>
  </si>
  <si>
    <t>INE751B01018</t>
  </si>
  <si>
    <t>Pix Transmissions Ltd.</t>
  </si>
  <si>
    <t>PIXTRANS</t>
  </si>
  <si>
    <t>PIX TRANSMISSIONS LTD.</t>
  </si>
  <si>
    <t>Rubber</t>
  </si>
  <si>
    <t>Archean Chemical Industries Limited</t>
  </si>
  <si>
    <t>ACI</t>
  </si>
  <si>
    <t>Archean Chemical Industries Ltd</t>
  </si>
  <si>
    <t>INE128X01021</t>
  </si>
  <si>
    <t>INE335A01020</t>
  </si>
  <si>
    <t>Fertilizers and Chemicals Travancore Limited</t>
  </si>
  <si>
    <t>FACT</t>
  </si>
  <si>
    <t>FERTILIZERS &amp; CHEMICALS TRAVANCORE LTD.</t>
  </si>
  <si>
    <t>INE188A01015</t>
  </si>
  <si>
    <t>INE032B01021</t>
  </si>
  <si>
    <t>Prime Securities Ltd.</t>
  </si>
  <si>
    <t>PRIMESECU</t>
  </si>
  <si>
    <t>PRIME SECURITIES LTD.</t>
  </si>
  <si>
    <t>Amara Raja Energy &amp; Mobility Limited</t>
  </si>
  <si>
    <t>ARE&amp;M</t>
  </si>
  <si>
    <t>Amara Raja Energy &amp; Mobility Ltd</t>
  </si>
  <si>
    <t>Bajaj Electricals Ltd.</t>
  </si>
  <si>
    <t>BAJAJELEC</t>
  </si>
  <si>
    <t>BAJAJ ELECTRICALS LTD.-$</t>
  </si>
  <si>
    <t>Household Appliances</t>
  </si>
  <si>
    <t>INE024D01016</t>
  </si>
  <si>
    <t>Prudential Sugar Corporation Ltd</t>
  </si>
  <si>
    <t>PRUDMOULI</t>
  </si>
  <si>
    <t>PRUDENTIAL SUGAR CORPORATION LTD.</t>
  </si>
  <si>
    <t>INE606A01024</t>
  </si>
  <si>
    <t>AMJ LAND HOLDINGS LIMITED</t>
  </si>
  <si>
    <t>AMJLAND</t>
  </si>
  <si>
    <t>AMJ Land Holdings Ltd</t>
  </si>
  <si>
    <t>INE609A01010</t>
  </si>
  <si>
    <t>Punjab Communications Limited</t>
  </si>
  <si>
    <t>PUNJCOMMU</t>
  </si>
  <si>
    <t>PUNJAB COMMUNICATIONS LTD.-$</t>
  </si>
  <si>
    <t>INE611A01016</t>
  </si>
  <si>
    <t>RSWM Limited</t>
  </si>
  <si>
    <t>RSWM</t>
  </si>
  <si>
    <t>RSWM LTD.</t>
  </si>
  <si>
    <t>INE562B01019</t>
  </si>
  <si>
    <t>Rajshree Sugars &amp; Chemicals Ltd.</t>
  </si>
  <si>
    <t>RAJSREESUG</t>
  </si>
  <si>
    <t>RAJSHREE SUGARS &amp; CHEMICALS LTD.</t>
  </si>
  <si>
    <t>Force Motors Limited</t>
  </si>
  <si>
    <t>FORCEMOT</t>
  </si>
  <si>
    <t>FORCE MOTORS LTD.-$</t>
  </si>
  <si>
    <t>Automobiles</t>
  </si>
  <si>
    <t>Passenger Cars &amp; Utility Vehicles</t>
  </si>
  <si>
    <t>INE278B01020</t>
  </si>
  <si>
    <t>Shree Rama Newsprint Limited</t>
  </si>
  <si>
    <t>RAMANEWS</t>
  </si>
  <si>
    <t>SHREE RAMA NEWSPRINT LTD.</t>
  </si>
  <si>
    <t>INE425E01013</t>
  </si>
  <si>
    <t>Rama Paper Mills Limited</t>
  </si>
  <si>
    <t>RAMAPPR-B</t>
  </si>
  <si>
    <t>RAMA PAPER MILLS LTD.</t>
  </si>
  <si>
    <t>INE350D01015</t>
  </si>
  <si>
    <t>Rapicut Carbides Ltd.</t>
  </si>
  <si>
    <t>RAPICUT</t>
  </si>
  <si>
    <t>RAPICUT CARBIDES LTD.</t>
  </si>
  <si>
    <t>INE731F01037</t>
  </si>
  <si>
    <t>WELSPUN SPECIALTY SOLUTIONS LIMITED</t>
  </si>
  <si>
    <t>WELSPLSOL</t>
  </si>
  <si>
    <t>Welspun Specialty Solutions Ltd</t>
  </si>
  <si>
    <t>INE642C01025</t>
  </si>
  <si>
    <t>Rubfila International Ltd.</t>
  </si>
  <si>
    <t>RUBFILA</t>
  </si>
  <si>
    <t>RUBFILA INTERNATIONAL LTD.</t>
  </si>
  <si>
    <t>INE619A01035</t>
  </si>
  <si>
    <t>Bata India Limited</t>
  </si>
  <si>
    <t>BATAINDIA</t>
  </si>
  <si>
    <t>BATA INDIA LTD.</t>
  </si>
  <si>
    <t>Footwear</t>
  </si>
  <si>
    <t>INE924A01013</t>
  </si>
  <si>
    <t>Blue Star Ltd</t>
  </si>
  <si>
    <t>BLUESTARCO</t>
  </si>
  <si>
    <t>BLUE STAR LTD.</t>
  </si>
  <si>
    <t>INE324A01024</t>
  </si>
  <si>
    <t>Exide Industries Ltd.</t>
  </si>
  <si>
    <t>EXIDEIND</t>
  </si>
  <si>
    <t>EXIDE INDUSTRIES LTD.</t>
  </si>
  <si>
    <t>Arvind Ltd.</t>
  </si>
  <si>
    <t>ARVIND</t>
  </si>
  <si>
    <t>ARVIND LTD.</t>
  </si>
  <si>
    <t>Garments &amp; Apparels</t>
  </si>
  <si>
    <t>Titan Company Limited</t>
  </si>
  <si>
    <t>TITAN</t>
  </si>
  <si>
    <t>Gems, Jewellery And Watches</t>
  </si>
  <si>
    <t>INE970C01012</t>
  </si>
  <si>
    <t>Shree Krishna Paper Mills &amp; Industr</t>
  </si>
  <si>
    <t>SKPMIL</t>
  </si>
  <si>
    <t>SHREE KRISHNA PAPER MILLS &amp; INDUSTRIES LTD.</t>
  </si>
  <si>
    <t>INE036A01016</t>
  </si>
  <si>
    <t>Kansai Nerolac Paints</t>
  </si>
  <si>
    <t>KANSAINER</t>
  </si>
  <si>
    <t>KANSAI NEROLAC PAINTS LTD.</t>
  </si>
  <si>
    <t>Paints</t>
  </si>
  <si>
    <t>INE245A01021</t>
  </si>
  <si>
    <t>Hero MotoCorp Limited</t>
  </si>
  <si>
    <t>HEROMOTOCO</t>
  </si>
  <si>
    <t>HERO MOTOCORP LTD.</t>
  </si>
  <si>
    <t>2/3 Wheelers</t>
  </si>
  <si>
    <t>INE937A01023</t>
  </si>
  <si>
    <t>SPML Infra Limited</t>
  </si>
  <si>
    <t>SPMLINFRA</t>
  </si>
  <si>
    <t>Construction</t>
  </si>
  <si>
    <t>Civil Construction</t>
  </si>
  <si>
    <t>INE387A01021</t>
  </si>
  <si>
    <t>Kajaria Ceramics Ltd</t>
  </si>
  <si>
    <t>KAJARIACER</t>
  </si>
  <si>
    <t>KAJARIA CERAMICS LTD.</t>
  </si>
  <si>
    <t>Ceramics</t>
  </si>
  <si>
    <t>INE947A01014</t>
  </si>
  <si>
    <t>Sunflag Iron &amp; Steel Co. Ltd.</t>
  </si>
  <si>
    <t>SUNFLAG</t>
  </si>
  <si>
    <t>SUNFLAG IRON &amp; STEEL CO.LTD.</t>
  </si>
  <si>
    <t>Whirlpool of India Ltd</t>
  </si>
  <si>
    <t>WHIRLPOOL</t>
  </si>
  <si>
    <t>WHIRLPOOL OF INDIA LTD.</t>
  </si>
  <si>
    <t>INE277A01016</t>
  </si>
  <si>
    <t>Swaraj Engines Ltd.</t>
  </si>
  <si>
    <t>SWARAJENG</t>
  </si>
  <si>
    <t>SWARAJ ENGINES LTD.</t>
  </si>
  <si>
    <t>Compressors, Pumps &amp; Diesel Engines</t>
  </si>
  <si>
    <t>INE670A01012</t>
  </si>
  <si>
    <t>Trent Ltd [Lakme Ltd]</t>
  </si>
  <si>
    <t>TRENT</t>
  </si>
  <si>
    <t>TRENT LTD.</t>
  </si>
  <si>
    <t>Retailing</t>
  </si>
  <si>
    <t>Speciality Retail</t>
  </si>
  <si>
    <t>M.R.F. Ltd.</t>
  </si>
  <si>
    <t>MRF</t>
  </si>
  <si>
    <t>MRF LTD.</t>
  </si>
  <si>
    <t>INE152A01029</t>
  </si>
  <si>
    <t>Raymond Limited</t>
  </si>
  <si>
    <t>RAYMOND</t>
  </si>
  <si>
    <t>RAYMOND LTD.</t>
  </si>
  <si>
    <t>INE338A01024</t>
  </si>
  <si>
    <t>Thirumalai Chemicals Ltd.</t>
  </si>
  <si>
    <t>TIRUMALCHM</t>
  </si>
  <si>
    <t>THIRUMALAI CHEMICALS LTD.</t>
  </si>
  <si>
    <t>INE332A01027</t>
  </si>
  <si>
    <t>Sundram Fasteners Ltd.</t>
  </si>
  <si>
    <t>SUNDRMFAST</t>
  </si>
  <si>
    <t>SUNDRAM FASTENERS LTD.</t>
  </si>
  <si>
    <t>INE064A01026</t>
  </si>
  <si>
    <t>Timex Group India Ltd</t>
  </si>
  <si>
    <t>TIMEX</t>
  </si>
  <si>
    <t>TIMEX GROUP INDIA LTD.-$</t>
  </si>
  <si>
    <t>INE932C01012</t>
  </si>
  <si>
    <t>Tokyo Plast International Ltd.</t>
  </si>
  <si>
    <t>TOKYOPLAST</t>
  </si>
  <si>
    <t>TOKYO PLAST INTERNATIONAL LTD.</t>
  </si>
  <si>
    <t>INE685A01028</t>
  </si>
  <si>
    <t>Thomas Cook (India) Ltd.</t>
  </si>
  <si>
    <t>THOMASCOOK</t>
  </si>
  <si>
    <t>THOMAS COOK (INDIA) LTD.</t>
  </si>
  <si>
    <t>INE578C01021</t>
  </si>
  <si>
    <t>TPI India Ltd.</t>
  </si>
  <si>
    <t>TPINDIA</t>
  </si>
  <si>
    <t>TPI INDIA LTD.</t>
  </si>
  <si>
    <t>INE019B01010</t>
  </si>
  <si>
    <t>Transchem Limited.</t>
  </si>
  <si>
    <t>TRANSCHEM</t>
  </si>
  <si>
    <t>TRANSCHEM LTD.-$</t>
  </si>
  <si>
    <t>Bharat Forge Ltd</t>
  </si>
  <si>
    <t>BHARATFORG</t>
  </si>
  <si>
    <t>BHARAT FORGE LTD.</t>
  </si>
  <si>
    <t>INE465A01025</t>
  </si>
  <si>
    <t>INE184E01024</t>
  </si>
  <si>
    <t>UTL Industries Limited</t>
  </si>
  <si>
    <t>UTLINDS</t>
  </si>
  <si>
    <t>INE037A01022</t>
  </si>
  <si>
    <t>Uniphos Enterprises Limited.</t>
  </si>
  <si>
    <t>UNIENTER</t>
  </si>
  <si>
    <t>UNIPHOS ENTERPRISES LTD.</t>
  </si>
  <si>
    <t>Trading - Chemicals</t>
  </si>
  <si>
    <t>INE701A01023</t>
  </si>
  <si>
    <t>Vardhman Holdings Limited</t>
  </si>
  <si>
    <t>VHL</t>
  </si>
  <si>
    <t>VARDHMAN HOLDINGS LTD.</t>
  </si>
  <si>
    <t>Mahindra &amp; Mahindra Ltd.</t>
  </si>
  <si>
    <t>M&amp;M</t>
  </si>
  <si>
    <t>MAHINDRA &amp; MAHINDRA LTD.</t>
  </si>
  <si>
    <t>INE101A01026</t>
  </si>
  <si>
    <t>INE976A01021</t>
  </si>
  <si>
    <t>West Coast Paper Mills Limited</t>
  </si>
  <si>
    <t>WSTCSTPAPR</t>
  </si>
  <si>
    <t>WEST COAST PAPER MILLS LTD.</t>
  </si>
  <si>
    <t>INE048A01011</t>
  </si>
  <si>
    <t>Hindustan Organic Chemicals Ltd.</t>
  </si>
  <si>
    <t>HOCL</t>
  </si>
  <si>
    <t>HINDUSTAN ORGANIC CHEMICALS LTD.</t>
  </si>
  <si>
    <t>INE844C01027</t>
  </si>
  <si>
    <t>MPIL CORPORATION LIMITED</t>
  </si>
  <si>
    <t>MPILCORPL</t>
  </si>
  <si>
    <t>MPIL CORPORATION LTD.</t>
  </si>
  <si>
    <t>INE818B01023</t>
  </si>
  <si>
    <t>Pasupati Acrylon Ltd.</t>
  </si>
  <si>
    <t>PASUPTAC</t>
  </si>
  <si>
    <t>PASUPATI ACRYLON LTD.</t>
  </si>
  <si>
    <t>INE601A01017</t>
  </si>
  <si>
    <t>Kore Foods Limited</t>
  </si>
  <si>
    <t>KORE</t>
  </si>
  <si>
    <t>Kore Foods Ltd</t>
  </si>
  <si>
    <t>Other Food Products</t>
  </si>
  <si>
    <t>INE179A01014</t>
  </si>
  <si>
    <t>Bosch Ltd</t>
  </si>
  <si>
    <t>BOSCHLTD</t>
  </si>
  <si>
    <t>BOSCH LTD.</t>
  </si>
  <si>
    <t>INE323A01026</t>
  </si>
  <si>
    <t>INE304A01026</t>
  </si>
  <si>
    <t>Mukand Ltd.</t>
  </si>
  <si>
    <t>MUKANDLTD</t>
  </si>
  <si>
    <t>MUKAND LTD.</t>
  </si>
  <si>
    <t>INE676A01027</t>
  </si>
  <si>
    <t>Tata Motors Ltd.</t>
  </si>
  <si>
    <t>TATAMOTORS</t>
  </si>
  <si>
    <t>TATA MOTORS LTD.</t>
  </si>
  <si>
    <t>INE155A01022</t>
  </si>
  <si>
    <t>INE139B01016</t>
  </si>
  <si>
    <t>UCAL LIMITED</t>
  </si>
  <si>
    <t>UCAL</t>
  </si>
  <si>
    <t>Ucal  Ltd</t>
  </si>
  <si>
    <t>INE544A01019</t>
  </si>
  <si>
    <t>Harrisons Malayalam Ltd.</t>
  </si>
  <si>
    <t>HARRMALAYA</t>
  </si>
  <si>
    <t>HARRISONS MALAYALAM LTD.</t>
  </si>
  <si>
    <t>INE171A01029</t>
  </si>
  <si>
    <t>Voltas Ltd.</t>
  </si>
  <si>
    <t>VOLTAS</t>
  </si>
  <si>
    <t>VOLTAS LTD.</t>
  </si>
  <si>
    <t>INE226A01021</t>
  </si>
  <si>
    <t>Akzo Nobel India Limited</t>
  </si>
  <si>
    <t>AKZOINDIA</t>
  </si>
  <si>
    <t>INE133A01011</t>
  </si>
  <si>
    <t>INE640A01023</t>
  </si>
  <si>
    <t>Asian Paints Ltd.</t>
  </si>
  <si>
    <t>ASIANPAINT</t>
  </si>
  <si>
    <t>ASIAN PAINTS LTD.</t>
  </si>
  <si>
    <t>INE021A01026</t>
  </si>
  <si>
    <t>INE208A01029</t>
  </si>
  <si>
    <t>EIH Ltd</t>
  </si>
  <si>
    <t>EIHOTEL</t>
  </si>
  <si>
    <t>EIH LTD.</t>
  </si>
  <si>
    <t>INE230A01023</t>
  </si>
  <si>
    <t>INE298A01020</t>
  </si>
  <si>
    <t>Indian Hotels Co. Ltd</t>
  </si>
  <si>
    <t>INDHOTEL</t>
  </si>
  <si>
    <t>INDIAN HOTELS CO.LTD.</t>
  </si>
  <si>
    <t>INE053A01029</t>
  </si>
  <si>
    <t>INE151A01013</t>
  </si>
  <si>
    <t>Apollo Tyres Ltd</t>
  </si>
  <si>
    <t>APOLLOTYRE</t>
  </si>
  <si>
    <t>APOLLO TYRES LTD.</t>
  </si>
  <si>
    <t>INE438A01022</t>
  </si>
  <si>
    <t>INE358A01014</t>
  </si>
  <si>
    <t>Ceat Ltd.</t>
  </si>
  <si>
    <t>CEATLTD</t>
  </si>
  <si>
    <t>CEAT LTD.</t>
  </si>
  <si>
    <t>INE482A01020</t>
  </si>
  <si>
    <t>INE118A01012</t>
  </si>
  <si>
    <t>Balkrishna Industries Ltd.</t>
  </si>
  <si>
    <t>BALKRISIND</t>
  </si>
  <si>
    <t>BALKRISHNA INDUSTRIES LTD.-$</t>
  </si>
  <si>
    <t>INE787D01026</t>
  </si>
  <si>
    <t>Vardhman Textiles Limted</t>
  </si>
  <si>
    <t>VTL</t>
  </si>
  <si>
    <t>VARDHMAN TEXTILES LTD.</t>
  </si>
  <si>
    <t>INE825A01020</t>
  </si>
  <si>
    <t>INE042A01014</t>
  </si>
  <si>
    <t>The Phoenix Mills Ltd.</t>
  </si>
  <si>
    <t>PHOENIXLTD</t>
  </si>
  <si>
    <t>The Phoenix Mills Ltd</t>
  </si>
  <si>
    <t>INE211B01039</t>
  </si>
  <si>
    <t>INE253A01025</t>
  </si>
  <si>
    <t>Hindustan Motors Ltd.</t>
  </si>
  <si>
    <t>HINDMOTORS</t>
  </si>
  <si>
    <t>HINDUSTAN MOTORS LTD.</t>
  </si>
  <si>
    <t>INE018A01030</t>
  </si>
  <si>
    <t>National Standard (India) Limited</t>
  </si>
  <si>
    <t>NATIONSTD</t>
  </si>
  <si>
    <t>NATIONAL STANDARD (INDIA) LTD.</t>
  </si>
  <si>
    <t>INE166R01015</t>
  </si>
  <si>
    <t>Eicher Motors Ltd.</t>
  </si>
  <si>
    <t>EICHERMOT</t>
  </si>
  <si>
    <t>EICHER MOTORS LTD.</t>
  </si>
  <si>
    <t>INE066A01021</t>
  </si>
  <si>
    <t>Responsive Industries Ltd</t>
  </si>
  <si>
    <t>RESPONIND</t>
  </si>
  <si>
    <t>RESPONSIVE INDUSTRIES LTD.</t>
  </si>
  <si>
    <t>INE688D01026</t>
  </si>
  <si>
    <t>Furniture, Home Furnishing</t>
  </si>
  <si>
    <t>INE342A01018</t>
  </si>
  <si>
    <t>Premier Limited</t>
  </si>
  <si>
    <t>PREMIER</t>
  </si>
  <si>
    <t>PREMIER LTD.</t>
  </si>
  <si>
    <t>INE029A01011</t>
  </si>
  <si>
    <t>WESTLIFE FOODWORLD LIMITED</t>
  </si>
  <si>
    <t>WESTLIFE</t>
  </si>
  <si>
    <t>Westlife Foodworld Ltd</t>
  </si>
  <si>
    <t>INE274F01020</t>
  </si>
  <si>
    <t>Restaurants</t>
  </si>
  <si>
    <t>INE003A01024</t>
  </si>
  <si>
    <t>Zee Entertainment Enterprises Ltd.</t>
  </si>
  <si>
    <t>ZEEL</t>
  </si>
  <si>
    <t>ZEE ENTERTAINMENT ENTERPRISES LTD.</t>
  </si>
  <si>
    <t>INE256A01028</t>
  </si>
  <si>
    <t>Entertainment</t>
  </si>
  <si>
    <t>TV Broadcasting &amp; Software Production</t>
  </si>
  <si>
    <t>Gabriel India Ltd.</t>
  </si>
  <si>
    <t>GABRIEL</t>
  </si>
  <si>
    <t>GABRIEL INDIA LTD.-$</t>
  </si>
  <si>
    <t>INE524A01029</t>
  </si>
  <si>
    <t>IFB Industries Limited</t>
  </si>
  <si>
    <t>IFBIND</t>
  </si>
  <si>
    <t>IFB INDUSTRIES LTD.</t>
  </si>
  <si>
    <t>INE559A01017</t>
  </si>
  <si>
    <t>INE017A01032</t>
  </si>
  <si>
    <t>Schaeffler India Limited</t>
  </si>
  <si>
    <t>SCHAEFFLER</t>
  </si>
  <si>
    <t>Schaeffler India Ltd</t>
  </si>
  <si>
    <t>INE513A01022</t>
  </si>
  <si>
    <t>V.I.P. Industries Ltd.</t>
  </si>
  <si>
    <t>VIPIND</t>
  </si>
  <si>
    <t>V.I.P.INDUSTRIES LTD.-$</t>
  </si>
  <si>
    <t>INE054A01027</t>
  </si>
  <si>
    <t>INE369A01029</t>
  </si>
  <si>
    <t>Excell Industries Ltd.</t>
  </si>
  <si>
    <t>EXCELINDUS</t>
  </si>
  <si>
    <t>EXCEL INDUSTRIES LTD.</t>
  </si>
  <si>
    <t>INE291A01017</t>
  </si>
  <si>
    <t>Berger Paints India Ltd</t>
  </si>
  <si>
    <t>BERGEPAINT</t>
  </si>
  <si>
    <t>BERGER PAINTS INDIA LTD.</t>
  </si>
  <si>
    <t>INE463A01038</t>
  </si>
  <si>
    <t>INE159A01016</t>
  </si>
  <si>
    <t>GARWARE TECHNICAL FIBRES LIMITED</t>
  </si>
  <si>
    <t>GARFIBRES</t>
  </si>
  <si>
    <t>Garware Technical Fibres Ltd</t>
  </si>
  <si>
    <t>INE276A01018</t>
  </si>
  <si>
    <t>Sunteck Realty Ltd</t>
  </si>
  <si>
    <t>SUNTECK</t>
  </si>
  <si>
    <t>SUNTECK REALTY LTD.</t>
  </si>
  <si>
    <t>INE805D01034</t>
  </si>
  <si>
    <t>INE234A01025</t>
  </si>
  <si>
    <t>Novartis India Limited.</t>
  </si>
  <si>
    <t>NOVARTIND</t>
  </si>
  <si>
    <t>NOVARTIS INDIA LTD.</t>
  </si>
  <si>
    <t>INE058A01010</t>
  </si>
  <si>
    <t>WELSPUN LIVING LIMITED</t>
  </si>
  <si>
    <t>WELSPUNLIV</t>
  </si>
  <si>
    <t>Welspun Living Ltd</t>
  </si>
  <si>
    <t>INE192B01031</t>
  </si>
  <si>
    <t>INE182A01018</t>
  </si>
  <si>
    <t>Asahi India Glass Ltd.</t>
  </si>
  <si>
    <t>ASAHIINDIA</t>
  </si>
  <si>
    <t>ASAHI INDIA GLASS LTD.</t>
  </si>
  <si>
    <t>INE439A01020</t>
  </si>
  <si>
    <t>Anant Raj Limited</t>
  </si>
  <si>
    <t>ANANTRAJ</t>
  </si>
  <si>
    <t>Anant Raj Limited-$</t>
  </si>
  <si>
    <t>INE242C01024</t>
  </si>
  <si>
    <t>INE030A01027</t>
  </si>
  <si>
    <t>HBL Power Systems Ltd.</t>
  </si>
  <si>
    <t>HBLPOWER</t>
  </si>
  <si>
    <t>HBL POWER SYSTEMS LTD.-$</t>
  </si>
  <si>
    <t>INE292B01021</t>
  </si>
  <si>
    <t>Samvardhana Motherson International Limited</t>
  </si>
  <si>
    <t>MOTHERSON</t>
  </si>
  <si>
    <t>Samvardhana Motherson International Ltd</t>
  </si>
  <si>
    <t>INE775A01035</t>
  </si>
  <si>
    <t>INE163A01018</t>
  </si>
  <si>
    <t>NOCIL Ltd</t>
  </si>
  <si>
    <t>NOCIL</t>
  </si>
  <si>
    <t>NOCIL LTD.</t>
  </si>
  <si>
    <t>Havells India Limited</t>
  </si>
  <si>
    <t>HAVELLS</t>
  </si>
  <si>
    <t>HAVELLS INDIA LTD.</t>
  </si>
  <si>
    <t>INE176B01034</t>
  </si>
  <si>
    <t>INE148A01019</t>
  </si>
  <si>
    <t>Tamilnadu Petroproducts Ltd</t>
  </si>
  <si>
    <t>TNPETRO</t>
  </si>
  <si>
    <t>TAMILNADU PETROPRODUCTS LTD.</t>
  </si>
  <si>
    <t>INE217A01012</t>
  </si>
  <si>
    <t>Zuari Industries Limited</t>
  </si>
  <si>
    <t>ZUARIIND</t>
  </si>
  <si>
    <t>Zuari Industries Ltd</t>
  </si>
  <si>
    <t>INE239A01024</t>
  </si>
  <si>
    <t>Symphony Limited</t>
  </si>
  <si>
    <t>SYMPHONY</t>
  </si>
  <si>
    <t>INE225D01027</t>
  </si>
  <si>
    <t>INE192A01025</t>
  </si>
  <si>
    <t>TTK Prestige Ltd.</t>
  </si>
  <si>
    <t>TTKPRESTIG</t>
  </si>
  <si>
    <t>TTK PRESTIGE LTD.</t>
  </si>
  <si>
    <t>INE690A01028</t>
  </si>
  <si>
    <t>JTEKT India Limited</t>
  </si>
  <si>
    <t>JTEKTINDIA</t>
  </si>
  <si>
    <t>Jtekt India Ltd</t>
  </si>
  <si>
    <t>INE643A01035</t>
  </si>
  <si>
    <t>INE216A01030</t>
  </si>
  <si>
    <t>Indo Count Industries Ltd</t>
  </si>
  <si>
    <t>ICIL</t>
  </si>
  <si>
    <t>INDO COUNT INDUSTRIES LTD.</t>
  </si>
  <si>
    <t>INE483B01026</t>
  </si>
  <si>
    <t>INE259A01022</t>
  </si>
  <si>
    <t>Trident Ltd</t>
  </si>
  <si>
    <t>TRIDENT</t>
  </si>
  <si>
    <t>TRIDENT LTD.</t>
  </si>
  <si>
    <t>INE064C01022</t>
  </si>
  <si>
    <t>Alok Industries Ltd.</t>
  </si>
  <si>
    <t>ALOKINDS</t>
  </si>
  <si>
    <t>ALOK INDUSTRIES LTD.</t>
  </si>
  <si>
    <t>INE270A01029</t>
  </si>
  <si>
    <t>Safari Industries (India) Ltd.</t>
  </si>
  <si>
    <t>SAFARI</t>
  </si>
  <si>
    <t>SAFARI INDUSTRIES (INDIA) LTD.</t>
  </si>
  <si>
    <t>INE429E01023</t>
  </si>
  <si>
    <t>INE172A01027</t>
  </si>
  <si>
    <t>Johnson Controls-Hitachi Air Conditioning India Ltd.</t>
  </si>
  <si>
    <t>JCHAC</t>
  </si>
  <si>
    <t>Johnson Controls-Hitachi Air Conditioning India Ltd</t>
  </si>
  <si>
    <t>INE782A01015</t>
  </si>
  <si>
    <t>INE154A01025</t>
  </si>
  <si>
    <t>Ganesh Housing Corporation Ltd.</t>
  </si>
  <si>
    <t>GANESHHOUC</t>
  </si>
  <si>
    <t>GANESH HOUSING CORPORATION LTD.-$</t>
  </si>
  <si>
    <t>INE460C01014</t>
  </si>
  <si>
    <t>JK Tyre &amp; Industries Ltd.</t>
  </si>
  <si>
    <t>JKTYRE</t>
  </si>
  <si>
    <t>JK TYRE &amp; INDUSTRIES LTD.</t>
  </si>
  <si>
    <t>INE573A01042</t>
  </si>
  <si>
    <t>Relaxo Footwears Ltd.</t>
  </si>
  <si>
    <t>RELAXO</t>
  </si>
  <si>
    <t>RELAXO FOOTWEARS LTD.-$</t>
  </si>
  <si>
    <t>INE131B01039</t>
  </si>
  <si>
    <t>INE832A01018</t>
  </si>
  <si>
    <t>Modi Rubber Ltd.</t>
  </si>
  <si>
    <t>MODIRUBBER</t>
  </si>
  <si>
    <t>MODI RUBBER LTD.</t>
  </si>
  <si>
    <t>INE183A01024</t>
  </si>
  <si>
    <t>Rajesh Exports Ltd.</t>
  </si>
  <si>
    <t>RAJESHEXPO</t>
  </si>
  <si>
    <t>RAJESH EXPORTS LTD.</t>
  </si>
  <si>
    <t>INE343B01030</t>
  </si>
  <si>
    <t>INE371U01015</t>
  </si>
  <si>
    <t>Sunrise Industrial Traders Ltd.</t>
  </si>
  <si>
    <t>SUNRINV</t>
  </si>
  <si>
    <t>SUNRISE INDUSTRIAL TRADERS LTD.</t>
  </si>
  <si>
    <t>INE598F01014</t>
  </si>
  <si>
    <t>Jindal Worldwide Ltd.</t>
  </si>
  <si>
    <t>JINDWORLD</t>
  </si>
  <si>
    <t>JINDAL WORLDWIDE LTD.</t>
  </si>
  <si>
    <t>INE247D01039</t>
  </si>
  <si>
    <t>INE644U01015</t>
  </si>
  <si>
    <t>Vaibhav Global Ltd</t>
  </si>
  <si>
    <t>VAIBHAVGBL</t>
  </si>
  <si>
    <t>INE884A01027</t>
  </si>
  <si>
    <t>INE422D01012</t>
  </si>
  <si>
    <t>Dalal Street Investments Ltd.</t>
  </si>
  <si>
    <t>DSINVEST</t>
  </si>
  <si>
    <t>DALAL STREET INVESTMENTS LTD.</t>
  </si>
  <si>
    <t>INE660C01027</t>
  </si>
  <si>
    <t>Centrum Capital Limited</t>
  </si>
  <si>
    <t>CENTRUM</t>
  </si>
  <si>
    <t>CENTRUM CAPITAL LTD.</t>
  </si>
  <si>
    <t>INE911B01018</t>
  </si>
  <si>
    <t>TCI Finance Limited</t>
  </si>
  <si>
    <t>TCIFINANCE</t>
  </si>
  <si>
    <t>TCI FINANCE LTD.</t>
  </si>
  <si>
    <t>INE567L01017</t>
  </si>
  <si>
    <t>Saregama India Ltd.</t>
  </si>
  <si>
    <t>SAREGAMA</t>
  </si>
  <si>
    <t>SAREGAMA INDIA LTD.</t>
  </si>
  <si>
    <t>INE979A01025</t>
  </si>
  <si>
    <t>Media &amp; Entertainment</t>
  </si>
  <si>
    <t>INE825M01017</t>
  </si>
  <si>
    <t>ANTARIKSH INDUSTRIES LIMITED</t>
  </si>
  <si>
    <t>ANTARIKSH</t>
  </si>
  <si>
    <t>Antariksh Industries Ltd</t>
  </si>
  <si>
    <t>INE886A01014</t>
  </si>
  <si>
    <t>Industrial Investment Trust Ltd.</t>
  </si>
  <si>
    <t>IITL</t>
  </si>
  <si>
    <t>INDUSTRIAL INVESTMENT TRUST LTD.</t>
  </si>
  <si>
    <t>INE620D01011</t>
  </si>
  <si>
    <t>Industrial &amp; Prudential Inv. Co. Lt</t>
  </si>
  <si>
    <t>INDPRUD</t>
  </si>
  <si>
    <t>INDUSTRIAL &amp; PRUDENTIAL INVESTMENTS CO.LTD.</t>
  </si>
  <si>
    <t>INE672A01018</t>
  </si>
  <si>
    <t>India Tourism Development Corporati</t>
  </si>
  <si>
    <t>ITDC</t>
  </si>
  <si>
    <t>INDIA TOURISM DEVELOPMENT CORPORATION LTD.</t>
  </si>
  <si>
    <t>INE353K01014</t>
  </si>
  <si>
    <t>INE998D01011</t>
  </si>
  <si>
    <t>Jayabharat Credit Ltd.</t>
  </si>
  <si>
    <t>JAYBHCR</t>
  </si>
  <si>
    <t>JAYABHARAT CREDIT LTD.-$</t>
  </si>
  <si>
    <t>INE286N01028</t>
  </si>
  <si>
    <t>Mahindra Lifespace Developers Ltd.</t>
  </si>
  <si>
    <t>MAHLIFE</t>
  </si>
  <si>
    <t>MAHINDRA LIFESPACE DEVELOPERS LTD.</t>
  </si>
  <si>
    <t>INE813A01018</t>
  </si>
  <si>
    <t>INE861B01023</t>
  </si>
  <si>
    <t>TVS Motor Company Ltd.</t>
  </si>
  <si>
    <t>TVSMOTOR</t>
  </si>
  <si>
    <t>TVS MOTOR COMPANY LTD.</t>
  </si>
  <si>
    <t>INE494B01023</t>
  </si>
  <si>
    <t>INE154M01012</t>
  </si>
  <si>
    <t>Tips Industries Limited</t>
  </si>
  <si>
    <t>TIPSINDLTD</t>
  </si>
  <si>
    <t>TIPS INDUSTRIES LTD.</t>
  </si>
  <si>
    <t>INE716B01029</t>
  </si>
  <si>
    <t>INE695D01021</t>
  </si>
  <si>
    <t>OLECTRA GREENTECH LIMITED</t>
  </si>
  <si>
    <t>OLECTRA</t>
  </si>
  <si>
    <t>Olectra Greentech Ltd</t>
  </si>
  <si>
    <t>INE260D01016</t>
  </si>
  <si>
    <t>INE094R01019</t>
  </si>
  <si>
    <t>Swastik Safe Deposit &amp; Invest. Ltd.</t>
  </si>
  <si>
    <t>ZSWASTSA</t>
  </si>
  <si>
    <t>SWASTIK SAFE DEPOSIT &amp; INVESTMENTS LTD.</t>
  </si>
  <si>
    <t>INE855A01019</t>
  </si>
  <si>
    <t>W.H. Brady &amp; Co. Ltd.</t>
  </si>
  <si>
    <t>WHBRADY</t>
  </si>
  <si>
    <t>W.H.BRADY &amp; CO.LTD.</t>
  </si>
  <si>
    <t>Other Industrial Products</t>
  </si>
  <si>
    <t>INE314H01012</t>
  </si>
  <si>
    <t>TechNVision Ventures Limited</t>
  </si>
  <si>
    <t>TECHNVISN</t>
  </si>
  <si>
    <t>TECHNVISION VENTURES LTD.</t>
  </si>
  <si>
    <t>IT - Software</t>
  </si>
  <si>
    <t>Software Products</t>
  </si>
  <si>
    <t>INE151G01028</t>
  </si>
  <si>
    <t>Shaily Engineering Plastics Ltd.</t>
  </si>
  <si>
    <t>SHAILY</t>
  </si>
  <si>
    <t>SHAILY ENGINEERING PLASTICS LTD.</t>
  </si>
  <si>
    <t>INE050A01025</t>
  </si>
  <si>
    <t>Cera Sanitaryware Ltd.</t>
  </si>
  <si>
    <t>CERA</t>
  </si>
  <si>
    <t>CERA SANITARYWARE LTD.</t>
  </si>
  <si>
    <t>INE739E01017</t>
  </si>
  <si>
    <t>Sanitary Ware</t>
  </si>
  <si>
    <t>INE691K01017</t>
  </si>
  <si>
    <t>Maruti Suzuki India  Ltd.</t>
  </si>
  <si>
    <t>MARUTI</t>
  </si>
  <si>
    <t>MARUTI SUZUKI INDIA LTD.</t>
  </si>
  <si>
    <t>INE585B01010</t>
  </si>
  <si>
    <t>INE224A01026</t>
  </si>
  <si>
    <t>Greaves Cotton Ltd.</t>
  </si>
  <si>
    <t>GREAVESCOT</t>
  </si>
  <si>
    <t>GREAVES COTTON LTD.</t>
  </si>
  <si>
    <t>INE003F01015</t>
  </si>
  <si>
    <t>Suprajit Engineering Ltd.</t>
  </si>
  <si>
    <t>SUPRAJIT</t>
  </si>
  <si>
    <t>SUPRAJIT ENGINEERING LTD.-$</t>
  </si>
  <si>
    <t>INE399C01030</t>
  </si>
  <si>
    <t>INE02ZA01012</t>
  </si>
  <si>
    <t>ramkrishna forgings Ltd.</t>
  </si>
  <si>
    <t>RKFORGE</t>
  </si>
  <si>
    <t>RAMKRISHNA FORGINGS LTD.</t>
  </si>
  <si>
    <t>INE399G01023</t>
  </si>
  <si>
    <t>INE492N01022</t>
  </si>
  <si>
    <t>UNO Minda Limited</t>
  </si>
  <si>
    <t>UNOMINDA</t>
  </si>
  <si>
    <t>UNO Minda Ltd-$</t>
  </si>
  <si>
    <t>INE405E01023</t>
  </si>
  <si>
    <t>INE134R01013</t>
  </si>
  <si>
    <t>Anand Projects Ltd</t>
  </si>
  <si>
    <t>ANANDPROJ</t>
  </si>
  <si>
    <t>INE131H01028</t>
  </si>
  <si>
    <t>India Nivesh Limited</t>
  </si>
  <si>
    <t>INDIANVSH</t>
  </si>
  <si>
    <t>INDIANIVESH LTD.</t>
  </si>
  <si>
    <t>INE377E01016</t>
  </si>
  <si>
    <t>Coastal Corporation Limited</t>
  </si>
  <si>
    <t>COASTCORP</t>
  </si>
  <si>
    <t>COASTAL CORPORATION LTD.</t>
  </si>
  <si>
    <t>Seafood</t>
  </si>
  <si>
    <t>INE490A01015</t>
  </si>
  <si>
    <t>Century Plyboards (India) Ltd.</t>
  </si>
  <si>
    <t>CENTURYPLY</t>
  </si>
  <si>
    <t>CENTURY PLYBOARDS (I) LTD.-$</t>
  </si>
  <si>
    <t>INE348B01021</t>
  </si>
  <si>
    <t>Plywood Boards/ Laminates</t>
  </si>
  <si>
    <t>INE446C01013</t>
  </si>
  <si>
    <t>JBM Auto Limited</t>
  </si>
  <si>
    <t>JBMA</t>
  </si>
  <si>
    <t>JBM AUTO LTD.</t>
  </si>
  <si>
    <t>INE927D01044</t>
  </si>
  <si>
    <t>INE443A01030</t>
  </si>
  <si>
    <t>ASI INDUSTRIES LIMITED</t>
  </si>
  <si>
    <t>ASIIL</t>
  </si>
  <si>
    <t>ASI Industries Ltd</t>
  </si>
  <si>
    <t>INE229C01021</t>
  </si>
  <si>
    <t>Sagar Cements Ltd</t>
  </si>
  <si>
    <t>SAGCEM</t>
  </si>
  <si>
    <t>SAGAR CEMENTS LTD.-$</t>
  </si>
  <si>
    <t>INE07BK01011</t>
  </si>
  <si>
    <t>Hemadri Cements Limited</t>
  </si>
  <si>
    <t>HEMACEM</t>
  </si>
  <si>
    <t>HEMADRI CEMENTS LTD.</t>
  </si>
  <si>
    <t>INE583C01021</t>
  </si>
  <si>
    <t>Deccan Cements Ltd.</t>
  </si>
  <si>
    <t>DECCANCE</t>
  </si>
  <si>
    <t>DECCAN CEMENTS LTD.-$</t>
  </si>
  <si>
    <t>INE347A01017</t>
  </si>
  <si>
    <t>Mangalam Cement Ltd.</t>
  </si>
  <si>
    <t>MANGLMCEM</t>
  </si>
  <si>
    <t>MANGALAM CEMENT LTD.</t>
  </si>
  <si>
    <t>INE732C01016</t>
  </si>
  <si>
    <t>NCL Industries Limited</t>
  </si>
  <si>
    <t>NCLIND</t>
  </si>
  <si>
    <t>NCL INDUSTRIES LTD.-$</t>
  </si>
  <si>
    <t>INE626A01014</t>
  </si>
  <si>
    <t>Saurashtra Cement Limited</t>
  </si>
  <si>
    <t>SAURASHCEM</t>
  </si>
  <si>
    <t>SAURASHTRA CEMENT LTD.</t>
  </si>
  <si>
    <t>INE232A01011</t>
  </si>
  <si>
    <t>Shree Digvijay Cement Co. Ltd.</t>
  </si>
  <si>
    <t>SHREDIGCEM</t>
  </si>
  <si>
    <t>SHREE DIGVIJAY CEMENT CO.LTD.-$</t>
  </si>
  <si>
    <t>INE666D01022</t>
  </si>
  <si>
    <t>Gokaldas Exports Ltd</t>
  </si>
  <si>
    <t>GOKEX</t>
  </si>
  <si>
    <t>GOKALDAS EXPORTS LTD.</t>
  </si>
  <si>
    <t>INE887G01027</t>
  </si>
  <si>
    <t>INE347D01011</t>
  </si>
  <si>
    <t>LERTHAI FINANCE LIMITED</t>
  </si>
  <si>
    <t>LERTHAI</t>
  </si>
  <si>
    <t>Lerthai Finance Ltd</t>
  </si>
  <si>
    <t>Other Construction Materials</t>
  </si>
  <si>
    <t>INE094C01011</t>
  </si>
  <si>
    <t>Triveni Glass Ltd.</t>
  </si>
  <si>
    <t>TRIVENIGQ</t>
  </si>
  <si>
    <t>TRIVENI GLASS LTD.-$</t>
  </si>
  <si>
    <t>INE416N01013</t>
  </si>
  <si>
    <t>Nilachal Refractories Ltd.</t>
  </si>
  <si>
    <t>NILACHAL</t>
  </si>
  <si>
    <t>NILACHAL REFRACTORIES LTD.</t>
  </si>
  <si>
    <t>Electrodes &amp; Refractories</t>
  </si>
  <si>
    <t>INE435A01028</t>
  </si>
  <si>
    <t>ANDHRA PAPER LIMITED</t>
  </si>
  <si>
    <t>ANDHRAPAP</t>
  </si>
  <si>
    <t>Andhra Paper Ltd</t>
  </si>
  <si>
    <t>Shoppers Stop Ltd</t>
  </si>
  <si>
    <t>SHOPERSTOP</t>
  </si>
  <si>
    <t>SHOPPERS STOP LTD.</t>
  </si>
  <si>
    <t>INE498B01024</t>
  </si>
  <si>
    <t>Diversified Retail</t>
  </si>
  <si>
    <t>INE592A01026</t>
  </si>
  <si>
    <t>Orient Paper &amp; Industries Ltd.</t>
  </si>
  <si>
    <t>ORIENTPPR</t>
  </si>
  <si>
    <t>ORIENT PAPER &amp; INDUSTRIES LTD.</t>
  </si>
  <si>
    <t>INE906D01014</t>
  </si>
  <si>
    <t>Citadel Realty And Developers Limited</t>
  </si>
  <si>
    <t>CITADEL</t>
  </si>
  <si>
    <t>CITADEL REALTY AND DEVELOPERS LTD.</t>
  </si>
  <si>
    <t>INE927A01040</t>
  </si>
  <si>
    <t>Rollatainters Ltd.</t>
  </si>
  <si>
    <t>ROLLT</t>
  </si>
  <si>
    <t>ROLLATAINERS LTD.</t>
  </si>
  <si>
    <t>INE630A01024</t>
  </si>
  <si>
    <t>Seshasayee Paper &amp; Boards Ltd.</t>
  </si>
  <si>
    <t>SESHAPAPER</t>
  </si>
  <si>
    <t>SESHASAYEE PAPER &amp; BOARDS LTD.</t>
  </si>
  <si>
    <t>INE777A01023</t>
  </si>
  <si>
    <t>NATH INDUSTRIES LIMITED</t>
  </si>
  <si>
    <t>NATHIND</t>
  </si>
  <si>
    <t>Nath Industries Ltd</t>
  </si>
  <si>
    <t>INE464D01014</t>
  </si>
  <si>
    <t>VAPI ENTERPRISE LIMITED</t>
  </si>
  <si>
    <t>VAPIENTER</t>
  </si>
  <si>
    <t>Vapi Enterprise Ltd</t>
  </si>
  <si>
    <t>INE498A01018</t>
  </si>
  <si>
    <t>DCM Ltd.</t>
  </si>
  <si>
    <t>DCM</t>
  </si>
  <si>
    <t>DCM LTD.</t>
  </si>
  <si>
    <t>IT - Services</t>
  </si>
  <si>
    <t>IT Enabled Services</t>
  </si>
  <si>
    <t>INE837X01027</t>
  </si>
  <si>
    <t>Gaekwar Mills Ltd.</t>
  </si>
  <si>
    <t>ZGAEKWAR</t>
  </si>
  <si>
    <t>GAEKWAR MILLS LTD.</t>
  </si>
  <si>
    <t>INE518A01013</t>
  </si>
  <si>
    <t>Forbes &amp; Company Ltd</t>
  </si>
  <si>
    <t>FORBESCO</t>
  </si>
  <si>
    <t>FORBES &amp; COMPANY LTD.-$</t>
  </si>
  <si>
    <t>INE950C01014</t>
  </si>
  <si>
    <t>H.P. Cotton Textile Mills Ltd.</t>
  </si>
  <si>
    <t>HPCOTTON</t>
  </si>
  <si>
    <t>H.P.COTTON TEXTILE MILLS LTD.</t>
  </si>
  <si>
    <t>INE706D01018</t>
  </si>
  <si>
    <t>United Interactive Limited</t>
  </si>
  <si>
    <t>UNITEDINT</t>
  </si>
  <si>
    <t>UNITED INTERACTIVE LTD.</t>
  </si>
  <si>
    <t>INE462D01026</t>
  </si>
  <si>
    <t>JAMSHRI REALTY LIMITED</t>
  </si>
  <si>
    <t>JAMSHRI</t>
  </si>
  <si>
    <t>Jamshri Realty Ltd-$</t>
  </si>
  <si>
    <t>INE498G01015</t>
  </si>
  <si>
    <t>Katare Spinning Mills Ltd.</t>
  </si>
  <si>
    <t>KATRSPG</t>
  </si>
  <si>
    <t>KATARE SPINNING MILLS LTD.</t>
  </si>
  <si>
    <t>PVR INOX LIMITED</t>
  </si>
  <si>
    <t>PVRINOX</t>
  </si>
  <si>
    <t>PVR Inox Ltd</t>
  </si>
  <si>
    <t>INE191H01014</t>
  </si>
  <si>
    <t>Film Production, Distribution &amp; Exhibition</t>
  </si>
  <si>
    <t>INE938C01019</t>
  </si>
  <si>
    <t>Lakshmi Mills Company ltd</t>
  </si>
  <si>
    <t>LAKSHMIMIL</t>
  </si>
  <si>
    <t>LAKSHMI MILLS COMPANY LTD.-$</t>
  </si>
  <si>
    <t>SUN TV NETWORK LIMITED</t>
  </si>
  <si>
    <t>SUNTV</t>
  </si>
  <si>
    <t>SUN TV NETWORK LTD.</t>
  </si>
  <si>
    <t>INE424H01027</t>
  </si>
  <si>
    <t>INE138A01028</t>
  </si>
  <si>
    <t>Peninsula Land Limited</t>
  </si>
  <si>
    <t>PENINLAND</t>
  </si>
  <si>
    <t>PENINSULA LAND LTD.</t>
  </si>
  <si>
    <t>INE909B01020</t>
  </si>
  <si>
    <t>Pasupati Spg. &amp; Wvg. Mills Ltd.</t>
  </si>
  <si>
    <t>PASUSPG</t>
  </si>
  <si>
    <t>PASUPATI SPG.&amp; WVG.MILLS LTD.</t>
  </si>
  <si>
    <t>CIE Automotive India Limited</t>
  </si>
  <si>
    <t>CIEINDIA</t>
  </si>
  <si>
    <t>CIE Automotive India Ltd</t>
  </si>
  <si>
    <t>INE536H01010</t>
  </si>
  <si>
    <t>INE182D01020</t>
  </si>
  <si>
    <t>Marathon Nextgen Realty Ltd</t>
  </si>
  <si>
    <t>MARATHON</t>
  </si>
  <si>
    <t>MARATHON NEXTGEN REALTY LTD.</t>
  </si>
  <si>
    <t>INE491N01016</t>
  </si>
  <si>
    <t>Raja Bahadur International Ltd</t>
  </si>
  <si>
    <t>RAJABAH</t>
  </si>
  <si>
    <t>RAJA BAHADUR INTERNATIONAL LTD.</t>
  </si>
  <si>
    <t>INE750D01016</t>
  </si>
  <si>
    <t>Reliance Chemotex Industries Ltd.</t>
  </si>
  <si>
    <t>RELCHEMQ</t>
  </si>
  <si>
    <t>RELIANCE CHEMOTEX INDUSTRIES LTD.-$</t>
  </si>
  <si>
    <t>INE301D01026</t>
  </si>
  <si>
    <t>Ruby Mills Ltd.</t>
  </si>
  <si>
    <t>RUBYMILLS</t>
  </si>
  <si>
    <t>RUBY MILLS LTD.</t>
  </si>
  <si>
    <t>INE167H01014</t>
  </si>
  <si>
    <t>Simplex Realty Limited</t>
  </si>
  <si>
    <t>SIMPLXREA</t>
  </si>
  <si>
    <t>SIMPLEX REALTY LTD.</t>
  </si>
  <si>
    <t>INE665A01038</t>
  </si>
  <si>
    <t>Info Edge(India) Ltd.</t>
  </si>
  <si>
    <t>NAUKRI</t>
  </si>
  <si>
    <t>INFO EDGE (INDIA) LTD.</t>
  </si>
  <si>
    <t>INE663F01024</t>
  </si>
  <si>
    <t>Internet &amp; Catalogue Retail</t>
  </si>
  <si>
    <t>INE203D01016</t>
  </si>
  <si>
    <t>Victoria Mills Ltd.</t>
  </si>
  <si>
    <t>VICTMILL</t>
  </si>
  <si>
    <t>VICTORIA MILLS LTD.</t>
  </si>
  <si>
    <t>INE404N01019</t>
  </si>
  <si>
    <t>S.V. Trading &amp; Agencies Ltd.</t>
  </si>
  <si>
    <t>ZSVTRADI</t>
  </si>
  <si>
    <t>S.V.TRADING &amp; AGENCIES LTD.</t>
  </si>
  <si>
    <t>INE406N01014</t>
  </si>
  <si>
    <t>Svaraj Trading &amp; Agencies Ltd.</t>
  </si>
  <si>
    <t>ZSVARAJT</t>
  </si>
  <si>
    <t>SVARAJ TRADING &amp; AGENCIES LTD.</t>
  </si>
  <si>
    <t>INE733N01011</t>
  </si>
  <si>
    <t>Kshitij Investments Ltd</t>
  </si>
  <si>
    <t>KSHITIJ</t>
  </si>
  <si>
    <t>INE315N01017</t>
  </si>
  <si>
    <t>Shree Salasar Investment Ltd.</t>
  </si>
  <si>
    <t>SALSAIN</t>
  </si>
  <si>
    <t>SHREE SALASAR INVESTMENT LTD.</t>
  </si>
  <si>
    <t>INE314N01028</t>
  </si>
  <si>
    <t>Sobha Limited</t>
  </si>
  <si>
    <t>SOBHA</t>
  </si>
  <si>
    <t>INE671H01015</t>
  </si>
  <si>
    <t>INE945J01027</t>
  </si>
  <si>
    <t>Network 18 Media &amp; Investments Limited</t>
  </si>
  <si>
    <t>NETWORK18</t>
  </si>
  <si>
    <t>NETWORK18 MEDIA &amp; INVESTMENTS LTD.</t>
  </si>
  <si>
    <t>INE870H01013</t>
  </si>
  <si>
    <t>INE255E01030</t>
  </si>
  <si>
    <t>Veer Energy &amp; Infrastructure Limited</t>
  </si>
  <si>
    <t>VEERENRGY</t>
  </si>
  <si>
    <t>VEER ENERGY &amp; INFRASTRUCTURE LTD.</t>
  </si>
  <si>
    <t>Utilities</t>
  </si>
  <si>
    <t>Power</t>
  </si>
  <si>
    <t>Power Generation</t>
  </si>
  <si>
    <t>INE948K01011</t>
  </si>
  <si>
    <t>TV18 Broadcast Ltd.</t>
  </si>
  <si>
    <t>TV18BRDCST</t>
  </si>
  <si>
    <t>TV18 BROADCAST LTD.</t>
  </si>
  <si>
    <t>INE886H01027</t>
  </si>
  <si>
    <t>INE026L01022</t>
  </si>
  <si>
    <t>Tilak Ventures Limited</t>
  </si>
  <si>
    <t>TILAK</t>
  </si>
  <si>
    <t>Tilak Ventures Ltd</t>
  </si>
  <si>
    <t>INE509J01013</t>
  </si>
  <si>
    <t>Page Industries Ltd.</t>
  </si>
  <si>
    <t>PAGEIND</t>
  </si>
  <si>
    <t>PAGE INDUSTRIES LTD.</t>
  </si>
  <si>
    <t>INE761H01022</t>
  </si>
  <si>
    <t>INE130N01010</t>
  </si>
  <si>
    <t>Unijolly Investments Co. Ltd.</t>
  </si>
  <si>
    <t>UNIJOLL</t>
  </si>
  <si>
    <t>UNIJOLLY INVESTMENTS CO.LTD.</t>
  </si>
  <si>
    <t>INE786K01023</t>
  </si>
  <si>
    <t>TeamLease Services Limited</t>
  </si>
  <si>
    <t>TEAMLEASE</t>
  </si>
  <si>
    <t>TeamLease Services Ltd</t>
  </si>
  <si>
    <t>INE985S01024</t>
  </si>
  <si>
    <t>Services</t>
  </si>
  <si>
    <t>Commercial Services &amp; Supplies</t>
  </si>
  <si>
    <t>Diversified Commercial Services</t>
  </si>
  <si>
    <t>INE927X01018</t>
  </si>
  <si>
    <t>Elcid Investments Ltd.</t>
  </si>
  <si>
    <t>ELCIDIN</t>
  </si>
  <si>
    <t>ELCID INVESTMENTS LTD.</t>
  </si>
  <si>
    <t>INE828I01019</t>
  </si>
  <si>
    <t>Mediaone Global Entertainment Limited</t>
  </si>
  <si>
    <t>MEDIAONE</t>
  </si>
  <si>
    <t>MEDIAONE GLOBAL ENTERTAINMENT LTD.</t>
  </si>
  <si>
    <t>INE160N01017</t>
  </si>
  <si>
    <t>TCI Express Limited</t>
  </si>
  <si>
    <t>TCIEXP</t>
  </si>
  <si>
    <t>TCI Express Ltd</t>
  </si>
  <si>
    <t>INE586V01016</t>
  </si>
  <si>
    <t>Transport Services</t>
  </si>
  <si>
    <t>Logistics Solution Provider</t>
  </si>
  <si>
    <t>INE475V01012</t>
  </si>
  <si>
    <t>SpiceJet Limited</t>
  </si>
  <si>
    <t>SPICEJET</t>
  </si>
  <si>
    <t>SPICEJET LTD.</t>
  </si>
  <si>
    <t>Airline</t>
  </si>
  <si>
    <t>INE629D01020</t>
  </si>
  <si>
    <t>Banswara Syntex Ltd.</t>
  </si>
  <si>
    <t>BANSWRAS</t>
  </si>
  <si>
    <t>BANSWARA SYNTEX LTD.-$</t>
  </si>
  <si>
    <t>INE380D01012</t>
  </si>
  <si>
    <t>Hinduja Global Solutions Limited</t>
  </si>
  <si>
    <t>HGS</t>
  </si>
  <si>
    <t>HINDUJA GLOBAL SOLUTIONS LTD.</t>
  </si>
  <si>
    <t>INE170I01016</t>
  </si>
  <si>
    <t>Business Process Outsourcing (BPO)/ Knowledge Process Outsourcing (KPO)</t>
  </si>
  <si>
    <t>INE170C01019</t>
  </si>
  <si>
    <t>Modipon Ltd.</t>
  </si>
  <si>
    <t>MODIPON</t>
  </si>
  <si>
    <t>MODIPON LTD.</t>
  </si>
  <si>
    <t>INE204C01024</t>
  </si>
  <si>
    <t>Shri Dinesh Mills Ltd.</t>
  </si>
  <si>
    <t>SHRIDINE</t>
  </si>
  <si>
    <t>SHRI DINESH MILLS LTD.-$</t>
  </si>
  <si>
    <t>Indiabulls Real Estate Limited</t>
  </si>
  <si>
    <t>IBREALEST</t>
  </si>
  <si>
    <t>INDIABULLS REAL ESTATE LTD.</t>
  </si>
  <si>
    <t>INE069I01010</t>
  </si>
  <si>
    <t>INE076B01028</t>
  </si>
  <si>
    <t>Siyaram Silk Mills Ltd.</t>
  </si>
  <si>
    <t>SIYSIL</t>
  </si>
  <si>
    <t>SIYARAM SILK MILLS LTD.-$</t>
  </si>
  <si>
    <t>INE243N01029</t>
  </si>
  <si>
    <t>Swadeshi Polytex Ltd.</t>
  </si>
  <si>
    <t>SWADPOL</t>
  </si>
  <si>
    <t>SWADESHI POLYTEX LTD.</t>
  </si>
  <si>
    <t>INE796C01011</t>
  </si>
  <si>
    <t>Shree Rajasthan Syntex Ltd.</t>
  </si>
  <si>
    <t>SHRAJSYNQ</t>
  </si>
  <si>
    <t>SHREE RAJASTHAN SYNTEX LTD.-$</t>
  </si>
  <si>
    <t>INE07MC01015</t>
  </si>
  <si>
    <t>Satyam Silk Mills Ltd</t>
  </si>
  <si>
    <t>ZSATYASL</t>
  </si>
  <si>
    <t>SATYAM SILK MILLS LTD.</t>
  </si>
  <si>
    <t>INE464A01036</t>
  </si>
  <si>
    <t>DLF LIMITED</t>
  </si>
  <si>
    <t>DLF</t>
  </si>
  <si>
    <t>DLF LTD.</t>
  </si>
  <si>
    <t>INE271C01023</t>
  </si>
  <si>
    <t>INE579B01039</t>
  </si>
  <si>
    <t>Elpro International Ltd.</t>
  </si>
  <si>
    <t>ELPROINTL</t>
  </si>
  <si>
    <t>ELPRO INTERNATIONAL LTD.</t>
  </si>
  <si>
    <t>INE064H01021</t>
  </si>
  <si>
    <t>GEE Ltd.</t>
  </si>
  <si>
    <t>GEE</t>
  </si>
  <si>
    <t>GEE LTD.</t>
  </si>
  <si>
    <t>Electrical Equipment</t>
  </si>
  <si>
    <t>Other Electrical Equipment</t>
  </si>
  <si>
    <t>INE835D01023</t>
  </si>
  <si>
    <t>Hind Rectifiers Ltd.</t>
  </si>
  <si>
    <t>HIRECT</t>
  </si>
  <si>
    <t>HIND RECTIFIERS LTD.</t>
  </si>
  <si>
    <t>INE567A01028</t>
  </si>
  <si>
    <t>Indo National Limited</t>
  </si>
  <si>
    <t>NIPPOBATRY</t>
  </si>
  <si>
    <t>INDO-NATIONAL LTD.</t>
  </si>
  <si>
    <t>Household Products</t>
  </si>
  <si>
    <t>INE520A01027</t>
  </si>
  <si>
    <t>K.P.R. Mill Ltd.</t>
  </si>
  <si>
    <t>KPRMILL</t>
  </si>
  <si>
    <t>K.P.R. Mill Limited</t>
  </si>
  <si>
    <t>INE930H01031</t>
  </si>
  <si>
    <t>INE511D01012</t>
  </si>
  <si>
    <t>Jyoti Ltd.</t>
  </si>
  <si>
    <t>JYOTI</t>
  </si>
  <si>
    <t>JYOTI LTD.-$</t>
  </si>
  <si>
    <t>Heavy Electrical Equipment</t>
  </si>
  <si>
    <t>INE581L01018</t>
  </si>
  <si>
    <t>JSL Industries Ltd.</t>
  </si>
  <si>
    <t>JSLINDL</t>
  </si>
  <si>
    <t>JSL INDUSTRIES LTD.</t>
  </si>
  <si>
    <t>INE813G01015</t>
  </si>
  <si>
    <t>Kaycee Industries Ltd.</t>
  </si>
  <si>
    <t>KAYCEEI</t>
  </si>
  <si>
    <t>KAYCEE INDUSTRIES LTD.</t>
  </si>
  <si>
    <t>INE716F01012</t>
  </si>
  <si>
    <t>Indokem Ltd</t>
  </si>
  <si>
    <t>INDOKEM</t>
  </si>
  <si>
    <t>INDOKEM LTD.</t>
  </si>
  <si>
    <t>INE795A01017</t>
  </si>
  <si>
    <t>Panasonic Energy India Co. Ltd.</t>
  </si>
  <si>
    <t>PANAENERG</t>
  </si>
  <si>
    <t>PANASONIC ENERGY INDIA COMPANY LTD.-$</t>
  </si>
  <si>
    <t>INE045B01015</t>
  </si>
  <si>
    <t>Nelco Ltd</t>
  </si>
  <si>
    <t>NELCO</t>
  </si>
  <si>
    <t>NELCO LTD.</t>
  </si>
  <si>
    <t>INE418E01018</t>
  </si>
  <si>
    <t>Permanent Magnets Ltd.</t>
  </si>
  <si>
    <t>PERMAGN</t>
  </si>
  <si>
    <t>PERMANENT MAGNETS LTD.-$</t>
  </si>
  <si>
    <t>INE783E01023</t>
  </si>
  <si>
    <t>High Energy Batteries (India) Ltd.</t>
  </si>
  <si>
    <t>HIGHENE</t>
  </si>
  <si>
    <t>HIGH ENERGY BATTERIES (INDIA) LTD.</t>
  </si>
  <si>
    <t>INE502C01039</t>
  </si>
  <si>
    <t>Standard Batteries Ltd.</t>
  </si>
  <si>
    <t>STDBAT</t>
  </si>
  <si>
    <t>STANDARD BATTERIES LTD.</t>
  </si>
  <si>
    <t>INE279A01012</t>
  </si>
  <si>
    <t>Universal Cables Ltd.</t>
  </si>
  <si>
    <t>UNIVCABLES</t>
  </si>
  <si>
    <t>UNIVERSAL CABLES LTD.</t>
  </si>
  <si>
    <t>Cables - Electricals</t>
  </si>
  <si>
    <t>INE100D01014</t>
  </si>
  <si>
    <t>W.S. Industries (India) Ltd.</t>
  </si>
  <si>
    <t>WSI</t>
  </si>
  <si>
    <t>W.S.INDUSTRIES (INDIA) LTD.-$</t>
  </si>
  <si>
    <t>INE872E01016</t>
  </si>
  <si>
    <t>Delton Cables Ltd.</t>
  </si>
  <si>
    <t>DLTNCBL</t>
  </si>
  <si>
    <t>DELTON CABLES LTD.</t>
  </si>
  <si>
    <t>INE284C01018</t>
  </si>
  <si>
    <t>Lakshmi Electrical Control Systems</t>
  </si>
  <si>
    <t>LAKSELEC</t>
  </si>
  <si>
    <t>LAKSHMI ELECTRICAL CONTROL SYSTEMS LTD.</t>
  </si>
  <si>
    <t>INE064R01012</t>
  </si>
  <si>
    <t>MODULEX CONSTRUCTION TECHNOLOGIES LIMITED</t>
  </si>
  <si>
    <t>MODULEX</t>
  </si>
  <si>
    <t>Modulex Construction Technologies Ltd</t>
  </si>
  <si>
    <t>INE393A01011</t>
  </si>
  <si>
    <t>DELTA MANUFACTURING LIMITED</t>
  </si>
  <si>
    <t>DELTAMAGNT</t>
  </si>
  <si>
    <t>Delta Manufacturing Ltd</t>
  </si>
  <si>
    <t>INE180M01033</t>
  </si>
  <si>
    <t>Confidence Finance And Trading Limited</t>
  </si>
  <si>
    <t>CONFINT</t>
  </si>
  <si>
    <t>INE206N01018</t>
  </si>
  <si>
    <t>RAVINDRA ENERGY LIMITED</t>
  </si>
  <si>
    <t>RELTD</t>
  </si>
  <si>
    <t>Ravindra Energy Ltd</t>
  </si>
  <si>
    <t>INE713N01013</t>
  </si>
  <si>
    <t>G.D. Trading &amp; Agencies Ltd.</t>
  </si>
  <si>
    <t>GDTRAGN</t>
  </si>
  <si>
    <t>G.D.TRADING &amp; AGENCIES LTD.</t>
  </si>
  <si>
    <t>INE507F01023</t>
  </si>
  <si>
    <t>Empower India Limited</t>
  </si>
  <si>
    <t>EMPOWER</t>
  </si>
  <si>
    <t>EMPOWER INDIA LTD.</t>
  </si>
  <si>
    <t>Computers - Software &amp; Consulting</t>
  </si>
  <si>
    <t>INE017P01014</t>
  </si>
  <si>
    <t>Nirlon Limited</t>
  </si>
  <si>
    <t>NIRLON</t>
  </si>
  <si>
    <t>NIRLON LTD.</t>
  </si>
  <si>
    <t>INE07LK01010</t>
  </si>
  <si>
    <t>Ridhi Synthetics Ltd.</t>
  </si>
  <si>
    <t>RIDHISYN</t>
  </si>
  <si>
    <t>RIDHI SYNTHETICS LTD.</t>
  </si>
  <si>
    <t>INE927M01029</t>
  </si>
  <si>
    <t>Mahindra Logistics Limited</t>
  </si>
  <si>
    <t>MAHLOG</t>
  </si>
  <si>
    <t>Mahindra Logistics Ltd</t>
  </si>
  <si>
    <t>INE766P01016</t>
  </si>
  <si>
    <t>INE459E01012</t>
  </si>
  <si>
    <t>Softbpo Global Services Ltd.</t>
  </si>
  <si>
    <t>SOFTBPO</t>
  </si>
  <si>
    <t>SOFTBPO GLOBAL SERVICES LTD.</t>
  </si>
  <si>
    <t>P</t>
  </si>
  <si>
    <t>INE812K01027</t>
  </si>
  <si>
    <t>Awfis Space Solutions Limited</t>
  </si>
  <si>
    <t>AWFIS</t>
  </si>
  <si>
    <t>Awfis Space Solutions Ltd</t>
  </si>
  <si>
    <t>INE108V01019</t>
  </si>
  <si>
    <t>INE952M01019</t>
  </si>
  <si>
    <t>Dredging Corporation of India Ltd.</t>
  </si>
  <si>
    <t>DREDGECORP</t>
  </si>
  <si>
    <t>DREDGING CORPORATION OF INDIA LTD.</t>
  </si>
  <si>
    <t>INE506A01018</t>
  </si>
  <si>
    <t>Engineering Services</t>
  </si>
  <si>
    <t>Dredging</t>
  </si>
  <si>
    <t>INE537L01010</t>
  </si>
  <si>
    <t>Krishna Ventures Limited</t>
  </si>
  <si>
    <t>KRISHNA</t>
  </si>
  <si>
    <t>INE932M01011</t>
  </si>
  <si>
    <t>BF Utilities Ltd.</t>
  </si>
  <si>
    <t>BFUTILITIE</t>
  </si>
  <si>
    <t>BF UTILITIES LTD.-$</t>
  </si>
  <si>
    <t>INE243D01012</t>
  </si>
  <si>
    <t>Transport Infrastructure</t>
  </si>
  <si>
    <t>Road Assets–Toll, Annuity, Hybrid- Annuity</t>
  </si>
  <si>
    <t>INE361D01012</t>
  </si>
  <si>
    <t>Uni-Abex Alloy Products Ltd.</t>
  </si>
  <si>
    <t>UNIABEXAL</t>
  </si>
  <si>
    <t>UNI ABEX ALLOY PRODUCTS LTD.</t>
  </si>
  <si>
    <t>Puravankara Limited</t>
  </si>
  <si>
    <t>PURVA</t>
  </si>
  <si>
    <t>Puravankara Ltd</t>
  </si>
  <si>
    <t>INE323I01011</t>
  </si>
  <si>
    <t>INE106G01014</t>
  </si>
  <si>
    <t>Bhagwati Autocast Limited</t>
  </si>
  <si>
    <t>BGWTATO</t>
  </si>
  <si>
    <t>BHAGWATI AUTOCAST LTD.</t>
  </si>
  <si>
    <t>INE089T01023</t>
  </si>
  <si>
    <t>Bombay Wire Ropes Ltd.</t>
  </si>
  <si>
    <t>BOMBWIR</t>
  </si>
  <si>
    <t>BOMBAY WIRE ROPES LTD.</t>
  </si>
  <si>
    <t>INE566M01017</t>
  </si>
  <si>
    <t>Indian Bright Steel Co. Ltd.</t>
  </si>
  <si>
    <t>IBRIGST</t>
  </si>
  <si>
    <t>INDIAN BRIGHT STEEL CO.LTD.</t>
  </si>
  <si>
    <t>INE323C01030</t>
  </si>
  <si>
    <t>Indian Hume Pipe Co. Ltd.</t>
  </si>
  <si>
    <t>INDIANHUME</t>
  </si>
  <si>
    <t>INDIAN HUME PIPE CO.LTD.</t>
  </si>
  <si>
    <t>INE155E01016</t>
  </si>
  <si>
    <t>Investment &amp; Precision Castings Ltd</t>
  </si>
  <si>
    <t>INVPRECQ</t>
  </si>
  <si>
    <t>INVESTMENT &amp; PRECISION CASTINGS LTD.</t>
  </si>
  <si>
    <t>Castings &amp; Forgings</t>
  </si>
  <si>
    <t>INE123E01014</t>
  </si>
  <si>
    <t>Veritas (India) Limited</t>
  </si>
  <si>
    <t>VERITAS</t>
  </si>
  <si>
    <t>VERITAS (INDIA) LTD.</t>
  </si>
  <si>
    <t>INE379J01029</t>
  </si>
  <si>
    <t>Trading &amp; Distributors</t>
  </si>
  <si>
    <t>INE375D01012</t>
  </si>
  <si>
    <t>Kaira Can Co. Ltd.</t>
  </si>
  <si>
    <t>KAIRA</t>
  </si>
  <si>
    <t>KAIRA CAN CO.LTD.</t>
  </si>
  <si>
    <t>INE569C01020</t>
  </si>
  <si>
    <t>ORIENT CERATECH LIMITED</t>
  </si>
  <si>
    <t>ORIENTCER</t>
  </si>
  <si>
    <t>Orient Ceratech Ltd-$</t>
  </si>
  <si>
    <t>Brigade Enterprises Limited</t>
  </si>
  <si>
    <t>BRIGADE</t>
  </si>
  <si>
    <t>BRIGADE ENTERPRISES LTD.</t>
  </si>
  <si>
    <t>INE791I01019</t>
  </si>
  <si>
    <t>INE336C01016</t>
  </si>
  <si>
    <t>Rathi Steel &amp; Power Ltd</t>
  </si>
  <si>
    <t>RATHIST</t>
  </si>
  <si>
    <t>RATHI STEEL &amp; POWER LTD.-$</t>
  </si>
  <si>
    <t>INE340F01011</t>
  </si>
  <si>
    <t>Duncan Engineering Limited</t>
  </si>
  <si>
    <t>DUNCANENG</t>
  </si>
  <si>
    <t>Duncan Engineering Ltd-$</t>
  </si>
  <si>
    <t>INE149K01016</t>
  </si>
  <si>
    <t>V-Guard Industries Ltd.</t>
  </si>
  <si>
    <t>VGUARD</t>
  </si>
  <si>
    <t>V-GUARD INDUSTRIES LTD.</t>
  </si>
  <si>
    <t>INE951I01027</t>
  </si>
  <si>
    <t>INE755D01015</t>
  </si>
  <si>
    <t>Stovec Industries Ltd.</t>
  </si>
  <si>
    <t>STOVACQ</t>
  </si>
  <si>
    <t>STOVEC INDUSTRIES LTD.</t>
  </si>
  <si>
    <t>INE895C01011</t>
  </si>
  <si>
    <t>Tayo Rolls Ltd.</t>
  </si>
  <si>
    <t>TATAYODOGA</t>
  </si>
  <si>
    <t>TAYO ROLLS LTD.-$</t>
  </si>
  <si>
    <t>INE149A01033</t>
  </si>
  <si>
    <t>Bajaj Auto Limited</t>
  </si>
  <si>
    <t>BAJAJ-AUTO</t>
  </si>
  <si>
    <t>BAJAJ AUTO LTD.</t>
  </si>
  <si>
    <t>INE917I01010</t>
  </si>
  <si>
    <t>INE380G01015</t>
  </si>
  <si>
    <t>Welcast Steels Ltd.</t>
  </si>
  <si>
    <t>ZWELCAST</t>
  </si>
  <si>
    <t>WELCAST STEELS LTD.</t>
  </si>
  <si>
    <t>INE187U01015</t>
  </si>
  <si>
    <t>Western Ministil Ltd.</t>
  </si>
  <si>
    <t>WMINIMT</t>
  </si>
  <si>
    <t>WESTERN MINISTIL LTD.</t>
  </si>
  <si>
    <t>INE449A01011</t>
  </si>
  <si>
    <t>Automotive Axles Ltd.</t>
  </si>
  <si>
    <t>AUTOAXLES</t>
  </si>
  <si>
    <t>AUTOMOTIVE AXLES LTD.</t>
  </si>
  <si>
    <t>INE0NY101012</t>
  </si>
  <si>
    <t>Automobile Products of India Ltd.</t>
  </si>
  <si>
    <t>AUTOPRD</t>
  </si>
  <si>
    <t>AUTOMOBILE PRODUCTS OF INDIA LTD.</t>
  </si>
  <si>
    <t>INE451C01013</t>
  </si>
  <si>
    <t>Automobile Corpn. of Goa Ltd.</t>
  </si>
  <si>
    <t>ACGL</t>
  </si>
  <si>
    <t>AUTOMOBILE CORPORATION OF GOA LTD.-$</t>
  </si>
  <si>
    <t>INE878E01021</t>
  </si>
  <si>
    <t>Setco Automotive Limited</t>
  </si>
  <si>
    <t>SETCO</t>
  </si>
  <si>
    <t>SETCO AUTOMOTIVE LTD.</t>
  </si>
  <si>
    <t>INE461Y01016</t>
  </si>
  <si>
    <t>India Radiators Ltd.</t>
  </si>
  <si>
    <t>INRADIA</t>
  </si>
  <si>
    <t>INDIA RADIATORS LTD.</t>
  </si>
  <si>
    <t>INE187D01029</t>
  </si>
  <si>
    <t>Talbros Automotive Components Ltd.</t>
  </si>
  <si>
    <t>TALBROAUTO</t>
  </si>
  <si>
    <t>TALBROS AUTOMOTIVE COMPONENTS LTD.</t>
  </si>
  <si>
    <t>INE116C01012</t>
  </si>
  <si>
    <t>Z.F. Steering Gear (India) Limited</t>
  </si>
  <si>
    <t>ZFSTEERING</t>
  </si>
  <si>
    <t>Z.F.STEERING GEAR (INDIA) LTD.-$</t>
  </si>
  <si>
    <t>INE294B01019</t>
  </si>
  <si>
    <t>SML ISUZU LIMITED</t>
  </si>
  <si>
    <t>SMLISUZU</t>
  </si>
  <si>
    <t>Agricultural, Commercial &amp; Construction Vehicles</t>
  </si>
  <si>
    <t>Commercial Vehicles</t>
  </si>
  <si>
    <t>INE806C01018</t>
  </si>
  <si>
    <t>TIL Ltd.</t>
  </si>
  <si>
    <t>TIL</t>
  </si>
  <si>
    <t>TIL LTD.</t>
  </si>
  <si>
    <t>Construction Vehicles</t>
  </si>
  <si>
    <t>ZF Commercial Vehicle Control Systems India Limited</t>
  </si>
  <si>
    <t>ZFCVINDIA</t>
  </si>
  <si>
    <t>ZF Commercial Vehicle Control Systems India Ltd</t>
  </si>
  <si>
    <t>INE342J01019</t>
  </si>
  <si>
    <t>INE280F01019</t>
  </si>
  <si>
    <t>JAINEX AAMCOL LTD.</t>
  </si>
  <si>
    <t>JAINEX</t>
  </si>
  <si>
    <t>INE782D01027</t>
  </si>
  <si>
    <t>Alfred Herbert (India) Ltd.</t>
  </si>
  <si>
    <t>ALFREDHE</t>
  </si>
  <si>
    <t>ALFRED HERBERT (INDIA) LTD.</t>
  </si>
  <si>
    <t>INE232E01013</t>
  </si>
  <si>
    <t>Veljan Denison Limited</t>
  </si>
  <si>
    <t>VELJAN</t>
  </si>
  <si>
    <t>INE221B01012</t>
  </si>
  <si>
    <t>Dynamatic Technologies Ltd.</t>
  </si>
  <si>
    <t>DYNAMATECH</t>
  </si>
  <si>
    <t>DYNAMATIC TECHNOLOGIES LTD.-$</t>
  </si>
  <si>
    <t>INE631D01026</t>
  </si>
  <si>
    <t>G. G. Dandekar Properties Limited</t>
  </si>
  <si>
    <t>GGDPROP</t>
  </si>
  <si>
    <t>G. G. Dandekar Properties Ltd</t>
  </si>
  <si>
    <t>INE541A01023</t>
  </si>
  <si>
    <t>Mahindra Holidays &amp; Resorts India Limited</t>
  </si>
  <si>
    <t>MHRIL</t>
  </si>
  <si>
    <t>MAHINDRA HOLIDAYS &amp; RESORTS INDIA LTD.</t>
  </si>
  <si>
    <t>INE998I01010</t>
  </si>
  <si>
    <t>INE811A01020</t>
  </si>
  <si>
    <t>Kirloskar Pneumatic Co.Ltd.</t>
  </si>
  <si>
    <t>KIRLPNU</t>
  </si>
  <si>
    <t>KIRLOSKAR PNEUMATIC CO.LTD.</t>
  </si>
  <si>
    <t>INE637D01015</t>
  </si>
  <si>
    <t>Tulive Developers Limited</t>
  </si>
  <si>
    <t>TULIVE</t>
  </si>
  <si>
    <t>INE731D01024</t>
  </si>
  <si>
    <t>KPT INDUSTRIES LIMITED</t>
  </si>
  <si>
    <t>KPT</t>
  </si>
  <si>
    <t>KPT Industries Ltd</t>
  </si>
  <si>
    <t>INE718M01022</t>
  </si>
  <si>
    <t>Lakshmi Automatic Loom Works Ltd.</t>
  </si>
  <si>
    <t>LXMIATO</t>
  </si>
  <si>
    <t>LAKSHMI AUTOMATIC LOOM WORKS LTD.</t>
  </si>
  <si>
    <t>INE867A01022</t>
  </si>
  <si>
    <t>Manugraph India Ltd</t>
  </si>
  <si>
    <t>MANUGRAPH</t>
  </si>
  <si>
    <t>MANUGRAPH INDIA LTD.-$</t>
  </si>
  <si>
    <t>INE098E01018</t>
  </si>
  <si>
    <t>HARSHIL AGROTECH LIMITED</t>
  </si>
  <si>
    <t>HARSHILAGR</t>
  </si>
  <si>
    <t>Harshil Agrotech Ltd</t>
  </si>
  <si>
    <t>INE811D01024</t>
  </si>
  <si>
    <t>Seamec Ltd</t>
  </si>
  <si>
    <t>SEAMECLTD</t>
  </si>
  <si>
    <t>SEAMEC LTD.</t>
  </si>
  <si>
    <t>INE497B01018</t>
  </si>
  <si>
    <t>Shipping</t>
  </si>
  <si>
    <t>INE317F01035</t>
  </si>
  <si>
    <t>SPRIGHT AGRO LIMITED</t>
  </si>
  <si>
    <t>SPRIGHT</t>
  </si>
  <si>
    <t>Spright Agro Ltd</t>
  </si>
  <si>
    <t>INE179O01031</t>
  </si>
  <si>
    <t>INE984B01023</t>
  </si>
  <si>
    <t>Integra Engineering India Ltd.</t>
  </si>
  <si>
    <t>INTEGRAEN</t>
  </si>
  <si>
    <t>INTEGRA ENGINEERING INDIA LTD.</t>
  </si>
  <si>
    <t>INE617A01013</t>
  </si>
  <si>
    <t>SEMAC CONSULTANTS LIMITED</t>
  </si>
  <si>
    <t>SEMAC</t>
  </si>
  <si>
    <t>Semac Consultants Ltd-$</t>
  </si>
  <si>
    <t>INE435C01024</t>
  </si>
  <si>
    <t>DREAMFOLKS SERVICES LIMITED</t>
  </si>
  <si>
    <t>DREAMFOLKS</t>
  </si>
  <si>
    <t>Dreamfolks Services Ltd</t>
  </si>
  <si>
    <t>INE0JS101016</t>
  </si>
  <si>
    <t>Airport &amp; Airport services</t>
  </si>
  <si>
    <t>INE274C01019</t>
  </si>
  <si>
    <t>Wendt (India) Ltd.</t>
  </si>
  <si>
    <t>WENDT</t>
  </si>
  <si>
    <t>WENDT (INDIA) LTD.</t>
  </si>
  <si>
    <t>Abrasives &amp; Bearings</t>
  </si>
  <si>
    <t>INE953M01033</t>
  </si>
  <si>
    <t>PS IT Infrastructure &amp; Services Limited</t>
  </si>
  <si>
    <t>PSITINFRA</t>
  </si>
  <si>
    <t>INE809Q01012</t>
  </si>
  <si>
    <t>Sindu Valley Technologies Ltd.</t>
  </si>
  <si>
    <t>SINDUVA</t>
  </si>
  <si>
    <t>SINDU VALLEY TECHNOLOGIES LTD.</t>
  </si>
  <si>
    <t>Godrej Properties Limited</t>
  </si>
  <si>
    <t>GODREJPROP</t>
  </si>
  <si>
    <t>Godrej Properties Ltd</t>
  </si>
  <si>
    <t>INE484J01027</t>
  </si>
  <si>
    <t>INE203N01015</t>
  </si>
  <si>
    <t>Shyamkamal Investments Ltd.</t>
  </si>
  <si>
    <t>SHYMINV</t>
  </si>
  <si>
    <t>SHYAMKAMAL INVESTMENTS LTD.</t>
  </si>
  <si>
    <t>INE721U01011</t>
  </si>
  <si>
    <t>RPSG VENTURES LIMITED</t>
  </si>
  <si>
    <t>RPSGVENT</t>
  </si>
  <si>
    <t>RPSG Ventures Ltd</t>
  </si>
  <si>
    <t>INE425Y01011</t>
  </si>
  <si>
    <t>INE272E01027</t>
  </si>
  <si>
    <t>Updater Services Limited</t>
  </si>
  <si>
    <t>UDS</t>
  </si>
  <si>
    <t>Updater Services Ltd</t>
  </si>
  <si>
    <t>INE851I01011</t>
  </si>
  <si>
    <t>INE966A01022</t>
  </si>
  <si>
    <t>DOLAT ALGOTECH LIMITED</t>
  </si>
  <si>
    <t>DOLATALGO</t>
  </si>
  <si>
    <t>Dolat Algotech Ltd</t>
  </si>
  <si>
    <t>Stockbroking &amp; Allied</t>
  </si>
  <si>
    <t>D.B.Corp Limited</t>
  </si>
  <si>
    <t>DBCORP</t>
  </si>
  <si>
    <t>D B Corp Ltd</t>
  </si>
  <si>
    <t>INE950I01011</t>
  </si>
  <si>
    <t>Jubilant Foodworks Limited</t>
  </si>
  <si>
    <t>JUBLFOOD</t>
  </si>
  <si>
    <t>Jubilant FoodWorks Ltd</t>
  </si>
  <si>
    <t>INE797F01020</t>
  </si>
  <si>
    <t>INE735U01011</t>
  </si>
  <si>
    <t>Reliance Industrial Infrastructure</t>
  </si>
  <si>
    <t>RIIL</t>
  </si>
  <si>
    <t>RELIANCE INDUSTRIAL INFRASTRUCTURE LTD.</t>
  </si>
  <si>
    <t>INE046A01015</t>
  </si>
  <si>
    <t>INE308E01029</t>
  </si>
  <si>
    <t>SVP GLOBAL TEXTILES LIMITED</t>
  </si>
  <si>
    <t>SVPGLOB</t>
  </si>
  <si>
    <t>SVP Global Textiles Ltd</t>
  </si>
  <si>
    <t>INE886E01016</t>
  </si>
  <si>
    <t>Texmaco Infrastructure &amp; Holdings Ltd</t>
  </si>
  <si>
    <t>TEXINFRA</t>
  </si>
  <si>
    <t>TEXMACO INFRASTRUCTURE &amp; HOLDINGS LTD.</t>
  </si>
  <si>
    <t>INE178E01026</t>
  </si>
  <si>
    <t>Skyline Millars Ltd</t>
  </si>
  <si>
    <t>SKYLMILAR</t>
  </si>
  <si>
    <t>SKYLINE MILLARS LTD.</t>
  </si>
  <si>
    <t>INE469A01019</t>
  </si>
  <si>
    <t>Bimetal Bearings Ltd</t>
  </si>
  <si>
    <t>BIMETAL</t>
  </si>
  <si>
    <t>BIMETAL BEARINGS LTD.-$</t>
  </si>
  <si>
    <t>INE614R01014</t>
  </si>
  <si>
    <t>Taparia Tools Ltd.</t>
  </si>
  <si>
    <t>TAPARIA</t>
  </si>
  <si>
    <t>TAPARIA TOOLS LTD.</t>
  </si>
  <si>
    <t>INE561C01019</t>
  </si>
  <si>
    <t>Bharat Gears Ltd.</t>
  </si>
  <si>
    <t>BHARATGEAR</t>
  </si>
  <si>
    <t>BHARAT GEARS LTD.</t>
  </si>
  <si>
    <t>INE856A01017</t>
  </si>
  <si>
    <t>Brady &amp; Morris Engineering Co. Ltd.</t>
  </si>
  <si>
    <t>BRADYM</t>
  </si>
  <si>
    <t>BRADY &amp; MORRIS ENGINEERING CO.LTD.</t>
  </si>
  <si>
    <t>INE501N01020</t>
  </si>
  <si>
    <t>La Tim Metal &amp; Industries Limited</t>
  </si>
  <si>
    <t>LATIMMETAL</t>
  </si>
  <si>
    <t>La Tim Metal &amp; Industries Ltd</t>
  </si>
  <si>
    <t>Trading - Metals</t>
  </si>
  <si>
    <t>INE205B01023</t>
  </si>
  <si>
    <t>VALOR ESTATE LIMITED</t>
  </si>
  <si>
    <t>DBREALTY</t>
  </si>
  <si>
    <t>Valor Estate Ltd</t>
  </si>
  <si>
    <t>INE879I01012</t>
  </si>
  <si>
    <t>INE498D01012</t>
  </si>
  <si>
    <t>Deccan Bearings Ltd.</t>
  </si>
  <si>
    <t>DECANBRG</t>
  </si>
  <si>
    <t>DECCAN BEARINGS LTD.</t>
  </si>
  <si>
    <t>INE266D01021</t>
  </si>
  <si>
    <t>Grauer &amp; Weil (India) Ltd.</t>
  </si>
  <si>
    <t>GRAUWEIL</t>
  </si>
  <si>
    <t>GRAUER &amp; WEIL (INDIA) LTD.-$</t>
  </si>
  <si>
    <t>INE705G01021</t>
  </si>
  <si>
    <t>HIM TEKNOFORGE LIMITED</t>
  </si>
  <si>
    <t>HIMTEK</t>
  </si>
  <si>
    <t>Him Teknoforge Ltd</t>
  </si>
  <si>
    <t>OBEROI REALTY LIMITED</t>
  </si>
  <si>
    <t>OBEROIRLTY</t>
  </si>
  <si>
    <t>OBEROI REALTY LTD.</t>
  </si>
  <si>
    <t>INE093I01010</t>
  </si>
  <si>
    <t>INE688E01024</t>
  </si>
  <si>
    <t>Hercules Hoists Ltd.</t>
  </si>
  <si>
    <t>HERCULES</t>
  </si>
  <si>
    <t>HERCULES HOISTS LTD.</t>
  </si>
  <si>
    <t>INE598D01027</t>
  </si>
  <si>
    <t>ALGOQUANT FINTECH LIMITED</t>
  </si>
  <si>
    <t>AQFINTECH</t>
  </si>
  <si>
    <t>Algoquant Fintech Ltd</t>
  </si>
  <si>
    <t>Prestige Estates Projects Limited</t>
  </si>
  <si>
    <t>PRESTIGE</t>
  </si>
  <si>
    <t>PRESTIGE ESTATES PROJECTS LTD.</t>
  </si>
  <si>
    <t>INE811K01011</t>
  </si>
  <si>
    <t>INE638A01035</t>
  </si>
  <si>
    <t>Singer India Limited</t>
  </si>
  <si>
    <t>SINGER</t>
  </si>
  <si>
    <t>SINGER INDIA LTD.</t>
  </si>
  <si>
    <t>INE403C01014</t>
  </si>
  <si>
    <t>International Combustion (India) Lt</t>
  </si>
  <si>
    <t>INTLCOMBQ</t>
  </si>
  <si>
    <t>INTERNATIONAL COMBUSTION (INDIA) LTD.</t>
  </si>
  <si>
    <t>INE529A01010</t>
  </si>
  <si>
    <t>Federal-Mogul Goetze (India) Ltd</t>
  </si>
  <si>
    <t>FMGOETZE</t>
  </si>
  <si>
    <t>FEDERAL-MOGUL GOETZE (INDIA) LTD.</t>
  </si>
  <si>
    <t>INE636D01033</t>
  </si>
  <si>
    <t>Josts Engineering Co. Ltd.</t>
  </si>
  <si>
    <t>JOSTS</t>
  </si>
  <si>
    <t>JOST'S ENGINEERING CO.LTD.</t>
  </si>
  <si>
    <t>PG Electroplast Limited</t>
  </si>
  <si>
    <t>PGEL</t>
  </si>
  <si>
    <t>PG ELECTROPLAST LTD.</t>
  </si>
  <si>
    <t>INE457L01011</t>
  </si>
  <si>
    <t>INE860N01012</t>
  </si>
  <si>
    <t>Mipco Seamless Rings (Gujarat) Ltd.</t>
  </si>
  <si>
    <t>MPCOSEMB</t>
  </si>
  <si>
    <t>MIPCO SEAMLESS RINGS (GUJARAT) LTD.</t>
  </si>
  <si>
    <t>INE384A01010</t>
  </si>
  <si>
    <t>Rane Holdings Ltd.</t>
  </si>
  <si>
    <t>RANEHOLDIN</t>
  </si>
  <si>
    <t>RANE HOLDINGS LTD.</t>
  </si>
  <si>
    <t>INE775R01013</t>
  </si>
  <si>
    <t>Rolcon Engineering Co. Ltd.</t>
  </si>
  <si>
    <t>ROLCOEN</t>
  </si>
  <si>
    <t>ROLCON ENGINEERING CO.LTD.</t>
  </si>
  <si>
    <t>INE568F01017</t>
  </si>
  <si>
    <t>SNL Bearings Ltd.</t>
  </si>
  <si>
    <t>SNL</t>
  </si>
  <si>
    <t>SNL BEARINGS LTD.</t>
  </si>
  <si>
    <t>INE058D01030</t>
  </si>
  <si>
    <t>Jaipan Industries Ltd</t>
  </si>
  <si>
    <t>JAIPAN</t>
  </si>
  <si>
    <t>JAIPAN INDUSTRIES LTD.</t>
  </si>
  <si>
    <t>INE545L01039</t>
  </si>
  <si>
    <t>Mangal Credit and Fincorp Limited</t>
  </si>
  <si>
    <t>MANCREDIT</t>
  </si>
  <si>
    <t>MANGAL CREDIT AND FINCORP LTD.</t>
  </si>
  <si>
    <t>INE391D01019</t>
  </si>
  <si>
    <t>TRF Ltd</t>
  </si>
  <si>
    <t>TRF</t>
  </si>
  <si>
    <t>TRF LTD.-$</t>
  </si>
  <si>
    <t>INE765D01014</t>
  </si>
  <si>
    <t>WPIL Ltd</t>
  </si>
  <si>
    <t>WPIL</t>
  </si>
  <si>
    <t>WPIL LTD.</t>
  </si>
  <si>
    <t>INE717A01029</t>
  </si>
  <si>
    <t>RATTANINDIA ENTERPRISES LIMITED</t>
  </si>
  <si>
    <t>RTNINDIA</t>
  </si>
  <si>
    <t>Rattanindia Enterprises Ltd</t>
  </si>
  <si>
    <t>INE834M01019</t>
  </si>
  <si>
    <t>E-Retail/ E-Commerce</t>
  </si>
  <si>
    <t>INE724D01011</t>
  </si>
  <si>
    <t>HINDUSTAN HARDY LIMITED</t>
  </si>
  <si>
    <t>HINDHARD</t>
  </si>
  <si>
    <t>Hindustan Hardy Ltd</t>
  </si>
  <si>
    <t>INE440G01017</t>
  </si>
  <si>
    <t>Triton Valves Ltd.</t>
  </si>
  <si>
    <t>TRITONV</t>
  </si>
  <si>
    <t>TRITON VALVES LTD.</t>
  </si>
  <si>
    <t>INE618D01015</t>
  </si>
  <si>
    <t>Sudal Industries Limited</t>
  </si>
  <si>
    <t>SUDAI</t>
  </si>
  <si>
    <t>SUDAL INDUSTRIES LTD.</t>
  </si>
  <si>
    <t>INE603A01013</t>
  </si>
  <si>
    <t>Prakash Industries Ltd.</t>
  </si>
  <si>
    <t>PRAKASH</t>
  </si>
  <si>
    <t>PRAKASH INDUSTRIES LTD.</t>
  </si>
  <si>
    <t>INE219D01012</t>
  </si>
  <si>
    <t>HARIYANA VENTURES LIMITED</t>
  </si>
  <si>
    <t>HVL</t>
  </si>
  <si>
    <t>Hariyana Ventures Ltd</t>
  </si>
  <si>
    <t>ZP</t>
  </si>
  <si>
    <t>INE821R01015</t>
  </si>
  <si>
    <t>Prabhu Steel Industries Ltd.</t>
  </si>
  <si>
    <t>ZPRBHSTE</t>
  </si>
  <si>
    <t>PRABHU STEEL INDUSTRIES LTD.</t>
  </si>
  <si>
    <t>INE968D01022</t>
  </si>
  <si>
    <t>Navkar Corporation Limited</t>
  </si>
  <si>
    <t>NAVKARCORP</t>
  </si>
  <si>
    <t>Navkar Corporation Ltd</t>
  </si>
  <si>
    <t>INE278M01019</t>
  </si>
  <si>
    <t>INE536A01023</t>
  </si>
  <si>
    <t>V-Mart Retail Limited</t>
  </si>
  <si>
    <t>VMART</t>
  </si>
  <si>
    <t>V-MART RETAIL LTD.</t>
  </si>
  <si>
    <t>INE665J01013</t>
  </si>
  <si>
    <t>INE651C01018</t>
  </si>
  <si>
    <t>Lakshmi Precision Screws Ltd.</t>
  </si>
  <si>
    <t>LAKPRE</t>
  </si>
  <si>
    <t>LAKSHMI PRECISION SCREWS LTD.</t>
  </si>
  <si>
    <t>INE441L01015</t>
  </si>
  <si>
    <t>Stanrose Mafatlal Investments &amp; Fin</t>
  </si>
  <si>
    <t>STANROS</t>
  </si>
  <si>
    <t>STANROSE MAFATLAL INVESTMENTS AND FINANCE LTD.</t>
  </si>
  <si>
    <t>INE727B01026</t>
  </si>
  <si>
    <t>Genesys International Corporation Ltd.</t>
  </si>
  <si>
    <t>GENESYS</t>
  </si>
  <si>
    <t>GENESYS INTERNATIONAL CORPORATION LTD.</t>
  </si>
  <si>
    <t>INE07I701011</t>
  </si>
  <si>
    <t>Allsec Technologies Ltd.</t>
  </si>
  <si>
    <t>ALLSEC</t>
  </si>
  <si>
    <t>ALLSEC TECHNOLOGIES LTD.</t>
  </si>
  <si>
    <t>INE835G01018</t>
  </si>
  <si>
    <t>INE820M01018</t>
  </si>
  <si>
    <t>Pankaj Piyush Trade &amp; Inv. Ltd</t>
  </si>
  <si>
    <t>PANKAJPIYUS</t>
  </si>
  <si>
    <t>Pankaj Piyush Trade &amp; Investment Ltd</t>
  </si>
  <si>
    <t>INE383L01019</t>
  </si>
  <si>
    <t>Parnax Lab Limited</t>
  </si>
  <si>
    <t>PARNAXLAB</t>
  </si>
  <si>
    <t>PARNAX LAB LTD.</t>
  </si>
  <si>
    <t>INE512D01028</t>
  </si>
  <si>
    <t>GOURMET GATEWAY INDIA LIMITED</t>
  </si>
  <si>
    <t>GOURMET</t>
  </si>
  <si>
    <t>Gourmet Gateway India Ltd</t>
  </si>
  <si>
    <t>INE370E01029</t>
  </si>
  <si>
    <t>Visagar Polytex Ltd</t>
  </si>
  <si>
    <t>VIVIDHA</t>
  </si>
  <si>
    <t>VISAGAR POLYTEX LTD.</t>
  </si>
  <si>
    <t>INE073I01012</t>
  </si>
  <si>
    <t>Ishwarshakti Holdings &amp; Traders Ltd</t>
  </si>
  <si>
    <t>ISHWATR</t>
  </si>
  <si>
    <t>ISHWARSHAKTI HOLDINGS &amp; TRADERS LTD.</t>
  </si>
  <si>
    <t>INE122V01010</t>
  </si>
  <si>
    <t>Terraform Magnum Limited</t>
  </si>
  <si>
    <t>TERRAFORM</t>
  </si>
  <si>
    <t>TERRAFORM MAGNUM LTD.</t>
  </si>
  <si>
    <t>INE070K01014</t>
  </si>
  <si>
    <t>Apis India Ltd</t>
  </si>
  <si>
    <t>APIS</t>
  </si>
  <si>
    <t>APIS INDIA LTD.</t>
  </si>
  <si>
    <t>INE092P01017</t>
  </si>
  <si>
    <t>Tinna Trade Limited</t>
  </si>
  <si>
    <t>TINNATFL</t>
  </si>
  <si>
    <t>Tinna Trade Ltd</t>
  </si>
  <si>
    <t>INE401Z01019</t>
  </si>
  <si>
    <t>INE668L01013</t>
  </si>
  <si>
    <t>EMERGENT INDUSTRIAL SOLUTIONS LIMITED</t>
  </si>
  <si>
    <t>EMERGENT</t>
  </si>
  <si>
    <t>Emergent Industrial Solutions Ltd</t>
  </si>
  <si>
    <t>INE879E01037</t>
  </si>
  <si>
    <t>Kanani Industries Ltd</t>
  </si>
  <si>
    <t>KANANIIND</t>
  </si>
  <si>
    <t>KANANI INDUSTRIES LTD.</t>
  </si>
  <si>
    <t>INE403B01016</t>
  </si>
  <si>
    <t>GALAXY CLOUD KITCHENS LIMITED</t>
  </si>
  <si>
    <t>GCKL</t>
  </si>
  <si>
    <t>Galaxy Cloud Kitchens Ltd-$</t>
  </si>
  <si>
    <t>Packaged Foods</t>
  </si>
  <si>
    <t>INE978L01016</t>
  </si>
  <si>
    <t>The Yamuna Syndicate Ltd</t>
  </si>
  <si>
    <t>YSL</t>
  </si>
  <si>
    <t>INE868X01014</t>
  </si>
  <si>
    <t>INE643K01018</t>
  </si>
  <si>
    <t>Arihant Superstructures Limited</t>
  </si>
  <si>
    <t>ARIHANTSUP</t>
  </si>
  <si>
    <t>INE965V01012</t>
  </si>
  <si>
    <t>Polo Queen Industrial and Fintech Limited</t>
  </si>
  <si>
    <t>PQIF</t>
  </si>
  <si>
    <t>Polo Queen Industrial and Fintech Ltd</t>
  </si>
  <si>
    <t>INE689M01025</t>
  </si>
  <si>
    <t>INE416D01022</t>
  </si>
  <si>
    <t>Bliss GVS Pharma Limited</t>
  </si>
  <si>
    <t>BLISSGVS</t>
  </si>
  <si>
    <t>BLISS GVS PHARMA LTD.</t>
  </si>
  <si>
    <t>INE189B01011</t>
  </si>
  <si>
    <t>Styrenix Performance Materials Limited</t>
  </si>
  <si>
    <t>STYRENIX</t>
  </si>
  <si>
    <t>Styrenix Performance Materials Ltd</t>
  </si>
  <si>
    <t>INE426A01027</t>
  </si>
  <si>
    <t>Alembic  Ltd</t>
  </si>
  <si>
    <t>ALEMBICLTD</t>
  </si>
  <si>
    <t>ALEMBIC LTD.</t>
  </si>
  <si>
    <t>INE275D01022</t>
  </si>
  <si>
    <t>Amines &amp; Plasticizers Ltd</t>
  </si>
  <si>
    <t>AMNPLST</t>
  </si>
  <si>
    <t>AMINES &amp; PLASTICIZERS LTD.</t>
  </si>
  <si>
    <t>INE489G01022</t>
  </si>
  <si>
    <t>Anuh Pharma Ltd.</t>
  </si>
  <si>
    <t>ANUHPHR</t>
  </si>
  <si>
    <t>ANUH PHARMA LTD.</t>
  </si>
  <si>
    <t>INE737D01021</t>
  </si>
  <si>
    <t>MODISON LIMITED</t>
  </si>
  <si>
    <t>MODISONLTD</t>
  </si>
  <si>
    <t>Modison Ltd-$</t>
  </si>
  <si>
    <t>Sharda Motor Industries Ltd</t>
  </si>
  <si>
    <t>SHARDAMOTR</t>
  </si>
  <si>
    <t>INE597I01028</t>
  </si>
  <si>
    <t>INE320M01019</t>
  </si>
  <si>
    <t>Chemo Pharma Laboratories Ltd.</t>
  </si>
  <si>
    <t>CHEMOPH</t>
  </si>
  <si>
    <t>CHEMO PHARMA LABORATORIES LTD.</t>
  </si>
  <si>
    <t>INE492A01029</t>
  </si>
  <si>
    <t>Heubach Colorants India Limited</t>
  </si>
  <si>
    <t>HEUBACHIND</t>
  </si>
  <si>
    <t>Heubach Colorants India Ltd</t>
  </si>
  <si>
    <t>Just Dial Limited</t>
  </si>
  <si>
    <t>JUSTDIAL</t>
  </si>
  <si>
    <t>JUST DIAL LTD.</t>
  </si>
  <si>
    <t>INE599M01018</t>
  </si>
  <si>
    <t>Aditya Birla Fashion and Retail Limited</t>
  </si>
  <si>
    <t>ABFRL</t>
  </si>
  <si>
    <t>Aditya Birla Fashion and Retail Ltd</t>
  </si>
  <si>
    <t>INE647O01011</t>
  </si>
  <si>
    <t>INE505A01010</t>
  </si>
  <si>
    <t>DMCC SPECIALITY CHEMICALS LIMITED</t>
  </si>
  <si>
    <t>DMCC</t>
  </si>
  <si>
    <t>DMCC Speciality Chemicals Ltd</t>
  </si>
  <si>
    <t>INE225B01021</t>
  </si>
  <si>
    <t>FERMENTA BIOTECH LIMITED</t>
  </si>
  <si>
    <t>FERMENTA</t>
  </si>
  <si>
    <t>Fermenta Biotech Ltd</t>
  </si>
  <si>
    <t>INE077F01035</t>
  </si>
  <si>
    <t>GOCL Corporation Limited</t>
  </si>
  <si>
    <t>GOCLCORP</t>
  </si>
  <si>
    <t>GOCL Corporation Ltd-$</t>
  </si>
  <si>
    <t>INE693E01016</t>
  </si>
  <si>
    <t>Jayshree Chemicals Ltd.</t>
  </si>
  <si>
    <t>JAYCH</t>
  </si>
  <si>
    <t>JAYSHREE CHEMICALS LTD.</t>
  </si>
  <si>
    <t>INE138C01024</t>
  </si>
  <si>
    <t>Kanoria Chemicals &amp; Industries Ltd.</t>
  </si>
  <si>
    <t>KANORICHEM</t>
  </si>
  <si>
    <t>KANORIA CHEMICALS &amp; INDUSTRIES LTD.</t>
  </si>
  <si>
    <t>INE881E01017</t>
  </si>
  <si>
    <t>Keltech Energies Ltd.</t>
  </si>
  <si>
    <t>KELENRG</t>
  </si>
  <si>
    <t>KELTECH ENERGIES LTD.</t>
  </si>
  <si>
    <t>INE060E01018</t>
  </si>
  <si>
    <t>Knowledge Marine &amp; Engineering Works Limited</t>
  </si>
  <si>
    <t>KMEW</t>
  </si>
  <si>
    <t>Knowledge Marine &amp; Engineering Works Ltd</t>
  </si>
  <si>
    <t>M</t>
  </si>
  <si>
    <t>INE0CJD01011</t>
  </si>
  <si>
    <t>INE265B01019</t>
  </si>
  <si>
    <t>Nitta Gelatin India Ltd</t>
  </si>
  <si>
    <t>NITTAGELA</t>
  </si>
  <si>
    <t>NITTA GELATIN INDIA LTD.-$</t>
  </si>
  <si>
    <t>INE468C01017</t>
  </si>
  <si>
    <t>M.P. Agro Industries Ltd.</t>
  </si>
  <si>
    <t>MPAGI</t>
  </si>
  <si>
    <t>M.P.AGRO INDUSTRIES LTD.</t>
  </si>
  <si>
    <t>INE321D01016</t>
  </si>
  <si>
    <t>Oriental Carbon &amp; Chemicals Ltd.</t>
  </si>
  <si>
    <t>OCCL</t>
  </si>
  <si>
    <t>ORIENTAL CARBON &amp; CHEMICALS LTD.-$</t>
  </si>
  <si>
    <t>Wonderla Holidays Limited</t>
  </si>
  <si>
    <t>WONDERLA</t>
  </si>
  <si>
    <t>Wonderla Holidays Ltd</t>
  </si>
  <si>
    <t>INE066O01014</t>
  </si>
  <si>
    <t>Amusement Parks/ Other Recreation</t>
  </si>
  <si>
    <t>INE841D01013</t>
  </si>
  <si>
    <t>Amal Ltd</t>
  </si>
  <si>
    <t>AMAL</t>
  </si>
  <si>
    <t>AMAL LTD.</t>
  </si>
  <si>
    <t>INE752B01024</t>
  </si>
  <si>
    <t>Polychem Ltd</t>
  </si>
  <si>
    <t>POLYCHEM</t>
  </si>
  <si>
    <t>POLYCHEM LTD.</t>
  </si>
  <si>
    <t>INE277B01014</t>
  </si>
  <si>
    <t>Punjab Chemicals and Crop Protection Ltd.</t>
  </si>
  <si>
    <t>PUNJABCHEM</t>
  </si>
  <si>
    <t>PUNJAB CHEMICALS AND CROP PROTECTION LTD.-$</t>
  </si>
  <si>
    <t>INE218N01021</t>
  </si>
  <si>
    <t>Gujchem Distillers India Ltd.</t>
  </si>
  <si>
    <t>GUJCMDS</t>
  </si>
  <si>
    <t>GUJCHEM DISTILLERS INDIA LTD.</t>
  </si>
  <si>
    <t>INE888C01040</t>
  </si>
  <si>
    <t>Sadhana Nitrochem Ltd.</t>
  </si>
  <si>
    <t>SADHNANIQ</t>
  </si>
  <si>
    <t>SADHANA NITROCHEM LTD.</t>
  </si>
  <si>
    <t>PDS LIMITED</t>
  </si>
  <si>
    <t>PDSL</t>
  </si>
  <si>
    <t>PDS Ltd</t>
  </si>
  <si>
    <t>INE111Q01021</t>
  </si>
  <si>
    <t>Trading - Textile Products</t>
  </si>
  <si>
    <t>INE014B01011</t>
  </si>
  <si>
    <t>Tecil Chemicals &amp; Hydro Power Limit</t>
  </si>
  <si>
    <t>TECILCHEM</t>
  </si>
  <si>
    <t>TECIL CHEMICALS &amp; HYDRO POWER LTD.</t>
  </si>
  <si>
    <t>INE405A01021</t>
  </si>
  <si>
    <t>Ultramarine &amp; Pigments Ltd.</t>
  </si>
  <si>
    <t>ULTRAMAR</t>
  </si>
  <si>
    <t>ULTRAMARINE &amp; PIGMENTS LTD.-$</t>
  </si>
  <si>
    <t>INE687A01016</t>
  </si>
  <si>
    <t>Transpek Industry Ltd.</t>
  </si>
  <si>
    <t>TRANSPEK</t>
  </si>
  <si>
    <t>TRANSPEK INDUSTRY LTD.-$</t>
  </si>
  <si>
    <t>INE351A01035</t>
  </si>
  <si>
    <t>Unichem Laboratories Ltd.</t>
  </si>
  <si>
    <t>UNICHEMLAB</t>
  </si>
  <si>
    <t>UNICHEM LABORATORIES LTD.</t>
  </si>
  <si>
    <t>INE741A01011</t>
  </si>
  <si>
    <t>Mysore Petro Chemicals Ltd.</t>
  </si>
  <si>
    <t>MYSORPETRO</t>
  </si>
  <si>
    <t>MYSORE PETRO CHEMICALS LTD.-$</t>
  </si>
  <si>
    <t>Minda Corporation Limited</t>
  </si>
  <si>
    <t>MINDACORP</t>
  </si>
  <si>
    <t>Minda Corporation Ltd</t>
  </si>
  <si>
    <t>INE842C01021</t>
  </si>
  <si>
    <t>INE400A01014</t>
  </si>
  <si>
    <t>TUTICORIN ALKALI CHEMICALS AND FERTILIZERS LIMITED</t>
  </si>
  <si>
    <t>TUTIALKA</t>
  </si>
  <si>
    <t>Tuticorin Alkali Chemicals And Fertilizers Ltd</t>
  </si>
  <si>
    <t>INE203A01020</t>
  </si>
  <si>
    <t>Greenlam Industries Ltd</t>
  </si>
  <si>
    <t>GREENLAM</t>
  </si>
  <si>
    <t>INE544R01021</t>
  </si>
  <si>
    <t>INE607A01022</t>
  </si>
  <si>
    <t>Primo Chemicals Limited</t>
  </si>
  <si>
    <t>PRIMO</t>
  </si>
  <si>
    <t>Primo Chemicals Ltd</t>
  </si>
  <si>
    <t>INE639B01015</t>
  </si>
  <si>
    <t>TANFAC Industries Ltd.</t>
  </si>
  <si>
    <t>TANFACIND</t>
  </si>
  <si>
    <t>TANFAC INDUSTRIES LTD.-$</t>
  </si>
  <si>
    <t>INE636P01011</t>
  </si>
  <si>
    <t>Gujarat Petrosynthese Ltd.</t>
  </si>
  <si>
    <t>GUJPETR</t>
  </si>
  <si>
    <t>GUJARAT PETROSYNTHESE LTD.</t>
  </si>
  <si>
    <t>INE942C01045</t>
  </si>
  <si>
    <t>Gujarat Themis Biosyn Ltd.</t>
  </si>
  <si>
    <t>GUJTHEM</t>
  </si>
  <si>
    <t>GUJARAT THEMIS BIOSYN LTD.</t>
  </si>
  <si>
    <t>INE467X01015</t>
  </si>
  <si>
    <t>SNOWMAN LOGISTICS LIMITED</t>
  </si>
  <si>
    <t>SNOWMAN</t>
  </si>
  <si>
    <t>Snowman Logistics Ltd</t>
  </si>
  <si>
    <t>INE734N01019</t>
  </si>
  <si>
    <t>INE987A01010</t>
  </si>
  <si>
    <t>Makers Laboratories Ltd.</t>
  </si>
  <si>
    <t>MAKERSL</t>
  </si>
  <si>
    <t>MAKERS LABORATORIES LTD.-$</t>
  </si>
  <si>
    <t>INE423K01015</t>
  </si>
  <si>
    <t>Continental Chemicals Ltd.</t>
  </si>
  <si>
    <t>CONTCHM</t>
  </si>
  <si>
    <t>CONTINENTAL CHEMICALS LTD.</t>
  </si>
  <si>
    <t>INE572A01036</t>
  </si>
  <si>
    <t>Crompton Greaves Consumer Electricals Limited</t>
  </si>
  <si>
    <t>CROMPTON</t>
  </si>
  <si>
    <t>Crompton Greaves Consumer Electricals Ltd</t>
  </si>
  <si>
    <t>INE299U01018</t>
  </si>
  <si>
    <t>INE684U01011</t>
  </si>
  <si>
    <t>Indo Gulf Industries  Ltd.</t>
  </si>
  <si>
    <t>IGLFXPL-B</t>
  </si>
  <si>
    <t>INDO GULF INDUSTRIES LTD.</t>
  </si>
  <si>
    <t>INE374C01017</t>
  </si>
  <si>
    <t>Rajasthan Petro Synthetics Ltd.</t>
  </si>
  <si>
    <t>RAJSPTR</t>
  </si>
  <si>
    <t>RAJASTHAN PETRO SYNTHETICS LTD.</t>
  </si>
  <si>
    <t>INE046E01025</t>
  </si>
  <si>
    <t>Apt Packaging Ltd</t>
  </si>
  <si>
    <t>APTPACK</t>
  </si>
  <si>
    <t>APT PACKAGING LTD.</t>
  </si>
  <si>
    <t>INE472D01017</t>
  </si>
  <si>
    <t>Blue Chip Tex Industries Ltd.</t>
  </si>
  <si>
    <t>BLUECHIPT</t>
  </si>
  <si>
    <t>BLUE CHIP TEX INDUSTRIES LTD.</t>
  </si>
  <si>
    <t>INE574A01016</t>
  </si>
  <si>
    <t>Jagatjit Industries Ltd.</t>
  </si>
  <si>
    <t>JAGAJITIND</t>
  </si>
  <si>
    <t>JAGATJIT INDUSTRIES LTD.</t>
  </si>
  <si>
    <t>Beverages</t>
  </si>
  <si>
    <t>Breweries &amp; Distilleries</t>
  </si>
  <si>
    <t>INE133B01019</t>
  </si>
  <si>
    <t>Kesar Enterprises Ltd.</t>
  </si>
  <si>
    <t>KESARENT</t>
  </si>
  <si>
    <t>KESAR ENTERPRISES LTD.-$</t>
  </si>
  <si>
    <t>INE133E01013</t>
  </si>
  <si>
    <t>Tilaknagar Industries Ltd</t>
  </si>
  <si>
    <t>TI</t>
  </si>
  <si>
    <t>TILAKNAGAR INDUSTRIES LTD.-$</t>
  </si>
  <si>
    <t>INE044N01021</t>
  </si>
  <si>
    <t>Emerald Leisures Limited</t>
  </si>
  <si>
    <t>EMERALL</t>
  </si>
  <si>
    <t>Emerald Leisures Ltd</t>
  </si>
  <si>
    <t>INE615A01025</t>
  </si>
  <si>
    <t>The Ravalgaon Sugar Farm Limited</t>
  </si>
  <si>
    <t>RAVALSUGAR</t>
  </si>
  <si>
    <t>The Ravalgaon Sugar Farm Ltd</t>
  </si>
  <si>
    <t>INE623A01011</t>
  </si>
  <si>
    <t>Sakthi Sugars Ltd.</t>
  </si>
  <si>
    <t>SAKHTISUG</t>
  </si>
  <si>
    <t>SAKTHI SUGARS LTD.</t>
  </si>
  <si>
    <t>INE711A01022</t>
  </si>
  <si>
    <t>Walchandnagar Industries Ltd</t>
  </si>
  <si>
    <t>WALCHANNAG</t>
  </si>
  <si>
    <t>WALCHANDNAGAR INDUSTRIES LTD.</t>
  </si>
  <si>
    <t>INE076C01018</t>
  </si>
  <si>
    <t>IFB Agro Industries Ltd</t>
  </si>
  <si>
    <t>IFBAGRO</t>
  </si>
  <si>
    <t>IFB AGRO INDUSTRIES LTD.</t>
  </si>
  <si>
    <t>INE991B01010</t>
  </si>
  <si>
    <t>Kothari Fermanatation &amp; Biochem Ltd</t>
  </si>
  <si>
    <t>KFBL</t>
  </si>
  <si>
    <t>KOTHARI FERMENTATION &amp; BIOCHEM LTD.</t>
  </si>
  <si>
    <t>INE470N01010</t>
  </si>
  <si>
    <t>Caprolactam Chemicals ltd.</t>
  </si>
  <si>
    <t>CAPRO</t>
  </si>
  <si>
    <t>CAPROLACTAM CHEMICALS LTD.</t>
  </si>
  <si>
    <t>INE075D01018</t>
  </si>
  <si>
    <t>G.M. Breweries Ltd.</t>
  </si>
  <si>
    <t>GMBREW</t>
  </si>
  <si>
    <t>G.M.BREWERIES LTD.</t>
  </si>
  <si>
    <t>INE625B01014</t>
  </si>
  <si>
    <t>Rana Sugars Ltd.</t>
  </si>
  <si>
    <t>RANASUG</t>
  </si>
  <si>
    <t>RANA SUGARS LTD.</t>
  </si>
  <si>
    <t>INE544C01023</t>
  </si>
  <si>
    <t>Piccadily Sugar  &amp; Allied Ltd.</t>
  </si>
  <si>
    <t>PICCASUG</t>
  </si>
  <si>
    <t>PICCADILY SUGAR &amp; ALLIED INDUSTRIES LTD.</t>
  </si>
  <si>
    <t>INE480C01038</t>
  </si>
  <si>
    <t>Som Distilleries &amp; Breweries Ltd.</t>
  </si>
  <si>
    <t>SDBL</t>
  </si>
  <si>
    <t>SOM DISTILLERIES &amp; BREWERIES LTD.</t>
  </si>
  <si>
    <t>INE557D01015</t>
  </si>
  <si>
    <t>C.J. Gelatine Products Ltd.</t>
  </si>
  <si>
    <t>CJGEL</t>
  </si>
  <si>
    <t>C.J.GELATINE PRODUCTS LTD.</t>
  </si>
  <si>
    <t>INE073G01016</t>
  </si>
  <si>
    <t>Associated Alcohols &amp; Breweries Ltd</t>
  </si>
  <si>
    <t>ASALCBR</t>
  </si>
  <si>
    <t>ASSOCIATED ALCOHOLS &amp; BREWERIES LTD.</t>
  </si>
  <si>
    <t>INE04VT01017</t>
  </si>
  <si>
    <t>ALLCARGO GATI LIMITED</t>
  </si>
  <si>
    <t>ACLGATI</t>
  </si>
  <si>
    <t>Allcargo Gati Ltd</t>
  </si>
  <si>
    <t>INE152B01027</t>
  </si>
  <si>
    <t>INE495D01018</t>
  </si>
  <si>
    <t>Coromandel Agro Products &amp; Oils Ltd</t>
  </si>
  <si>
    <t>CORAGRO</t>
  </si>
  <si>
    <t>COROMANDEL AGRO PRODUCTS &amp; OILS LTD.</t>
  </si>
  <si>
    <t>INE976E01023</t>
  </si>
  <si>
    <t>Foods &amp; Inns Ltd.</t>
  </si>
  <si>
    <t>FOODSIN</t>
  </si>
  <si>
    <t>FOODS &amp; INNS LTD.</t>
  </si>
  <si>
    <t>INE043C01018</t>
  </si>
  <si>
    <t>IVP Ltd.</t>
  </si>
  <si>
    <t>IVP</t>
  </si>
  <si>
    <t>IVP LTD.</t>
  </si>
  <si>
    <t>INE014E01015</t>
  </si>
  <si>
    <t>KOVILPATTI LAKSHMI ROLLER FLOUR MILLS  LTD</t>
  </si>
  <si>
    <t>KLRFM</t>
  </si>
  <si>
    <t>Kovilpatti Lakshmi Roller Flour Mills Ltd</t>
  </si>
  <si>
    <t>INE286E01019</t>
  </si>
  <si>
    <t>Olympic Oil Industries Ltd.</t>
  </si>
  <si>
    <t>OLYOI</t>
  </si>
  <si>
    <t>OLYMPIC OIL INDUSTRIES LTD.</t>
  </si>
  <si>
    <t>Other Agricultural Products</t>
  </si>
  <si>
    <t>INE588G01013</t>
  </si>
  <si>
    <t>Milkfood Ltd.</t>
  </si>
  <si>
    <t>MLKFOOD</t>
  </si>
  <si>
    <t>MILKFOOD LTD.</t>
  </si>
  <si>
    <t>INE339F01021</t>
  </si>
  <si>
    <t>Polson Ltd.</t>
  </si>
  <si>
    <t>POLSON</t>
  </si>
  <si>
    <t>POLSON LTD.</t>
  </si>
  <si>
    <t>INE131O01024</t>
  </si>
  <si>
    <t>Sagar Soya Products Ltd.</t>
  </si>
  <si>
    <t>SAGRSOY-B</t>
  </si>
  <si>
    <t>SAGAR SOYA PRODUCTS LTD.</t>
  </si>
  <si>
    <t>INE075A01022</t>
  </si>
  <si>
    <t>BLS International Services Ltd</t>
  </si>
  <si>
    <t>BLS</t>
  </si>
  <si>
    <t>INE153T01027</t>
  </si>
  <si>
    <t>INE247F01018</t>
  </si>
  <si>
    <t>Orient Beverages Ltd.</t>
  </si>
  <si>
    <t>ORIBEVER</t>
  </si>
  <si>
    <t>ORIENT BEVERAGES LTD.</t>
  </si>
  <si>
    <t>Other Beverages</t>
  </si>
  <si>
    <t>Endurance Technologies Limited</t>
  </si>
  <si>
    <t>ENDURANCE</t>
  </si>
  <si>
    <t>Endurance Technologies Ltd</t>
  </si>
  <si>
    <t>INE913H01037</t>
  </si>
  <si>
    <t>INE910C01018</t>
  </si>
  <si>
    <t>TTK Healthcare Ltd.</t>
  </si>
  <si>
    <t>TTKHLTCARE</t>
  </si>
  <si>
    <t>TTK HEALTHCARE LTD.-$</t>
  </si>
  <si>
    <t>Diversified</t>
  </si>
  <si>
    <t>INE284B01028</t>
  </si>
  <si>
    <t>TGV SRAAC LIMITED</t>
  </si>
  <si>
    <t>TGVSL</t>
  </si>
  <si>
    <t>TGV Sraac Ltd</t>
  </si>
  <si>
    <t>INE891G01011</t>
  </si>
  <si>
    <t>Lime Chemicals Ltd.</t>
  </si>
  <si>
    <t>LIMECHM</t>
  </si>
  <si>
    <t>LIME CHEMICALS LTD.</t>
  </si>
  <si>
    <t>INE694E01014</t>
  </si>
  <si>
    <t>Kanpur Plastipack Limited</t>
  </si>
  <si>
    <t>KANPRPLA</t>
  </si>
  <si>
    <t>KANPUR PLASTIPACK LTD.</t>
  </si>
  <si>
    <t>INE123C01018</t>
  </si>
  <si>
    <t>Tainwala Chemicals &amp; Plastics Ltd</t>
  </si>
  <si>
    <t>TAINWALCHM</t>
  </si>
  <si>
    <t>TAINWALA CHEMICALS &amp; PLASTICS (INDIA) LTD.</t>
  </si>
  <si>
    <t>INE048B01027</t>
  </si>
  <si>
    <t>Jagsonpal Pharmaceuticals Limited</t>
  </si>
  <si>
    <t>JAGSNPHARM</t>
  </si>
  <si>
    <t>JAGSONPAL PHARMACEUTICALS LTD.</t>
  </si>
  <si>
    <t>INE745B01028</t>
  </si>
  <si>
    <t>Khaitan Chemicals &amp; Fertilizers Ltd</t>
  </si>
  <si>
    <t>KHAICHEM</t>
  </si>
  <si>
    <t>KHAITAN CHEMICALS &amp; FERTILIZERS LTD.</t>
  </si>
  <si>
    <t>INE357P01014</t>
  </si>
  <si>
    <t>United Leasing &amp; Industries Ltd</t>
  </si>
  <si>
    <t>UNTTEMI</t>
  </si>
  <si>
    <t>UNITED LEASING &amp; INDUSTRIES LTD.</t>
  </si>
  <si>
    <t>INE296D01010</t>
  </si>
  <si>
    <t>National Oxygen Ltd.</t>
  </si>
  <si>
    <t>NOL</t>
  </si>
  <si>
    <t>NATIONAL OXYGEN LTD.</t>
  </si>
  <si>
    <t>INE322A01010</t>
  </si>
  <si>
    <t>Sheela Foam Limited</t>
  </si>
  <si>
    <t>SFL</t>
  </si>
  <si>
    <t>Sheela Foam Ltd</t>
  </si>
  <si>
    <t>INE916U01025</t>
  </si>
  <si>
    <t>INE469D01013</t>
  </si>
  <si>
    <t>Wires &amp; Fabriks (SA) Ltd.</t>
  </si>
  <si>
    <t>WIREFABR</t>
  </si>
  <si>
    <t>WIRES &amp; FABRIKS (SA) LTD.</t>
  </si>
  <si>
    <t>INE880B01015</t>
  </si>
  <si>
    <t>ANSAL HOUSING LIMITED</t>
  </si>
  <si>
    <t>ANSALHSG</t>
  </si>
  <si>
    <t>Ansal Housing Ltd-$</t>
  </si>
  <si>
    <t>INE607B01012</t>
  </si>
  <si>
    <t>Computer Point Ltd.</t>
  </si>
  <si>
    <t>COMPUPN</t>
  </si>
  <si>
    <t>COMPUTER POINT LTD.</t>
  </si>
  <si>
    <t>INE435D01014</t>
  </si>
  <si>
    <t>Mac Charles (India) Ltd.</t>
  </si>
  <si>
    <t>MCCHRLS-B</t>
  </si>
  <si>
    <t>MAC CHARLES (INDIA) LTD.</t>
  </si>
  <si>
    <t>INE757C01021</t>
  </si>
  <si>
    <t>Addi Industries Ltd.</t>
  </si>
  <si>
    <t>ADDIND</t>
  </si>
  <si>
    <t>ADDI INDUSTRIES LTD.-$</t>
  </si>
  <si>
    <t>INE746D01014</t>
  </si>
  <si>
    <t>Pioneer Investcorp Ltd</t>
  </si>
  <si>
    <t>PIONRINV</t>
  </si>
  <si>
    <t>PIONEER INVESTCORP LTD.</t>
  </si>
  <si>
    <t>INE372I01018</t>
  </si>
  <si>
    <t>Ashnoor Textiles Mills Ltd.</t>
  </si>
  <si>
    <t>ASHNOOR</t>
  </si>
  <si>
    <t>ASHNOOR TEXTILE MILLS LTD.</t>
  </si>
  <si>
    <t>INE694A01020</t>
  </si>
  <si>
    <t>Unitech Ltd.</t>
  </si>
  <si>
    <t>UNITECH</t>
  </si>
  <si>
    <t>UNITECH LTD.</t>
  </si>
  <si>
    <t>Aditya Vision Limited</t>
  </si>
  <si>
    <t>AVL</t>
  </si>
  <si>
    <t>Aditya Vision Ltd</t>
  </si>
  <si>
    <t>INE679V01019</t>
  </si>
  <si>
    <t>INE296C01020</t>
  </si>
  <si>
    <t>FIBERWEB (INDIA) LTD.</t>
  </si>
  <si>
    <t>FIBERWEB</t>
  </si>
  <si>
    <t>INE724A01017</t>
  </si>
  <si>
    <t>LKP Finance Limited</t>
  </si>
  <si>
    <t>LKPFIN</t>
  </si>
  <si>
    <t>INE798E01013</t>
  </si>
  <si>
    <t>Manipal Finance Corporation Ltd.</t>
  </si>
  <si>
    <t>MNPLFIN</t>
  </si>
  <si>
    <t>MANIPAL FINANCE CORPORATION LTD.</t>
  </si>
  <si>
    <t>INE704G01024</t>
  </si>
  <si>
    <t>Bajaj Steel Industries Ltd.</t>
  </si>
  <si>
    <t>BAJAJST</t>
  </si>
  <si>
    <t>BAJAJ STEEL INDUSTRIES LTD.</t>
  </si>
  <si>
    <t>INE845A01010</t>
  </si>
  <si>
    <t>Kiduja  India  Ltd</t>
  </si>
  <si>
    <t>KIDUJA</t>
  </si>
  <si>
    <t>KIDUJA INDIA LTD.</t>
  </si>
  <si>
    <t>INE130F01016</t>
  </si>
  <si>
    <t>Key Corp Ltd</t>
  </si>
  <si>
    <t>KEYCORP</t>
  </si>
  <si>
    <t>KEY CORP LTD.</t>
  </si>
  <si>
    <t>INE02BV01019</t>
  </si>
  <si>
    <t>Shikhar Leasing and Trading Ltd.</t>
  </si>
  <si>
    <t>SHIKHARLETR</t>
  </si>
  <si>
    <t>SHIKHAR LEASING &amp; TRADING LTD.</t>
  </si>
  <si>
    <t>INE621C01011</t>
  </si>
  <si>
    <t>Gujarat Hotels Ltd.</t>
  </si>
  <si>
    <t>GUJHOTE</t>
  </si>
  <si>
    <t>GUJARAT HOTELS LTD.</t>
  </si>
  <si>
    <t>INE455H01013</t>
  </si>
  <si>
    <t>Rajath Finance Limited</t>
  </si>
  <si>
    <t>RAJATH</t>
  </si>
  <si>
    <t>INE651D01016</t>
  </si>
  <si>
    <t>Ras Resorts &amp; Apart Hotels Ltd.</t>
  </si>
  <si>
    <t>RASRESOR</t>
  </si>
  <si>
    <t>RAS RESORTS &amp; APART HOTELS LTD.</t>
  </si>
  <si>
    <t>INE143I01013</t>
  </si>
  <si>
    <t>Paramount Cosmetics (India) Ltd</t>
  </si>
  <si>
    <t>PARMCOS-B</t>
  </si>
  <si>
    <t>PARAMOUNT COSMETICS (INDIA) LTD.</t>
  </si>
  <si>
    <t>Personal Products</t>
  </si>
  <si>
    <t>Personal Care</t>
  </si>
  <si>
    <t>INE726D01016</t>
  </si>
  <si>
    <t>Jindal Hotels Ltd.</t>
  </si>
  <si>
    <t>JINDHOT</t>
  </si>
  <si>
    <t>JINDAL HOTELS LTD.</t>
  </si>
  <si>
    <t>INE990E01016</t>
  </si>
  <si>
    <t>Jupiter Industries &amp; Leasing Ltd.</t>
  </si>
  <si>
    <t>JPTRLES</t>
  </si>
  <si>
    <t>JUPITER INDUSTRIES &amp; LEASING LTD.</t>
  </si>
  <si>
    <t>INE657D01021</t>
  </si>
  <si>
    <t>Simmonds-Marshall Ltd</t>
  </si>
  <si>
    <t>SIMMOND</t>
  </si>
  <si>
    <t>SIMMONDS MARSHALL LTD.</t>
  </si>
  <si>
    <t>INE489D01011</t>
  </si>
  <si>
    <t>B &amp; A Ltd.</t>
  </si>
  <si>
    <t>BNALTD</t>
  </si>
  <si>
    <t>B &amp; A LTD.</t>
  </si>
  <si>
    <t>INE979B01015</t>
  </si>
  <si>
    <t>Hawkins Cooker Ltd.</t>
  </si>
  <si>
    <t>HAWKINCOOK</t>
  </si>
  <si>
    <t>HAWKINS COOKERS LTD.-$</t>
  </si>
  <si>
    <t>Houseware</t>
  </si>
  <si>
    <t>INE712A01012</t>
  </si>
  <si>
    <t>Warren Tea Ltd.</t>
  </si>
  <si>
    <t>WARRENTEA</t>
  </si>
  <si>
    <t>WARREN TEA LTD.-$</t>
  </si>
  <si>
    <t>INE788M01017</t>
  </si>
  <si>
    <t>Cochin Malabar Estates &amp; Indus. Ltd</t>
  </si>
  <si>
    <t>COCHMAL</t>
  </si>
  <si>
    <t>COCHIN MALABAR ESTATES &amp; INDUSTRIES LTD.</t>
  </si>
  <si>
    <t>INE553F01035</t>
  </si>
  <si>
    <t>Best Eastern Hotels Limited</t>
  </si>
  <si>
    <t>BESTEAST</t>
  </si>
  <si>
    <t>BEST EASTERN HOTELS LTD.</t>
  </si>
  <si>
    <t>INE605D01012</t>
  </si>
  <si>
    <t>Neelamalai Agro Industries Ltd.</t>
  </si>
  <si>
    <t>NEAGI</t>
  </si>
  <si>
    <t>NEELAMALAI AGRO INDUSTRIES LTD.</t>
  </si>
  <si>
    <t>INE684B01029</t>
  </si>
  <si>
    <t>IST Limited</t>
  </si>
  <si>
    <t>ISTLTD</t>
  </si>
  <si>
    <t>IST LTD.</t>
  </si>
  <si>
    <t>INE757A01017</t>
  </si>
  <si>
    <t>Cosmo First Limited</t>
  </si>
  <si>
    <t>COSMOFIRST</t>
  </si>
  <si>
    <t>Cosmo First Ltd</t>
  </si>
  <si>
    <t>INE437A01024</t>
  </si>
  <si>
    <t>Pricol Limited</t>
  </si>
  <si>
    <t>PRICOLLTD</t>
  </si>
  <si>
    <t>Pricol Ltd</t>
  </si>
  <si>
    <t>INE726V01018</t>
  </si>
  <si>
    <t>INE861H01020</t>
  </si>
  <si>
    <t>Nitin Castings Limited</t>
  </si>
  <si>
    <t>NITINCAST</t>
  </si>
  <si>
    <t>Nitin Castings Ltd</t>
  </si>
  <si>
    <t>INE641A01013</t>
  </si>
  <si>
    <t>SMIFS Capital Markets Ltd.</t>
  </si>
  <si>
    <t>SMIFS</t>
  </si>
  <si>
    <t>SMIFS CAPITAL MARKETS LTD.</t>
  </si>
  <si>
    <t>INE295A01018</t>
  </si>
  <si>
    <t>Everest Industries Ltd.</t>
  </si>
  <si>
    <t>EVERESTIND</t>
  </si>
  <si>
    <t>EVEREST INDUSTRIES LTD.</t>
  </si>
  <si>
    <t>INE791H01011</t>
  </si>
  <si>
    <t>IRONWOOD EDUCATION LIMITED</t>
  </si>
  <si>
    <t>IRONWOOD</t>
  </si>
  <si>
    <t>Ironwood Education Ltd</t>
  </si>
  <si>
    <t>INE331L01026</t>
  </si>
  <si>
    <t>MSR India Limited</t>
  </si>
  <si>
    <t>MSRINDIA</t>
  </si>
  <si>
    <t>MSR INDIA LTD.</t>
  </si>
  <si>
    <t>INE193B01039</t>
  </si>
  <si>
    <t>AYM Syntex Limited</t>
  </si>
  <si>
    <t>AYMSYNTEX</t>
  </si>
  <si>
    <t>AYM Syntex Ltd</t>
  </si>
  <si>
    <t>INE013E01017</t>
  </si>
  <si>
    <t>Panasonic Carbon India Co.Ltd</t>
  </si>
  <si>
    <t>PANCARBON</t>
  </si>
  <si>
    <t>PANASONIC CARBON INDIA CO.LTD.-$</t>
  </si>
  <si>
    <t>INE734I01027</t>
  </si>
  <si>
    <t>Finkurve Financial Services Limited</t>
  </si>
  <si>
    <t>FINKURVE</t>
  </si>
  <si>
    <t>Finkurve Financial Services Ltd</t>
  </si>
  <si>
    <t>INE549B01016</t>
  </si>
  <si>
    <t>HB Leasing &amp; Finance Co. Ltd.</t>
  </si>
  <si>
    <t>HBLEAS</t>
  </si>
  <si>
    <t>HB LEASING &amp; FINANCE CO.LTD.</t>
  </si>
  <si>
    <t>INE753D01010</t>
  </si>
  <si>
    <t>Shricon Industries Ltd.</t>
  </si>
  <si>
    <t>SHRICON</t>
  </si>
  <si>
    <t>SHRICON INDUSTRIES LTD.</t>
  </si>
  <si>
    <t>INE668Y01016</t>
  </si>
  <si>
    <t>Sterling Guarantee &amp; Fin. Ltd</t>
  </si>
  <si>
    <t>STRLGUA</t>
  </si>
  <si>
    <t>STERLING GUARANTY &amp; FINANCE LTD.</t>
  </si>
  <si>
    <t>INE673M01029</t>
  </si>
  <si>
    <t>Sulabh Engineers &amp; Services Limited</t>
  </si>
  <si>
    <t>SULABEN</t>
  </si>
  <si>
    <t>SULABH ENGINEERS &amp; SERVICES LTD.</t>
  </si>
  <si>
    <t>INE977E01013</t>
  </si>
  <si>
    <t>TCC CONCEPT LIMITED</t>
  </si>
  <si>
    <t>TCC</t>
  </si>
  <si>
    <t>TCC Concept Ltd</t>
  </si>
  <si>
    <t>INE887D01016</t>
  </si>
  <si>
    <t>INE060A01024</t>
  </si>
  <si>
    <t>Navneet Education Limited</t>
  </si>
  <si>
    <t>NAVNETEDUL</t>
  </si>
  <si>
    <t>Printing &amp; Publication</t>
  </si>
  <si>
    <t>INE511J01027</t>
  </si>
  <si>
    <t>Kedia Construction Co. Ltd.</t>
  </si>
  <si>
    <t>KEDIACN</t>
  </si>
  <si>
    <t>KEDIA CONSTRUCTION CO.LTD.</t>
  </si>
  <si>
    <t>INE086E01021</t>
  </si>
  <si>
    <t>Satra Properties(India) Ltd</t>
  </si>
  <si>
    <t>SATRAPROP</t>
  </si>
  <si>
    <t>SATRA PROPERTIES (INDIA) LTD.</t>
  </si>
  <si>
    <t>INE074J01018</t>
  </si>
  <si>
    <t>Allcargo Terminals Limited</t>
  </si>
  <si>
    <t>ATL</t>
  </si>
  <si>
    <t>Allcargo Terminals Ltd</t>
  </si>
  <si>
    <t>INE0NN701020</t>
  </si>
  <si>
    <t>Port &amp; Port services</t>
  </si>
  <si>
    <t>INE218C01016</t>
  </si>
  <si>
    <t>AuSom Enterprise Limited</t>
  </si>
  <si>
    <t>AUSOMENT</t>
  </si>
  <si>
    <t>INE190F01028</t>
  </si>
  <si>
    <t>Thakral Services (India) Limited</t>
  </si>
  <si>
    <t>THAKRAL</t>
  </si>
  <si>
    <t>THAKRAL SERVICES (INDIA) LTD.</t>
  </si>
  <si>
    <t>INE413B01023</t>
  </si>
  <si>
    <t>Lancer Container Lines Limited</t>
  </si>
  <si>
    <t>LANCER</t>
  </si>
  <si>
    <t>Lancer Container Lines Ltd</t>
  </si>
  <si>
    <t>INE359U01028</t>
  </si>
  <si>
    <t>INE117F01013</t>
  </si>
  <si>
    <t>VJTF Eduservices Limited</t>
  </si>
  <si>
    <t>VJTFEDU</t>
  </si>
  <si>
    <t>VJTF EDUSERVICES LTD.</t>
  </si>
  <si>
    <t>INE763D01019</t>
  </si>
  <si>
    <t>Voltaire Leasing &amp; Finance Ltd.</t>
  </si>
  <si>
    <t>VOLLF</t>
  </si>
  <si>
    <t>VOLTAIRE LEASING &amp; FINANCE LTD.</t>
  </si>
  <si>
    <t>INE040F01033</t>
  </si>
  <si>
    <t>Netlink Solutions (India) Ltd.</t>
  </si>
  <si>
    <t>NETLINK</t>
  </si>
  <si>
    <t>NETLINK SOLUTIONS (INDIA) LTD.</t>
  </si>
  <si>
    <t>INE778N01016</t>
  </si>
  <si>
    <t>KRYSTAL INTEGRATED SERVICES LIMITED</t>
  </si>
  <si>
    <t>KRYSTAL</t>
  </si>
  <si>
    <t>Krystal Integrated Services Ltd</t>
  </si>
  <si>
    <t>INE0QN801017</t>
  </si>
  <si>
    <t>INE572G01025</t>
  </si>
  <si>
    <t>Lancor Holdings Ltd.</t>
  </si>
  <si>
    <t>LANCORHOL</t>
  </si>
  <si>
    <t>LANCOR HOLDINGS LTD.</t>
  </si>
  <si>
    <t>INE300B01022</t>
  </si>
  <si>
    <t>Indian Infotech And Software Ltd.</t>
  </si>
  <si>
    <t>INDINFO</t>
  </si>
  <si>
    <t>INDIAN INFOTECH &amp; SOFTWARE LTD.</t>
  </si>
  <si>
    <t>INE521L01030</t>
  </si>
  <si>
    <t>Banas Finance Limited</t>
  </si>
  <si>
    <t>BANASFN</t>
  </si>
  <si>
    <t>BANAS FINANCE LTD.</t>
  </si>
  <si>
    <t>INE392A01021</t>
  </si>
  <si>
    <t>Visaka Industries Ltd.</t>
  </si>
  <si>
    <t>VISAKAIND</t>
  </si>
  <si>
    <t>VISAKA INDUSTRIES LTD.</t>
  </si>
  <si>
    <t>INE525B01016</t>
  </si>
  <si>
    <t>Hathway Bhawani Cabletel &amp; Datacom</t>
  </si>
  <si>
    <t>HATHWAYB</t>
  </si>
  <si>
    <t>HATHWAY BHAWANI CABLETEL &amp; DATACOM LTD.</t>
  </si>
  <si>
    <t>INE742B01025</t>
  </si>
  <si>
    <t>Gufic BioSciences Ltd.</t>
  </si>
  <si>
    <t>GUFICBIO</t>
  </si>
  <si>
    <t>GUFIC BIOSCIENCES LTD.</t>
  </si>
  <si>
    <t>INE107J01016</t>
  </si>
  <si>
    <t>Transindia Real Estate Limited</t>
  </si>
  <si>
    <t>TREL</t>
  </si>
  <si>
    <t>Transindia Real Estate Ltd</t>
  </si>
  <si>
    <t>INE0O3901029</t>
  </si>
  <si>
    <t>INE137I01015</t>
  </si>
  <si>
    <t>GRP Limited</t>
  </si>
  <si>
    <t>GRPLTD</t>
  </si>
  <si>
    <t>GRP LTD.</t>
  </si>
  <si>
    <t>INE802D01023</t>
  </si>
  <si>
    <t>Indag Rubber Ltd.</t>
  </si>
  <si>
    <t>INDAG</t>
  </si>
  <si>
    <t>INDAG RUBBER LTD.-$</t>
  </si>
  <si>
    <t>INE159E01026</t>
  </si>
  <si>
    <t>M.M. Rubber Company Ltd.</t>
  </si>
  <si>
    <t>MMRUBBR-B</t>
  </si>
  <si>
    <t>MM RUBBER COMPANY LTD.</t>
  </si>
  <si>
    <t>INE034D01049</t>
  </si>
  <si>
    <t>Sical Logistics Limited</t>
  </si>
  <si>
    <t>SICALLOG</t>
  </si>
  <si>
    <t>SICAL LOGISTICS LTD.</t>
  </si>
  <si>
    <t>INE075B01020</t>
  </si>
  <si>
    <t>INE421C01016</t>
  </si>
  <si>
    <t>TVS Srichakra Ltd.</t>
  </si>
  <si>
    <t>TVSSRICHAK</t>
  </si>
  <si>
    <t>TVS SRICHAKRA LTD.-$</t>
  </si>
  <si>
    <t>INE367E01033</t>
  </si>
  <si>
    <t>Sanathnagar Enterprises Limited</t>
  </si>
  <si>
    <t>SEL</t>
  </si>
  <si>
    <t>INE664D01019</t>
  </si>
  <si>
    <t>Benares Hotels Ltd</t>
  </si>
  <si>
    <t>BENARAS</t>
  </si>
  <si>
    <t>BENARES HOTELS LTD.</t>
  </si>
  <si>
    <t>INE026I01010</t>
  </si>
  <si>
    <t>Bhagwati Oxygen Ltd.</t>
  </si>
  <si>
    <t>BHAGWOX</t>
  </si>
  <si>
    <t>BHAGWATI OXYGEN LTD.</t>
  </si>
  <si>
    <t>INE01TL01014</t>
  </si>
  <si>
    <t>BOMBAY OXYGEN INVESTMENTS LIMITED</t>
  </si>
  <si>
    <t>BOMOXY-B1</t>
  </si>
  <si>
    <t>Bombay Oxygen Investments Ltd</t>
  </si>
  <si>
    <t>INE145E01017</t>
  </si>
  <si>
    <t>Sakuma Exports Ltd.</t>
  </si>
  <si>
    <t>SAKUMA</t>
  </si>
  <si>
    <t>SAKUMA EXPORTS LTD.</t>
  </si>
  <si>
    <t>INE190H01024</t>
  </si>
  <si>
    <t>Avenue Supermarts Limited</t>
  </si>
  <si>
    <t>DMART</t>
  </si>
  <si>
    <t>Avenue Supermarts Ltd</t>
  </si>
  <si>
    <t>INE192R01011</t>
  </si>
  <si>
    <t>INE479A01018</t>
  </si>
  <si>
    <t>Caprihans India Ltd.</t>
  </si>
  <si>
    <t>CAPRIHANS</t>
  </si>
  <si>
    <t>CAPRIHANS INDIA LTD.-$</t>
  </si>
  <si>
    <t>INE371A01025</t>
  </si>
  <si>
    <t>Dixon Technologies (India) Limited</t>
  </si>
  <si>
    <t>DIXON</t>
  </si>
  <si>
    <t>Dixon Technologies (India) Ltd</t>
  </si>
  <si>
    <t>INE935N01020</t>
  </si>
  <si>
    <t>INE686A01026</t>
  </si>
  <si>
    <t>Tube Investments of India Ltd</t>
  </si>
  <si>
    <t>TIINDIA</t>
  </si>
  <si>
    <t>INE974X01010</t>
  </si>
  <si>
    <t>INE515H01014</t>
  </si>
  <si>
    <t>Empire Industries Ltd.</t>
  </si>
  <si>
    <t>EMPIND</t>
  </si>
  <si>
    <t>EMPIRE INDUSTRIES LTD.</t>
  </si>
  <si>
    <t>INE214F01026</t>
  </si>
  <si>
    <t>Graviss Hospitality Ltd</t>
  </si>
  <si>
    <t>GRAVISSHO</t>
  </si>
  <si>
    <t>GRAVISS HOSPITALITY LTD.</t>
  </si>
  <si>
    <t>Amber Enterprises India Limited</t>
  </si>
  <si>
    <t>AMBER</t>
  </si>
  <si>
    <t>Amber Enterprises India Ltd</t>
  </si>
  <si>
    <t>INE371P01015</t>
  </si>
  <si>
    <t>INE925D01014</t>
  </si>
  <si>
    <t>Garware Marine Industries Ltd.</t>
  </si>
  <si>
    <t>GARWAMAR</t>
  </si>
  <si>
    <t>GARWARE MARINE INDUSTRIES LTD.</t>
  </si>
  <si>
    <t>INE426D01013</t>
  </si>
  <si>
    <t>Goa Carbon Ltd.</t>
  </si>
  <si>
    <t>GOACARBON</t>
  </si>
  <si>
    <t>GOA CARBON LTD.-$</t>
  </si>
  <si>
    <t>INE722D01015</t>
  </si>
  <si>
    <t>Hardcastle &amp; Waud Mfg. Co. Ltd.</t>
  </si>
  <si>
    <t>HARDCAS</t>
  </si>
  <si>
    <t>HARDCASTLE &amp; WAUD MFG.CO.LTD.</t>
  </si>
  <si>
    <t>INE545A01016</t>
  </si>
  <si>
    <t>Lemon Tree Hotels Limited</t>
  </si>
  <si>
    <t>LEMONTREE</t>
  </si>
  <si>
    <t>Lemon Tree Hotels Ltd</t>
  </si>
  <si>
    <t>INE970X01018</t>
  </si>
  <si>
    <t>INE310C01029</t>
  </si>
  <si>
    <t>Hindustan Composites Ltd</t>
  </si>
  <si>
    <t>HINDCOMPOS</t>
  </si>
  <si>
    <t>HINDUSTAN COMPOSITES LTD.</t>
  </si>
  <si>
    <t>INE083O01019</t>
  </si>
  <si>
    <t>Hindustan Housing Co. Ltd.</t>
  </si>
  <si>
    <t>ZHINDHSG</t>
  </si>
  <si>
    <t>HINDUSTAN HOUSING CO.LTD.</t>
  </si>
  <si>
    <t>Housing Finance Company</t>
  </si>
  <si>
    <t>INE557A01011</t>
  </si>
  <si>
    <t>HIL Limited</t>
  </si>
  <si>
    <t>HIL</t>
  </si>
  <si>
    <t>HIL LTD.</t>
  </si>
  <si>
    <t>INE061A01014</t>
  </si>
  <si>
    <t>Indian Card Clothing Ltd</t>
  </si>
  <si>
    <t>INDIANCARD</t>
  </si>
  <si>
    <t>INDIAN CARD CLOTHING CO.LTD.</t>
  </si>
  <si>
    <t>INE575C01027</t>
  </si>
  <si>
    <t>International Conveyors Ltd.</t>
  </si>
  <si>
    <t>INTLCONV</t>
  </si>
  <si>
    <t>INTERNATIONAL CONVEYORS LTD.</t>
  </si>
  <si>
    <t>INE364A01020</t>
  </si>
  <si>
    <t>Jay Shree Tea &amp; Industries Ltd.</t>
  </si>
  <si>
    <t>JAYSREETEA</t>
  </si>
  <si>
    <t>JAY SHREE TEA &amp; INDUSTRIES LTD.</t>
  </si>
  <si>
    <t>INE972A01020</t>
  </si>
  <si>
    <t>Kothari Industrial Corpn. Ltd.</t>
  </si>
  <si>
    <t>KOTIC</t>
  </si>
  <si>
    <t>KOTHARI INDUSTRIAL CORPORATION LTD.</t>
  </si>
  <si>
    <t>INE370A01019</t>
  </si>
  <si>
    <t>Modern Shares and Stockbrokers Ltd.</t>
  </si>
  <si>
    <t>MODRNSH</t>
  </si>
  <si>
    <t>MODERN SHARES &amp; STOCKBROKERS LTD.</t>
  </si>
  <si>
    <t>INE880P01015</t>
  </si>
  <si>
    <t>State Trading Corporation of India</t>
  </si>
  <si>
    <t>STCINDIA</t>
  </si>
  <si>
    <t>STATE TRADING CORPORATION OF INDIA LTD.</t>
  </si>
  <si>
    <t>INE655A01013</t>
  </si>
  <si>
    <t>INE275B01026</t>
  </si>
  <si>
    <t>HUHTAMAKI INDIA LIMITED</t>
  </si>
  <si>
    <t>HUHTAMAKI</t>
  </si>
  <si>
    <t>Huhtamaki India Ltd</t>
  </si>
  <si>
    <t>INE940N01012</t>
  </si>
  <si>
    <t>Premier Synthetics Ltd.</t>
  </si>
  <si>
    <t>PREMSYN</t>
  </si>
  <si>
    <t>PREMIER SYNTHETICS LTD.</t>
  </si>
  <si>
    <t>INE712Z01019</t>
  </si>
  <si>
    <t>R.J. Shah &amp; Co. Ltd.</t>
  </si>
  <si>
    <t>RJSHAH</t>
  </si>
  <si>
    <t>R.J.SHAH &amp; CO.LTD.</t>
  </si>
  <si>
    <t>INE02C301011</t>
  </si>
  <si>
    <t>Shah Construction Co. Ltd.</t>
  </si>
  <si>
    <t>SHAHCON</t>
  </si>
  <si>
    <t>SHAH CONSTRUCTION CO.LTD.</t>
  </si>
  <si>
    <t>INE849C01026</t>
  </si>
  <si>
    <t>Shalimar Paints Ltd.</t>
  </si>
  <si>
    <t>SHALPAINTS</t>
  </si>
  <si>
    <t>SHALIMAR PAINTS LTD.-$</t>
  </si>
  <si>
    <t>INE896E01023</t>
  </si>
  <si>
    <t>Sinnar Bidi Udyog Ltd.</t>
  </si>
  <si>
    <t>SINNAR</t>
  </si>
  <si>
    <t>SINNAR BIDI UDYOG LTD.</t>
  </si>
  <si>
    <t>Cigarettes &amp; Tobacco Products</t>
  </si>
  <si>
    <t>INE832D01020</t>
  </si>
  <si>
    <t>Hindoostan Mills Ltd.</t>
  </si>
  <si>
    <t>HINDMILL</t>
  </si>
  <si>
    <t>HINDOOSTAN MILLS LTD.</t>
  </si>
  <si>
    <t>INE532U01012</t>
  </si>
  <si>
    <t>Southern Gas Ltd.</t>
  </si>
  <si>
    <t>ZSOUTGAS</t>
  </si>
  <si>
    <t>SOUTHERN GAS LTD.</t>
  </si>
  <si>
    <t>INE881P01013</t>
  </si>
  <si>
    <t>Essar Shipping Ltd</t>
  </si>
  <si>
    <t>ESSARSHPNG</t>
  </si>
  <si>
    <t>ESSAR SHIPPING LTD.</t>
  </si>
  <si>
    <t>INE122M01019</t>
  </si>
  <si>
    <t>INE195A01028</t>
  </si>
  <si>
    <t>Orient Electric Limited</t>
  </si>
  <si>
    <t>ORIENTELEC</t>
  </si>
  <si>
    <t>Orient Electric Ltd</t>
  </si>
  <si>
    <t>INE142Z01019</t>
  </si>
  <si>
    <t>INE077P01034</t>
  </si>
  <si>
    <t>Thacker &amp; Co. Ltd.</t>
  </si>
  <si>
    <t>THACKER</t>
  </si>
  <si>
    <t>THACKER &amp; CO.LTD.</t>
  </si>
  <si>
    <t>INE726E01014</t>
  </si>
  <si>
    <t>U.P. Hotels Ltd.</t>
  </si>
  <si>
    <t>UPHOT</t>
  </si>
  <si>
    <t>U.P.HOTELS LTD.</t>
  </si>
  <si>
    <t>INE710A01016</t>
  </si>
  <si>
    <t>Varroc Engineering Limited</t>
  </si>
  <si>
    <t>VARROC</t>
  </si>
  <si>
    <t>Varroc Engineering Ltd</t>
  </si>
  <si>
    <t>INE665L01035</t>
  </si>
  <si>
    <t>INE804A01025</t>
  </si>
  <si>
    <t>Swasti Vinayaka Synthetics Ltd.</t>
  </si>
  <si>
    <t>SWASTIVI</t>
  </si>
  <si>
    <t>SWASTI VINAYAKA SYNTHETICS LTD.</t>
  </si>
  <si>
    <t>INE856D01011</t>
  </si>
  <si>
    <t>Madhusudan Securities Ltd</t>
  </si>
  <si>
    <t>MADHUSE</t>
  </si>
  <si>
    <t>MADHUSUDAN SECURITIES LTD.</t>
  </si>
  <si>
    <t>INE457N01025</t>
  </si>
  <si>
    <t>Yamini Investments Company Limited</t>
  </si>
  <si>
    <t>YAMNINV</t>
  </si>
  <si>
    <t>YAMINI INVESTMENTS COMPANY LTD.</t>
  </si>
  <si>
    <t>INE946K01023</t>
  </si>
  <si>
    <t>Premier Capital Services Ltd.</t>
  </si>
  <si>
    <t>PREMCAP</t>
  </si>
  <si>
    <t>PREMIER CAPITAL SERVICES LTD.</t>
  </si>
  <si>
    <t>INE679T01013</t>
  </si>
  <si>
    <t>VIKAS LIFECARE LIMITED</t>
  </si>
  <si>
    <t>VIKASLIFE</t>
  </si>
  <si>
    <t>Vikas Lifecare Ltd</t>
  </si>
  <si>
    <t>INE161L01027</t>
  </si>
  <si>
    <t>INE742C01031</t>
  </si>
  <si>
    <t>Jindal Drilling &amp; Industries Ltd.</t>
  </si>
  <si>
    <t>JINDRILL</t>
  </si>
  <si>
    <t>JINDAL DRILLING &amp; INDUSTRIES LTD.</t>
  </si>
  <si>
    <t>Offshore Support Solution Drilling</t>
  </si>
  <si>
    <t>INE175Q01018</t>
  </si>
  <si>
    <t>Tracxn Technologies Limited</t>
  </si>
  <si>
    <t>TRACXN</t>
  </si>
  <si>
    <t>Tracxn Technologies Ltd</t>
  </si>
  <si>
    <t>INE0HMF01019</t>
  </si>
  <si>
    <t>Data Processing Services</t>
  </si>
  <si>
    <t>INE122N01017</t>
  </si>
  <si>
    <t>EKI Energy Services Limited</t>
  </si>
  <si>
    <t>EKI</t>
  </si>
  <si>
    <t>EKI Energy Services Ltd</t>
  </si>
  <si>
    <t>INE0CPR01018</t>
  </si>
  <si>
    <t>Consulting Services</t>
  </si>
  <si>
    <t>INE302E01014</t>
  </si>
  <si>
    <t>Sakthi Finance Ltd.</t>
  </si>
  <si>
    <t>SAKTHIFIN</t>
  </si>
  <si>
    <t>SAKTHI FINANCE LTD.</t>
  </si>
  <si>
    <t>INE407F01018</t>
  </si>
  <si>
    <t>EASY FINCORP LIMITED</t>
  </si>
  <si>
    <t>EASYFIN</t>
  </si>
  <si>
    <t>Easy Fincorp Ltd</t>
  </si>
  <si>
    <t>INE065D01027</t>
  </si>
  <si>
    <t>Sat Industries Ltd</t>
  </si>
  <si>
    <t>SATINDLTD</t>
  </si>
  <si>
    <t>SAT INDUSTRIES LTD.-$</t>
  </si>
  <si>
    <t>INE047E01031</t>
  </si>
  <si>
    <t>JMD Ventures Limited</t>
  </si>
  <si>
    <t>JMDVL</t>
  </si>
  <si>
    <t>JMD Ventures Ltd</t>
  </si>
  <si>
    <t>INE747V01014</t>
  </si>
  <si>
    <t>Tivoli Construction Ltd.</t>
  </si>
  <si>
    <t>TVOLCON</t>
  </si>
  <si>
    <t>TIVOLI CONSTRUCTION LTD.</t>
  </si>
  <si>
    <t>INE705C01020</t>
  </si>
  <si>
    <t>Shiva Texyarn Ltd.</t>
  </si>
  <si>
    <t>SHIVATEX</t>
  </si>
  <si>
    <t>SHIVA TEXYARN LTD.</t>
  </si>
  <si>
    <t>INE848D01018</t>
  </si>
  <si>
    <t>V.B.Desai Financial Services Ltd</t>
  </si>
  <si>
    <t>VBDESAI</t>
  </si>
  <si>
    <t>V.B.DESAI FINANCIAL SERVICES LTD.</t>
  </si>
  <si>
    <t>INE527B01020</t>
  </si>
  <si>
    <t>Quadrant Televentures Limited</t>
  </si>
  <si>
    <t>QUADRANT</t>
  </si>
  <si>
    <t>Quadrant Televentures Limited-$</t>
  </si>
  <si>
    <t>INE609B01018</t>
  </si>
  <si>
    <t>First Custodian Fund (India) Ltd.</t>
  </si>
  <si>
    <t>1STCUS</t>
  </si>
  <si>
    <t>FIRST CUSTODIAN FUND (INDIA) LTD.</t>
  </si>
  <si>
    <t>INE344D01018</t>
  </si>
  <si>
    <t>Kamanwala Housing Construction Ltd</t>
  </si>
  <si>
    <t>KAMANWALA</t>
  </si>
  <si>
    <t>KAMANWALA HOUSING CONSTRUCTION LTD.</t>
  </si>
  <si>
    <t>INE549D01012</t>
  </si>
  <si>
    <t>WSFX Global Pay Limited</t>
  </si>
  <si>
    <t>WSFX</t>
  </si>
  <si>
    <t>WSFx Global Pay Ltd</t>
  </si>
  <si>
    <t>Financial Technology (Fintech)</t>
  </si>
  <si>
    <t>INE096I01021</t>
  </si>
  <si>
    <t>Anjani Foods Limited</t>
  </si>
  <si>
    <t>ANJANIFOODS</t>
  </si>
  <si>
    <t>Anjani Foods Ltd</t>
  </si>
  <si>
    <t>INE635I01018</t>
  </si>
  <si>
    <t>Parshwanath Corporation Limited</t>
  </si>
  <si>
    <t>PARSHWANA</t>
  </si>
  <si>
    <t>PARSHWANATH CORPORATION LTD.</t>
  </si>
  <si>
    <t>INE381N01019</t>
  </si>
  <si>
    <t>TAAL Enterprises Limited</t>
  </si>
  <si>
    <t>TAALENT</t>
  </si>
  <si>
    <t>TAAL Enterprises Ltd</t>
  </si>
  <si>
    <t>INE524T01011</t>
  </si>
  <si>
    <t>INE570N01025</t>
  </si>
  <si>
    <t>Newtime Infrastructure Limited</t>
  </si>
  <si>
    <t>NEWINFRA</t>
  </si>
  <si>
    <t>INE997D01021</t>
  </si>
  <si>
    <t>INE613B01010</t>
  </si>
  <si>
    <t>Radiant Cash Management Services Limited</t>
  </si>
  <si>
    <t>RADIANTCMS</t>
  </si>
  <si>
    <t>Radiant Cash Management Services Ltd</t>
  </si>
  <si>
    <t>INE855R01021</t>
  </si>
  <si>
    <t>INE477A01020</t>
  </si>
  <si>
    <t>Chalet Hotels Limited</t>
  </si>
  <si>
    <t>CHALET</t>
  </si>
  <si>
    <t>Chalet Hotels Ltd</t>
  </si>
  <si>
    <t>INE427F01016</t>
  </si>
  <si>
    <t>INE910G01027</t>
  </si>
  <si>
    <t>Munoth Capital Market Ltd</t>
  </si>
  <si>
    <t>MUNCAPM</t>
  </si>
  <si>
    <t>MUNOTH CAPITAL MARKET LTD.</t>
  </si>
  <si>
    <t>INE050B01023</t>
  </si>
  <si>
    <t>IL &amp; FS Investment Managers Ltd.</t>
  </si>
  <si>
    <t>IVC</t>
  </si>
  <si>
    <t>IL&amp;FS INVESTMENT MANAGERS LTD.</t>
  </si>
  <si>
    <t>Asset Management Company</t>
  </si>
  <si>
    <t>INE721A01013</t>
  </si>
  <si>
    <t>Arvind Fashions Limited</t>
  </si>
  <si>
    <t>ARVINDFASN</t>
  </si>
  <si>
    <t>Arvind Fashions Ltd</t>
  </si>
  <si>
    <t>INE955V01021</t>
  </si>
  <si>
    <t>INE121A01024</t>
  </si>
  <si>
    <t>IndiaMART InterMESH Limited</t>
  </si>
  <si>
    <t>INDIAMART</t>
  </si>
  <si>
    <t>IndiaMART InterMESH Ltd</t>
  </si>
  <si>
    <t>INE933S01016</t>
  </si>
  <si>
    <t>INE910D01024</t>
  </si>
  <si>
    <t>BOMBAY TALKIES LIMITED</t>
  </si>
  <si>
    <t>BOMTALKIES</t>
  </si>
  <si>
    <t>Bombay Talkies Ltd</t>
  </si>
  <si>
    <t>INE771Z01015</t>
  </si>
  <si>
    <t>Sagar Systech Ltd.</t>
  </si>
  <si>
    <t>SAGARSYST</t>
  </si>
  <si>
    <t>SAGAR SYSTECH LTD.</t>
  </si>
  <si>
    <t>INE088P01015</t>
  </si>
  <si>
    <t>ID INFO BUSINESS SERVICES LTD.</t>
  </si>
  <si>
    <t>IDINFO</t>
  </si>
  <si>
    <t>ID Info Business Services Ltd</t>
  </si>
  <si>
    <t>INE709A01018</t>
  </si>
  <si>
    <t>VLS Finance Limited</t>
  </si>
  <si>
    <t>VLSFINANCE</t>
  </si>
  <si>
    <t>VLS FINANCE LTD.</t>
  </si>
  <si>
    <t>INE429D01017</t>
  </si>
  <si>
    <t>India Cements Capital Limited</t>
  </si>
  <si>
    <t>INDCEMCAP</t>
  </si>
  <si>
    <t>INDIA CEMENTS CAPITAL LTD.</t>
  </si>
  <si>
    <t>INE556D01017</t>
  </si>
  <si>
    <t>AD-Manum Finance Ltd</t>
  </si>
  <si>
    <t>ADMANUM</t>
  </si>
  <si>
    <t>AD-MANUM FINANCE LTD.</t>
  </si>
  <si>
    <t>INE240B01012</t>
  </si>
  <si>
    <t>Mehta Integrated Finance Ltd.</t>
  </si>
  <si>
    <t>MEHIF</t>
  </si>
  <si>
    <t>MEHTA INTEGRATED FINANCE LTD.</t>
  </si>
  <si>
    <t>INE661M01016</t>
  </si>
  <si>
    <t>Inter Globe Finance Ltd.</t>
  </si>
  <si>
    <t>INTRGLB</t>
  </si>
  <si>
    <t>INTER GLOBE FINANCE LTD.</t>
  </si>
  <si>
    <t>INE410E01015</t>
  </si>
  <si>
    <t>MUNOTH COMMUNICATION LIMITED</t>
  </si>
  <si>
    <t>MCLTD</t>
  </si>
  <si>
    <t>Munoth Communication Ltd</t>
  </si>
  <si>
    <t>INE472C01027</t>
  </si>
  <si>
    <t>SHRISTI INFRASTRUCTURE DEVELOPMENT CORPORATION LTD.</t>
  </si>
  <si>
    <t>SHRISTI</t>
  </si>
  <si>
    <t>INE559D01011</t>
  </si>
  <si>
    <t>CREST VENTURES LIMITED</t>
  </si>
  <si>
    <t>CREST</t>
  </si>
  <si>
    <t>INE051B01021</t>
  </si>
  <si>
    <t>Vakrangee Limited</t>
  </si>
  <si>
    <t>VAKRANGEE</t>
  </si>
  <si>
    <t>Vakrangee Limited-$</t>
  </si>
  <si>
    <t>INE034B01019</t>
  </si>
  <si>
    <t>Gujarat Credit Corporation Ltd.</t>
  </si>
  <si>
    <t>GUJCRED</t>
  </si>
  <si>
    <t>GUJARAT CREDIT CORPORATION LTD.</t>
  </si>
  <si>
    <t>INE706F01021</t>
  </si>
  <si>
    <t>Sylph Technologies Ltd</t>
  </si>
  <si>
    <t>SYLPH</t>
  </si>
  <si>
    <t>SYLPH TECHNOLOGIES LTD.</t>
  </si>
  <si>
    <t>INE899D01011</t>
  </si>
  <si>
    <t>Dharani Finance Ltd.</t>
  </si>
  <si>
    <t>DHARFIN</t>
  </si>
  <si>
    <t>DHARANI FINANCE LTD.</t>
  </si>
  <si>
    <t>INE191N01012</t>
  </si>
  <si>
    <t>Alexander Stamps And Coin Limited</t>
  </si>
  <si>
    <t>ALEXANDER</t>
  </si>
  <si>
    <t>Alexander Stamps And Coin Ltd</t>
  </si>
  <si>
    <t>INE841B01017</t>
  </si>
  <si>
    <t>Indbank Merchant Banking Services L</t>
  </si>
  <si>
    <t>INDBANK</t>
  </si>
  <si>
    <t>INDBANK MERCHANT BANKING SERVICES LTD.</t>
  </si>
  <si>
    <t>INE488C01015</t>
  </si>
  <si>
    <t>SHRYDUS INDUSTRIES LIMITED</t>
  </si>
  <si>
    <t>SHRYDUS</t>
  </si>
  <si>
    <t>Shrydus Industries Ltd</t>
  </si>
  <si>
    <t>INE900A01013</t>
  </si>
  <si>
    <t>Bharat Bhushan Share &amp; Commodity Brokers Ltd.</t>
  </si>
  <si>
    <t>BHARAT</t>
  </si>
  <si>
    <t>BHARAT BHUSHAN SHARE &amp; COMMODITY BROKERS LTD.</t>
  </si>
  <si>
    <t>INE707C01018</t>
  </si>
  <si>
    <t>Capital Trust Ltd.</t>
  </si>
  <si>
    <t>CAPTRUST</t>
  </si>
  <si>
    <t>CAPITAL TRUST LTD.</t>
  </si>
  <si>
    <t>INE697C01011</t>
  </si>
  <si>
    <t>Ushakiran Finance Ltd.</t>
  </si>
  <si>
    <t>USHAKIRA</t>
  </si>
  <si>
    <t>USHAKIRAN FINANCE LTD.</t>
  </si>
  <si>
    <t>INE380K01017</t>
  </si>
  <si>
    <t>Vivo Bio tech Ltd.</t>
  </si>
  <si>
    <t>VIVOBIOT</t>
  </si>
  <si>
    <t>VIVO BIO TECH LTD.</t>
  </si>
  <si>
    <t>Biotechnology</t>
  </si>
  <si>
    <t>INE882C01035</t>
  </si>
  <si>
    <t>Veerhealth Care Limited</t>
  </si>
  <si>
    <t>VEERHEALTH</t>
  </si>
  <si>
    <t>INE376A01032</t>
  </si>
  <si>
    <t>Pan India Corporation Ltd</t>
  </si>
  <si>
    <t>PANINDIAC</t>
  </si>
  <si>
    <t>PAN INDIA CORPORATION LTD.</t>
  </si>
  <si>
    <t>INE135C01012</t>
  </si>
  <si>
    <t>Sahara HousingFina Corporation Ltd.</t>
  </si>
  <si>
    <t>SAHARAHOUS</t>
  </si>
  <si>
    <t>SAHARA HOUSINGFINA CORPORATION LTD.</t>
  </si>
  <si>
    <t>INE026C01013</t>
  </si>
  <si>
    <t>NDA Securities ltd.</t>
  </si>
  <si>
    <t>NDASEC</t>
  </si>
  <si>
    <t>NDA SECURITIES LTD.</t>
  </si>
  <si>
    <t>INE777C01011</t>
  </si>
  <si>
    <t>GSB Finance Ltd.</t>
  </si>
  <si>
    <t>GSBFIN</t>
  </si>
  <si>
    <t>GSB FINANCE LTD.</t>
  </si>
  <si>
    <t>INE367A01015</t>
  </si>
  <si>
    <t>Morarka Finance Ltd.</t>
  </si>
  <si>
    <t>MORARKFI</t>
  </si>
  <si>
    <t>MORARKA FINANCE LTD.</t>
  </si>
  <si>
    <t>INE903D01011</t>
  </si>
  <si>
    <t>Monarch Networth Capital Limited</t>
  </si>
  <si>
    <t>MONARCH</t>
  </si>
  <si>
    <t>Monarch Networth Capital Ltd</t>
  </si>
  <si>
    <t>INE732K01027</t>
  </si>
  <si>
    <t>VINTAGE COFFEE AND BEVERAGES LIMITED</t>
  </si>
  <si>
    <t>VINCOFE</t>
  </si>
  <si>
    <t>Vintage Coffee And Beverages Ltd</t>
  </si>
  <si>
    <t>INE498Q01014</t>
  </si>
  <si>
    <t>INE289C01025</t>
  </si>
  <si>
    <t>Times Guaranty Ltd.</t>
  </si>
  <si>
    <t>TIMESGTY</t>
  </si>
  <si>
    <t>TIMES GUARANTY LTD.</t>
  </si>
  <si>
    <t>INE654D01010</t>
  </si>
  <si>
    <t>Ritco Logistics Limited</t>
  </si>
  <si>
    <t>RITCO</t>
  </si>
  <si>
    <t>Ritco Logistics Ltd</t>
  </si>
  <si>
    <t>INE01EG01016</t>
  </si>
  <si>
    <t>INE754C01010</t>
  </si>
  <si>
    <t>Som Datt Finance Corporation Ltd.</t>
  </si>
  <si>
    <t>SODFC</t>
  </si>
  <si>
    <t>SOM DATT FINANCE CORPORATION LTD.</t>
  </si>
  <si>
    <t>INE425F01028</t>
  </si>
  <si>
    <t>Shreyas Shipping And Logistics Limited</t>
  </si>
  <si>
    <t>SHREYAS</t>
  </si>
  <si>
    <t>SHREYAS SHIPPING &amp; LOGISTICS LTD.</t>
  </si>
  <si>
    <t>INE757B01015</t>
  </si>
  <si>
    <t>INE323B01024</t>
  </si>
  <si>
    <t>Avonmore Capital &amp; Management Services Limited</t>
  </si>
  <si>
    <t>AVONMORE</t>
  </si>
  <si>
    <t>INE212B01011</t>
  </si>
  <si>
    <t>Libord Finance Limited</t>
  </si>
  <si>
    <t>LIBORDFIN</t>
  </si>
  <si>
    <t>Libord Finance Ltd</t>
  </si>
  <si>
    <t>INE216B01012</t>
  </si>
  <si>
    <t>Kernex Microsystems (India) Ltd.</t>
  </si>
  <si>
    <t>KERNEX</t>
  </si>
  <si>
    <t>KERNEX MICROSYSTEMS (INDIA) LTD.</t>
  </si>
  <si>
    <t>INE202H01019</t>
  </si>
  <si>
    <t>Transport Related Services</t>
  </si>
  <si>
    <t>INE420B01036</t>
  </si>
  <si>
    <t>Arihant Capital Markets Ltd.</t>
  </si>
  <si>
    <t>ARIHANTCAP</t>
  </si>
  <si>
    <t>ARIHANT CAPITAL MARKETS LTD.</t>
  </si>
  <si>
    <t>INE569B01022</t>
  </si>
  <si>
    <t>ISL Consulting Ltd</t>
  </si>
  <si>
    <t>ISLCONSUL</t>
  </si>
  <si>
    <t>ISL CONSULTING LTD.</t>
  </si>
  <si>
    <t>INE891B01012</t>
  </si>
  <si>
    <t>DCM Financial Services Ltd.</t>
  </si>
  <si>
    <t>DCMFINSERV</t>
  </si>
  <si>
    <t>DCM FINANCIAL SERVICES LTD.</t>
  </si>
  <si>
    <t>INE229D01011</t>
  </si>
  <si>
    <t>R.R.Financial Consultants Ltd.</t>
  </si>
  <si>
    <t>RRFIN</t>
  </si>
  <si>
    <t>RR FINANCIAL CONSULTANTS LTD.</t>
  </si>
  <si>
    <t>INE417D01012</t>
  </si>
  <si>
    <t>IM+ Capitals Limited</t>
  </si>
  <si>
    <t>IMCAP</t>
  </si>
  <si>
    <t>INE699B01027</t>
  </si>
  <si>
    <t>Sambhaav Media Ltd.</t>
  </si>
  <si>
    <t>SAMBHAAV</t>
  </si>
  <si>
    <t>SAMBHAAV MEDIA LTD.</t>
  </si>
  <si>
    <t>Electronic Media</t>
  </si>
  <si>
    <t>INE919M01026</t>
  </si>
  <si>
    <t>Dugar Housing Developments Limited</t>
  </si>
  <si>
    <t>DUGARHOU</t>
  </si>
  <si>
    <t>DUGAR HOUSING DEVELOPMENTS LTD.</t>
  </si>
  <si>
    <t>INE113B01029</t>
  </si>
  <si>
    <t>Omega Interactive Technologies Ltd.</t>
  </si>
  <si>
    <t>OMEGAIN</t>
  </si>
  <si>
    <t>OMEGA INTERACTIVE TECHNOLOGIES LTD.</t>
  </si>
  <si>
    <t>INE309D01011</t>
  </si>
  <si>
    <t>Sugal &amp; Damani Share Brokers Ltd.</t>
  </si>
  <si>
    <t>SUGALDAM</t>
  </si>
  <si>
    <t>SUGAL &amp; DAMANI SHARE BROKERS LTD.</t>
  </si>
  <si>
    <t>INE027D01019</t>
  </si>
  <si>
    <t>Nettlinx Ltd.</t>
  </si>
  <si>
    <t>NETTLINX</t>
  </si>
  <si>
    <t>NETTLINX LTD.</t>
  </si>
  <si>
    <t>INE443D01018</t>
  </si>
  <si>
    <t>BGIL Films &amp; Technologies Ltd</t>
  </si>
  <si>
    <t>BGIL</t>
  </si>
  <si>
    <t>BGIL FILMS &amp; TECHNOLOGIES LTD.</t>
  </si>
  <si>
    <t>INE099G01011</t>
  </si>
  <si>
    <t>Scan Steels Limited</t>
  </si>
  <si>
    <t>SCANSTL</t>
  </si>
  <si>
    <t>INE289B01019</t>
  </si>
  <si>
    <t>GIC Housing Finance Ltd.</t>
  </si>
  <si>
    <t>GICHSGFIN</t>
  </si>
  <si>
    <t>GIC HOUSING FINANCE LTD.</t>
  </si>
  <si>
    <t>INE963B01019</t>
  </si>
  <si>
    <t>Mathew Easow Research Securities Lt</t>
  </si>
  <si>
    <t>MATHEWE</t>
  </si>
  <si>
    <t>MATHEW EASOW RESEARCH SECURITIES LTD.</t>
  </si>
  <si>
    <t>INE759C01019</t>
  </si>
  <si>
    <t>Ajcon Global Services Ltd.</t>
  </si>
  <si>
    <t>AJCON</t>
  </si>
  <si>
    <t>AJCON GLOBAL SERVICES LTD.</t>
  </si>
  <si>
    <t>INE953B01010</t>
  </si>
  <si>
    <t>Chartered Capital &amp; Investment Ltd.</t>
  </si>
  <si>
    <t>CHRTEDCA</t>
  </si>
  <si>
    <t>CHARTERED CAPITAL &amp; INVESTMENT LTD.</t>
  </si>
  <si>
    <t>INE625D01028</t>
  </si>
  <si>
    <t>Standard Capital Markets Ltd.</t>
  </si>
  <si>
    <t>STANCAP</t>
  </si>
  <si>
    <t>STANDARD CAPITAL MARKETS LTD.</t>
  </si>
  <si>
    <t>INE290E01011</t>
  </si>
  <si>
    <t>YOGI LIMITED</t>
  </si>
  <si>
    <t>YOGI</t>
  </si>
  <si>
    <t>YOGI Ltd</t>
  </si>
  <si>
    <t>INE717D01023</t>
  </si>
  <si>
    <t>Cubical Financial Services Ltd.</t>
  </si>
  <si>
    <t>CUBIFIN</t>
  </si>
  <si>
    <t>CUBICAL FINANCIAL SERVICES LTD.</t>
  </si>
  <si>
    <t>INE452B01013</t>
  </si>
  <si>
    <t>Relic Technologies Ltd.</t>
  </si>
  <si>
    <t>RELICTEC</t>
  </si>
  <si>
    <t>RELIC TECHNOLOGIES LTD.</t>
  </si>
  <si>
    <t>INE875B01015</t>
  </si>
  <si>
    <t>Nimbus Projects Limited</t>
  </si>
  <si>
    <t>NIMBSPROJ</t>
  </si>
  <si>
    <t>NIMBUS PROJECTS LTD.</t>
  </si>
  <si>
    <t>INE020D01022</t>
  </si>
  <si>
    <t>BAID FINSERV LIMITED</t>
  </si>
  <si>
    <t>BAIDFIN</t>
  </si>
  <si>
    <t>Baid Finserv Ltd</t>
  </si>
  <si>
    <t>INE946H01037</t>
  </si>
  <si>
    <t>Vipul Limited</t>
  </si>
  <si>
    <t>VIPULLTD</t>
  </si>
  <si>
    <t>VIPUL LTD.</t>
  </si>
  <si>
    <t>INE006C01015</t>
  </si>
  <si>
    <t>K.Z.Leasing &amp; Finance Ltd.</t>
  </si>
  <si>
    <t>KZLFIN</t>
  </si>
  <si>
    <t>K.Z.LEASING &amp; FINANCE LTD.</t>
  </si>
  <si>
    <t>INE527C01010</t>
  </si>
  <si>
    <t>Pasupati Fincap Ltd.</t>
  </si>
  <si>
    <t>PASUFIN</t>
  </si>
  <si>
    <t>PASUPATI FINCAP LTD.</t>
  </si>
  <si>
    <t>INE241B01010</t>
  </si>
  <si>
    <t>Mehta Securities Ltd.</t>
  </si>
  <si>
    <t>MEHSECU</t>
  </si>
  <si>
    <t>MEHTA SECURITIES LTD.</t>
  </si>
  <si>
    <t>INE239B01014</t>
  </si>
  <si>
    <t>Mehta Housing Finance Ltd.</t>
  </si>
  <si>
    <t>MEHTAHG</t>
  </si>
  <si>
    <t>MEHTA HOUSING FINANCE LTD.</t>
  </si>
  <si>
    <t>INE583D01011</t>
  </si>
  <si>
    <t>UGRO CAPITAL LIMITED</t>
  </si>
  <si>
    <t>UGROCAP</t>
  </si>
  <si>
    <t>Ugro Capital Ltd</t>
  </si>
  <si>
    <t>INE861D01011</t>
  </si>
  <si>
    <t>Shalibhadra Finance Ltd.</t>
  </si>
  <si>
    <t>SAHLIBHFI</t>
  </si>
  <si>
    <t>SHALIBHADRA FINANCE LTD.</t>
  </si>
  <si>
    <t>INE195I01013</t>
  </si>
  <si>
    <t>Abirami Financial Services (India)</t>
  </si>
  <si>
    <t>ABIRAFN</t>
  </si>
  <si>
    <t>ABIRAMI FINANCIAL SERVICES (INDIA) LTD.</t>
  </si>
  <si>
    <t>INE094E01017</t>
  </si>
  <si>
    <t>Mansi Finance (Chennai) Ltd</t>
  </si>
  <si>
    <t>MANSIFIN</t>
  </si>
  <si>
    <t>MANSI FINANCE (CHENNAI) LTD.</t>
  </si>
  <si>
    <t>INE518D01025</t>
  </si>
  <si>
    <t>Seven Hill Industries Limited</t>
  </si>
  <si>
    <t>SEVENHILL</t>
  </si>
  <si>
    <t>INE819K01014</t>
  </si>
  <si>
    <t>Aastamangalam Finance Limited</t>
  </si>
  <si>
    <t>AASTAFIN</t>
  </si>
  <si>
    <t>Aastamangalam Finance Ltd</t>
  </si>
  <si>
    <t>INE296G01013</t>
  </si>
  <si>
    <t>Muthoot Capital Services Ltd.</t>
  </si>
  <si>
    <t>MUTHOOTCAP</t>
  </si>
  <si>
    <t>MUTHOOT CAPITAL SERVICES LTD.</t>
  </si>
  <si>
    <t>INE677D01029</t>
  </si>
  <si>
    <t>Master Trust Ltd.</t>
  </si>
  <si>
    <t>MASTERTR</t>
  </si>
  <si>
    <t>MASTER TRUST LTD.</t>
  </si>
  <si>
    <t>INE582V01015</t>
  </si>
  <si>
    <t>REMEDIUM LIFECARE LIMITED</t>
  </si>
  <si>
    <t>REMLIFE</t>
  </si>
  <si>
    <t>Remedium Lifecare Ltd</t>
  </si>
  <si>
    <t>INE549S01036</t>
  </si>
  <si>
    <t>INE886D01026</t>
  </si>
  <si>
    <t>EFC (I) LIMITED</t>
  </si>
  <si>
    <t>EFCIL</t>
  </si>
  <si>
    <t>EFC (I) Ltd</t>
  </si>
  <si>
    <t>Real Estate related services</t>
  </si>
  <si>
    <t>INE754D01018</t>
  </si>
  <si>
    <t>AVG Logistics Limited</t>
  </si>
  <si>
    <t>AVG</t>
  </si>
  <si>
    <t>AVG Logistics Ltd</t>
  </si>
  <si>
    <t>INE680Z01018</t>
  </si>
  <si>
    <t>INE135H01029</t>
  </si>
  <si>
    <t>CNI Research Ltd</t>
  </si>
  <si>
    <t>CNIRESLTD</t>
  </si>
  <si>
    <t>CNI RESEARCH LTD.</t>
  </si>
  <si>
    <t>INE967G01019</t>
  </si>
  <si>
    <t>Saraswati Commercial (India) Ltd.</t>
  </si>
  <si>
    <t>ZSARACOM</t>
  </si>
  <si>
    <t>SARASWATI COMMERCIAL (INDIA) LTD.</t>
  </si>
  <si>
    <t>INE837E01019</t>
  </si>
  <si>
    <t>Winro Commercial (India) Ltd.</t>
  </si>
  <si>
    <t>WINROC</t>
  </si>
  <si>
    <t>WINRO COMMERCIAL (INDIA) LTD.</t>
  </si>
  <si>
    <t>INE767M01011</t>
  </si>
  <si>
    <t>PTL Enterprises Ltd</t>
  </si>
  <si>
    <t>PTL</t>
  </si>
  <si>
    <t>PTL ENTERPRISES LTD.-$</t>
  </si>
  <si>
    <t>INE603D01017</t>
  </si>
  <si>
    <t>Oswal Agro Mills Ltd.</t>
  </si>
  <si>
    <t>OSWALAGRO</t>
  </si>
  <si>
    <t>OSWAL AGRO MILLS LTD.</t>
  </si>
  <si>
    <t>INE393H01016</t>
  </si>
  <si>
    <t>Kapil Cotex  Ltd.</t>
  </si>
  <si>
    <t>KAPILCO</t>
  </si>
  <si>
    <t>KAPIL COTEX LTD.</t>
  </si>
  <si>
    <t>Alankit Limited</t>
  </si>
  <si>
    <t>ALANKIT</t>
  </si>
  <si>
    <t>Alankit Ltd</t>
  </si>
  <si>
    <t>INE914E01040</t>
  </si>
  <si>
    <t>INE510H01015</t>
  </si>
  <si>
    <t>Royal India Corporation Limited</t>
  </si>
  <si>
    <t>ROYALIND</t>
  </si>
  <si>
    <t>INE195E01020</t>
  </si>
  <si>
    <t>Luharuka Media &amp; Infra Limited</t>
  </si>
  <si>
    <t>LUHARUKA</t>
  </si>
  <si>
    <t>Luharuka Media &amp; Infra Ltd</t>
  </si>
  <si>
    <t>INE139J01019</t>
  </si>
  <si>
    <t>Jet Airways (India) Ltd</t>
  </si>
  <si>
    <t>JETAIRWAYS</t>
  </si>
  <si>
    <t>JET AIRWAYS (INDIA) LTD.</t>
  </si>
  <si>
    <t>INE802G01018</t>
  </si>
  <si>
    <t>INE896J01014</t>
  </si>
  <si>
    <t>Riddhi Siddhi Gluco Biols Ltd</t>
  </si>
  <si>
    <t>RIDDHI</t>
  </si>
  <si>
    <t>RIDDHI SIDDHI GLUCO BIOLS LTD.-$</t>
  </si>
  <si>
    <t>INE249D01019</t>
  </si>
  <si>
    <t>INE048E01013</t>
  </si>
  <si>
    <t>Kothari Products Ltd.</t>
  </si>
  <si>
    <t>KOTHARIPRO</t>
  </si>
  <si>
    <t>KOTHARI PRODUCTS LTD.</t>
  </si>
  <si>
    <t>INE823A01017</t>
  </si>
  <si>
    <t>INE762D01011</t>
  </si>
  <si>
    <t>Tiger Logistics (India) Limited</t>
  </si>
  <si>
    <t>TIGERLOGS</t>
  </si>
  <si>
    <t>Tiger Logistics (India) Ltd</t>
  </si>
  <si>
    <t>INE906O01029</t>
  </si>
  <si>
    <t>INE738D01011</t>
  </si>
  <si>
    <t>Mrugesh Trading Ltd.</t>
  </si>
  <si>
    <t>MRUTR</t>
  </si>
  <si>
    <t>MRUGESH TRADING LTD.</t>
  </si>
  <si>
    <t>INE945F01025</t>
  </si>
  <si>
    <t>Deccan Gold Mines Ltd.</t>
  </si>
  <si>
    <t>DECNGOLD</t>
  </si>
  <si>
    <t>DECCAN GOLD MINES LTD.</t>
  </si>
  <si>
    <t>Indian Railway Catering &amp; Tourism Corporation Ltd</t>
  </si>
  <si>
    <t>IRCTC</t>
  </si>
  <si>
    <t>Indian Railway Catering and Tourism Corporation Ltd</t>
  </si>
  <si>
    <t>INE335Y01020</t>
  </si>
  <si>
    <t>INE425H01016</t>
  </si>
  <si>
    <t>Anshuni Commercials Ltd.</t>
  </si>
  <si>
    <t>ANSHNCO</t>
  </si>
  <si>
    <t>ANSHUNI COMMERCIALS LTD.</t>
  </si>
  <si>
    <t>INE234B01023</t>
  </si>
  <si>
    <t>Cranes Software International Ltd.</t>
  </si>
  <si>
    <t>CRANESSOFT</t>
  </si>
  <si>
    <t>CRANES SOFTWARE INTERNATIONAL LTD.</t>
  </si>
  <si>
    <t>INE092G01024</t>
  </si>
  <si>
    <t>Majestic Auto Ltd.</t>
  </si>
  <si>
    <t>MAJESAUT</t>
  </si>
  <si>
    <t>MAJESTIC AUTO LTD.-$</t>
  </si>
  <si>
    <t>INE750G01019</t>
  </si>
  <si>
    <t>EYANTRA VENTURES LIMITED</t>
  </si>
  <si>
    <t>EY</t>
  </si>
  <si>
    <t>Eyantra Ventures Ltd</t>
  </si>
  <si>
    <t>INE331E01013</t>
  </si>
  <si>
    <t>Triochem Products Ltd.</t>
  </si>
  <si>
    <t>TRIPR</t>
  </si>
  <si>
    <t>TRIOCHEM PRODUCTS LTD.</t>
  </si>
  <si>
    <t>INE276H01013</t>
  </si>
  <si>
    <t>Nidhi Granites Limited</t>
  </si>
  <si>
    <t>NIDHGRN</t>
  </si>
  <si>
    <t>NIDHI GRANITES LTD.</t>
  </si>
  <si>
    <t>INE649C01012</t>
  </si>
  <si>
    <t>VARIMAN GLOBAL ENTERPRISES LIMITED</t>
  </si>
  <si>
    <t>VARIMAN</t>
  </si>
  <si>
    <t>Variman Global Enterprises Ltd</t>
  </si>
  <si>
    <t>INE717F01028</t>
  </si>
  <si>
    <t>INE436U01016</t>
  </si>
  <si>
    <t>ATLANTAA LIMITED</t>
  </si>
  <si>
    <t>ATLANTAA</t>
  </si>
  <si>
    <t>Atlantaa Ltd</t>
  </si>
  <si>
    <t>INE285H01022</t>
  </si>
  <si>
    <t>INE529F01035</t>
  </si>
  <si>
    <t>DJ Mediaprint &amp; Logistics Limited</t>
  </si>
  <si>
    <t>DJML</t>
  </si>
  <si>
    <t>DJ Mediaprint &amp; Logistics Ltd</t>
  </si>
  <si>
    <t>INE0B1K01014</t>
  </si>
  <si>
    <t>INE956V01011</t>
  </si>
  <si>
    <t>Kajal Synthetics and Silk Mills Ltd</t>
  </si>
  <si>
    <t>KAJALSY</t>
  </si>
  <si>
    <t>KAJAL SYNTHETICS &amp; SILK MILLS LTD.</t>
  </si>
  <si>
    <t>INE758A01072</t>
  </si>
  <si>
    <t>Avance Technologies Ltd.</t>
  </si>
  <si>
    <t>AVANCE</t>
  </si>
  <si>
    <t>AVANCE TECHNOLOGIES LTD.</t>
  </si>
  <si>
    <t>INE808W01012</t>
  </si>
  <si>
    <t>Droneacharya Aerial Innovations Limited</t>
  </si>
  <si>
    <t>DRONACHRYA</t>
  </si>
  <si>
    <t>Droneacharya Aerial Innovations Ltd</t>
  </si>
  <si>
    <t>INE0MQD01015</t>
  </si>
  <si>
    <t>INE123V01018</t>
  </si>
  <si>
    <t>Northern Spirits Limited</t>
  </si>
  <si>
    <t>NSL</t>
  </si>
  <si>
    <t>Northern Spirits Ltd</t>
  </si>
  <si>
    <t>INE01BL01012</t>
  </si>
  <si>
    <t>INE650K01021</t>
  </si>
  <si>
    <t>SECUREKLOUD TECHNOLOGIES LIMITED</t>
  </si>
  <si>
    <t>SECURKLOUD</t>
  </si>
  <si>
    <t>Securekloud Technologies Ltd</t>
  </si>
  <si>
    <t>INE365O01010</t>
  </si>
  <si>
    <t>ABans Enterprises Limited</t>
  </si>
  <si>
    <t>ABANSENT</t>
  </si>
  <si>
    <t>Abans Enterprises Ltd</t>
  </si>
  <si>
    <t>INE685D01022</t>
  </si>
  <si>
    <t>Vama Industries Limited</t>
  </si>
  <si>
    <t>VAMA</t>
  </si>
  <si>
    <t>VAMA INDUSTRIES LTD.</t>
  </si>
  <si>
    <t>TARC LIMITED</t>
  </si>
  <si>
    <t>TARC</t>
  </si>
  <si>
    <t>Tarc Ltd</t>
  </si>
  <si>
    <t>INE0EK901012</t>
  </si>
  <si>
    <t>INE496M01017</t>
  </si>
  <si>
    <t>Mercantile Ventures Limited</t>
  </si>
  <si>
    <t>MERCANTILE</t>
  </si>
  <si>
    <t>Mercantile Ventures Ltd</t>
  </si>
  <si>
    <t>INE689O01013</t>
  </si>
  <si>
    <t>INE02BR01017</t>
  </si>
  <si>
    <t>Uma Exports Limited</t>
  </si>
  <si>
    <t>UMAEXPORTS</t>
  </si>
  <si>
    <t>Uma Exports Ltd</t>
  </si>
  <si>
    <t>INE0GIU01018</t>
  </si>
  <si>
    <t>INE730E01016</t>
  </si>
  <si>
    <t>Prism Medico and Pharmacy Ltd.</t>
  </si>
  <si>
    <t>PRISMMEDI</t>
  </si>
  <si>
    <t>PRISM MEDICO AND PHARMACY LTD.</t>
  </si>
  <si>
    <t>INE177E01010</t>
  </si>
  <si>
    <t>SPV GLOBAL TRADING LIMITED</t>
  </si>
  <si>
    <t>SPVGLOBAL</t>
  </si>
  <si>
    <t>SPV Global Trading Ltd</t>
  </si>
  <si>
    <t>Global Vectra Helicorp Ltd.</t>
  </si>
  <si>
    <t>GLOBALVECT</t>
  </si>
  <si>
    <t>GLOBAL VECTRA HELICORP LTD.</t>
  </si>
  <si>
    <t>INE792H01019</t>
  </si>
  <si>
    <t>INE070D01027</t>
  </si>
  <si>
    <t>Indigo Paints Limited</t>
  </si>
  <si>
    <t>INDIGOPNTS</t>
  </si>
  <si>
    <t>Indigo Paints Ltd</t>
  </si>
  <si>
    <t>INE09VQ01012</t>
  </si>
  <si>
    <t>INE552F01011</t>
  </si>
  <si>
    <t>Ruchi Infrastructure Ltd</t>
  </si>
  <si>
    <t>RUCHINFRA</t>
  </si>
  <si>
    <t>RUCHI INFRASTRUCTURE LTD.</t>
  </si>
  <si>
    <t>INE894A01026</t>
  </si>
  <si>
    <t>Ashirwad Capital Ltd.</t>
  </si>
  <si>
    <t>ASHCAP</t>
  </si>
  <si>
    <t>ASHIRWAD CAPITAL LTD.</t>
  </si>
  <si>
    <t>INE895A01023</t>
  </si>
  <si>
    <t>Swasti Vinayaka Art And Heritage Corporation Ltd</t>
  </si>
  <si>
    <t>SVARTCORP</t>
  </si>
  <si>
    <t>INE553H01015</t>
  </si>
  <si>
    <t>CONFIDENCE FUTURISTIC ENERGETECH LIMITED</t>
  </si>
  <si>
    <t>CFEL</t>
  </si>
  <si>
    <t>Confidence Futuristic Energetech Ltd</t>
  </si>
  <si>
    <t>INE700F01024</t>
  </si>
  <si>
    <t>INE200D01020</t>
  </si>
  <si>
    <t>Media Matrix Worldwide Ltd.</t>
  </si>
  <si>
    <t>MMWL</t>
  </si>
  <si>
    <t>MEDIA MATRIX WORLDWIDE LTD.</t>
  </si>
  <si>
    <t>INE552H01017</t>
  </si>
  <si>
    <t>SEACOAST SHIPPING SERVICES LIMITED</t>
  </si>
  <si>
    <t>SEACOAST</t>
  </si>
  <si>
    <t>Seacoast Shipping Services Ltd</t>
  </si>
  <si>
    <t>INE277T01024</t>
  </si>
  <si>
    <t>INE340U01010</t>
  </si>
  <si>
    <t>Signet Industries Limited</t>
  </si>
  <si>
    <t>SIGIND</t>
  </si>
  <si>
    <t>INE497M01015</t>
  </si>
  <si>
    <t>Speedage Commercials Ltd.</t>
  </si>
  <si>
    <t>ZSPEEDCO</t>
  </si>
  <si>
    <t>SPEEDAGE COMMERCIALS LTD.</t>
  </si>
  <si>
    <t>INE458B01036</t>
  </si>
  <si>
    <t>Bhagyanagar India Limited</t>
  </si>
  <si>
    <t>BHAGYANGR</t>
  </si>
  <si>
    <t>BHAGYANAGAR INDIA LTD.</t>
  </si>
  <si>
    <t>INE408F01016</t>
  </si>
  <si>
    <t>Shantai Industries Limited</t>
  </si>
  <si>
    <t>SHANTAI</t>
  </si>
  <si>
    <t>Shantai Industries Ltd</t>
  </si>
  <si>
    <t>INE417N01011</t>
  </si>
  <si>
    <t>North Eastern Carrying Corporation Limited</t>
  </si>
  <si>
    <t>NECCLTD</t>
  </si>
  <si>
    <t>NORTH EASTERN CARRYING CORPORATION LTD.</t>
  </si>
  <si>
    <t>INE553C01016</t>
  </si>
  <si>
    <t>INE776V01013</t>
  </si>
  <si>
    <t>Maximus International Limited</t>
  </si>
  <si>
    <t>MAXIMUS</t>
  </si>
  <si>
    <t>Maximus International Ltd</t>
  </si>
  <si>
    <t>INE544W01021</t>
  </si>
  <si>
    <t>INE385F01024</t>
  </si>
  <si>
    <t>Easy Trip Planners Limited</t>
  </si>
  <si>
    <t>EASEMYTRIP</t>
  </si>
  <si>
    <t>Easy Trip Planners Ltd</t>
  </si>
  <si>
    <t>INE07O001026</t>
  </si>
  <si>
    <t>INE396F01013</t>
  </si>
  <si>
    <t>Indiabulls Enterprises Limited</t>
  </si>
  <si>
    <t>IEL</t>
  </si>
  <si>
    <t>Indiabulls Enterprises Ltd</t>
  </si>
  <si>
    <t>INE059901020</t>
  </si>
  <si>
    <t>INE068C01015</t>
  </si>
  <si>
    <t>IIRM HOLDINGS INDIA LIMITED</t>
  </si>
  <si>
    <t>IIRM</t>
  </si>
  <si>
    <t>IIRM Holdings India Ltd</t>
  </si>
  <si>
    <t>INE670C01026</t>
  </si>
  <si>
    <t>INE745A01012</t>
  </si>
  <si>
    <t>Yash Trading &amp; Finance Ltd.</t>
  </si>
  <si>
    <t>YASTF</t>
  </si>
  <si>
    <t>YASH TRADING &amp; FINANCE LTD.</t>
  </si>
  <si>
    <t>INE495M01019</t>
  </si>
  <si>
    <t>Sheraton Properties &amp; Finance Ltd.</t>
  </si>
  <si>
    <t>ZSHERAPR</t>
  </si>
  <si>
    <t>SHERATON PROPERTIES &amp; FINANCE LTD.</t>
  </si>
  <si>
    <t>INE664N01018</t>
  </si>
  <si>
    <t>Noida Toll Bridge Company Ltd</t>
  </si>
  <si>
    <t>NOIDATOLL</t>
  </si>
  <si>
    <t>NOIDA TOLL BRIDGE COMPANY LTD.</t>
  </si>
  <si>
    <t>INE781B01015</t>
  </si>
  <si>
    <t>INE716D01033</t>
  </si>
  <si>
    <t>Cressanda Solutions Ltd.</t>
  </si>
  <si>
    <t>CRESSAN</t>
  </si>
  <si>
    <t>CRESSANDA SOLUTIONS LTD.</t>
  </si>
  <si>
    <t>INE992I01013</t>
  </si>
  <si>
    <t>STARTECK FINANCE LIMITED</t>
  </si>
  <si>
    <t>STARTECK</t>
  </si>
  <si>
    <t>Starteck Finance Ltd</t>
  </si>
  <si>
    <t>INE037B01012</t>
  </si>
  <si>
    <t>Shardul Securities Ltd.</t>
  </si>
  <si>
    <t>SHARDUL</t>
  </si>
  <si>
    <t>SHARDUL SECURITIES LTD.</t>
  </si>
  <si>
    <t>INE017I01027</t>
  </si>
  <si>
    <t>SERA INVESTMENTS &amp; FINANCE INDIA LIMITED</t>
  </si>
  <si>
    <t>SERA</t>
  </si>
  <si>
    <t>Sera Investments &amp; Finance India Ltd</t>
  </si>
  <si>
    <t>INE523W01017</t>
  </si>
  <si>
    <t>Bengal Steel Industries Ltd.</t>
  </si>
  <si>
    <t>BENGALS</t>
  </si>
  <si>
    <t>BENGAL STEEL INDUSTRIES LTD.</t>
  </si>
  <si>
    <t>INE728J01019</t>
  </si>
  <si>
    <t>Uniworth Securities Limited</t>
  </si>
  <si>
    <t>UNIWSEC</t>
  </si>
  <si>
    <t>UNIWORTH SECURITIES LTD.</t>
  </si>
  <si>
    <t>INE319T01016</t>
  </si>
  <si>
    <t>Coral India Finance And Housing Ltd</t>
  </si>
  <si>
    <t>CORALFINAC</t>
  </si>
  <si>
    <t>CORAL INDIA FINANCE &amp; HOUSING LTD.</t>
  </si>
  <si>
    <t>INE558D01021</t>
  </si>
  <si>
    <t>INE242B01018</t>
  </si>
  <si>
    <t>Dhruv Consultancy Services Limited</t>
  </si>
  <si>
    <t>DHRUV</t>
  </si>
  <si>
    <t>Dhruv Consultancy Services Ltd</t>
  </si>
  <si>
    <t>INE506Z01015</t>
  </si>
  <si>
    <t>INE416X01012</t>
  </si>
  <si>
    <t>Dhoot Industrial Finance Ltd.</t>
  </si>
  <si>
    <t>DHOOTIN</t>
  </si>
  <si>
    <t>DHOOT INDUSTRIAL FINANCE LTD.</t>
  </si>
  <si>
    <t>INE313G01016</t>
  </si>
  <si>
    <t>INE508W01018</t>
  </si>
  <si>
    <t>Metroglobal Limited</t>
  </si>
  <si>
    <t>METROGLOBL</t>
  </si>
  <si>
    <t>INE412D01013</t>
  </si>
  <si>
    <t>Apollo Finvest (India) Ltd.</t>
  </si>
  <si>
    <t>APOLLOFI</t>
  </si>
  <si>
    <t>APOLLO FINVEST (INDIA) LTD.</t>
  </si>
  <si>
    <t>INE993I01011</t>
  </si>
  <si>
    <t>TECHKNOWGREEN SOLUTIONS LIMITED</t>
  </si>
  <si>
    <t>TECHKGREEN</t>
  </si>
  <si>
    <t>Techknowgreen Solutions Ltd</t>
  </si>
  <si>
    <t>INE0P4P01011</t>
  </si>
  <si>
    <t>INE162L01017</t>
  </si>
  <si>
    <t>SILICON RENTAL SOLUTIONS LIMITED</t>
  </si>
  <si>
    <t>SRSOLTD</t>
  </si>
  <si>
    <t>Silicon Rental Solutions Ltd</t>
  </si>
  <si>
    <t>INE0MNV01014</t>
  </si>
  <si>
    <t>INE07LH01016</t>
  </si>
  <si>
    <t>Devinsu Trading Ltd.</t>
  </si>
  <si>
    <t>DEVITRD</t>
  </si>
  <si>
    <t>DEVINSU TRADING LTD.</t>
  </si>
  <si>
    <t>INE564J01026</t>
  </si>
  <si>
    <t>Shri Jagdamba Polymers Ltd</t>
  </si>
  <si>
    <t>SHRJAGP</t>
  </si>
  <si>
    <t>SHRI JAGDAMBA POLYMERS LTD.</t>
  </si>
  <si>
    <t>Craftsman Automation Limited</t>
  </si>
  <si>
    <t>CRAFTSMAN</t>
  </si>
  <si>
    <t>Craftsman Automation Ltd</t>
  </si>
  <si>
    <t>INE00LO01017</t>
  </si>
  <si>
    <t>INE07NX01019</t>
  </si>
  <si>
    <t>Parshva Enterprises Limited</t>
  </si>
  <si>
    <t>PARSHVA</t>
  </si>
  <si>
    <t>Parshva Enterprises Ltd</t>
  </si>
  <si>
    <t>INE05MV01019</t>
  </si>
  <si>
    <t>INE080I01025</t>
  </si>
  <si>
    <t>LLOYDS ENTERPRISES LIMITED</t>
  </si>
  <si>
    <t>LLOYDSENT</t>
  </si>
  <si>
    <t>Lloyds Enterprises Ltd</t>
  </si>
  <si>
    <t>INE765L01017</t>
  </si>
  <si>
    <t>Betex India Ltd.</t>
  </si>
  <si>
    <t>BETXIND</t>
  </si>
  <si>
    <t>BETEX INDIA LTD.</t>
  </si>
  <si>
    <t>INE661K01010</t>
  </si>
  <si>
    <t>VIRYA RESOURCES LIMITED</t>
  </si>
  <si>
    <t>VIRYA</t>
  </si>
  <si>
    <t>Virya Resources Ltd</t>
  </si>
  <si>
    <t>INE977F01010</t>
  </si>
  <si>
    <t>Shreeji Translogistics Limited</t>
  </si>
  <si>
    <t>STL</t>
  </si>
  <si>
    <t>Shreeji Translogistics Ltd</t>
  </si>
  <si>
    <t>INE402Y01028</t>
  </si>
  <si>
    <t>INE876A01015</t>
  </si>
  <si>
    <t>Oasis Securities Limited</t>
  </si>
  <si>
    <t>OASISEC</t>
  </si>
  <si>
    <t>OASIS SECURITIES LTD.</t>
  </si>
  <si>
    <t>INE590B01010</t>
  </si>
  <si>
    <t>Garnet International Limited</t>
  </si>
  <si>
    <t>GARNETINT</t>
  </si>
  <si>
    <t>GARNET INTERNATIONAL LTD.</t>
  </si>
  <si>
    <t>INE435E01020</t>
  </si>
  <si>
    <t>Shalimar Productions Ltd.</t>
  </si>
  <si>
    <t>SHALPRO</t>
  </si>
  <si>
    <t>SHALIMAR PRODUCTIONS LTD.</t>
  </si>
  <si>
    <t>INE721V01019</t>
  </si>
  <si>
    <t>Meenakshi Steel Industries Ltd.</t>
  </si>
  <si>
    <t>MEENST</t>
  </si>
  <si>
    <t>MEENAKSHI STEEL INDUSTRIES LTD.</t>
  </si>
  <si>
    <t>INE442U01014</t>
  </si>
  <si>
    <t>Global Offshore Services Ltd</t>
  </si>
  <si>
    <t>GLOBOFFS</t>
  </si>
  <si>
    <t>GLOBAL OFFSHORE SERVICES LTD.-$</t>
  </si>
  <si>
    <t>INE132V01019</t>
  </si>
  <si>
    <t>Motor &amp; General Finance (M.G.F.) Lt</t>
  </si>
  <si>
    <t>MOTOGENFIN</t>
  </si>
  <si>
    <t>MOTOR &amp; GENERAL FINANCE LTD.</t>
  </si>
  <si>
    <t>INE668D01028</t>
  </si>
  <si>
    <t>Donear Industries Ltd</t>
  </si>
  <si>
    <t>DONEAR</t>
  </si>
  <si>
    <t>DONEAR INDUSTRIES LTD.-$</t>
  </si>
  <si>
    <t>INE091C01017</t>
  </si>
  <si>
    <t>Super Sales India Ltd.</t>
  </si>
  <si>
    <t>SUPER</t>
  </si>
  <si>
    <t>SUPER SALES INDIA LTD.-$</t>
  </si>
  <si>
    <t>INE807F01027</t>
  </si>
  <si>
    <t>Sequent Scientific Limited</t>
  </si>
  <si>
    <t>SEQUENT</t>
  </si>
  <si>
    <t>SEQUENT SCIENTIFIC LTD.</t>
  </si>
  <si>
    <t>Lahoti Overseas Ltd.</t>
  </si>
  <si>
    <t>LAHOTIOV</t>
  </si>
  <si>
    <t>LAHOTI OVERSEAS LTD.-$</t>
  </si>
  <si>
    <t>INE515C01023</t>
  </si>
  <si>
    <t>INE058B01018</t>
  </si>
  <si>
    <t>Zenith Exports Ltd.</t>
  </si>
  <si>
    <t>ZENITHEXPO</t>
  </si>
  <si>
    <t>ZENITH EXPORTS LTD.</t>
  </si>
  <si>
    <t>Leather And Leather Products</t>
  </si>
  <si>
    <t>INE080B01012</t>
  </si>
  <si>
    <t>Kohinoor Foods Ltd</t>
  </si>
  <si>
    <t>KOHINOOR</t>
  </si>
  <si>
    <t>KOHINOOR FOODS LTD.</t>
  </si>
  <si>
    <t>INE581D01015</t>
  </si>
  <si>
    <t>Patel Integrated Logistics Ltd</t>
  </si>
  <si>
    <t>PATINTLOG</t>
  </si>
  <si>
    <t>PATEL INTEGRATED LOGISTICS LTD.-$</t>
  </si>
  <si>
    <t>INE529D01014</t>
  </si>
  <si>
    <t>INE871C01038</t>
  </si>
  <si>
    <t>Kalyan Jewellers India Limited</t>
  </si>
  <si>
    <t>KALYANKJIL</t>
  </si>
  <si>
    <t>Kalyan Jewellers India Ltd</t>
  </si>
  <si>
    <t>INE303R01014</t>
  </si>
  <si>
    <t>INE077B01018</t>
  </si>
  <si>
    <t>Zodiac-JRD-MKJ Ltd.</t>
  </si>
  <si>
    <t>ZODJRDMKJ</t>
  </si>
  <si>
    <t>ZODIAC-JRD-MKJ LTD.</t>
  </si>
  <si>
    <t>INE579D01019</t>
  </si>
  <si>
    <t>BN HOLDINGS LIMITED</t>
  </si>
  <si>
    <t>BNHOLDINGS</t>
  </si>
  <si>
    <t>BN Holdings Ltd</t>
  </si>
  <si>
    <t>INE00HZ01011</t>
  </si>
  <si>
    <t>INE183U01022</t>
  </si>
  <si>
    <t>MEP Infrastructure Developers Limited</t>
  </si>
  <si>
    <t>MEP</t>
  </si>
  <si>
    <t>MEP Infrastructure Developers Ltd</t>
  </si>
  <si>
    <t>INE776I01010</t>
  </si>
  <si>
    <t>INE348N01034</t>
  </si>
  <si>
    <t>Manbro Industries Limited</t>
  </si>
  <si>
    <t>MANBRO</t>
  </si>
  <si>
    <t>Manbro Industries Ltd</t>
  </si>
  <si>
    <t>INE681C01015</t>
  </si>
  <si>
    <t>KEYNOTE FINANCIAL SERVICES LIMITED</t>
  </si>
  <si>
    <t>KEYFINSERV</t>
  </si>
  <si>
    <t>Keynote Financial Services Ltd</t>
  </si>
  <si>
    <t>Nazara Technologies Limited</t>
  </si>
  <si>
    <t>NAZARA</t>
  </si>
  <si>
    <t>Nazara Technologies Ltd</t>
  </si>
  <si>
    <t>INE418L01021</t>
  </si>
  <si>
    <t>Digital Entertainment</t>
  </si>
  <si>
    <t>INE307N01014</t>
  </si>
  <si>
    <t>Anik Industries Limited</t>
  </si>
  <si>
    <t>ANIKINDS</t>
  </si>
  <si>
    <t>ANIK INDUSTRIES LTD.</t>
  </si>
  <si>
    <t>INE087B01017</t>
  </si>
  <si>
    <t>INE772B01014</t>
  </si>
  <si>
    <t>Haria Exports Ltd.</t>
  </si>
  <si>
    <t>HARIAEXPO</t>
  </si>
  <si>
    <t>HARIA EXPORTS LTD.-$</t>
  </si>
  <si>
    <t>INE474E01029</t>
  </si>
  <si>
    <t>Bhandari Hosiery Exports Ltd.</t>
  </si>
  <si>
    <t>BHANDARI</t>
  </si>
  <si>
    <t>BHANDARI HOSIERY EXPORTS LTD.</t>
  </si>
  <si>
    <t>INE629C01014</t>
  </si>
  <si>
    <t>RLF Ltd.</t>
  </si>
  <si>
    <t>RLF</t>
  </si>
  <si>
    <t>RLF LTD.</t>
  </si>
  <si>
    <t>INE769D01016</t>
  </si>
  <si>
    <t>AAA TECHNOLOGIES LIMITED</t>
  </si>
  <si>
    <t>AAATECH</t>
  </si>
  <si>
    <t>AAA Technologies Ltd</t>
  </si>
  <si>
    <t>INE0D0U01013</t>
  </si>
  <si>
    <t>INE231G01010</t>
  </si>
  <si>
    <t>Orbit Exports Ltd.</t>
  </si>
  <si>
    <t>ORBTEXP</t>
  </si>
  <si>
    <t>ORBIT EXPORTS LTD.</t>
  </si>
  <si>
    <t>INE104E01014</t>
  </si>
  <si>
    <t>Savera Industries Ltd.</t>
  </si>
  <si>
    <t>SAVERA</t>
  </si>
  <si>
    <t>SAVERA INDUSTRIES LTD.</t>
  </si>
  <si>
    <t>INE114E01013</t>
  </si>
  <si>
    <t>Chrome Silicon Limited</t>
  </si>
  <si>
    <t>CHROME</t>
  </si>
  <si>
    <t>Chrome Silicon Ltd-$</t>
  </si>
  <si>
    <t>Ferro &amp; Silica Manganese</t>
  </si>
  <si>
    <t>INE987E01012</t>
  </si>
  <si>
    <t>TCI Industries Ltd.</t>
  </si>
  <si>
    <t>TCIIND</t>
  </si>
  <si>
    <t>TCI INDUSTRIES LTD.</t>
  </si>
  <si>
    <t>INE920B01019</t>
  </si>
  <si>
    <t>INE725A01022</t>
  </si>
  <si>
    <t>Macrotech Developers Limited</t>
  </si>
  <si>
    <t>LODHA</t>
  </si>
  <si>
    <t>Macrotech Developers Ltd</t>
  </si>
  <si>
    <t>INE670K01029</t>
  </si>
  <si>
    <t>INE582K01018</t>
  </si>
  <si>
    <t>Hindusthan Udyog Ltd</t>
  </si>
  <si>
    <t>ZHINUDYP</t>
  </si>
  <si>
    <t>HINDUSTHAN UDYOG LTD.</t>
  </si>
  <si>
    <t>INE158G01015</t>
  </si>
  <si>
    <t>Remi Edelstahl Tubulars Limited</t>
  </si>
  <si>
    <t>REMIEDEL</t>
  </si>
  <si>
    <t>INE736H01024</t>
  </si>
  <si>
    <t>G.S. Auto International Ltd.</t>
  </si>
  <si>
    <t>GSAUTO</t>
  </si>
  <si>
    <t>G.S.AUTO INTERNATIONAL LTD.</t>
  </si>
  <si>
    <t>INE360D01014</t>
  </si>
  <si>
    <t>Trans-Freight Containers Ltd.</t>
  </si>
  <si>
    <t>TRANSFRE</t>
  </si>
  <si>
    <t>TRANS-FREIGHT CONTAINERS LTD.</t>
  </si>
  <si>
    <t>INE386D01027</t>
  </si>
  <si>
    <t>Shivalik Bimetal Controls Ltd.</t>
  </si>
  <si>
    <t>SBCL</t>
  </si>
  <si>
    <t>SHIVALIK BIMETAL CONTROLS LTD.</t>
  </si>
  <si>
    <t>INE524B01027</t>
  </si>
  <si>
    <t>Gandhi Special Tubes Ltd.</t>
  </si>
  <si>
    <t>GANDHITUBE</t>
  </si>
  <si>
    <t>GANDHI SPECIAL TUBES LTD.-$</t>
  </si>
  <si>
    <t>INE991A01020</t>
  </si>
  <si>
    <t>Amforge Industries Ltd.</t>
  </si>
  <si>
    <t>AMFORG</t>
  </si>
  <si>
    <t>AMFORGE INDUSTRIES LTD.</t>
  </si>
  <si>
    <t>INE730A01022</t>
  </si>
  <si>
    <t>Oricon Enterprises Ltd.</t>
  </si>
  <si>
    <t>ORICONENT</t>
  </si>
  <si>
    <t>ORICON ENTERPRISES LTD.-$</t>
  </si>
  <si>
    <t>INE950D01012</t>
  </si>
  <si>
    <t>Acrow (India) Ltd.</t>
  </si>
  <si>
    <t>ACROW</t>
  </si>
  <si>
    <t>ACROW INDIA LTD.</t>
  </si>
  <si>
    <t>INE205F01016</t>
  </si>
  <si>
    <t>Steel Strips Infrastructures Limited</t>
  </si>
  <si>
    <t>STLSTRINF</t>
  </si>
  <si>
    <t>STEEL STRIPS INFRASTRUCTURES LTD.</t>
  </si>
  <si>
    <t>INE932A01024</t>
  </si>
  <si>
    <t>Pennar Industries Ltd.</t>
  </si>
  <si>
    <t>PENIND</t>
  </si>
  <si>
    <t>PENNAR INDUSTRIES LTD.-$</t>
  </si>
  <si>
    <t>INE197A01024</t>
  </si>
  <si>
    <t>Jyoti Structures Ltd.</t>
  </si>
  <si>
    <t>JYOTISTRUC</t>
  </si>
  <si>
    <t>JYOTI STRUCTURES LTD.</t>
  </si>
  <si>
    <t>INE289D01015</t>
  </si>
  <si>
    <t>Jay Ushin Ltd.</t>
  </si>
  <si>
    <t>JAYUSH</t>
  </si>
  <si>
    <t>JAY USHIN LTD.</t>
  </si>
  <si>
    <t>INE802C01033</t>
  </si>
  <si>
    <t>Steel Strips &amp; Wheels Ltd</t>
  </si>
  <si>
    <t>SSWL</t>
  </si>
  <si>
    <t>STEEL STRIPS WHEELS LTD.-$</t>
  </si>
  <si>
    <t>INE993A01026</t>
  </si>
  <si>
    <t>Man Industries (India) Ltd</t>
  </si>
  <si>
    <t>MANINDS</t>
  </si>
  <si>
    <t>MAN INDUSTRIES (INDIA) LTD.-$</t>
  </si>
  <si>
    <t>INE001F01019</t>
  </si>
  <si>
    <t>Modern Steels Limited</t>
  </si>
  <si>
    <t>MDRNSTL</t>
  </si>
  <si>
    <t>MODERN STEELS LTD.-$</t>
  </si>
  <si>
    <t>INE363L01029</t>
  </si>
  <si>
    <t>Synthiko Foils Ltd.</t>
  </si>
  <si>
    <t>SYNTHFO</t>
  </si>
  <si>
    <t>SYNTHIKO FOILS LTD.</t>
  </si>
  <si>
    <t>INE327C01031</t>
  </si>
  <si>
    <t>Golkonda Aluminium Extrusions Ltd</t>
  </si>
  <si>
    <t>GOLKONDA</t>
  </si>
  <si>
    <t>Golkonda Aluminium Extrusions Ltd-$</t>
  </si>
  <si>
    <t>INE145J01032</t>
  </si>
  <si>
    <t>Gujarat Toolroom Ltd.</t>
  </si>
  <si>
    <t>GUJTLRM</t>
  </si>
  <si>
    <t>GUJARAT TOOLROOM LTD.</t>
  </si>
  <si>
    <t>INE298G01027</t>
  </si>
  <si>
    <t>Ajmera Realty &amp; Infra India Limited</t>
  </si>
  <si>
    <t>AJMERA</t>
  </si>
  <si>
    <t>AJMERA REALTY &amp; INFRA INDIA LTD.</t>
  </si>
  <si>
    <t>INE105D01013</t>
  </si>
  <si>
    <t>Cochin Minerals &amp; Rutile Ltd.</t>
  </si>
  <si>
    <t>COCHINM</t>
  </si>
  <si>
    <t>COCHIN MINERALS &amp; RUTILE LTD.-$</t>
  </si>
  <si>
    <t>INE072A01029</t>
  </si>
  <si>
    <t>India Steel Works Ltd</t>
  </si>
  <si>
    <t>ISWL</t>
  </si>
  <si>
    <t>INDIA STEEL WORKS LTD.</t>
  </si>
  <si>
    <t>INE013J01016</t>
  </si>
  <si>
    <t>KRISHANVEER FORGE LIMITED</t>
  </si>
  <si>
    <t>KVFORGE</t>
  </si>
  <si>
    <t>Krishanveer Forge Ltd</t>
  </si>
  <si>
    <t>INE120A01034</t>
  </si>
  <si>
    <t>Sona BLW Precision Forgings Limited</t>
  </si>
  <si>
    <t>SONACOMS</t>
  </si>
  <si>
    <t>Sona BLW Precision Forgings Ltd</t>
  </si>
  <si>
    <t>INE073K01018</t>
  </si>
  <si>
    <t>INE123F01029</t>
  </si>
  <si>
    <t>Arshiya Limited</t>
  </si>
  <si>
    <t>ARSHIYA</t>
  </si>
  <si>
    <t>INE457E01016</t>
  </si>
  <si>
    <t>Vallabh Steels ltd</t>
  </si>
  <si>
    <t>VALLABHSQ</t>
  </si>
  <si>
    <t>VALLABH STEELS LTD.-$</t>
  </si>
  <si>
    <t>INE587D01012</t>
  </si>
  <si>
    <t>Ashiana Ispat Limited</t>
  </si>
  <si>
    <t>ASHIS</t>
  </si>
  <si>
    <t>ASHIANA ISPAT LTD.</t>
  </si>
  <si>
    <t>INE092C01015</t>
  </si>
  <si>
    <t>P.M. Telelinnks Limited</t>
  </si>
  <si>
    <t>PMTELELIN</t>
  </si>
  <si>
    <t>P.M.TELELINNKS LTD.</t>
  </si>
  <si>
    <t>INE728B01032</t>
  </si>
  <si>
    <t>Smiths &amp; Founders (India) Limited</t>
  </si>
  <si>
    <t>SMFIL</t>
  </si>
  <si>
    <t>INE373E01015</t>
  </si>
  <si>
    <t>Bloom Industries Ltd</t>
  </si>
  <si>
    <t>BLOIN</t>
  </si>
  <si>
    <t>BLOOM INDUSTRIES LTD.</t>
  </si>
  <si>
    <t>INE501L01024</t>
  </si>
  <si>
    <t>Maitri Enterprises Limited</t>
  </si>
  <si>
    <t>MAITRI</t>
  </si>
  <si>
    <t>Maitri Enterprises Ltd</t>
  </si>
  <si>
    <t>INE640C01011</t>
  </si>
  <si>
    <t>Shah Alloys Limited</t>
  </si>
  <si>
    <t>SHAHALLOYS</t>
  </si>
  <si>
    <t>SHAH ALLOYS LTD.</t>
  </si>
  <si>
    <t>INE594D01018</t>
  </si>
  <si>
    <t>Elango Industries Ltd</t>
  </si>
  <si>
    <t>ELANGO</t>
  </si>
  <si>
    <t>ELANGO INDUSTRIES LTD.</t>
  </si>
  <si>
    <t>INE791E01018</t>
  </si>
  <si>
    <t>Kanishk Steel Industries Ltd</t>
  </si>
  <si>
    <t>KANSHST</t>
  </si>
  <si>
    <t>KANISHK STEEL INDUSTRIES LTD.</t>
  </si>
  <si>
    <t>INE257F01017</t>
  </si>
  <si>
    <t>Mahalaxmi Seamless Ltd.</t>
  </si>
  <si>
    <t>MAHALXSE</t>
  </si>
  <si>
    <t>MAHALAXMI SEAMLESS LTD.-$</t>
  </si>
  <si>
    <t>INE658D01011</t>
  </si>
  <si>
    <t>Simplex Castings Ltd.</t>
  </si>
  <si>
    <t>SIMPLEXCAS</t>
  </si>
  <si>
    <t>SIMPLEX CASTINGS LTD.</t>
  </si>
  <si>
    <t>INE387D01025</t>
  </si>
  <si>
    <t>Shree Steel Wire Ropes Ltd.</t>
  </si>
  <si>
    <t>SSWRL</t>
  </si>
  <si>
    <t>SHREE STEEL WIRE ROPES LTD.</t>
  </si>
  <si>
    <t>INE235U01012</t>
  </si>
  <si>
    <t>SIZEMASTERS TECHNOLOGY LIMITED</t>
  </si>
  <si>
    <t>SIZEMASTER</t>
  </si>
  <si>
    <t>Sizemasters Technology Ltd</t>
  </si>
  <si>
    <t>INE308N01012</t>
  </si>
  <si>
    <t>Southern Magnesium And Chemicals Lt</t>
  </si>
  <si>
    <t>SOUTHMG</t>
  </si>
  <si>
    <t>SOUTHERN MAGNESIUM &amp; CHEMICALS LTD.</t>
  </si>
  <si>
    <t>INE927K01023</t>
  </si>
  <si>
    <t>Baroda Extrusion Ltd.</t>
  </si>
  <si>
    <t>BAROEXT</t>
  </si>
  <si>
    <t>BARODA EXTRUSION LTD.</t>
  </si>
  <si>
    <t>INE276I01011</t>
  </si>
  <si>
    <t>Gujarat Containers Ltd.</t>
  </si>
  <si>
    <t>GUJCONT</t>
  </si>
  <si>
    <t>GUJARAT CONTAINERS LTD.</t>
  </si>
  <si>
    <t>INE314G01014</t>
  </si>
  <si>
    <t>Kalyani Forge Ltd.</t>
  </si>
  <si>
    <t>KALYANIFRG</t>
  </si>
  <si>
    <t>KALYANI FORGE LTD.</t>
  </si>
  <si>
    <t>INE798F01010</t>
  </si>
  <si>
    <t>Panchmahal Steel Ltd.</t>
  </si>
  <si>
    <t>PANCHMAHQ</t>
  </si>
  <si>
    <t>PANCHMAHAL STEEL LTD.</t>
  </si>
  <si>
    <t>INE570B01012</t>
  </si>
  <si>
    <t>Aditya Ispat Ltd.</t>
  </si>
  <si>
    <t>ADITYA</t>
  </si>
  <si>
    <t>ADITYA ISPAT LTD.</t>
  </si>
  <si>
    <t>INE329C01011</t>
  </si>
  <si>
    <t>S.R.Industries Ltd.</t>
  </si>
  <si>
    <t>SRIND</t>
  </si>
  <si>
    <t>S.R.INDUSTRIES LTD.</t>
  </si>
  <si>
    <t>INE124E01020</t>
  </si>
  <si>
    <t>Steelcast Ltd.</t>
  </si>
  <si>
    <t>STEELCAS</t>
  </si>
  <si>
    <t>STEELCAST LTD.</t>
  </si>
  <si>
    <t>INE450D01021</t>
  </si>
  <si>
    <t>PITTI ENGINEERING LIMITED</t>
  </si>
  <si>
    <t>PITTIENG</t>
  </si>
  <si>
    <t>Pitti Engineering Ltd-$</t>
  </si>
  <si>
    <t>INE741B01027</t>
  </si>
  <si>
    <t>Glittek Granites Ltd.</t>
  </si>
  <si>
    <t>GLITTEKG</t>
  </si>
  <si>
    <t>GLITTEK GRANITES LTD.</t>
  </si>
  <si>
    <t>INE770A01010</t>
  </si>
  <si>
    <t>Pradeep Metals Ltd.</t>
  </si>
  <si>
    <t>PRADPME</t>
  </si>
  <si>
    <t>PRADEEP METALS LTD.</t>
  </si>
  <si>
    <t>INE207H01018</t>
  </si>
  <si>
    <t>Gujarat Natural Resources Limited</t>
  </si>
  <si>
    <t>GNRL</t>
  </si>
  <si>
    <t>INE176E01012</t>
  </si>
  <si>
    <t>Tamilnadu Steel Tubes Ltd.</t>
  </si>
  <si>
    <t>TNSTLTU</t>
  </si>
  <si>
    <t>TAMILNADU STEEL TUBES LTD.</t>
  </si>
  <si>
    <t>INE385M01012</t>
  </si>
  <si>
    <t>Sharda Ispat Ltd.</t>
  </si>
  <si>
    <t>SHRDAIS</t>
  </si>
  <si>
    <t>SHARDA ISPAT LTD.</t>
  </si>
  <si>
    <t>INE451L01014</t>
  </si>
  <si>
    <t>Mahamaya Steel Industries Limited</t>
  </si>
  <si>
    <t>MAHASTEEL</t>
  </si>
  <si>
    <t>MAHAMAYA STEEL INDUSTRIES LTD.</t>
  </si>
  <si>
    <t>INE608C01026</t>
  </si>
  <si>
    <t>Nova Iron &amp; Steel Ltd.</t>
  </si>
  <si>
    <t>NOVIS</t>
  </si>
  <si>
    <t>NOVA IRON &amp; STEEL LTD.</t>
  </si>
  <si>
    <t>INE067E01013</t>
  </si>
  <si>
    <t>Sterling Powergensys Limited</t>
  </si>
  <si>
    <t>STERPOW</t>
  </si>
  <si>
    <t>INE617C01027</t>
  </si>
  <si>
    <t>Foundry Fuel Products Ltd.</t>
  </si>
  <si>
    <t>FFPL</t>
  </si>
  <si>
    <t>FOUNDRY FUEL PRODUCTS LTD.</t>
  </si>
  <si>
    <t>Consumable Fuels</t>
  </si>
  <si>
    <t>Coal</t>
  </si>
  <si>
    <t>Zomato Limited</t>
  </si>
  <si>
    <t>ZOMATO</t>
  </si>
  <si>
    <t>Zomato Ltd</t>
  </si>
  <si>
    <t>INE758T01015</t>
  </si>
  <si>
    <t>INE463D01016</t>
  </si>
  <si>
    <t>Tulsyan NEC Ltd</t>
  </si>
  <si>
    <t>TULSYAN</t>
  </si>
  <si>
    <t>TULSYAN NEC LTD.-$</t>
  </si>
  <si>
    <t>INE197C01012</t>
  </si>
  <si>
    <t>Axel Polymers Ltd.</t>
  </si>
  <si>
    <t>AXELPOLY</t>
  </si>
  <si>
    <t>AXEL POLYMERS LTD.</t>
  </si>
  <si>
    <t>INE589A01014</t>
  </si>
  <si>
    <t>Rolex Rings Limited</t>
  </si>
  <si>
    <t>ROLEXRINGS</t>
  </si>
  <si>
    <t>Rolex Rings Ltd</t>
  </si>
  <si>
    <t>INE645S01016</t>
  </si>
  <si>
    <t>INE848B01012</t>
  </si>
  <si>
    <t>Spectra Industries Ltd.</t>
  </si>
  <si>
    <t>SPECTRA</t>
  </si>
  <si>
    <t>SPECTRA INDUSTRIES LTD.</t>
  </si>
  <si>
    <t>INE434C01027</t>
  </si>
  <si>
    <t>KIC Metaliks Ltd.</t>
  </si>
  <si>
    <t>KAJARIR</t>
  </si>
  <si>
    <t>KIC METALIKS LTD.</t>
  </si>
  <si>
    <t>INE584G01012</t>
  </si>
  <si>
    <t>Solid Stone Company Ltd.</t>
  </si>
  <si>
    <t>SOLIDSTON</t>
  </si>
  <si>
    <t>SOLID STONE COMPANY LTD.</t>
  </si>
  <si>
    <t>INE960A01017</t>
  </si>
  <si>
    <t>Shilp Gravures Ltd.</t>
  </si>
  <si>
    <t>SHILGRAVQ</t>
  </si>
  <si>
    <t>SHILP GRAVURES LTD.-$</t>
  </si>
  <si>
    <t>INE146C01019</t>
  </si>
  <si>
    <t>White Organic Agro Limited</t>
  </si>
  <si>
    <t>WHITEORG</t>
  </si>
  <si>
    <t>White Organic Agro Ltd</t>
  </si>
  <si>
    <t>INE614F01019</t>
  </si>
  <si>
    <t>MFS Intercorp Limited</t>
  </si>
  <si>
    <t>MFSINTRCRP</t>
  </si>
  <si>
    <t>MFS INTERCORP LTD.</t>
  </si>
  <si>
    <t>INE210C01013</t>
  </si>
  <si>
    <t>Aro Granite Industries Ltd.</t>
  </si>
  <si>
    <t>AROGRANITE</t>
  </si>
  <si>
    <t>ARO GRANITE INDUSTRIES LTD.-$</t>
  </si>
  <si>
    <t>Granites &amp; Marbles</t>
  </si>
  <si>
    <t>INE723D01021</t>
  </si>
  <si>
    <t>RUDRA ECOVATION LIMITED</t>
  </si>
  <si>
    <t>RUDRAECO</t>
  </si>
  <si>
    <t>Rudra Ecovation Ltd</t>
  </si>
  <si>
    <t>INE376L01013</t>
  </si>
  <si>
    <t>Rajkamal Synthetics Ltd.</t>
  </si>
  <si>
    <t>RAJKSYN</t>
  </si>
  <si>
    <t>RAJKAMAL SYNTHETICS LTD.</t>
  </si>
  <si>
    <t>INE272C01013</t>
  </si>
  <si>
    <t>Deepak Spinners Ltd.</t>
  </si>
  <si>
    <t>DEEPAKSP</t>
  </si>
  <si>
    <t>DEEPAK SPINNERS LTD.-$</t>
  </si>
  <si>
    <t>INE970D01010</t>
  </si>
  <si>
    <t>Loyal Textiles Mills Ltd</t>
  </si>
  <si>
    <t>LOYALTEX</t>
  </si>
  <si>
    <t>LOYAL TEXTILE MILLS LTD.-$</t>
  </si>
  <si>
    <t>INE049A01027</t>
  </si>
  <si>
    <t>Himatsingka Seide Ltd.</t>
  </si>
  <si>
    <t>HIMATSEIDE</t>
  </si>
  <si>
    <t>HIMATSINGKA SEIDE LTD.</t>
  </si>
  <si>
    <t>INE594B01012</t>
  </si>
  <si>
    <t>BSL Ltd.</t>
  </si>
  <si>
    <t>BSL</t>
  </si>
  <si>
    <t>BSL LTD.</t>
  </si>
  <si>
    <t>INE229N01010</t>
  </si>
  <si>
    <t>MILGREY FINANCE &amp; INVESTMENT LTD</t>
  </si>
  <si>
    <t>ZMILGFIN</t>
  </si>
  <si>
    <t>Milgrey Finance &amp; Investments Ltd</t>
  </si>
  <si>
    <t>INE501F01018</t>
  </si>
  <si>
    <t>P.B.M. Polytex Ltd.</t>
  </si>
  <si>
    <t>PBMPOLY</t>
  </si>
  <si>
    <t>PBM POLYTEX LTD.-$</t>
  </si>
  <si>
    <t>INE207C01019</t>
  </si>
  <si>
    <t>Adinath Textiles Ltd.</t>
  </si>
  <si>
    <t>ADINATH</t>
  </si>
  <si>
    <t>ADINATH TEXTILES LTD.</t>
  </si>
  <si>
    <t>INE517D01019</t>
  </si>
  <si>
    <t>Konark Synthetics  Ltd</t>
  </si>
  <si>
    <t>KONARKSY</t>
  </si>
  <si>
    <t>KONARK SYNTHETIC LTD.</t>
  </si>
  <si>
    <t>INE132C01027</t>
  </si>
  <si>
    <t>Suryalata Spinning Mills Ltd.</t>
  </si>
  <si>
    <t>SURYALA</t>
  </si>
  <si>
    <t>SURYALATA SPINNING MILLS LTD.-$</t>
  </si>
  <si>
    <t>INE431C01023</t>
  </si>
  <si>
    <t>Suryavanshi Spinning Mills Ltd.</t>
  </si>
  <si>
    <t>SURYVANSP</t>
  </si>
  <si>
    <t>SURYAVANSHI SPINNING MILLS LTD.-$</t>
  </si>
  <si>
    <t>INE592B01016</t>
  </si>
  <si>
    <t>T T Ltd</t>
  </si>
  <si>
    <t>TTL</t>
  </si>
  <si>
    <t>T T LTD.-$</t>
  </si>
  <si>
    <t>Devyani International Limited</t>
  </si>
  <si>
    <t>DEVYANI</t>
  </si>
  <si>
    <t>Devyani International Ltd</t>
  </si>
  <si>
    <t>INE872J01023</t>
  </si>
  <si>
    <t>INE862B01013</t>
  </si>
  <si>
    <t>Indian Acrylics Ltd</t>
  </si>
  <si>
    <t>INDIANACRY</t>
  </si>
  <si>
    <t>INDIAN ACRYLICS LTD.</t>
  </si>
  <si>
    <t>INE845D01014</t>
  </si>
  <si>
    <t>Ganesha Ecosphere Limited</t>
  </si>
  <si>
    <t>GANECOS</t>
  </si>
  <si>
    <t>GANESHA ECOSPHERE LTD.</t>
  </si>
  <si>
    <t>INE760J01012</t>
  </si>
  <si>
    <t>Ceeta Industries Ltd.</t>
  </si>
  <si>
    <t>CEETAIN</t>
  </si>
  <si>
    <t>CEETA INDUSTRIES LTD.</t>
  </si>
  <si>
    <t>INE835A01029</t>
  </si>
  <si>
    <t>Vardhman Polytex Ltd.</t>
  </si>
  <si>
    <t>VARDMNPOLY</t>
  </si>
  <si>
    <t>VARDHMAN POLYTEX LTD.</t>
  </si>
  <si>
    <t>INE761G01016</t>
  </si>
  <si>
    <t>Black Rose Industries Ltd</t>
  </si>
  <si>
    <t>BLACKROSE</t>
  </si>
  <si>
    <t>BLACK ROSE INDUSTRIES LTD.</t>
  </si>
  <si>
    <t>INE110Q01023</t>
  </si>
  <si>
    <t>S &amp; T Corporation Limited</t>
  </si>
  <si>
    <t>STCORP</t>
  </si>
  <si>
    <t>S&amp;T CORPORATION LTD.</t>
  </si>
  <si>
    <t>INE410D01017</t>
  </si>
  <si>
    <t>Sanco Trans Ltd.</t>
  </si>
  <si>
    <t>SANCTRN</t>
  </si>
  <si>
    <t>SANCO TRANS LTD.</t>
  </si>
  <si>
    <t>INE391G01012</t>
  </si>
  <si>
    <t>INE495C01010</t>
  </si>
  <si>
    <t>Sangam (India) Ltd</t>
  </si>
  <si>
    <t>SANGAMIND</t>
  </si>
  <si>
    <t>SANGAM (INDIA) LTD.</t>
  </si>
  <si>
    <t>INE664X01025</t>
  </si>
  <si>
    <t>LIKHAMI CONSULTING LIMITED</t>
  </si>
  <si>
    <t>LIKHAMI</t>
  </si>
  <si>
    <t>Likhami Consulting Ltd</t>
  </si>
  <si>
    <t>INE920T01011</t>
  </si>
  <si>
    <t>INE874A01010</t>
  </si>
  <si>
    <t>MKVENTURES CAPITAL LIMITED</t>
  </si>
  <si>
    <t>MKVENTURES</t>
  </si>
  <si>
    <t>Mkventures Capital Ltd</t>
  </si>
  <si>
    <t>INE979D01011</t>
  </si>
  <si>
    <t>Kush Industries Limited</t>
  </si>
  <si>
    <t>KUSHIND</t>
  </si>
  <si>
    <t>Kush Industries Ltd</t>
  </si>
  <si>
    <t>INE377C01010</t>
  </si>
  <si>
    <t>Sree chem Resins Ltd</t>
  </si>
  <si>
    <t>SRECR</t>
  </si>
  <si>
    <t>SREECHEM RESINS LTD.</t>
  </si>
  <si>
    <t>INE899E01019</t>
  </si>
  <si>
    <t>Surbhi Industries Limited</t>
  </si>
  <si>
    <t>SURBHIN</t>
  </si>
  <si>
    <t>SURBHI INDUSTRIES LTD.</t>
  </si>
  <si>
    <t>INE707B01010</t>
  </si>
  <si>
    <t>Seasons Textiles Ltd</t>
  </si>
  <si>
    <t>SEASONST</t>
  </si>
  <si>
    <t>SEASONS TEXTILES LTD.-$</t>
  </si>
  <si>
    <t>INE106C01013</t>
  </si>
  <si>
    <t>Zenith Fibres Limited</t>
  </si>
  <si>
    <t>ZENIFIB</t>
  </si>
  <si>
    <t>ZENITH FIBRES LTD.-$</t>
  </si>
  <si>
    <t>INE436C01014</t>
  </si>
  <si>
    <t>Bhilwara Spinners Ltd</t>
  </si>
  <si>
    <t>BHILSPIN</t>
  </si>
  <si>
    <t>BHILWARA SPINNERS LTD.</t>
  </si>
  <si>
    <t>INE273D01019</t>
  </si>
  <si>
    <t>Aarvee Denims &amp; Exports Ltd.</t>
  </si>
  <si>
    <t>AARVEEDEN</t>
  </si>
  <si>
    <t>AARVEE DENIMS &amp; EXPORTS LTD.</t>
  </si>
  <si>
    <t>INE589J01015</t>
  </si>
  <si>
    <t>Sanrhea Technical Textiles Ltd.</t>
  </si>
  <si>
    <t>SANTETX</t>
  </si>
  <si>
    <t>SANRHEA TECHNICAL TEXTILES LTD.</t>
  </si>
  <si>
    <t>INE440A01010</t>
  </si>
  <si>
    <t>Ashima Ltd</t>
  </si>
  <si>
    <t>ASHIMASYN</t>
  </si>
  <si>
    <t>ASHIMA LTD.</t>
  </si>
  <si>
    <t>INE156C01018</t>
  </si>
  <si>
    <t>Pioneer Embroideries Ltd.</t>
  </si>
  <si>
    <t>PIONEEREMB</t>
  </si>
  <si>
    <t>PIONEER EMBROIDERIES LTD.-$</t>
  </si>
  <si>
    <t>INE660D01017</t>
  </si>
  <si>
    <t>Vippy Spinpro Ltd.</t>
  </si>
  <si>
    <t>VIPPYSP</t>
  </si>
  <si>
    <t>VIPPY SPINPRO LTD.</t>
  </si>
  <si>
    <t>INE156E01014</t>
  </si>
  <si>
    <t>Jaihind Synthetics Ltd.</t>
  </si>
  <si>
    <t>JAIHINDS</t>
  </si>
  <si>
    <t>JAIHIND SYNTHETICS LTD.</t>
  </si>
  <si>
    <t>INE969C01022</t>
  </si>
  <si>
    <t>Raghuvir Synthetics Ltd.</t>
  </si>
  <si>
    <t>RAGHUSYN</t>
  </si>
  <si>
    <t>RAGHUVIR SYNTHETICS LTD.</t>
  </si>
  <si>
    <t>INE722N01014</t>
  </si>
  <si>
    <t>Jattashankar Industries Limited</t>
  </si>
  <si>
    <t>JATTAINDUS</t>
  </si>
  <si>
    <t>JATTASHANKAR INDUSTIES LTD.</t>
  </si>
  <si>
    <t>INE535C01013</t>
  </si>
  <si>
    <t>Kamadgiri Fashion Limited</t>
  </si>
  <si>
    <t>KAMADGIRI</t>
  </si>
  <si>
    <t>KAMADGIRI FASHION LTD.-$</t>
  </si>
  <si>
    <t>INE814D01010</t>
  </si>
  <si>
    <t>Omnitex Industries (India) Ltd.</t>
  </si>
  <si>
    <t>OMNITEX</t>
  </si>
  <si>
    <t>OMNITEX INDUSTRIES (INDIA) LTD.</t>
  </si>
  <si>
    <t>INE790C01014</t>
  </si>
  <si>
    <t>Patspin India Ltd.</t>
  </si>
  <si>
    <t>PATSPINLTD</t>
  </si>
  <si>
    <t>PATSPIN INDIA LTD.</t>
  </si>
  <si>
    <t>INE670O01013</t>
  </si>
  <si>
    <t>ONE GLOBAL SERVICE PROVIDER LIMITED</t>
  </si>
  <si>
    <t>ONEGLOBAL</t>
  </si>
  <si>
    <t>One Global Service Provider Ltd</t>
  </si>
  <si>
    <t>Healthcare Services</t>
  </si>
  <si>
    <t>Healthcare Service Provider</t>
  </si>
  <si>
    <t>INE216I01017</t>
  </si>
  <si>
    <t>Neo Infracon Ltd.</t>
  </si>
  <si>
    <t>NEOINFRA</t>
  </si>
  <si>
    <t>NEO INFRACON LTD.</t>
  </si>
  <si>
    <t>INE194N01016</t>
  </si>
  <si>
    <t>GENESIS IBRC INDIA LIMITED</t>
  </si>
  <si>
    <t>GENESIS</t>
  </si>
  <si>
    <t>Genesis Ibrc India Ltd</t>
  </si>
  <si>
    <t>INE784B01035</t>
  </si>
  <si>
    <t>Winsome Yarns Ltd.</t>
  </si>
  <si>
    <t>WINSOME</t>
  </si>
  <si>
    <t>WINSOME YARNS LTD.</t>
  </si>
  <si>
    <t>INE309M01012</t>
  </si>
  <si>
    <t>Premier Polyfilm Ltd.</t>
  </si>
  <si>
    <t>PREMIERPOL</t>
  </si>
  <si>
    <t>PREMIER POLYFILM LTD.</t>
  </si>
  <si>
    <t>INE339D01034</t>
  </si>
  <si>
    <t>EVERLON FINANCIALS LIMITED</t>
  </si>
  <si>
    <t>EVERFIN</t>
  </si>
  <si>
    <t>Everlon Financials Ltd</t>
  </si>
  <si>
    <t>INE078T01026</t>
  </si>
  <si>
    <t>K&amp;R RAIL ENGINEERING LIMITED</t>
  </si>
  <si>
    <t>KRRAIL</t>
  </si>
  <si>
    <t>K&amp;R Rail Engineering Ltd</t>
  </si>
  <si>
    <t>INE564C01013</t>
  </si>
  <si>
    <t>GOYAL ALUMINIUMS LIMITED</t>
  </si>
  <si>
    <t>GOYALALUM</t>
  </si>
  <si>
    <t>Goyal Aluminiums Ltd</t>
  </si>
  <si>
    <t>INE705X01026</t>
  </si>
  <si>
    <t>INE004C01028</t>
  </si>
  <si>
    <t>Gujarat Cotex Ltd</t>
  </si>
  <si>
    <t>GUJCOTEX</t>
  </si>
  <si>
    <t>GUJARAT COTEX LTD.</t>
  </si>
  <si>
    <t>INE340D01016</t>
  </si>
  <si>
    <t>Dynavision Limited</t>
  </si>
  <si>
    <t>DYNAVSN</t>
  </si>
  <si>
    <t>DYNAVISION LTD.</t>
  </si>
  <si>
    <t>INE083E01010</t>
  </si>
  <si>
    <t>INE638N01012</t>
  </si>
  <si>
    <t>ECO HOTELS AND RESORTS LIMITED</t>
  </si>
  <si>
    <t>ECOHOTELS</t>
  </si>
  <si>
    <t>Eco Hotels And Resorts Ltd</t>
  </si>
  <si>
    <t>INE305D01019</t>
  </si>
  <si>
    <t>SARUP INDUSTRIES LIMITED</t>
  </si>
  <si>
    <t>SARUPINDUS</t>
  </si>
  <si>
    <t>SARUP INDUSTRIES LTD.-$</t>
  </si>
  <si>
    <t>INE370D01013</t>
  </si>
  <si>
    <t>Mangalam Organics Limited</t>
  </si>
  <si>
    <t>MANORG</t>
  </si>
  <si>
    <t>INE074C01013</t>
  </si>
  <si>
    <t>Hindustan Adhesives Ltd.</t>
  </si>
  <si>
    <t>HINDADH</t>
  </si>
  <si>
    <t>HINDUSTAN ADHESIVES LTD.</t>
  </si>
  <si>
    <t>INE009C01019</t>
  </si>
  <si>
    <t>Sri KPR Industries Ltd</t>
  </si>
  <si>
    <t>SRIKPRIND</t>
  </si>
  <si>
    <t>SRI KPR INDUSTRIES LTD.</t>
  </si>
  <si>
    <t>INE577D01013</t>
  </si>
  <si>
    <t>Jyoti Resins &amp; Adhesives Ltd</t>
  </si>
  <si>
    <t>JYOTIRES</t>
  </si>
  <si>
    <t>JYOTI RESINS &amp; ADHESIVES LTD.</t>
  </si>
  <si>
    <t>INE112D01035</t>
  </si>
  <si>
    <t>Mahalaxmi Rubtech Ltd.</t>
  </si>
  <si>
    <t>MHLXMIRU</t>
  </si>
  <si>
    <t>MAHALAXMI RUBTECH LTD.</t>
  </si>
  <si>
    <t>INE410M01018</t>
  </si>
  <si>
    <t>Southern Latex Ltd.</t>
  </si>
  <si>
    <t>SOUTLAT</t>
  </si>
  <si>
    <t>SOUTHERN LATEX LTD.</t>
  </si>
  <si>
    <t>INE670H01017</t>
  </si>
  <si>
    <t>Orissa Bengal Carrier Limited</t>
  </si>
  <si>
    <t>OBCL</t>
  </si>
  <si>
    <t>Orissa Bengal Carrier Ltd</t>
  </si>
  <si>
    <t>INE426Z01016</t>
  </si>
  <si>
    <t>INE837B01031</t>
  </si>
  <si>
    <t>Winsome Textile Industries Ltd</t>
  </si>
  <si>
    <t>WINSOMTX</t>
  </si>
  <si>
    <t>WINSOME TEXTILE INDUSTRIES LTD.-$</t>
  </si>
  <si>
    <t>INE219W01012</t>
  </si>
  <si>
    <t>Modern Insulators Ltd.</t>
  </si>
  <si>
    <t>MODINSU</t>
  </si>
  <si>
    <t>MODERN INSULATORS LTD.</t>
  </si>
  <si>
    <t>INE277C01012</t>
  </si>
  <si>
    <t>Regency Ceramics Ltd</t>
  </si>
  <si>
    <t>REGENCERAM</t>
  </si>
  <si>
    <t>REGENCY CERAMICS LTD.</t>
  </si>
  <si>
    <t>Sansera Engineering Limited</t>
  </si>
  <si>
    <t>SANSERA</t>
  </si>
  <si>
    <t>Sansera Engineering Ltd</t>
  </si>
  <si>
    <t>INE953O01021</t>
  </si>
  <si>
    <t>INE692B01014</t>
  </si>
  <si>
    <t>Murudeshwar Ceramics Ltd.</t>
  </si>
  <si>
    <t>MURUDCERA</t>
  </si>
  <si>
    <t>MURUDESHWAR CERAMICS LTD.</t>
  </si>
  <si>
    <t>INE068B01017</t>
  </si>
  <si>
    <t>Saint-Gobain Sekurit India Ltd.</t>
  </si>
  <si>
    <t>SAINTGOBAIN</t>
  </si>
  <si>
    <t>SAINT-GOBAIN SEKURIT INDIA LTD.</t>
  </si>
  <si>
    <t>FSN E-Commerce Ventures Limited</t>
  </si>
  <si>
    <t>NYKAA</t>
  </si>
  <si>
    <t>FSN E-Commerce Ventures Ltd</t>
  </si>
  <si>
    <t>INE388Y01029</t>
  </si>
  <si>
    <t>INE469C01023</t>
  </si>
  <si>
    <t>Madhusudan Industries Ltd.</t>
  </si>
  <si>
    <t>MADHUDIN</t>
  </si>
  <si>
    <t>MADHUSUDAN INDUSTRIES LTD.</t>
  </si>
  <si>
    <t>INE298E01022</t>
  </si>
  <si>
    <t>Restile Ceramics Ltd.</t>
  </si>
  <si>
    <t>RESTILE</t>
  </si>
  <si>
    <t>RESTILE CERAMICS LTD.</t>
  </si>
  <si>
    <t>INE925C01016</t>
  </si>
  <si>
    <t>Madhav Marbles &amp; Granites Ltd.</t>
  </si>
  <si>
    <t>MADHAV</t>
  </si>
  <si>
    <t>MADHAV MARBLES &amp; GRANITES LTD.</t>
  </si>
  <si>
    <t>INE650D01026</t>
  </si>
  <si>
    <t>IFL ENTERPRISES LIMITED</t>
  </si>
  <si>
    <t>IFL</t>
  </si>
  <si>
    <t>IFL Enterprises Ltd</t>
  </si>
  <si>
    <t>INE714U01024</t>
  </si>
  <si>
    <t>INE952A01022</t>
  </si>
  <si>
    <t>Hindusthan National Glass &amp; Industr</t>
  </si>
  <si>
    <t>HINDNATGLS</t>
  </si>
  <si>
    <t>HINDUSTHAN NATIONAL GLASS &amp; INDUSTRIES LTD.-$</t>
  </si>
  <si>
    <t>INE506D01020</t>
  </si>
  <si>
    <t>Haldyn Glass Limited</t>
  </si>
  <si>
    <t>HALDYNGL</t>
  </si>
  <si>
    <t>Haldyn Glass Ltd-$</t>
  </si>
  <si>
    <t>INE932D01010</t>
  </si>
  <si>
    <t>DUROPLY INDUSTRIES LIMITED</t>
  </si>
  <si>
    <t>DUROPLY</t>
  </si>
  <si>
    <t>Duroply Industries Ltd</t>
  </si>
  <si>
    <t>INE231C01019</t>
  </si>
  <si>
    <t>Shreyans Industries Limited.</t>
  </si>
  <si>
    <t>SHREYANIND</t>
  </si>
  <si>
    <t>SHREYANS INDUSTRIES LTD.-$</t>
  </si>
  <si>
    <t>INE112C01011</t>
  </si>
  <si>
    <t>Agio Paper &amp; Industries Limited</t>
  </si>
  <si>
    <t>AGIOPAPER</t>
  </si>
  <si>
    <t>AGIO PAPER &amp; INDUSTRIES LTD.-$</t>
  </si>
  <si>
    <t>INE733A01018</t>
  </si>
  <si>
    <t>Star Paper Mills Ltd.</t>
  </si>
  <si>
    <t>STARPAPER</t>
  </si>
  <si>
    <t>STAR PAPER MILLS LTD.</t>
  </si>
  <si>
    <t>INE551D01018</t>
  </si>
  <si>
    <t>PAKKA LIMITED</t>
  </si>
  <si>
    <t>PAKKA</t>
  </si>
  <si>
    <t>Pakka Ltd-$</t>
  </si>
  <si>
    <t>INE385D01029</t>
  </si>
  <si>
    <t>TAHMAR ENTERPRISES LIMITED</t>
  </si>
  <si>
    <t>TAHMARENT</t>
  </si>
  <si>
    <t>Tahmar Enterprises Ltd</t>
  </si>
  <si>
    <t>INE737E01011</t>
  </si>
  <si>
    <t>Soma Papers &amp; Industries Ltd.</t>
  </si>
  <si>
    <t>SOMAPPR</t>
  </si>
  <si>
    <t>SOMA PAPERS &amp; INDUSTRIES LTD.</t>
  </si>
  <si>
    <t>INE570D01018</t>
  </si>
  <si>
    <t>Arrow Greentech Limited</t>
  </si>
  <si>
    <t>ARROWGREEN</t>
  </si>
  <si>
    <t>Arrow Greentech Ltd</t>
  </si>
  <si>
    <t>INE270I01022</t>
  </si>
  <si>
    <t>Vishnu Chemicals Limited</t>
  </si>
  <si>
    <t>VISHNU</t>
  </si>
  <si>
    <t>VISHNU CHEMICALS LTD.</t>
  </si>
  <si>
    <t>INE699D01015</t>
  </si>
  <si>
    <t>Jumbo Bag ltd.</t>
  </si>
  <si>
    <t>JUMBO</t>
  </si>
  <si>
    <t>JUMBO BAG LTD.</t>
  </si>
  <si>
    <t>INE740D01017</t>
  </si>
  <si>
    <t>N.R.Agarwal Industries Ltd.</t>
  </si>
  <si>
    <t>NRAIL</t>
  </si>
  <si>
    <t>N.R.AGARWAL INDUSTRIES LTD.</t>
  </si>
  <si>
    <t>INE105C01023</t>
  </si>
  <si>
    <t>3P LAND HOLDINGS LTD.</t>
  </si>
  <si>
    <t>3PLAND</t>
  </si>
  <si>
    <t>3P Land Holdings Ltd</t>
  </si>
  <si>
    <t>INE384D01022</t>
  </si>
  <si>
    <t>Sangal Papers Ltd.</t>
  </si>
  <si>
    <t>SANPA</t>
  </si>
  <si>
    <t>SANGAL PAPERS LTD.</t>
  </si>
  <si>
    <t>INE810C01044</t>
  </si>
  <si>
    <t>Ventura Textiles Ltd.</t>
  </si>
  <si>
    <t>VENTURA</t>
  </si>
  <si>
    <t>VENTURA TEXTILES LTD.</t>
  </si>
  <si>
    <t>INE538D01015</t>
  </si>
  <si>
    <t>Shree Karthik Papers Ltd.</t>
  </si>
  <si>
    <t>SHKARTP</t>
  </si>
  <si>
    <t>SHREE KARTHIK PAPERS LTD.</t>
  </si>
  <si>
    <t>INE088G01014</t>
  </si>
  <si>
    <t>South India Paper Mills Ltd.</t>
  </si>
  <si>
    <t>STHINPA</t>
  </si>
  <si>
    <t>SOUTH INDIA PAPER MILLS LTD.</t>
  </si>
  <si>
    <t>INE146N01016</t>
  </si>
  <si>
    <t>FAMILY CARE HOSPITALS LIMITED</t>
  </si>
  <si>
    <t>FAMILYCARE</t>
  </si>
  <si>
    <t>Family Care Hospitals Ltd</t>
  </si>
  <si>
    <t>INE707A01012</t>
  </si>
  <si>
    <t>Vindhya Telelinks Ltd.</t>
  </si>
  <si>
    <t>VINDHYATEL</t>
  </si>
  <si>
    <t>VINDHYA TELELINKS LTD.</t>
  </si>
  <si>
    <t>Telecom - Infrastructure</t>
  </si>
  <si>
    <t>INE302D01016</t>
  </si>
  <si>
    <t>RIR POWER ELECTRONICS LIMITED</t>
  </si>
  <si>
    <t>RIR</t>
  </si>
  <si>
    <t>RIR Power Electronics Ltd</t>
  </si>
  <si>
    <t>INE045A01017</t>
  </si>
  <si>
    <t>Ador Welding Ltd.</t>
  </si>
  <si>
    <t>ADORWELD</t>
  </si>
  <si>
    <t>ADOR WELDING LTD.</t>
  </si>
  <si>
    <t>INE649R01010</t>
  </si>
  <si>
    <t>GENPHARMASEC LIMITED</t>
  </si>
  <si>
    <t>GENPHARMA</t>
  </si>
  <si>
    <t>Genpharmasec Ltd</t>
  </si>
  <si>
    <t>INE861N01036</t>
  </si>
  <si>
    <t>INE457F01013</t>
  </si>
  <si>
    <t>Salzer Electronics Ltd.</t>
  </si>
  <si>
    <t>SALZERELEC</t>
  </si>
  <si>
    <t>SALZER ELECTRONICS LTD.-$</t>
  </si>
  <si>
    <t>INE919C01019</t>
  </si>
  <si>
    <t>Jetking Infotrain Ltd.</t>
  </si>
  <si>
    <t>JETKINGQ</t>
  </si>
  <si>
    <t>JETKING INFOTRAIN LTD.</t>
  </si>
  <si>
    <t>E-Learning</t>
  </si>
  <si>
    <t>INE273A01015</t>
  </si>
  <si>
    <t>Aplab Ltd.</t>
  </si>
  <si>
    <t>APLAB</t>
  </si>
  <si>
    <t>APLAB LTD.-$</t>
  </si>
  <si>
    <t>INE834B01012</t>
  </si>
  <si>
    <t>PCS Technology Ltd.</t>
  </si>
  <si>
    <t>PCS</t>
  </si>
  <si>
    <t>PCS TECHNOLOGY LTD.</t>
  </si>
  <si>
    <t>INE228A01035</t>
  </si>
  <si>
    <t>Sapphire Foods India Limited</t>
  </si>
  <si>
    <t>SAPPHIRE</t>
  </si>
  <si>
    <t>Sapphire Foods India Ltd</t>
  </si>
  <si>
    <t>INE806T01012</t>
  </si>
  <si>
    <t>INE252A01019</t>
  </si>
  <si>
    <t>SPEL Semiconductor Ltd.</t>
  </si>
  <si>
    <t>SPELS</t>
  </si>
  <si>
    <t>SPEL SEMICONDUCTOR LTD.</t>
  </si>
  <si>
    <t>INE287B01021</t>
  </si>
  <si>
    <t>Subros Ltd.</t>
  </si>
  <si>
    <t>SUBROS</t>
  </si>
  <si>
    <t>SUBROS LTD.</t>
  </si>
  <si>
    <t>INE125G01014</t>
  </si>
  <si>
    <t>Edvenswa Enterprises Limited</t>
  </si>
  <si>
    <t>EDVENSWA</t>
  </si>
  <si>
    <t>Edvenswa Enterprises Ltd</t>
  </si>
  <si>
    <t>INE443P01020</t>
  </si>
  <si>
    <t>Kesar Terminals &amp; Infrastructure Limited</t>
  </si>
  <si>
    <t>KTIL</t>
  </si>
  <si>
    <t>KESAR TERMINALS &amp; INFRASTRUCTURE LTD.</t>
  </si>
  <si>
    <t>INE096L01025</t>
  </si>
  <si>
    <t>INE671A01010</t>
  </si>
  <si>
    <t>Go Fashion (India) Limited</t>
  </si>
  <si>
    <t>GOCOLORS</t>
  </si>
  <si>
    <t>Go Fashion (India) Ltd</t>
  </si>
  <si>
    <t>INE0BJS01011</t>
  </si>
  <si>
    <t>INE311D01017</t>
  </si>
  <si>
    <t>Switching Technologies Gunther Ltd.</t>
  </si>
  <si>
    <t>SWITCHTE</t>
  </si>
  <si>
    <t>SWITCHING TECHNOLOGIES GUNTHER LTD.</t>
  </si>
  <si>
    <t>INE162B01018</t>
  </si>
  <si>
    <t>Lumax Industries Ltd.</t>
  </si>
  <si>
    <t>LUMAXIND</t>
  </si>
  <si>
    <t>LUMAX INDUSTRIES LTD.</t>
  </si>
  <si>
    <t>INE927C01020</t>
  </si>
  <si>
    <t>DIGISPICE TECHNOLOGIES LIMITED</t>
  </si>
  <si>
    <t>DIGISPICE</t>
  </si>
  <si>
    <t>Digispice Technologies Ltd-$</t>
  </si>
  <si>
    <t>INE216C01010</t>
  </si>
  <si>
    <t>Calcom Vision Ltd.</t>
  </si>
  <si>
    <t>CALCOM</t>
  </si>
  <si>
    <t>CALCOM VISION LTD.</t>
  </si>
  <si>
    <t>Kemp &amp; Company Limited</t>
  </si>
  <si>
    <t>KEMP</t>
  </si>
  <si>
    <t>KEMP &amp; COMPANY LTD.</t>
  </si>
  <si>
    <t>INE788D01016</t>
  </si>
  <si>
    <t>BCC Fuba India Ltd.</t>
  </si>
  <si>
    <t>BCCFUBA</t>
  </si>
  <si>
    <t>BCC FUBA INDIA LTD.</t>
  </si>
  <si>
    <t>INE143C01024</t>
  </si>
  <si>
    <t>Precision Electronics Ltd.</t>
  </si>
  <si>
    <t>PRECISIO</t>
  </si>
  <si>
    <t>PRECISION ELECTRONICS LTD.</t>
  </si>
  <si>
    <t>INE087E01011</t>
  </si>
  <si>
    <t>Fine-line Circuits Ltd.</t>
  </si>
  <si>
    <t>FINELINE</t>
  </si>
  <si>
    <t>FINE-LINE CIRCUITS LTD.</t>
  </si>
  <si>
    <t>Metro Brands Limited</t>
  </si>
  <si>
    <t>METROBRAND</t>
  </si>
  <si>
    <t>Metro Brands Ltd</t>
  </si>
  <si>
    <t>INE317I01021</t>
  </si>
  <si>
    <t>INE902B01017</t>
  </si>
  <si>
    <t>S &amp; S Power Switchgears Ltd.</t>
  </si>
  <si>
    <t>S&amp;SPOWER</t>
  </si>
  <si>
    <t>S&amp;S POWER SWITCHGEAR LTD.</t>
  </si>
  <si>
    <t>INE541F01022</t>
  </si>
  <si>
    <t>Gujarat Poly Electronics Limited</t>
  </si>
  <si>
    <t>GUJARATPOLY</t>
  </si>
  <si>
    <t>Gujarat Poly Electronics Ltd</t>
  </si>
  <si>
    <t>INE162A01010</t>
  </si>
  <si>
    <t>Gujarat Industries Power Co. Ltd</t>
  </si>
  <si>
    <t>GIPCL</t>
  </si>
  <si>
    <t>GUJARAT INDUSTRIES POWER CO.LTD.</t>
  </si>
  <si>
    <t>Medplus Health Services Limited</t>
  </si>
  <si>
    <t>MEDPLUS</t>
  </si>
  <si>
    <t>Medplus Health Services Ltd</t>
  </si>
  <si>
    <t>INE804L01022</t>
  </si>
  <si>
    <t>Pharmacy Retail</t>
  </si>
  <si>
    <t>INE110B01017</t>
  </si>
  <si>
    <t>Mindteck (India) Ltd</t>
  </si>
  <si>
    <t>MINDTECK</t>
  </si>
  <si>
    <t>MINDTECK (INDIA) LTD.</t>
  </si>
  <si>
    <t>Vedant Fashions Limited</t>
  </si>
  <si>
    <t>MANYAVAR</t>
  </si>
  <si>
    <t>Vedant Fashions Ltd</t>
  </si>
  <si>
    <t>INE825V01034</t>
  </si>
  <si>
    <t>INE167B01025</t>
  </si>
  <si>
    <t>ACI Infocom Ltd.</t>
  </si>
  <si>
    <t>ACIIN</t>
  </si>
  <si>
    <t>ACI INFOCOM LTD.</t>
  </si>
  <si>
    <t>INE689V01018</t>
  </si>
  <si>
    <t>Cravatex Ltd.</t>
  </si>
  <si>
    <t>CRAVATEX</t>
  </si>
  <si>
    <t>CRAVATEX LTD.</t>
  </si>
  <si>
    <t>INE437C01012</t>
  </si>
  <si>
    <t>Incap Ltd</t>
  </si>
  <si>
    <t>INCAP</t>
  </si>
  <si>
    <t>INCAP LTD.</t>
  </si>
  <si>
    <t>INE877E01015</t>
  </si>
  <si>
    <t>Gujarat Intrux Limited</t>
  </si>
  <si>
    <t>GUJINTRX</t>
  </si>
  <si>
    <t>GUJARAT INTRUX LTD.-$</t>
  </si>
  <si>
    <t>INE188B01013</t>
  </si>
  <si>
    <t>Igarashi Motors India Ltd.</t>
  </si>
  <si>
    <t>IGARASHI</t>
  </si>
  <si>
    <t>IGARASHI MOTORS INDIA LTD.</t>
  </si>
  <si>
    <t>Eureka Forbes Limited</t>
  </si>
  <si>
    <t>EUREKAFORBE</t>
  </si>
  <si>
    <t>Eureka Forbes Ltd</t>
  </si>
  <si>
    <t>INE0KCE01017</t>
  </si>
  <si>
    <t>INE043B01028</t>
  </si>
  <si>
    <t>Vintron Informatics Ltd.</t>
  </si>
  <si>
    <t>VINTRON</t>
  </si>
  <si>
    <t>VINTRON INFORMATICS LTD.</t>
  </si>
  <si>
    <t>INE648E01010</t>
  </si>
  <si>
    <t>Pan Electronics India Ltd.</t>
  </si>
  <si>
    <t>PANELEC</t>
  </si>
  <si>
    <t>PAN ELECTRONICS INDIA LTD.</t>
  </si>
  <si>
    <t>INE756A01019</t>
  </si>
  <si>
    <t>VXL Instruments Ltd.</t>
  </si>
  <si>
    <t>VXLINSTR</t>
  </si>
  <si>
    <t>VXL INSTRUMENTS LTD.</t>
  </si>
  <si>
    <t>INE635A01023</t>
  </si>
  <si>
    <t>Chartered Logistics Ltd</t>
  </si>
  <si>
    <t>CHLOGIST</t>
  </si>
  <si>
    <t>CHARTERED LOGISTICS LTD.</t>
  </si>
  <si>
    <t>INE558F01026</t>
  </si>
  <si>
    <t>INE791B01014</t>
  </si>
  <si>
    <t>Lee &amp; Nee Softwares (Exports) Ltd.</t>
  </si>
  <si>
    <t>LEENEE</t>
  </si>
  <si>
    <t>LEE &amp; NEE SOFTWARES (EXPORTS) LTD.</t>
  </si>
  <si>
    <t>INE082C01024</t>
  </si>
  <si>
    <t>Patels Airtemp (I) Ltd.</t>
  </si>
  <si>
    <t>PATELSAI</t>
  </si>
  <si>
    <t>PATELS AIRTEMP (INDIA) LTD.</t>
  </si>
  <si>
    <t>INE295F01017</t>
  </si>
  <si>
    <t>Butterfly Gandhimathi Appliances Limited</t>
  </si>
  <si>
    <t>BUTTERFLY</t>
  </si>
  <si>
    <t>Butterfly Gandhimathi Appliances Ltd</t>
  </si>
  <si>
    <t>INE0IPL01018</t>
  </si>
  <si>
    <t>Integra Switchgear Ltd.</t>
  </si>
  <si>
    <t>INTEGSW</t>
  </si>
  <si>
    <t>INTEGRA SWITCHGEAR LTD.</t>
  </si>
  <si>
    <t>INE576B01019</t>
  </si>
  <si>
    <t>Athena Global Technologies Limited</t>
  </si>
  <si>
    <t>ATHENAGLO</t>
  </si>
  <si>
    <t>Athena Global Technologies Ltd-$</t>
  </si>
  <si>
    <t>INE060D01010</t>
  </si>
  <si>
    <t>Narmada Macplast Drip Irrigation Sy</t>
  </si>
  <si>
    <t>NARMP</t>
  </si>
  <si>
    <t>NARMADA MACPLAST DRIP IRRIGATION SYSTEMS LTD.</t>
  </si>
  <si>
    <t>INE940C01015</t>
  </si>
  <si>
    <t>Dutron  Polymers Ltd.</t>
  </si>
  <si>
    <t>DUTRON</t>
  </si>
  <si>
    <t>DUTRON POLYMERS LTD.-$</t>
  </si>
  <si>
    <t>INE165B01029</t>
  </si>
  <si>
    <t>R S Software India Ltd.</t>
  </si>
  <si>
    <t>RSSOFTWARE</t>
  </si>
  <si>
    <t>R.S.SOFTWARE INDIA LTD.</t>
  </si>
  <si>
    <t>INE437D01010</t>
  </si>
  <si>
    <t>Magna Electro Castings Ltd.</t>
  </si>
  <si>
    <t>MAGNAELQ</t>
  </si>
  <si>
    <t>MAGNA ELECTRO CASTINGS LTD.-$</t>
  </si>
  <si>
    <t>INE415B01044</t>
  </si>
  <si>
    <t>MARSONS LIMITED</t>
  </si>
  <si>
    <t>MARSONS</t>
  </si>
  <si>
    <t>INE033C01019</t>
  </si>
  <si>
    <t>Elnet Technologies Ltd.</t>
  </si>
  <si>
    <t>ELNET</t>
  </si>
  <si>
    <t>ELNET TECHNOLOGIES LTD.-$</t>
  </si>
  <si>
    <t>INE258C01038</t>
  </si>
  <si>
    <t>ACCEL LIMITED</t>
  </si>
  <si>
    <t>ACCEL</t>
  </si>
  <si>
    <t>Accel Ltd</t>
  </si>
  <si>
    <t>INE855C01015</t>
  </si>
  <si>
    <t>Websol Energy System Limited</t>
  </si>
  <si>
    <t>WEBELSOLAR</t>
  </si>
  <si>
    <t>WEBSOL ENERGY SYSTEM LTD.</t>
  </si>
  <si>
    <t>INE535D01029</t>
  </si>
  <si>
    <t>Roto Pumps Ltd.</t>
  </si>
  <si>
    <t>ROTO</t>
  </si>
  <si>
    <t>ROTO PUMPS LTD.</t>
  </si>
  <si>
    <t>Motherson Sumi Wiring India Limited</t>
  </si>
  <si>
    <t>MSUMI</t>
  </si>
  <si>
    <t>Motherson Sumi Wiring India Ltd</t>
  </si>
  <si>
    <t>INE0FS801015</t>
  </si>
  <si>
    <t>INE589D01018</t>
  </si>
  <si>
    <t>D &amp; H India Limited</t>
  </si>
  <si>
    <t>DHINDIA</t>
  </si>
  <si>
    <t>D&amp;H India Ltd-$</t>
  </si>
  <si>
    <t>INE451D01029</t>
  </si>
  <si>
    <t>Rajratan Global Wire Ltd</t>
  </si>
  <si>
    <t>RAJRATAN</t>
  </si>
  <si>
    <t>RAJRATAN GLOBAL WIRE LTD.</t>
  </si>
  <si>
    <t>INE130B01031</t>
  </si>
  <si>
    <t>Surana Telecom And Power Limited</t>
  </si>
  <si>
    <t>SURANAT&amp;P</t>
  </si>
  <si>
    <t>INE229A01017</t>
  </si>
  <si>
    <t>Onward Technologies Ltd.</t>
  </si>
  <si>
    <t>ONWARDTEC</t>
  </si>
  <si>
    <t>ONWARD TECHNOLOGIES LTD.</t>
  </si>
  <si>
    <t>INE320B01020</t>
  </si>
  <si>
    <t>Centum Electronics Ltd</t>
  </si>
  <si>
    <t>CENTUM</t>
  </si>
  <si>
    <t>CENTUM ELECTRONICS LTD.</t>
  </si>
  <si>
    <t>INE209C01015</t>
  </si>
  <si>
    <t>Alfa Transformers ltd.</t>
  </si>
  <si>
    <t>ALFATRAN</t>
  </si>
  <si>
    <t>ALFA TRANSFORMERS LTD.</t>
  </si>
  <si>
    <t>INE141C01028</t>
  </si>
  <si>
    <t>NHC FOODS LIMITED</t>
  </si>
  <si>
    <t>NHCFOODS</t>
  </si>
  <si>
    <t>NHC FOODS LTD.</t>
  </si>
  <si>
    <t>INE362A01016</t>
  </si>
  <si>
    <t>PVP Ventures Ltd</t>
  </si>
  <si>
    <t>PVP</t>
  </si>
  <si>
    <t>PVP VENTURES LTD.</t>
  </si>
  <si>
    <t>INE948A01012</t>
  </si>
  <si>
    <t>Trigyn Technologies Ltd.</t>
  </si>
  <si>
    <t>TRIGYN</t>
  </si>
  <si>
    <t>TRIGYN TECHNOLOGIES LTD.</t>
  </si>
  <si>
    <t>INE878B01027</t>
  </si>
  <si>
    <t>Campus Activewear Limited</t>
  </si>
  <si>
    <t>CAMPUS</t>
  </si>
  <si>
    <t>Campus Activewear Ltd</t>
  </si>
  <si>
    <t>INE278Y01022</t>
  </si>
  <si>
    <t>INE145L01012</t>
  </si>
  <si>
    <t>Keerthi Industries Ltd</t>
  </si>
  <si>
    <t>KEERTHI</t>
  </si>
  <si>
    <t>KEERTHI INDUSTRIES LTD.</t>
  </si>
  <si>
    <t>INE333H01020</t>
  </si>
  <si>
    <t>Bheema Cements Limited</t>
  </si>
  <si>
    <t>BHEEMACEM</t>
  </si>
  <si>
    <t>BHEEMA CEMENTS LTD.</t>
  </si>
  <si>
    <t>INE069E01019</t>
  </si>
  <si>
    <t>Suraj Products Ltd.</t>
  </si>
  <si>
    <t>SURAJ</t>
  </si>
  <si>
    <t>SURAJ PRODUCTS LTD.</t>
  </si>
  <si>
    <t>INE071F01012</t>
  </si>
  <si>
    <t>Anjani Portland Cement Ltd.</t>
  </si>
  <si>
    <t>APCL</t>
  </si>
  <si>
    <t>ANJANI PORTLAND CEMENT LTD.-$</t>
  </si>
  <si>
    <t>INE537F01012</t>
  </si>
  <si>
    <t>Modi Naturals Limited</t>
  </si>
  <si>
    <t>MODINATUR</t>
  </si>
  <si>
    <t>INE100E01012</t>
  </si>
  <si>
    <t>Prashant India Ltd</t>
  </si>
  <si>
    <t>PRSNTIN</t>
  </si>
  <si>
    <t>PRASHANT INDIA LTD.</t>
  </si>
  <si>
    <t>INE455D01012</t>
  </si>
  <si>
    <t>Shah Foods Ltd</t>
  </si>
  <si>
    <t>SHAHFOOD</t>
  </si>
  <si>
    <t>SHAH FOODS LTD.</t>
  </si>
  <si>
    <t>INE687W01010</t>
  </si>
  <si>
    <t>Khandelwal Extraction Ltd.</t>
  </si>
  <si>
    <t>ZKHANDEN</t>
  </si>
  <si>
    <t>KHANDELWAL EXTRACTION LTD.</t>
  </si>
  <si>
    <t>INE488B01017</t>
  </si>
  <si>
    <t>Tasty Bite Eatables Ltd.</t>
  </si>
  <si>
    <t>TASTYBITE</t>
  </si>
  <si>
    <t>TASTY BITE EATABLES LTD.</t>
  </si>
  <si>
    <t>INE534D01014</t>
  </si>
  <si>
    <t>Ritesh International Ltd</t>
  </si>
  <si>
    <t>RITESHIN</t>
  </si>
  <si>
    <t>RITESH INTERNATIONAL LTD.</t>
  </si>
  <si>
    <t>INE488D01021</t>
  </si>
  <si>
    <t>AVT Natural Products Ltd.</t>
  </si>
  <si>
    <t>AVTNPL</t>
  </si>
  <si>
    <t>AVT NATURAL PRODUCTS LTD.</t>
  </si>
  <si>
    <t>INE254N01026</t>
  </si>
  <si>
    <t>ETHOS LIMITED</t>
  </si>
  <si>
    <t>ETHOSLTD</t>
  </si>
  <si>
    <t>Ethos Ltd</t>
  </si>
  <si>
    <t>INE04TZ01018</t>
  </si>
  <si>
    <t>INE289A01011</t>
  </si>
  <si>
    <t>Nahar Industrial Enterprises Ltd</t>
  </si>
  <si>
    <t>NAHARINDUS</t>
  </si>
  <si>
    <t>NAHAR INDUSTRIAL ENTERPRISES LTD.-$</t>
  </si>
  <si>
    <t>INE693D01018</t>
  </si>
  <si>
    <t>Vadilal Enterprises Ltd.</t>
  </si>
  <si>
    <t>VADILENT</t>
  </si>
  <si>
    <t>VADILAL ENTERPRISES LTD.</t>
  </si>
  <si>
    <t>INE694D01016</t>
  </si>
  <si>
    <t>Vadilal Industries Ltd.</t>
  </si>
  <si>
    <t>VADILALIND</t>
  </si>
  <si>
    <t>VADILAL INDUSTRIES LTD.-$</t>
  </si>
  <si>
    <t>INE709D01012</t>
  </si>
  <si>
    <t>Ashiana Agro Industries Ltd</t>
  </si>
  <si>
    <t>ASHAI</t>
  </si>
  <si>
    <t>ASHIANA AGRO INDUSTRIES LTD.</t>
  </si>
  <si>
    <t>INE982B01027</t>
  </si>
  <si>
    <t>ADF Foods Limited.</t>
  </si>
  <si>
    <t>ADFFOODS</t>
  </si>
  <si>
    <t>ADF FOODS LTD.-$</t>
  </si>
  <si>
    <t>INE601N01010</t>
  </si>
  <si>
    <t>Retro Green Revolution Limited</t>
  </si>
  <si>
    <t>RGRL</t>
  </si>
  <si>
    <t>Retro Green Revolution Ltd</t>
  </si>
  <si>
    <t>INE188E01017</t>
  </si>
  <si>
    <t>Williamson Financial Services ltd.</t>
  </si>
  <si>
    <t>WILLIMFI</t>
  </si>
  <si>
    <t>WILLIAMSON FINANCIAL SERVICES LTD.</t>
  </si>
  <si>
    <t>INE601B01023</t>
  </si>
  <si>
    <t>Ajanta Soya Limited</t>
  </si>
  <si>
    <t>AJANTSOY</t>
  </si>
  <si>
    <t>AJANTA SOYA LTD.</t>
  </si>
  <si>
    <t>INE210A01017</t>
  </si>
  <si>
    <t>William Magor &amp; Company Limited</t>
  </si>
  <si>
    <t>WILLAMAGOR</t>
  </si>
  <si>
    <t>WILLIAMSON MAGOR &amp; COMPANY LTD.</t>
  </si>
  <si>
    <t>INE102C01020</t>
  </si>
  <si>
    <t>Chowgule Steamships Ltd.</t>
  </si>
  <si>
    <t>CHOWGULSTM</t>
  </si>
  <si>
    <t>CHOWGULE STEAMSHIPS LTD.</t>
  </si>
  <si>
    <t>INE843L01012</t>
  </si>
  <si>
    <t>Superior Industrial Enterprises Limited</t>
  </si>
  <si>
    <t>SIEL</t>
  </si>
  <si>
    <t>INE233P01017</t>
  </si>
  <si>
    <t>Saptarishi Agro Industries Ltd</t>
  </si>
  <si>
    <t>SPTRSHI</t>
  </si>
  <si>
    <t>SAPTARISHI AGRO INDUSTRIES LTD.</t>
  </si>
  <si>
    <t>INE297D01018</t>
  </si>
  <si>
    <t>Prima Agro Ltd.</t>
  </si>
  <si>
    <t>PRIMAGR</t>
  </si>
  <si>
    <t>PRIMA AGRO LTD.</t>
  </si>
  <si>
    <t>INE906C01016</t>
  </si>
  <si>
    <t>Tarai Foods Ltd.</t>
  </si>
  <si>
    <t>TARAI</t>
  </si>
  <si>
    <t>TARAI FOODS LTD.</t>
  </si>
  <si>
    <t>INE617B01011</t>
  </si>
  <si>
    <t>Modern Dairies Ltd.</t>
  </si>
  <si>
    <t>MODAIRY</t>
  </si>
  <si>
    <t>MODERN DAIRIES LTD.</t>
  </si>
  <si>
    <t>INE921D01013</t>
  </si>
  <si>
    <t>Bambino Agro Industries Ltd</t>
  </si>
  <si>
    <t>BAMBINO</t>
  </si>
  <si>
    <t>BAMBINO AGRO INDUSTRIES LTD.</t>
  </si>
  <si>
    <t>INE543F01028</t>
  </si>
  <si>
    <t>Prime Industries Ltd.</t>
  </si>
  <si>
    <t>PRIMIND</t>
  </si>
  <si>
    <t>PRIME INDUSTRIES LTD.</t>
  </si>
  <si>
    <t>INE706A01022</t>
  </si>
  <si>
    <t>Vikas WSP Ltd.</t>
  </si>
  <si>
    <t>VIKASWSP</t>
  </si>
  <si>
    <t>VIKAS WSP LTD.</t>
  </si>
  <si>
    <t>INE923K01014</t>
  </si>
  <si>
    <t>VSF Projects Limited</t>
  </si>
  <si>
    <t>VSFPROJ</t>
  </si>
  <si>
    <t>VSF PROJECTS LTD.</t>
  </si>
  <si>
    <t>INE809E01018</t>
  </si>
  <si>
    <t>Poona Dal And Oil Industries Ltd.</t>
  </si>
  <si>
    <t>POONADAL</t>
  </si>
  <si>
    <t>POONA DAL &amp; OIL INDUSTRIES LTD.</t>
  </si>
  <si>
    <t>INE213P01027</t>
  </si>
  <si>
    <t>Transglobe Foods Ltd.</t>
  </si>
  <si>
    <t>TRANSFD</t>
  </si>
  <si>
    <t>TRANSGLOBE FOODS LTD.</t>
  </si>
  <si>
    <t>VMS INDUSTRIES LIMITED</t>
  </si>
  <si>
    <t>VMS</t>
  </si>
  <si>
    <t>VMS INDUSTRIES LTD.</t>
  </si>
  <si>
    <t>INE932K01015</t>
  </si>
  <si>
    <t>INE220Z01013</t>
  </si>
  <si>
    <t>Sharat Industries Ltd.</t>
  </si>
  <si>
    <t>SHINDL</t>
  </si>
  <si>
    <t>SHARAT INDUSTRIES LTD.</t>
  </si>
  <si>
    <t>INE673U01014</t>
  </si>
  <si>
    <t>Yaari Digital Integrated Services Ltd</t>
  </si>
  <si>
    <t>YAARI</t>
  </si>
  <si>
    <t>INE126M01010</t>
  </si>
  <si>
    <t>INE873N01015</t>
  </si>
  <si>
    <t>KMG Milk Food Limited</t>
  </si>
  <si>
    <t>KMGMILK</t>
  </si>
  <si>
    <t>KMG MILK FOOD LTD.</t>
  </si>
  <si>
    <t>INE953E01014</t>
  </si>
  <si>
    <t>KSE Ltd.</t>
  </si>
  <si>
    <t>KSE</t>
  </si>
  <si>
    <t>KSE LTD.-$</t>
  </si>
  <si>
    <t>Animal Feed</t>
  </si>
  <si>
    <t>INE062E01014</t>
  </si>
  <si>
    <t>Pioneer Agro Extracts ltd.</t>
  </si>
  <si>
    <t>PIONAGR</t>
  </si>
  <si>
    <t>PIONEER AGRO EXTRACTS LTD.</t>
  </si>
  <si>
    <t>INE540C01021</t>
  </si>
  <si>
    <t>Narbada Gems and Jewellery Limited</t>
  </si>
  <si>
    <t>NARBADA</t>
  </si>
  <si>
    <t>NARBADA GEMS AND JEWELLERY LTD.</t>
  </si>
  <si>
    <t>INE295C01014</t>
  </si>
  <si>
    <t>Virat Crane Industries Ltd</t>
  </si>
  <si>
    <t>VIRATCRA</t>
  </si>
  <si>
    <t>VIRAT CRANE INDUSTRIES LTD.</t>
  </si>
  <si>
    <t>INE678B01021</t>
  </si>
  <si>
    <t>IB Infotech Enterprises Ltd</t>
  </si>
  <si>
    <t>IBINFO</t>
  </si>
  <si>
    <t>IB INFOTECH ENTERPRISES LTD.</t>
  </si>
  <si>
    <t>INE072V01017</t>
  </si>
  <si>
    <t>Ambar Protein Industries Limited</t>
  </si>
  <si>
    <t>AMBARPIL</t>
  </si>
  <si>
    <t>Ambar Protein Industries Ltd</t>
  </si>
  <si>
    <t>INE975C01011</t>
  </si>
  <si>
    <t>Chordia Food Products Ltd</t>
  </si>
  <si>
    <t>CHORDIA</t>
  </si>
  <si>
    <t>CHORDIA FOOD PRODUCTS LTD.</t>
  </si>
  <si>
    <t>INE052V01019</t>
  </si>
  <si>
    <t>CIAN Agro Industries &amp; Infrastructure Limited</t>
  </si>
  <si>
    <t>CIANAGRO</t>
  </si>
  <si>
    <t>CIAN Agro Industries &amp; Infrastructure Ltd</t>
  </si>
  <si>
    <t>INE358D01018</t>
  </si>
  <si>
    <t>Lykis Limited</t>
  </si>
  <si>
    <t>LYKISLTD</t>
  </si>
  <si>
    <t>INE624M01014</t>
  </si>
  <si>
    <t>INE542C01019</t>
  </si>
  <si>
    <t>N.K.Industries Ltd.</t>
  </si>
  <si>
    <t>NKIND</t>
  </si>
  <si>
    <t>N.K.INDUSTRIES LTD.</t>
  </si>
  <si>
    <t>INE356C01022</t>
  </si>
  <si>
    <t>BKV Industries Ltd.</t>
  </si>
  <si>
    <t>BKV</t>
  </si>
  <si>
    <t>BKV INDUSTRIES LTD.</t>
  </si>
  <si>
    <t>INE630N01019</t>
  </si>
  <si>
    <t>NCC Bluewater Products Ltd.</t>
  </si>
  <si>
    <t>NCCBLUE</t>
  </si>
  <si>
    <t>NCC BLUE WATER PRODUCTS LTD.</t>
  </si>
  <si>
    <t>INE369C01017</t>
  </si>
  <si>
    <t>Norben Tea &amp; Exports Ltd</t>
  </si>
  <si>
    <t>NORBTEAEXP</t>
  </si>
  <si>
    <t>NORBEN TEA &amp; EXPORTS LTD.</t>
  </si>
  <si>
    <t>INE822B01017</t>
  </si>
  <si>
    <t>SHARIKA ENTERPRISES LIMITED</t>
  </si>
  <si>
    <t>SHARIKA</t>
  </si>
  <si>
    <t>Sharika Enterprises Ltd</t>
  </si>
  <si>
    <t>INE669Y01022</t>
  </si>
  <si>
    <t>INE978A01027</t>
  </si>
  <si>
    <t>Electronics Mart India Limited</t>
  </si>
  <si>
    <t>EMIL</t>
  </si>
  <si>
    <t>Electronics Mart India Ltd</t>
  </si>
  <si>
    <t>INE02YR01019</t>
  </si>
  <si>
    <t>INE354D01017</t>
  </si>
  <si>
    <t>Simran Farms Ltd.</t>
  </si>
  <si>
    <t>SIMRAN</t>
  </si>
  <si>
    <t>SIMRAN FARMS LTD.</t>
  </si>
  <si>
    <t>Meat Products including Poultry</t>
  </si>
  <si>
    <t>INE092301014</t>
  </si>
  <si>
    <t>Hindustan Agrigenetics Ltd.</t>
  </si>
  <si>
    <t>HINDUST</t>
  </si>
  <si>
    <t>HINDUSTAN AGRIGENETICS LTD.</t>
  </si>
  <si>
    <t>INE421D01022</t>
  </si>
  <si>
    <t>Keystone Realtors Limited</t>
  </si>
  <si>
    <t>RUSTOMJEE</t>
  </si>
  <si>
    <t>Keystone Realtors Ltd</t>
  </si>
  <si>
    <t>INE263M01029</t>
  </si>
  <si>
    <t>INE164B01022</t>
  </si>
  <si>
    <t>Kellton Tech Solutions Ltd.</t>
  </si>
  <si>
    <t>KELLTONTEC</t>
  </si>
  <si>
    <t>INE565E01016</t>
  </si>
  <si>
    <t>Suryo Foods &amp; Industries Ltd.</t>
  </si>
  <si>
    <t>SURFI</t>
  </si>
  <si>
    <t>SURYO FOODS &amp; INDUSTRIES LTD.</t>
  </si>
  <si>
    <t>INE177M01013</t>
  </si>
  <si>
    <t>Integrated Proteins Ltd.</t>
  </si>
  <si>
    <t>INTEGFD</t>
  </si>
  <si>
    <t>INTEGRATED PROTEINS LTD.</t>
  </si>
  <si>
    <t>INE734D01010</t>
  </si>
  <si>
    <t>Mahaan Foods Ltd.</t>
  </si>
  <si>
    <t>MAHAANF</t>
  </si>
  <si>
    <t>MAHAAN FOODS LTD.</t>
  </si>
  <si>
    <t>INE209B01025</t>
  </si>
  <si>
    <t>RICO Auto Industries Ltd.</t>
  </si>
  <si>
    <t>RICOAUTO</t>
  </si>
  <si>
    <t>RICO AUTO INDUSTRIES LTD.</t>
  </si>
  <si>
    <t>INE090B01011</t>
  </si>
  <si>
    <t>Omax Autos Ltd.</t>
  </si>
  <si>
    <t>OMAXAUTO</t>
  </si>
  <si>
    <t>OMAX AUTOS LTD.</t>
  </si>
  <si>
    <t>INE577A01027</t>
  </si>
  <si>
    <t>Munjal Showa Ltd.</t>
  </si>
  <si>
    <t>MUNJALSHOW</t>
  </si>
  <si>
    <t>MUNJAL SHOWA LTD.</t>
  </si>
  <si>
    <t>INE039C01032</t>
  </si>
  <si>
    <t>Jamna Auto Industries Ltd.</t>
  </si>
  <si>
    <t>JAMNAAUTO</t>
  </si>
  <si>
    <t>JAMNA AUTO INDUSTRIES LTD.</t>
  </si>
  <si>
    <t>INE105A01035</t>
  </si>
  <si>
    <t>Senco Gold Limited</t>
  </si>
  <si>
    <t>SENCO</t>
  </si>
  <si>
    <t>Senco Gold Ltd</t>
  </si>
  <si>
    <t>INE602W01019</t>
  </si>
  <si>
    <t>NIIT Learning Systems Limited</t>
  </si>
  <si>
    <t>NIITMTS</t>
  </si>
  <si>
    <t>NIIT Learning Systems Ltd</t>
  </si>
  <si>
    <t>INE342G01023</t>
  </si>
  <si>
    <t>INE672B01032</t>
  </si>
  <si>
    <t>Munjal Auto Industries Ltd.</t>
  </si>
  <si>
    <t>MUNJALAU</t>
  </si>
  <si>
    <t>MUNJAL AUTO INDUSTRIES LTD.</t>
  </si>
  <si>
    <t>INE571B01036</t>
  </si>
  <si>
    <t>Jay Bharat Maruti Ltd.</t>
  </si>
  <si>
    <t>JAYBARMARU</t>
  </si>
  <si>
    <t>JAY BHARAT MARUTI LTD.</t>
  </si>
  <si>
    <t>INE704B01017</t>
  </si>
  <si>
    <t>RACL Geartech Limited</t>
  </si>
  <si>
    <t>RACLGEAR</t>
  </si>
  <si>
    <t>RACL Geartech Ltd</t>
  </si>
  <si>
    <t>INE706B01012</t>
  </si>
  <si>
    <t>Samkrg Pistons and Rings Ltd.</t>
  </si>
  <si>
    <t>SAMKRG</t>
  </si>
  <si>
    <t>SAMKRG PISTONS &amp; RINGS LTD.-$</t>
  </si>
  <si>
    <t>INE315F01013</t>
  </si>
  <si>
    <t>East Coast Steel Ltd</t>
  </si>
  <si>
    <t>ECSTSTL</t>
  </si>
  <si>
    <t>EAST COAST STEEL LTD.</t>
  </si>
  <si>
    <t>EAST WEST HOLDINGS LIMITED</t>
  </si>
  <si>
    <t>EASTWEST</t>
  </si>
  <si>
    <t>East West Holdings Ltd</t>
  </si>
  <si>
    <t>INE595R01023</t>
  </si>
  <si>
    <t>INE703B01027</t>
  </si>
  <si>
    <t>REDTAPE Limited</t>
  </si>
  <si>
    <t>REDTAPE</t>
  </si>
  <si>
    <t>Redtape Ltd</t>
  </si>
  <si>
    <t>INE0LXT01019</t>
  </si>
  <si>
    <t>INE386A01015</t>
  </si>
  <si>
    <t>SIGNATUREGLOBAL (INDIA) LIMITED</t>
  </si>
  <si>
    <t>SIGNATURE</t>
  </si>
  <si>
    <t>Signatureglobal (India) Ltd</t>
  </si>
  <si>
    <t>INE903U01023</t>
  </si>
  <si>
    <t>INE900C01027</t>
  </si>
  <si>
    <t>Automotive Stampings and Assemblies Ltd.</t>
  </si>
  <si>
    <t>ASAL</t>
  </si>
  <si>
    <t>AUTOMOTIVE STAMPINGS &amp; ASSEMBLIES LTD.</t>
  </si>
  <si>
    <t>INE276D01012</t>
  </si>
  <si>
    <t>Arcee Indusrtries ltd.</t>
  </si>
  <si>
    <t>ARCEEIN</t>
  </si>
  <si>
    <t>ARCEE INDUSTRIES LTD.</t>
  </si>
  <si>
    <t>INE125D01011</t>
  </si>
  <si>
    <t>Excel Realty N Infra Limited</t>
  </si>
  <si>
    <t>EXCEL</t>
  </si>
  <si>
    <t>Excel Realty N Infra Ltd</t>
  </si>
  <si>
    <t>INE688J01023</t>
  </si>
  <si>
    <t>INE654B01014</t>
  </si>
  <si>
    <t>Rama Vision Ltd</t>
  </si>
  <si>
    <t>RAMAVISION</t>
  </si>
  <si>
    <t>RAMA VISION LTD.</t>
  </si>
  <si>
    <t>INE763B01013</t>
  </si>
  <si>
    <t>INE229E01019</t>
  </si>
  <si>
    <t>Amrapali Industries Ltd</t>
  </si>
  <si>
    <t>AMRAPLIN</t>
  </si>
  <si>
    <t>AMRAPALI INDUSTRIES LTD.</t>
  </si>
  <si>
    <t>INE762C01021</t>
  </si>
  <si>
    <t>INE441C01014</t>
  </si>
  <si>
    <t>Sibar Auto Parts Ltd.</t>
  </si>
  <si>
    <t>SIBARAUT</t>
  </si>
  <si>
    <t>SIBAR AUTO PARTS LTD.</t>
  </si>
  <si>
    <t>LE LAVOIR LIMITED</t>
  </si>
  <si>
    <t>LELAVOIR</t>
  </si>
  <si>
    <t>LE Lavoir Ltd</t>
  </si>
  <si>
    <t>INE204S01012</t>
  </si>
  <si>
    <t>INE580C01019</t>
  </si>
  <si>
    <t>GROWINGTON VENTURES INDIA LIMITED</t>
  </si>
  <si>
    <t>GROWINGTON</t>
  </si>
  <si>
    <t>Growington Ventures India Ltd</t>
  </si>
  <si>
    <t>INE451S01027</t>
  </si>
  <si>
    <t>INE02Z901011</t>
  </si>
  <si>
    <t>Mehai Technology  Limited</t>
  </si>
  <si>
    <t>MEHAI</t>
  </si>
  <si>
    <t>Mehai Technology Ltd</t>
  </si>
  <si>
    <t>INE062Y01012</t>
  </si>
  <si>
    <t>INE807M01023</t>
  </si>
  <si>
    <t>TITAN INTECH LIMITED</t>
  </si>
  <si>
    <t>TITANIN</t>
  </si>
  <si>
    <t>Titan Intech Ltd</t>
  </si>
  <si>
    <t>INE022C01012</t>
  </si>
  <si>
    <t>Eurotex Industries &amp; Exports Ltd.</t>
  </si>
  <si>
    <t>EUROTEXIND</t>
  </si>
  <si>
    <t>EUROTEX INDUSTRIES &amp; EXPORTS LTD.</t>
  </si>
  <si>
    <t>Max Estates Limited</t>
  </si>
  <si>
    <t>MAXESTATES</t>
  </si>
  <si>
    <t>Max Estates Ltd</t>
  </si>
  <si>
    <t>INE03EI01018</t>
  </si>
  <si>
    <t>INE882A01013</t>
  </si>
  <si>
    <t>Maral Overseas Ltd.</t>
  </si>
  <si>
    <t>MARALOVER</t>
  </si>
  <si>
    <t>MARAL OVERSEAS LTD.</t>
  </si>
  <si>
    <t>INE314C01013</t>
  </si>
  <si>
    <t>Soma Textile &amp; Industries Ltd</t>
  </si>
  <si>
    <t>SOMATEX</t>
  </si>
  <si>
    <t>SOMA TEXTILES &amp; INDUSTRIES LTD.</t>
  </si>
  <si>
    <t>INE695C01015</t>
  </si>
  <si>
    <t>Source Industries (India) Ltd</t>
  </si>
  <si>
    <t>SOURCEIND</t>
  </si>
  <si>
    <t>SOURCE INDUSTRIES (INDIA) LTD.</t>
  </si>
  <si>
    <t>INE900E01015</t>
  </si>
  <si>
    <t>Advance Lifestyles Ltd.</t>
  </si>
  <si>
    <t>ADVLIFE</t>
  </si>
  <si>
    <t>ADVANCE LIFESTYLES LTD.</t>
  </si>
  <si>
    <t>INE092E01011</t>
  </si>
  <si>
    <t>Kakatiya Textiles Ltd.</t>
  </si>
  <si>
    <t>KAKTEX</t>
  </si>
  <si>
    <t>KAKATIYA TEXTILES LTD.</t>
  </si>
  <si>
    <t>INE814L01013</t>
  </si>
  <si>
    <t>Perfect-Octave Media Projects Ltd</t>
  </si>
  <si>
    <t>OCTAVE</t>
  </si>
  <si>
    <t>Cello World Limited</t>
  </si>
  <si>
    <t>CELLO</t>
  </si>
  <si>
    <t>Cello World Ltd</t>
  </si>
  <si>
    <t>INE0LMW01024</t>
  </si>
  <si>
    <t>INE689E01014</t>
  </si>
  <si>
    <t>Hisar Spinning Mills Ltd</t>
  </si>
  <si>
    <t>HISARSP</t>
  </si>
  <si>
    <t>HISAR SPINNING MILLS LTD.</t>
  </si>
  <si>
    <t>ASK Automotive Limited</t>
  </si>
  <si>
    <t>ASKAUTOLTD</t>
  </si>
  <si>
    <t>ASK Automotive Ltd</t>
  </si>
  <si>
    <t>INE491J01022</t>
  </si>
  <si>
    <t>INE604F01010</t>
  </si>
  <si>
    <t>Pasari Spinning Mills Ltd.</t>
  </si>
  <si>
    <t>PASARI</t>
  </si>
  <si>
    <t>PASARI SPINNING MILLS LTD.</t>
  </si>
  <si>
    <t>INE484D01012</t>
  </si>
  <si>
    <t>Amarjothi Spinning Mills Ltd</t>
  </si>
  <si>
    <t>AMARJOTHI</t>
  </si>
  <si>
    <t>AMARJOTHI SPINNING MILLS LTD.</t>
  </si>
  <si>
    <t>INE482O01021</t>
  </si>
  <si>
    <t>Olympia Industries Ltd.</t>
  </si>
  <si>
    <t>OLYMPTX</t>
  </si>
  <si>
    <t>OLYMPIA INDUSTRIES LTD.</t>
  </si>
  <si>
    <t>INE123B01028</t>
  </si>
  <si>
    <t>Nagreeka Exports Ltd.</t>
  </si>
  <si>
    <t>NAGREEKEXP</t>
  </si>
  <si>
    <t>NAGREEKA EXPORTS LTD.-$</t>
  </si>
  <si>
    <t>INE691D01012</t>
  </si>
  <si>
    <t>Suditi Industries Ltd.</t>
  </si>
  <si>
    <t>SUDTIND-B</t>
  </si>
  <si>
    <t>SUDITI INDUSTRIES LTD.</t>
  </si>
  <si>
    <t>INE363D01018</t>
  </si>
  <si>
    <t>Shree Bhavya Fabrics Limited</t>
  </si>
  <si>
    <t>SBFL</t>
  </si>
  <si>
    <t>Shree Bhavya Fabrics Ltd</t>
  </si>
  <si>
    <t>INE165F01020</t>
  </si>
  <si>
    <t>Gem Spinners India Ltd</t>
  </si>
  <si>
    <t>GEMSPIN</t>
  </si>
  <si>
    <t>GEM SPINNERS INDIA LTD.</t>
  </si>
  <si>
    <t>INE958A01011</t>
  </si>
  <si>
    <t>Eureka Industries Ltd.</t>
  </si>
  <si>
    <t>EUREKAI</t>
  </si>
  <si>
    <t>EUREKA INDUSTRIES LTD.</t>
  </si>
  <si>
    <t>INE122D01026</t>
  </si>
  <si>
    <t>Aditya Spinners Ltd.</t>
  </si>
  <si>
    <t>ADITYASP</t>
  </si>
  <si>
    <t>ADITYA SPINNERS LTD.</t>
  </si>
  <si>
    <t>INE419E01024</t>
  </si>
  <si>
    <t>Prime Urban Development India Ltd</t>
  </si>
  <si>
    <t>PRIMEURB</t>
  </si>
  <si>
    <t>PRIME URBAN DEVELOPMENT INDIA LTD.</t>
  </si>
  <si>
    <t>INE953D01016</t>
  </si>
  <si>
    <t>Dhanlaxmi Fabrics Ltd.</t>
  </si>
  <si>
    <t>DHANFAB</t>
  </si>
  <si>
    <t>DHANLAXMI FABRICS LTD.</t>
  </si>
  <si>
    <t>INE456D01010</t>
  </si>
  <si>
    <t>Sri Lakshmi Saraswathi Textiles (Ar</t>
  </si>
  <si>
    <t>SLSTLQ</t>
  </si>
  <si>
    <t>SRI LAKSHMI SARASWATHI TEXTILES (ARNI) LTD.-$</t>
  </si>
  <si>
    <t>INE206B01013</t>
  </si>
  <si>
    <t>Zodiac Clothing Co. Ltd.</t>
  </si>
  <si>
    <t>ZODIACLOTH</t>
  </si>
  <si>
    <t>ZODIAC CLOTHING CO.LTD.</t>
  </si>
  <si>
    <t>INE306D01017</t>
  </si>
  <si>
    <t>Sri Ramakrishna Mills (Coimbatore) Ltd.</t>
  </si>
  <si>
    <t>SRMCL</t>
  </si>
  <si>
    <t>SRI RAMAKRISHNA MILLS (COIMBATORE) LTD.-$</t>
  </si>
  <si>
    <t>INE662A01027</t>
  </si>
  <si>
    <t>Super Spinning Mills Ltd.</t>
  </si>
  <si>
    <t>SUPERSPIN</t>
  </si>
  <si>
    <t>SUPER SPINNING MILLS LTD.</t>
  </si>
  <si>
    <t>INE923A01015</t>
  </si>
  <si>
    <t>SIL Investments Ltd</t>
  </si>
  <si>
    <t>SILINV</t>
  </si>
  <si>
    <t>SIL INVESTMENTS LTD.</t>
  </si>
  <si>
    <t>INE713B01026</t>
  </si>
  <si>
    <t>Suryalakshmi Cotton Mills Ltd.</t>
  </si>
  <si>
    <t>SURYALAXMI</t>
  </si>
  <si>
    <t>SURYALAKSHMI COTTON MILLS LTD.</t>
  </si>
  <si>
    <t>INE931D01020</t>
  </si>
  <si>
    <t>Samtex Fashions Ltd.</t>
  </si>
  <si>
    <t>SAMTEX</t>
  </si>
  <si>
    <t>SAMTEX FASHIONS LTD.-$</t>
  </si>
  <si>
    <t>INE220C01012</t>
  </si>
  <si>
    <t>Dhanalaxmi Roto Spinners Ltd.</t>
  </si>
  <si>
    <t>DHANROTO</t>
  </si>
  <si>
    <t>DHANALAXMI ROTO SPINNERS LTD.</t>
  </si>
  <si>
    <t>INE497D01022</t>
  </si>
  <si>
    <t>Damodar Industries Limited</t>
  </si>
  <si>
    <t>DAMODARIND</t>
  </si>
  <si>
    <t>DAMODAR INDUSTRIES LTD.-$</t>
  </si>
  <si>
    <t>INE602D01027</t>
  </si>
  <si>
    <t>Sanblue Corporation Limited</t>
  </si>
  <si>
    <t>SANBLUE</t>
  </si>
  <si>
    <t>SANBLUE CORPORATION LTD.</t>
  </si>
  <si>
    <t>INE980D01019</t>
  </si>
  <si>
    <t>Uniroyal Industries Ltd</t>
  </si>
  <si>
    <t>UNIROYAL</t>
  </si>
  <si>
    <t>UNIROYAL INDUSTRIES LTD.</t>
  </si>
  <si>
    <t>INE083G01031</t>
  </si>
  <si>
    <t>Tatia Global Vennture Limited</t>
  </si>
  <si>
    <t>TATIAGLOB</t>
  </si>
  <si>
    <t>TATIA GLOBAL VENNTURE LTD.</t>
  </si>
  <si>
    <t>INE124M01015</t>
  </si>
  <si>
    <t>Balgopal Commercial limited</t>
  </si>
  <si>
    <t>BALGOPAL</t>
  </si>
  <si>
    <t>Balgopal Commercial Ltd</t>
  </si>
  <si>
    <t>INE119R01014</t>
  </si>
  <si>
    <t>INE443E01016</t>
  </si>
  <si>
    <t>Sri Nachammai Cotton Mills Ltd.</t>
  </si>
  <si>
    <t>SRINACHA</t>
  </si>
  <si>
    <t>SRI NACHAMMAI COTTON MILLS LTD.-$</t>
  </si>
  <si>
    <t>INE893C01032</t>
  </si>
  <si>
    <t>KKRRAFTON Developers Limited</t>
  </si>
  <si>
    <t>KDL</t>
  </si>
  <si>
    <t>KKRRAFTON Developers Ltd</t>
  </si>
  <si>
    <t>INE304D01012</t>
  </si>
  <si>
    <t>Sambandam Spinning Mills Ltd.</t>
  </si>
  <si>
    <t>SAMBANDAM</t>
  </si>
  <si>
    <t>SAMBANDAM SPINNING MILLS LTD.-$</t>
  </si>
  <si>
    <t>INE292D01019</t>
  </si>
  <si>
    <t>Kandagiri Spinning Mills Ltd.</t>
  </si>
  <si>
    <t>KANDAGIRI</t>
  </si>
  <si>
    <t>KANDAGIRI SPINNING MILLS LTD.-$</t>
  </si>
  <si>
    <t>INE676G01024</t>
  </si>
  <si>
    <t>MKP Mobility Limited</t>
  </si>
  <si>
    <t>MKPMOB</t>
  </si>
  <si>
    <t>MKP Mobility Ltd</t>
  </si>
  <si>
    <t>INE162C01024</t>
  </si>
  <si>
    <t>Paras Petrofils Ltd.</t>
  </si>
  <si>
    <t>PARASPETRO</t>
  </si>
  <si>
    <t>PARAS PETROFILS LTD.</t>
  </si>
  <si>
    <t>INE602G01020</t>
  </si>
  <si>
    <t>Kitex Garmenets Ltd.</t>
  </si>
  <si>
    <t>KITEX</t>
  </si>
  <si>
    <t>KITEX GARMENTS LTD.</t>
  </si>
  <si>
    <t>INE608B01010</t>
  </si>
  <si>
    <t>Cranex Ltd.</t>
  </si>
  <si>
    <t>CRANEX</t>
  </si>
  <si>
    <t>CRANEX LTD.</t>
  </si>
  <si>
    <t>INE177C01022</t>
  </si>
  <si>
    <t>Batliboi Ltd</t>
  </si>
  <si>
    <t>BATLIBOI</t>
  </si>
  <si>
    <t>BATLIBOI LTD.-$</t>
  </si>
  <si>
    <t>INE759F01012</t>
  </si>
  <si>
    <t>Austin Engineering Co. Ltd.</t>
  </si>
  <si>
    <t>AUSTENG</t>
  </si>
  <si>
    <t>AUSTIN ENGINEERING CO.LTD.</t>
  </si>
  <si>
    <t>INE961D01019</t>
  </si>
  <si>
    <t>United Drilling Tools Ltd.</t>
  </si>
  <si>
    <t>UNIDT</t>
  </si>
  <si>
    <t>UNITED DRILLING TOOLS LTD.</t>
  </si>
  <si>
    <t>INE459C01016</t>
  </si>
  <si>
    <t>Fluidomat Ltd.</t>
  </si>
  <si>
    <t>FLUIDOM</t>
  </si>
  <si>
    <t>FLUIDOMAT LTD.</t>
  </si>
  <si>
    <t>INE279D01016</t>
  </si>
  <si>
    <t>Ema India Ltd.</t>
  </si>
  <si>
    <t>EMAINDIA</t>
  </si>
  <si>
    <t>EMA INDIA LTD.</t>
  </si>
  <si>
    <t>INE052A01021</t>
  </si>
  <si>
    <t>Windsor Machines Limited</t>
  </si>
  <si>
    <t>WINDMACHIN</t>
  </si>
  <si>
    <t>WINDSOR MACHINES LTD.</t>
  </si>
  <si>
    <t>INE631A01022</t>
  </si>
  <si>
    <t>Shanthi Gears Ltd.</t>
  </si>
  <si>
    <t>SHANTIGEAR</t>
  </si>
  <si>
    <t>SHANTHI GEARS LTD.</t>
  </si>
  <si>
    <t>INE338P01014</t>
  </si>
  <si>
    <t>Miven Machine Tools Ltd.</t>
  </si>
  <si>
    <t>MIVENMACH</t>
  </si>
  <si>
    <t>MIVEN MACHINE TOOLS LTD.</t>
  </si>
  <si>
    <t>INE634A01018</t>
  </si>
  <si>
    <t>HONDA INDIA POWER PRODUCTS LIMITED</t>
  </si>
  <si>
    <t>HONDAPOWER</t>
  </si>
  <si>
    <t>Honda India Power Products Ltd</t>
  </si>
  <si>
    <t>INE127B01011</t>
  </si>
  <si>
    <t>The Hi-Tech Gears Limited</t>
  </si>
  <si>
    <t>HITECHGEAR</t>
  </si>
  <si>
    <t>The Hi-Tech Gears Ltd</t>
  </si>
  <si>
    <t>INE285A01027</t>
  </si>
  <si>
    <t>Juniper Hotels Limited</t>
  </si>
  <si>
    <t>JUNIPER</t>
  </si>
  <si>
    <t>Juniper Hotels Ltd</t>
  </si>
  <si>
    <t>INE696F01016</t>
  </si>
  <si>
    <t>INE890G01021</t>
  </si>
  <si>
    <t>United Van Der Horst Ltd.</t>
  </si>
  <si>
    <t>UVDRHOR</t>
  </si>
  <si>
    <t>UNITED VAN DER HORST LTD.</t>
  </si>
  <si>
    <t>INE338F01015</t>
  </si>
  <si>
    <t>Kilburn Engineering Ltd</t>
  </si>
  <si>
    <t>KLBRENG-B</t>
  </si>
  <si>
    <t>KILBURN ENGINEERING LTD.</t>
  </si>
  <si>
    <t>INE372E01025</t>
  </si>
  <si>
    <t>Birla Precision Technologies Ltd</t>
  </si>
  <si>
    <t>BIRLAPREC</t>
  </si>
  <si>
    <t>BIRLA PRECISION TECHNOLOGIES LTD.</t>
  </si>
  <si>
    <t>INE384C01016</t>
  </si>
  <si>
    <t>Yuken India Ltd.</t>
  </si>
  <si>
    <t>YUKEN</t>
  </si>
  <si>
    <t>YUKEN INDIA LTD.-$</t>
  </si>
  <si>
    <t>INE325A01013</t>
  </si>
  <si>
    <t>TBO TEK LIMITED</t>
  </si>
  <si>
    <t>TBOTEK</t>
  </si>
  <si>
    <t>TBO TEK Ltd</t>
  </si>
  <si>
    <t>INE673O01025</t>
  </si>
  <si>
    <t>INE285C01015</t>
  </si>
  <si>
    <t>Voith Paper Fabrics India Ltd</t>
  </si>
  <si>
    <t>VOITHPAPR</t>
  </si>
  <si>
    <t>VOITH PAPER FABRICS INDIA LTD.-$</t>
  </si>
  <si>
    <t>INE410A01013</t>
  </si>
  <si>
    <t>Solitaire Machine Tools Ltd</t>
  </si>
  <si>
    <t>SOLIMAC</t>
  </si>
  <si>
    <t>SOLITAIRE MACHINE TOOLS LTD.</t>
  </si>
  <si>
    <t>INE989C01020</t>
  </si>
  <si>
    <t>TATAMTRDVR</t>
  </si>
  <si>
    <t>Tata Motors  Ltd - DVR</t>
  </si>
  <si>
    <t>IN9155A01020</t>
  </si>
  <si>
    <t>INE867D01018</t>
  </si>
  <si>
    <t>Indsil Hydro Power and Manganese Limited</t>
  </si>
  <si>
    <t>INDSILHYD</t>
  </si>
  <si>
    <t>INDSIL HYDRO POWER AND MANGANESE LTD.-$</t>
  </si>
  <si>
    <t>INE182E01010</t>
  </si>
  <si>
    <t>TMT (India) ltd.</t>
  </si>
  <si>
    <t>TMTIND-B1</t>
  </si>
  <si>
    <t>TMT (INDIA) LTD.</t>
  </si>
  <si>
    <t>INE478D01014</t>
  </si>
  <si>
    <t>ITL Industries Ltd.</t>
  </si>
  <si>
    <t>ITL</t>
  </si>
  <si>
    <t>ITL INDUSTRIES LTD.-$</t>
  </si>
  <si>
    <t>INE572D01014</t>
  </si>
  <si>
    <t>Frontier Springs Ltd.</t>
  </si>
  <si>
    <t>FRONTSP</t>
  </si>
  <si>
    <t>FRONTIER SPRINGS LTD.</t>
  </si>
  <si>
    <t>INE074A01025</t>
  </si>
  <si>
    <t>SHRIPISTON</t>
  </si>
  <si>
    <t>Shriram Pistons</t>
  </si>
  <si>
    <t>INE526E01018</t>
  </si>
  <si>
    <t>INE682D01011</t>
  </si>
  <si>
    <t>Rasandik Engg. Industries India Ltd</t>
  </si>
  <si>
    <t>RASANDIK</t>
  </si>
  <si>
    <t>RASANDIK ENGINEERING INDUSTRIES INDIA LTD.-$</t>
  </si>
  <si>
    <t>INE429B01011</t>
  </si>
  <si>
    <t>Yogi Sung-won (India) Ltd.</t>
  </si>
  <si>
    <t>YOGISUNG</t>
  </si>
  <si>
    <t>YOGI SUNG-WON (INDIA) LTD.</t>
  </si>
  <si>
    <t>INE461D01028</t>
  </si>
  <si>
    <t>HLE GLASCOAT LIMITED</t>
  </si>
  <si>
    <t>HLEGLAS</t>
  </si>
  <si>
    <t>HLE Glascoat Ltd</t>
  </si>
  <si>
    <t>INE826C01016</t>
  </si>
  <si>
    <t>Gujarat Apollo Industries Ltd.</t>
  </si>
  <si>
    <t>GUJAPOLLO</t>
  </si>
  <si>
    <t>GUJARAT APOLLO INDUSTRIES LTD.</t>
  </si>
  <si>
    <t>INE692C01020</t>
  </si>
  <si>
    <t>Taneja Aerospace &amp; Aviation Ltd.</t>
  </si>
  <si>
    <t>TANAA</t>
  </si>
  <si>
    <t>TANEJA AEROSPACE &amp; AVIATION LTD.-$</t>
  </si>
  <si>
    <t>INE714D01012</t>
  </si>
  <si>
    <t>Conart Engineers Ltd.</t>
  </si>
  <si>
    <t>CONART</t>
  </si>
  <si>
    <t>CONART ENGINEERS LTD.-$</t>
  </si>
  <si>
    <t>INE097E01028</t>
  </si>
  <si>
    <t>We Win Limited</t>
  </si>
  <si>
    <t>WEWIN</t>
  </si>
  <si>
    <t>We Win Ltd</t>
  </si>
  <si>
    <t>INE082W01014</t>
  </si>
  <si>
    <t>INE092H01014</t>
  </si>
  <si>
    <t>Shivagrico Implements Ltd.</t>
  </si>
  <si>
    <t>SHIVAGR</t>
  </si>
  <si>
    <t>SHIVAGRICO IMPLEMENTS LTD.</t>
  </si>
  <si>
    <t>INE227C01017</t>
  </si>
  <si>
    <t>M.M.Forgings Ltd.</t>
  </si>
  <si>
    <t>MMFL</t>
  </si>
  <si>
    <t>M.M.FORGINGS LTD.-$</t>
  </si>
  <si>
    <t>INE040D01038</t>
  </si>
  <si>
    <t>Mayur Uniquoters ltd.</t>
  </si>
  <si>
    <t>MAYURUNIQ</t>
  </si>
  <si>
    <t>MAYUR UNIQUOTERS LTD.-$</t>
  </si>
  <si>
    <t>INE627F01011</t>
  </si>
  <si>
    <t>Cenlub Industries Ltd.</t>
  </si>
  <si>
    <t>CENLUB</t>
  </si>
  <si>
    <t>CENLUB INDUSTRIES LTD.</t>
  </si>
  <si>
    <t>INE535F01024</t>
  </si>
  <si>
    <t>Rajoo Engineers Ltd.</t>
  </si>
  <si>
    <t>RAJOOENG</t>
  </si>
  <si>
    <t>RAJOO ENGINEERS LTD.-$</t>
  </si>
  <si>
    <t>INE920A01037</t>
  </si>
  <si>
    <t>Dolphin Offshore Enterprises (India) ltd.</t>
  </si>
  <si>
    <t>DOLPHIN</t>
  </si>
  <si>
    <t>DOLPHIN OFFSHORE ENTERPRISES (INDIA) LTD.-$</t>
  </si>
  <si>
    <t>INE466D01019</t>
  </si>
  <si>
    <t>Veejay Lakshmi Engineering Works Lt</t>
  </si>
  <si>
    <t>VJLAXMIE</t>
  </si>
  <si>
    <t>VEEJAY LAKSHMI ENGINEERING WORKS LTD.-$</t>
  </si>
  <si>
    <t>INE868C01018</t>
  </si>
  <si>
    <t>Ahmedabad Steelcraft Ltd.</t>
  </si>
  <si>
    <t>AHMDSTE</t>
  </si>
  <si>
    <t>AHMEDABAD STEELCRAFT LTD.</t>
  </si>
  <si>
    <t>INE200A01026</t>
  </si>
  <si>
    <t>Godrej Industries Ltd.</t>
  </si>
  <si>
    <t>GODREJIND</t>
  </si>
  <si>
    <t>GODREJ INDUSTRIES LTD.</t>
  </si>
  <si>
    <t>INE207E01023</t>
  </si>
  <si>
    <t>Ram Ratna Wires Ltd.</t>
  </si>
  <si>
    <t>RAMRAT</t>
  </si>
  <si>
    <t>RAM RATNA WIRES LTD.-$</t>
  </si>
  <si>
    <t>INE854B01010</t>
  </si>
  <si>
    <t>Jayaswal Neco Industries Ltd</t>
  </si>
  <si>
    <t>JAYNECOIND</t>
  </si>
  <si>
    <t>JAYASWAL NECO INDUSTRIES LTD.</t>
  </si>
  <si>
    <t>INE220B01022</t>
  </si>
  <si>
    <t>Swan Energy Ltd.</t>
  </si>
  <si>
    <t>SWANENERGY</t>
  </si>
  <si>
    <t>SWAN ENERGY LTD.</t>
  </si>
  <si>
    <t>INE169F01014</t>
  </si>
  <si>
    <t>Phoenix International Ltd.</t>
  </si>
  <si>
    <t>PHOENXINTL</t>
  </si>
  <si>
    <t>PHOENIX INTERNATIONAL LTD.</t>
  </si>
  <si>
    <t>INE245B01011</t>
  </si>
  <si>
    <t>INE713D01055</t>
  </si>
  <si>
    <t>CANDOUR TECHTEX LIMITED</t>
  </si>
  <si>
    <t>CANDOUR</t>
  </si>
  <si>
    <t>Candour Techtex Ltd</t>
  </si>
  <si>
    <t>INE811B01010</t>
  </si>
  <si>
    <t>T &amp; I Global Ltd.</t>
  </si>
  <si>
    <t>TIGLOB</t>
  </si>
  <si>
    <t>T &amp; I GLOBAL LTD.</t>
  </si>
  <si>
    <t>INE663B01015</t>
  </si>
  <si>
    <t>Control Print (India) Ltd.</t>
  </si>
  <si>
    <t>CONTROLPR</t>
  </si>
  <si>
    <t>CONTROL PRINT LTD.-$</t>
  </si>
  <si>
    <t>INE142E01014</t>
  </si>
  <si>
    <t>Bemco Hydraulics Ltd.</t>
  </si>
  <si>
    <t>BEMHY</t>
  </si>
  <si>
    <t>BEMCO HYDRAULICS LTD.</t>
  </si>
  <si>
    <t>INE030C01015</t>
  </si>
  <si>
    <t>Ansal Buildwell Ltd.</t>
  </si>
  <si>
    <t>ANSALBU</t>
  </si>
  <si>
    <t>ANSAL BUILDWELL LTD.-$</t>
  </si>
  <si>
    <t>INE080A01014</t>
  </si>
  <si>
    <t>Weizmann Limited.</t>
  </si>
  <si>
    <t>WEIZMANIND</t>
  </si>
  <si>
    <t>WEIZMANN LTD.</t>
  </si>
  <si>
    <t>INE710D01010</t>
  </si>
  <si>
    <t>B.N.Rathi Securities Ltd.</t>
  </si>
  <si>
    <t>BNRSEC</t>
  </si>
  <si>
    <t>B.N.RATHI SECURITIES LTD.</t>
  </si>
  <si>
    <t>INE989D01010</t>
  </si>
  <si>
    <t>Rishi Techtex Limited</t>
  </si>
  <si>
    <t>RISHITECH</t>
  </si>
  <si>
    <t>RISHI TECHTEX LTD.</t>
  </si>
  <si>
    <t>INE985A01022</t>
  </si>
  <si>
    <t>Sinclairs Hotels  Ltd</t>
  </si>
  <si>
    <t>SINCLAIR</t>
  </si>
  <si>
    <t>SINCLAIRS HOTELS LTD.-$</t>
  </si>
  <si>
    <t>DCM Shriram Limited</t>
  </si>
  <si>
    <t>DCMSHRIRAM</t>
  </si>
  <si>
    <t>INE499A01024</t>
  </si>
  <si>
    <t>INE626H01019</t>
  </si>
  <si>
    <t>Binayak Tex Processors  Ltd.</t>
  </si>
  <si>
    <t>ZBINTXPP</t>
  </si>
  <si>
    <t>BINAYAK TEX PROCESSORS LTD.</t>
  </si>
  <si>
    <t>INE584C01011</t>
  </si>
  <si>
    <t>J.J. Finance Corporation Ltd.</t>
  </si>
  <si>
    <t>JJFINCOR</t>
  </si>
  <si>
    <t>J.J.FINANCE CORPORATION LTD.</t>
  </si>
  <si>
    <t>INE124B01018</t>
  </si>
  <si>
    <t>Cosmo Ferrites Ltd.</t>
  </si>
  <si>
    <t>COSMOFE</t>
  </si>
  <si>
    <t>COSMO FERRITES LTD.-$</t>
  </si>
  <si>
    <t>INE293E01023</t>
  </si>
  <si>
    <t>CROPSTER AGRO LIMITED</t>
  </si>
  <si>
    <t>CROPSTER</t>
  </si>
  <si>
    <t>Cropster Agro Ltd</t>
  </si>
  <si>
    <t>INE425D01015</t>
  </si>
  <si>
    <t>Futuristic Securities Ltd</t>
  </si>
  <si>
    <t>FUTURSEC</t>
  </si>
  <si>
    <t>FUTURISTIC SECURITIES LTD.</t>
  </si>
  <si>
    <t>Minal Industries Limited</t>
  </si>
  <si>
    <t>MINALIND</t>
  </si>
  <si>
    <t>INE628D01014</t>
  </si>
  <si>
    <t>Ador Multiproducts Ltd</t>
  </si>
  <si>
    <t>ADORMUL</t>
  </si>
  <si>
    <t>ADOR MULTIPRODUCTS LTD.</t>
  </si>
  <si>
    <t>INE276C01014</t>
  </si>
  <si>
    <t>EIH Associated Hotels Ltd.</t>
  </si>
  <si>
    <t>EIHAHOTELS</t>
  </si>
  <si>
    <t>EIH ASSOCIATED HOTELS LTD.-$</t>
  </si>
  <si>
    <t>INE442D01010</t>
  </si>
  <si>
    <t>Medi-Caps Ltd.</t>
  </si>
  <si>
    <t>MEDICAPQ</t>
  </si>
  <si>
    <t>MEDI-CAPS LTD.-$</t>
  </si>
  <si>
    <t>INE910B01028</t>
  </si>
  <si>
    <t>CONSTRONICS INFRA LIMITED</t>
  </si>
  <si>
    <t>CONSTRONIC</t>
  </si>
  <si>
    <t>Constronics Infra Ltd</t>
  </si>
  <si>
    <t>INE537B01011</t>
  </si>
  <si>
    <t>INE599F01020</t>
  </si>
  <si>
    <t>Morganite Crucible (India) Limited</t>
  </si>
  <si>
    <t>MORGANITE</t>
  </si>
  <si>
    <t>MORGANITE CRUCIBLE (INDIA) LTD.</t>
  </si>
  <si>
    <t>INE00FM01013</t>
  </si>
  <si>
    <t>B&amp;A Packaging India Limited</t>
  </si>
  <si>
    <t>BAPACK</t>
  </si>
  <si>
    <t>INE421A01028</t>
  </si>
  <si>
    <t>Aban  Offshore Ltd.</t>
  </si>
  <si>
    <t>ABAN</t>
  </si>
  <si>
    <t>ABAN OFFSHORE LTD.</t>
  </si>
  <si>
    <t>INE760A01029</t>
  </si>
  <si>
    <t>Kokuyo Camlin Ltd</t>
  </si>
  <si>
    <t>KOKUYOCMLN</t>
  </si>
  <si>
    <t>KOKUYO CAMLIN LTD.-$</t>
  </si>
  <si>
    <t>Stationary</t>
  </si>
  <si>
    <t>INE173J01018</t>
  </si>
  <si>
    <t>SRM Energy Limited</t>
  </si>
  <si>
    <t>SRMENERGY</t>
  </si>
  <si>
    <t>SRM ENERGY LTD.</t>
  </si>
  <si>
    <t>INE415D01024</t>
  </si>
  <si>
    <t>Bharat Seats Ltd</t>
  </si>
  <si>
    <t>BHARATSE</t>
  </si>
  <si>
    <t>BHARAT SEATS LTD.-$</t>
  </si>
  <si>
    <t>INE369D01023</t>
  </si>
  <si>
    <t>Continental Petroleums Ltd.</t>
  </si>
  <si>
    <t>CONTPTR</t>
  </si>
  <si>
    <t>CONTINENTAL PETROLEUMS LTD.</t>
  </si>
  <si>
    <t>Petroleum Products</t>
  </si>
  <si>
    <t>Refineries &amp; Marketing</t>
  </si>
  <si>
    <t>INE006F01018</t>
  </si>
  <si>
    <t>N.B. Footwear Ltd.</t>
  </si>
  <si>
    <t>NBFOOT</t>
  </si>
  <si>
    <t>NB FOOTWEAR LTD.</t>
  </si>
  <si>
    <t>INE082B01018</t>
  </si>
  <si>
    <t>Machino Plastics Ltd</t>
  </si>
  <si>
    <t>MACPLASQ</t>
  </si>
  <si>
    <t>MACHINO PLASTICS LTD.-$</t>
  </si>
  <si>
    <t>INE844A01013</t>
  </si>
  <si>
    <t>Pearl Polymers Ltd.</t>
  </si>
  <si>
    <t>PEARLPOLY</t>
  </si>
  <si>
    <t>PEARL POLYMERS LTD.</t>
  </si>
  <si>
    <t>INE398A01010</t>
  </si>
  <si>
    <t>Venky's (India) ltd.</t>
  </si>
  <si>
    <t>VENKEYS</t>
  </si>
  <si>
    <t>VENKY'S (INDIA) LTD.</t>
  </si>
  <si>
    <t>INE199C01026</t>
  </si>
  <si>
    <t>Advani Hotels &amp; Resorts (India) Ltd.</t>
  </si>
  <si>
    <t>ADVANIHOTR</t>
  </si>
  <si>
    <t>ADVANI HOTELS &amp; RESORTS (INDIA) LTD.</t>
  </si>
  <si>
    <t>INE395B01048</t>
  </si>
  <si>
    <t>G.V. Films  Ltd.</t>
  </si>
  <si>
    <t>GVFILM</t>
  </si>
  <si>
    <t>GV FILMS LTD.</t>
  </si>
  <si>
    <t>INE712B01010</t>
  </si>
  <si>
    <t>Superhouse limited</t>
  </si>
  <si>
    <t>SUPERHOUSE</t>
  </si>
  <si>
    <t>SUPERHOUSE LTD.</t>
  </si>
  <si>
    <t>Bombay Cycle &amp; Motor Agency Ltd.</t>
  </si>
  <si>
    <t>BOMBCYC</t>
  </si>
  <si>
    <t>BOMBAY CYCLE &amp; MOTOR AGENCY LTD.</t>
  </si>
  <si>
    <t>INE822C01015</t>
  </si>
  <si>
    <t>TCPL Packaging Limited</t>
  </si>
  <si>
    <t>TCPLPACK</t>
  </si>
  <si>
    <t>TCPL PACKAGING LTD.-$</t>
  </si>
  <si>
    <t>INE241V01018</t>
  </si>
  <si>
    <t>Shri Gang Industries &amp; Allied Products Limited</t>
  </si>
  <si>
    <t>SHRIGANG</t>
  </si>
  <si>
    <t>SHRI GANG INDUSTRIES AND ALLIED PRODUCTS LTD.</t>
  </si>
  <si>
    <t>INE898O01010</t>
  </si>
  <si>
    <t>Purity Flex Pack Ltd</t>
  </si>
  <si>
    <t>PURITY</t>
  </si>
  <si>
    <t>PURITY FLEX PACK LTD.</t>
  </si>
  <si>
    <t>INE164A01016</t>
  </si>
  <si>
    <t>Balmer Lawrie &amp; Co. Ltd.</t>
  </si>
  <si>
    <t>BALMLAWRIE</t>
  </si>
  <si>
    <t>BALMER LAWRIE &amp; CO.LTD.</t>
  </si>
  <si>
    <t>INE177F01017</t>
  </si>
  <si>
    <t>Kovai Medical Center &amp; Hospital Ltd</t>
  </si>
  <si>
    <t>KOVAI</t>
  </si>
  <si>
    <t>KOVAI MEDICAL CENTER &amp; HOSPITAL LTD.</t>
  </si>
  <si>
    <t>Hospital</t>
  </si>
  <si>
    <t>INE668G01021</t>
  </si>
  <si>
    <t>Eldeco Housing &amp; Ind. Ltd.</t>
  </si>
  <si>
    <t>ELDEHSG</t>
  </si>
  <si>
    <t>ELDECO HOUSING &amp; INDUSTRIES LTD.</t>
  </si>
  <si>
    <t>INE809F01015</t>
  </si>
  <si>
    <t>Microse India Limited</t>
  </si>
  <si>
    <t>MICROSE</t>
  </si>
  <si>
    <t>MICROSE INDIA LTD.</t>
  </si>
  <si>
    <t>3M India Ltd.</t>
  </si>
  <si>
    <t>3MINDIA</t>
  </si>
  <si>
    <t>3M INDIA LTD.</t>
  </si>
  <si>
    <t>INE470A01017</t>
  </si>
  <si>
    <t>INE843D01027</t>
  </si>
  <si>
    <t>DCM Shriram Industries Ltd.</t>
  </si>
  <si>
    <t>DCMSRIND</t>
  </si>
  <si>
    <t>DCM SHRIRAM INDUSTRIES LTD.-$</t>
  </si>
  <si>
    <t>INE636A01039</t>
  </si>
  <si>
    <t>Mawana Sugars Ltd</t>
  </si>
  <si>
    <t>MAWANASUG</t>
  </si>
  <si>
    <t>MAWANA SUGARS LTD.</t>
  </si>
  <si>
    <t>INE281E01010</t>
  </si>
  <si>
    <t>Mini Diamonds (India) Ltd.</t>
  </si>
  <si>
    <t>MINID</t>
  </si>
  <si>
    <t>MINI DIAMONDS (INDIA) LTD.</t>
  </si>
  <si>
    <t>INE843B01013</t>
  </si>
  <si>
    <t>Maha Rashtra Apex Corporation Ltd</t>
  </si>
  <si>
    <t>MAHAPEXLTD</t>
  </si>
  <si>
    <t>MAHA RASHTRA APEX CORPORATION LTD.</t>
  </si>
  <si>
    <t>INE310A01015</t>
  </si>
  <si>
    <t>Nilkamal Limited</t>
  </si>
  <si>
    <t>NILKAMAL</t>
  </si>
  <si>
    <t>NILKAMAL LTD.</t>
  </si>
  <si>
    <t>INE308A01027</t>
  </si>
  <si>
    <t>Nahar Polyfilms Ltd.</t>
  </si>
  <si>
    <t>NAHARPOLY</t>
  </si>
  <si>
    <t>NAHAR POLYFILMS LTD.</t>
  </si>
  <si>
    <t>Aegis Logistics Ltd.</t>
  </si>
  <si>
    <t>AEGISLOG</t>
  </si>
  <si>
    <t>AEGIS LOGISTICS LTD.</t>
  </si>
  <si>
    <t>Gas</t>
  </si>
  <si>
    <t>Trading - Gas</t>
  </si>
  <si>
    <t>Hindustan Petroleum Corporation Ltd</t>
  </si>
  <si>
    <t>HINDPETRO</t>
  </si>
  <si>
    <t>HINDUSTAN PETROLEUM CORPORATION LTD.</t>
  </si>
  <si>
    <t>INE780C01023</t>
  </si>
  <si>
    <t>Mangalore Refinery &amp; Petrochemicals</t>
  </si>
  <si>
    <t>MRPL</t>
  </si>
  <si>
    <t>MANGALORE REFINERY &amp; PETROCHEMICALS LTD.</t>
  </si>
  <si>
    <t>INE833A01016</t>
  </si>
  <si>
    <t>ADC India Communications Limited</t>
  </si>
  <si>
    <t>ADCINDIA</t>
  </si>
  <si>
    <t>ADC India Communications Limited-$</t>
  </si>
  <si>
    <t>INE141D01018</t>
  </si>
  <si>
    <t>Tamilnadu Telecommunications Ltd.</t>
  </si>
  <si>
    <t>TNTELE</t>
  </si>
  <si>
    <t>TAMILNADU TELECOMMUNICATIONS LTD.</t>
  </si>
  <si>
    <t>INE459D01014</t>
  </si>
  <si>
    <t>Sunraj Diamond Exports Ltd.</t>
  </si>
  <si>
    <t>SUNRAJDI</t>
  </si>
  <si>
    <t>SUNRAJ DIAMOND EXPORTS LTD.</t>
  </si>
  <si>
    <t>EVANS ELECTRIC LIMITED</t>
  </si>
  <si>
    <t>EVANS</t>
  </si>
  <si>
    <t>Evans Electric Ltd</t>
  </si>
  <si>
    <t>INE06TD01010</t>
  </si>
  <si>
    <t>Chennai Petroleum Corporation Ltd.</t>
  </si>
  <si>
    <t>CHENNPETRO</t>
  </si>
  <si>
    <t>CHENNAI PETROLEUM CORPORATION LTD.</t>
  </si>
  <si>
    <t>INE969D01012</t>
  </si>
  <si>
    <t>Ind Bank Housing Ltd</t>
  </si>
  <si>
    <t>INDBNK</t>
  </si>
  <si>
    <t>IND BANK HOUSING LTD.</t>
  </si>
  <si>
    <t>INE250C01027</t>
  </si>
  <si>
    <t>Jai Mata Glass Ltd.</t>
  </si>
  <si>
    <t>JAIMATAG</t>
  </si>
  <si>
    <t>JAI MATA GLASS LTD.</t>
  </si>
  <si>
    <t>INE026D01011</t>
  </si>
  <si>
    <t>Lotus Chocolate Co. Ltd.</t>
  </si>
  <si>
    <t>LOTUSCHO</t>
  </si>
  <si>
    <t>LOTUS CHOCOLATE CO.LTD.</t>
  </si>
  <si>
    <t>INE883C01025</t>
  </si>
  <si>
    <t>Pacific Industries ltd.</t>
  </si>
  <si>
    <t>PACIFICI</t>
  </si>
  <si>
    <t>PACIFIC INDUSTRIES LTD.</t>
  </si>
  <si>
    <t>INE889F01017</t>
  </si>
  <si>
    <t>Chennai Meenakshi Multispeciality Hospital Ltd.</t>
  </si>
  <si>
    <t>CMMHOSP</t>
  </si>
  <si>
    <t>CHENNAI MEENAKSHI MULTISPECIALITY HOSPITAL LTD.-$</t>
  </si>
  <si>
    <t>INE951C01012</t>
  </si>
  <si>
    <t>Sunrise Efficient Marketing Limited</t>
  </si>
  <si>
    <t>SEML</t>
  </si>
  <si>
    <t>Sunrise Efficient Marketing Ltd</t>
  </si>
  <si>
    <t>INE0KPY01017</t>
  </si>
  <si>
    <t>INE170D01025</t>
  </si>
  <si>
    <t>APM Industries Ltd.</t>
  </si>
  <si>
    <t>APMIN</t>
  </si>
  <si>
    <t>APM INDUSTRIES LTD.-$</t>
  </si>
  <si>
    <t>INE372C01037</t>
  </si>
  <si>
    <t>Precision Wires India ltd.</t>
  </si>
  <si>
    <t>PRECWIRE</t>
  </si>
  <si>
    <t>PRECISION WIRES INDIA LTD.</t>
  </si>
  <si>
    <t>INE951B01014</t>
  </si>
  <si>
    <t>Krypton Industries Ltd</t>
  </si>
  <si>
    <t>KRYPTONQ</t>
  </si>
  <si>
    <t>KRYPTON INDUSTRIES LTD.</t>
  </si>
  <si>
    <t>INE010C01025</t>
  </si>
  <si>
    <t>SWISS MILITARY CONSUMER GOODS LIMITED</t>
  </si>
  <si>
    <t>SWISSMLTRY</t>
  </si>
  <si>
    <t>Swiss Military Consumer Goods Ltd</t>
  </si>
  <si>
    <t>Diversified consumer products</t>
  </si>
  <si>
    <t>INE199D01016</t>
  </si>
  <si>
    <t>Martin Burn Ltd</t>
  </si>
  <si>
    <t>MARBU</t>
  </si>
  <si>
    <t>MARTIN BURN LTD.</t>
  </si>
  <si>
    <t>INE623B01027</t>
  </si>
  <si>
    <t>Future Enterprises Limited</t>
  </si>
  <si>
    <t>FEL</t>
  </si>
  <si>
    <t>Future Enterprises Ltd</t>
  </si>
  <si>
    <t>INE826B01018</t>
  </si>
  <si>
    <t>Indian Toners &amp; Developers Ltd.</t>
  </si>
  <si>
    <t>INDTONER</t>
  </si>
  <si>
    <t>INDIAN TONERS &amp; DEVELOPERS LTD.-$</t>
  </si>
  <si>
    <t>INE638D01021</t>
  </si>
  <si>
    <t>Kunststoffe Industries Ltd.</t>
  </si>
  <si>
    <t>KUNSTOFF</t>
  </si>
  <si>
    <t>KUNSTSTOFFE INDUSTRIES LTD.</t>
  </si>
  <si>
    <t>INE109A01011</t>
  </si>
  <si>
    <t>Gini Silk Mills Ltd.</t>
  </si>
  <si>
    <t>GINISILK</t>
  </si>
  <si>
    <t>GINI SILK MILLS LTD.-$</t>
  </si>
  <si>
    <t>INE548B01018</t>
  </si>
  <si>
    <t>INE438E01016</t>
  </si>
  <si>
    <t>Sika Interplant Systems Ltd.</t>
  </si>
  <si>
    <t>SIKA</t>
  </si>
  <si>
    <t>SIKA INTERPLANT SYSTEMS LTD.</t>
  </si>
  <si>
    <t>INE248A01017</t>
  </si>
  <si>
    <t>Oil And Natural Gas Corporation Ltd</t>
  </si>
  <si>
    <t>ONGC</t>
  </si>
  <si>
    <t>Oil and Natural Gas Corporation Ltd</t>
  </si>
  <si>
    <t>UR SUGAR INDUSTRIES LIMITED</t>
  </si>
  <si>
    <t>URSUGAR</t>
  </si>
  <si>
    <t>UR Sugar Industries Ltd</t>
  </si>
  <si>
    <t>INE904R01027</t>
  </si>
  <si>
    <t>INE486I01016</t>
  </si>
  <si>
    <t>Phaarmasia Limited.</t>
  </si>
  <si>
    <t>PHRMASI</t>
  </si>
  <si>
    <t>PHAARMASIA LTD.</t>
  </si>
  <si>
    <t>INE888B01018</t>
  </si>
  <si>
    <t>Poddar Housing and Development Limited</t>
  </si>
  <si>
    <t>PODDARHOUS</t>
  </si>
  <si>
    <t>Poddar Housing and Development Ltd</t>
  </si>
  <si>
    <t>Reliance Industries Ltd</t>
  </si>
  <si>
    <t>RELIANCE</t>
  </si>
  <si>
    <t>RELIANCE INDUSTRIES LTD.</t>
  </si>
  <si>
    <t>INE558A01019</t>
  </si>
  <si>
    <t>IP Rings Ltd.</t>
  </si>
  <si>
    <t>IPRINGLTD</t>
  </si>
  <si>
    <t>IP RINGS LTD.-$</t>
  </si>
  <si>
    <t>Bharat Petroleum Corpn. Ltd.</t>
  </si>
  <si>
    <t>BPCL</t>
  </si>
  <si>
    <t>BHARAT PETROLEUM CORPORATION LTD.</t>
  </si>
  <si>
    <t>INE083C01022</t>
  </si>
  <si>
    <t>Plastiblends India Ltd.</t>
  </si>
  <si>
    <t>PLASTIBLEN</t>
  </si>
  <si>
    <t>PLASTIBLENDS INDIA LTD.-$</t>
  </si>
  <si>
    <t>INE823D01011</t>
  </si>
  <si>
    <t>Ekansh Concepts Limited</t>
  </si>
  <si>
    <t>EKANSH</t>
  </si>
  <si>
    <t>Ekansh Concepts Ltd</t>
  </si>
  <si>
    <t>INE005E01013</t>
  </si>
  <si>
    <t>INE465K01016</t>
  </si>
  <si>
    <t>Kkalpana Plastick Limited</t>
  </si>
  <si>
    <t>KKPLASTICK</t>
  </si>
  <si>
    <t>INE054C01015</t>
  </si>
  <si>
    <t>Waterbase Limited</t>
  </si>
  <si>
    <t>WATERBASE</t>
  </si>
  <si>
    <t>WATERBASE LTD.</t>
  </si>
  <si>
    <t>INE954B01018</t>
  </si>
  <si>
    <t>Flex Foods Ltd.</t>
  </si>
  <si>
    <t>FLEXFO</t>
  </si>
  <si>
    <t>FLEX FOODS LTD.-$</t>
  </si>
  <si>
    <t>INE798D01015</t>
  </si>
  <si>
    <t>Golkunda Diamonds &amp; Jewellery Ltd.</t>
  </si>
  <si>
    <t>GOLKUNDIA</t>
  </si>
  <si>
    <t>GOLKUNDA DIAMONDS &amp; JEWELLERY LTD.</t>
  </si>
  <si>
    <t>INE116A01032</t>
  </si>
  <si>
    <t>Apcotex Industries Limited</t>
  </si>
  <si>
    <t>APCOTEXIND</t>
  </si>
  <si>
    <t>APCOTEX INDUSTRIES LTD.</t>
  </si>
  <si>
    <t>INE842B01015</t>
  </si>
  <si>
    <t>Fortis Malar Hospitals Limited</t>
  </si>
  <si>
    <t>FORTISMLR</t>
  </si>
  <si>
    <t>INE759A01021</t>
  </si>
  <si>
    <t>Castrol India Ltd</t>
  </si>
  <si>
    <t>CASTROLIND</t>
  </si>
  <si>
    <t>CASTROL INDIA LTD.</t>
  </si>
  <si>
    <t>Lubricants</t>
  </si>
  <si>
    <t>INE158B01016</t>
  </si>
  <si>
    <t>EIMCO Elecon India Ltd.</t>
  </si>
  <si>
    <t>EIMCOELECO</t>
  </si>
  <si>
    <t>EIMCO ELECON (INDIA) LTD.</t>
  </si>
  <si>
    <t>INE318C01014</t>
  </si>
  <si>
    <t>Sayaji Hotel Ltd</t>
  </si>
  <si>
    <t>SAYAJIHOTL</t>
  </si>
  <si>
    <t>SAYAJI HOTELS LTD.</t>
  </si>
  <si>
    <t>INE745F01011</t>
  </si>
  <si>
    <t>JMG Corporation Ltd</t>
  </si>
  <si>
    <t>JMGCORP</t>
  </si>
  <si>
    <t>JMG CORPORATION LTD.</t>
  </si>
  <si>
    <t>INE365D01021</t>
  </si>
  <si>
    <t>Ashiana Housing Limited</t>
  </si>
  <si>
    <t>ASHIANA</t>
  </si>
  <si>
    <t>ASHIANA HOUSING LTD.-$</t>
  </si>
  <si>
    <t>INE119B01018</t>
  </si>
  <si>
    <t>Svam Software Ltd</t>
  </si>
  <si>
    <t>SVAMSOF</t>
  </si>
  <si>
    <t>SVAM SOFTWARE LTD.</t>
  </si>
  <si>
    <t>INE866A01016</t>
  </si>
  <si>
    <t>Ecoboard Industries Ltd</t>
  </si>
  <si>
    <t>ECOBOAR</t>
  </si>
  <si>
    <t>ECOBOARD INDUSTRIES LTD.</t>
  </si>
  <si>
    <t>INE477B01010</t>
  </si>
  <si>
    <t>Dhunseri Ventures Limited</t>
  </si>
  <si>
    <t>DVL</t>
  </si>
  <si>
    <t>Dhunseri Ventures Ltd-$</t>
  </si>
  <si>
    <t>INE502D01011</t>
  </si>
  <si>
    <t>TRANS INDIA HOUSE IMPEX LIMITED</t>
  </si>
  <si>
    <t>TIHIL</t>
  </si>
  <si>
    <t>Trans India House Impex Ltd</t>
  </si>
  <si>
    <t>INE215D01010</t>
  </si>
  <si>
    <t>MAHINDRA EPC IRRIGATION LIMITED</t>
  </si>
  <si>
    <t>MAHEPC</t>
  </si>
  <si>
    <t>Mahindra EPC Irrigation Ltd</t>
  </si>
  <si>
    <t>INE844D01017</t>
  </si>
  <si>
    <t>ITCONS E-Solutions Limited</t>
  </si>
  <si>
    <t>ITCONS</t>
  </si>
  <si>
    <t>ITCONS E-Solutions Ltd</t>
  </si>
  <si>
    <t>INE0O6A01019</t>
  </si>
  <si>
    <t>INE344E01016</t>
  </si>
  <si>
    <t>Shukra Jewellers Limited</t>
  </si>
  <si>
    <t>SHUKJEW</t>
  </si>
  <si>
    <t>SHUKRA JEWELLERS LTD.</t>
  </si>
  <si>
    <t>INE885E01034</t>
  </si>
  <si>
    <t>Mazda Ltd.</t>
  </si>
  <si>
    <t>MAZDA</t>
  </si>
  <si>
    <t>MAZDA LTD.-$</t>
  </si>
  <si>
    <t>INE959D01013</t>
  </si>
  <si>
    <t>Sovereign Diamonds Ltd</t>
  </si>
  <si>
    <t>SOVERDIA</t>
  </si>
  <si>
    <t>SOVEREIGN DIAMONDS LTD.</t>
  </si>
  <si>
    <t>INE071D01033</t>
  </si>
  <si>
    <t>Menon Bearings Ltd</t>
  </si>
  <si>
    <t>MENONBE</t>
  </si>
  <si>
    <t>MENON BEARINGS LTD.-$</t>
  </si>
  <si>
    <t>INE862C01029</t>
  </si>
  <si>
    <t>Mukat Pipes Limited</t>
  </si>
  <si>
    <t>MUKATPIP</t>
  </si>
  <si>
    <t>MUKAT PIPES LTD.-$</t>
  </si>
  <si>
    <t>INE610B01024</t>
  </si>
  <si>
    <t>Gujarat Raffia Ind. Ltd.</t>
  </si>
  <si>
    <t>GUJRAFFIA</t>
  </si>
  <si>
    <t>GUJARAT RAFFIA INDUSTRIES LTD.</t>
  </si>
  <si>
    <t>INE059B01024</t>
  </si>
  <si>
    <t>Simplex Infrastructures Limited</t>
  </si>
  <si>
    <t>SIMPLEXINF</t>
  </si>
  <si>
    <t>SIMPLEX INFRASTRUCTURES LTD.</t>
  </si>
  <si>
    <t>INE965C01038</t>
  </si>
  <si>
    <t>Innovative Tech Pack Ltd</t>
  </si>
  <si>
    <t>INNOVTEC</t>
  </si>
  <si>
    <t>INNOVATIVE TECH PACK LTD.</t>
  </si>
  <si>
    <t>INE460D01038</t>
  </si>
  <si>
    <t>Super Tannery Limited</t>
  </si>
  <si>
    <t>SUPTANERY</t>
  </si>
  <si>
    <t>GANESHA ECOVERSE LIMITED</t>
  </si>
  <si>
    <t>GANVERSE</t>
  </si>
  <si>
    <t>Ganesha Ecoverse Ltd</t>
  </si>
  <si>
    <t>INE369Q01017</t>
  </si>
  <si>
    <t>INE767C01012</t>
  </si>
  <si>
    <t>Axtel Industries Ltd.</t>
  </si>
  <si>
    <t>AXTEL</t>
  </si>
  <si>
    <t>AXTEL INDUSTRIES LTD.</t>
  </si>
  <si>
    <t>INE317D01014</t>
  </si>
  <si>
    <t>V R Woodart Ltd</t>
  </si>
  <si>
    <t>VRWODAR</t>
  </si>
  <si>
    <t>V R WOODART LTD.</t>
  </si>
  <si>
    <t>INE316O01021</t>
  </si>
  <si>
    <t>Monotype India Ltd.</t>
  </si>
  <si>
    <t>MONOT</t>
  </si>
  <si>
    <t>MONOTYPE INDIA LTD.</t>
  </si>
  <si>
    <t>INE511C01022</t>
  </si>
  <si>
    <t>Sandur Manganese &amp; Iron Ores Ltd.</t>
  </si>
  <si>
    <t>SANDUMA</t>
  </si>
  <si>
    <t>SANDUR MANGANESE &amp; IRON ORES LTD.</t>
  </si>
  <si>
    <t>INE806J01013</t>
  </si>
  <si>
    <t>Hindustan Flurocarbons Ltd.</t>
  </si>
  <si>
    <t>HINFLUR</t>
  </si>
  <si>
    <t>HINDUSTAN FLUOROCARBONS LTD.</t>
  </si>
  <si>
    <t>INE473D01015</t>
  </si>
  <si>
    <t>Kingfa Science &amp; Technology (India) Ltd</t>
  </si>
  <si>
    <t>KINGFA</t>
  </si>
  <si>
    <t>Kingfa Science &amp; Technology (India) Ltd-$</t>
  </si>
  <si>
    <t>INE637N01014</t>
  </si>
  <si>
    <t>Patidar Buildcon Limited</t>
  </si>
  <si>
    <t>PATIDAR</t>
  </si>
  <si>
    <t>INE809A01024</t>
  </si>
  <si>
    <t>Rama Phosphates Ltd.</t>
  </si>
  <si>
    <t>RAMAPHO</t>
  </si>
  <si>
    <t>RAMA PHOSPHATES LTD.</t>
  </si>
  <si>
    <t>INE204D01022</t>
  </si>
  <si>
    <t>Venlon Enterprises Ltd.</t>
  </si>
  <si>
    <t>VENLONENT</t>
  </si>
  <si>
    <t>VENLON ENTERPRISES LTD.</t>
  </si>
  <si>
    <t>INE704F01018</t>
  </si>
  <si>
    <t>Pet Plastics Ltd.</t>
  </si>
  <si>
    <t>PETPLST</t>
  </si>
  <si>
    <t>PET PLASTICS LTD.</t>
  </si>
  <si>
    <t>INE633B01018</t>
  </si>
  <si>
    <t>Polyplex Corporation Ltd.</t>
  </si>
  <si>
    <t>POLYPLEX</t>
  </si>
  <si>
    <t>POLYPLEX CORPORATION LTD.</t>
  </si>
  <si>
    <t>INE155C01010</t>
  </si>
  <si>
    <t>Albert David Ltd.</t>
  </si>
  <si>
    <t>ALBERTDAVD</t>
  </si>
  <si>
    <t>ALBERT DAVID LTD.-$</t>
  </si>
  <si>
    <t>INE681F01018</t>
  </si>
  <si>
    <t>Haryana Leather Chemicals Ltd.</t>
  </si>
  <si>
    <t>HARLETH</t>
  </si>
  <si>
    <t>HARYANA LEATHER CHEMICALS LTD.</t>
  </si>
  <si>
    <t>INE482D01024</t>
  </si>
  <si>
    <t>CARYSIL LIMITED</t>
  </si>
  <si>
    <t>CARYSIL</t>
  </si>
  <si>
    <t>Carysil Ltd</t>
  </si>
  <si>
    <t>INE900B01029</t>
  </si>
  <si>
    <t>Kabra Extrusion Technik Ltd</t>
  </si>
  <si>
    <t>KABRAEXTRU</t>
  </si>
  <si>
    <t>KABRA EXTRUSIONTECHNIK LTD.</t>
  </si>
  <si>
    <t>INE250B01029</t>
  </si>
  <si>
    <t>Vinyl Chemicals (India) Ltd.</t>
  </si>
  <si>
    <t>VINYLINDIA</t>
  </si>
  <si>
    <t>VINYL CHEMICALS (INDIA) LTD.</t>
  </si>
  <si>
    <t>INE417E01010</t>
  </si>
  <si>
    <t>Pee Cee Cosma Sope Ltd.</t>
  </si>
  <si>
    <t>PCCOSMA</t>
  </si>
  <si>
    <t>PEE CEE COSMA SOPE LTD.</t>
  </si>
  <si>
    <t>INE034F01010</t>
  </si>
  <si>
    <t>TCM Ltd.</t>
  </si>
  <si>
    <t>TCMLMTD</t>
  </si>
  <si>
    <t>TCM LTD.</t>
  </si>
  <si>
    <t>INE485C01011</t>
  </si>
  <si>
    <t>IOL Chemicals &amp; Pharmaceuticals Ltd</t>
  </si>
  <si>
    <t>IOLCP</t>
  </si>
  <si>
    <t>IOL CHEMICALS &amp; PHARMACEUTICALS LTD.</t>
  </si>
  <si>
    <t>INE133C01033</t>
  </si>
  <si>
    <t>Kesar Petroproducts Ltd</t>
  </si>
  <si>
    <t>KESARPE</t>
  </si>
  <si>
    <t>KESAR PETROPRODUCTS LTD.</t>
  </si>
  <si>
    <t>Indian Oil Corporation Ltd.</t>
  </si>
  <si>
    <t>IOC</t>
  </si>
  <si>
    <t>INDIAN OIL CORPORATION LTD.</t>
  </si>
  <si>
    <t>INE242A01010</t>
  </si>
  <si>
    <t>INE058I01013</t>
  </si>
  <si>
    <t>Lactose (India) Ltd.</t>
  </si>
  <si>
    <t>LACTOSE</t>
  </si>
  <si>
    <t>LACTOSE (INDIA) LTD.</t>
  </si>
  <si>
    <t>INE757D01011</t>
  </si>
  <si>
    <t>Teesta Agro Industries Ltd</t>
  </si>
  <si>
    <t>TEEAI</t>
  </si>
  <si>
    <t>TEESTA AGRO INDUSTRIES LTD.</t>
  </si>
  <si>
    <t>Gail (India) Ltd.</t>
  </si>
  <si>
    <t>GAIL</t>
  </si>
  <si>
    <t>GAIL (INDIA) LTD.</t>
  </si>
  <si>
    <t>INE129A01019</t>
  </si>
  <si>
    <t>Gas Transmission/Marketing</t>
  </si>
  <si>
    <t>INE702E01015</t>
  </si>
  <si>
    <t>Pentokey Organy (India) Ltd.</t>
  </si>
  <si>
    <t>PNTKYOR</t>
  </si>
  <si>
    <t>PENTOKEY ORGANY (INDIA) LTD.</t>
  </si>
  <si>
    <t>INE107F01022</t>
  </si>
  <si>
    <t>Wanbury Limited</t>
  </si>
  <si>
    <t>WANBURY</t>
  </si>
  <si>
    <t>WANBURY LTD.</t>
  </si>
  <si>
    <t>INE486D01017</t>
  </si>
  <si>
    <t>Resonance Specialties Limited</t>
  </si>
  <si>
    <t>RESONANCE</t>
  </si>
  <si>
    <t>RESONANCE SPECIALTIES LTD.-$</t>
  </si>
  <si>
    <t>INE036B01030</t>
  </si>
  <si>
    <t>Indraprashtha Gas Ltd.</t>
  </si>
  <si>
    <t>IGL</t>
  </si>
  <si>
    <t>INDRAPRASTHA GAS LTD.</t>
  </si>
  <si>
    <t>INE203G01027</t>
  </si>
  <si>
    <t>LPG/CNG/PNG/LNG Supplier</t>
  </si>
  <si>
    <t>PETRONET LNG LTD.</t>
  </si>
  <si>
    <t>PETRONET</t>
  </si>
  <si>
    <t>INE347G01014</t>
  </si>
  <si>
    <t>INE082A01010</t>
  </si>
  <si>
    <t>Kopran Ltd.</t>
  </si>
  <si>
    <t>KOPRAN</t>
  </si>
  <si>
    <t>KOPRAN LTD.</t>
  </si>
  <si>
    <t>INE008B01013</t>
  </si>
  <si>
    <t>Aimco Pesticides Ltd.</t>
  </si>
  <si>
    <t>AIMCOPEST</t>
  </si>
  <si>
    <t>AIMCO PESTICIDES LTD.</t>
  </si>
  <si>
    <t>INE499G01013</t>
  </si>
  <si>
    <t>Gujarat Terce Laboratories Ltd</t>
  </si>
  <si>
    <t>GUJTERC</t>
  </si>
  <si>
    <t>GUJARAT TERCE LABORATORIES LTD.</t>
  </si>
  <si>
    <t>INE573R01012</t>
  </si>
  <si>
    <t>Seya Industries Ltd</t>
  </si>
  <si>
    <t>SEYAIND</t>
  </si>
  <si>
    <t>SEYA INDUSTRIES LTD.</t>
  </si>
  <si>
    <t>INE785A01026</t>
  </si>
  <si>
    <t>Jayant Agro-Organics Limited.</t>
  </si>
  <si>
    <t>JAYAGROGN</t>
  </si>
  <si>
    <t>JAYANT AGRO-ORGANICS LTD.</t>
  </si>
  <si>
    <t>INE412G01024</t>
  </si>
  <si>
    <t>BCL INDUSTRIES LIMITED</t>
  </si>
  <si>
    <t>BCLIND</t>
  </si>
  <si>
    <t>BCL Industries Ltd-$</t>
  </si>
  <si>
    <t>INE065E01017</t>
  </si>
  <si>
    <t>Shree Hari Chemicals Export Ltd.</t>
  </si>
  <si>
    <t>SHHARICH</t>
  </si>
  <si>
    <t>SHREE HARI CHEMICALS EXPORT LTD.</t>
  </si>
  <si>
    <t>INE803D01021</t>
  </si>
  <si>
    <t>Indo Borax &amp; Chemicals Ltd.</t>
  </si>
  <si>
    <t>INDOBORAX</t>
  </si>
  <si>
    <t>INDO BORAX &amp; CHEMICALS LTD.-$</t>
  </si>
  <si>
    <t>INE767A01016</t>
  </si>
  <si>
    <t>Aarti Drugs Limited</t>
  </si>
  <si>
    <t>AARTIDRUGS</t>
  </si>
  <si>
    <t>AARTI DRUGS LTD.</t>
  </si>
  <si>
    <t>INE338D01028</t>
  </si>
  <si>
    <t>Bodal Chemicals Ltd</t>
  </si>
  <si>
    <t>BODALCHEM</t>
  </si>
  <si>
    <t>BODAL CHEMICALS LTD.</t>
  </si>
  <si>
    <t>INE191A01027</t>
  </si>
  <si>
    <t>Gujarat State Petronet Ltd.</t>
  </si>
  <si>
    <t>GSPL</t>
  </si>
  <si>
    <t>GUJARAT STATE PETRONET LTD.</t>
  </si>
  <si>
    <t>INE246F01010</t>
  </si>
  <si>
    <t>INE579C01029</t>
  </si>
  <si>
    <t>Vimta Labs Ltd.</t>
  </si>
  <si>
    <t>VIMTALABS</t>
  </si>
  <si>
    <t>VIMTA LABS LTD.-$</t>
  </si>
  <si>
    <t>Healthcare Research, Analytics &amp; Technology</t>
  </si>
  <si>
    <t>INE829A01014</t>
  </si>
  <si>
    <t>Biofil Chemicals &amp; Pharmaceuticals</t>
  </si>
  <si>
    <t>BIOFILCHEM</t>
  </si>
  <si>
    <t>BIOFIL CHEMICALS &amp; PHARMACEUTICALS LTD.</t>
  </si>
  <si>
    <t>INE806D01016</t>
  </si>
  <si>
    <t>Ishita Drugs &amp; Industries Ltd.</t>
  </si>
  <si>
    <t>ISHITADR</t>
  </si>
  <si>
    <t>ISHITA DRUGS &amp; INDUSTRIES LTD.</t>
  </si>
  <si>
    <t>INE750C01026</t>
  </si>
  <si>
    <t>Oil India Limited</t>
  </si>
  <si>
    <t>OIL</t>
  </si>
  <si>
    <t>OIL INDIA LTD.</t>
  </si>
  <si>
    <t>INE274J01014</t>
  </si>
  <si>
    <t>INE113E01015</t>
  </si>
  <si>
    <t>Universal Starch-Chem Allied Ltd.</t>
  </si>
  <si>
    <t>UNIVSTAR</t>
  </si>
  <si>
    <t>UNIVERSAL STARCH-CHEM ALLIED LTD.</t>
  </si>
  <si>
    <t>INE198H01019</t>
  </si>
  <si>
    <t>Aarey Drugs &amp; Pharmaceuticals Ltd</t>
  </si>
  <si>
    <t>AAREYDRUGS</t>
  </si>
  <si>
    <t>AAREY DRUGS &amp; PHARMACEUTICALS LTD.</t>
  </si>
  <si>
    <t>INE744C01029</t>
  </si>
  <si>
    <t>Walchand Peoplefirst Limited</t>
  </si>
  <si>
    <t>WALCHPF</t>
  </si>
  <si>
    <t>WALCHAND PEOPLEFIRST LTD.</t>
  </si>
  <si>
    <t>INE810M01019</t>
  </si>
  <si>
    <t>Asian Petroproducts &amp; Exports Ltd.</t>
  </si>
  <si>
    <t>ASINPET</t>
  </si>
  <si>
    <t>ASIAN PETROPRODUCTS &amp; EXPORTS LTD.</t>
  </si>
  <si>
    <t>INE198C01010</t>
  </si>
  <si>
    <t>Camex  Ltd.</t>
  </si>
  <si>
    <t>CAMEXLTD</t>
  </si>
  <si>
    <t>CAMEX LTD.</t>
  </si>
  <si>
    <t>INE313M01030</t>
  </si>
  <si>
    <t>EVEXIA LIFECARE LIMITED</t>
  </si>
  <si>
    <t>EVEXIA</t>
  </si>
  <si>
    <t>Evexia Lifecare Ltd</t>
  </si>
  <si>
    <t>INE319N01019</t>
  </si>
  <si>
    <t>Indo Euro Indchem Limited</t>
  </si>
  <si>
    <t>INDOEURO</t>
  </si>
  <si>
    <t>INDO EURO INDCHEM LTD.</t>
  </si>
  <si>
    <t>INE312C01025</t>
  </si>
  <si>
    <t>Syncom Formulations (India) Ltd.</t>
  </si>
  <si>
    <t>SYNCOMF</t>
  </si>
  <si>
    <t>SYNCOM FORMULATIONS (INDIA) LTD.-$</t>
  </si>
  <si>
    <t>DMR Hydroengineering &amp; Infrastructures Limited</t>
  </si>
  <si>
    <t>DMR</t>
  </si>
  <si>
    <t>DMR Hydroengineering &amp; Infrastructures Ltd</t>
  </si>
  <si>
    <t>MT</t>
  </si>
  <si>
    <t>INE07L501010</t>
  </si>
  <si>
    <t>INE038B01010</t>
  </si>
  <si>
    <t>Jet Freight Logistics Limited</t>
  </si>
  <si>
    <t>JETFREIGHT</t>
  </si>
  <si>
    <t>Jet Freight Logistics Ltd</t>
  </si>
  <si>
    <t>INE982V01025</t>
  </si>
  <si>
    <t>INE571A01038</t>
  </si>
  <si>
    <t>Coal India Limited</t>
  </si>
  <si>
    <t>COALINDIA</t>
  </si>
  <si>
    <t>COAL INDIA LTD.</t>
  </si>
  <si>
    <t>INE522F01014</t>
  </si>
  <si>
    <t>INE729D01010</t>
  </si>
  <si>
    <t>Kilitch Drugs (I) Ltd.</t>
  </si>
  <si>
    <t>KILITCH</t>
  </si>
  <si>
    <t>KILITCH DRUGS (INDIA) LTD.</t>
  </si>
  <si>
    <t>INE548H01015</t>
  </si>
  <si>
    <t>Raaj Medisafe India Limited</t>
  </si>
  <si>
    <t>RAAJMEDI</t>
  </si>
  <si>
    <t>RAAJ MEDISAFE INDIA LTD.</t>
  </si>
  <si>
    <t>INE270D01015</t>
  </si>
  <si>
    <t>SVC INDUSTRIES LIMITED</t>
  </si>
  <si>
    <t>SVCIND</t>
  </si>
  <si>
    <t>SVC INDUSTRIES Ltd</t>
  </si>
  <si>
    <t>INE683E01017</t>
  </si>
  <si>
    <t>Coral Laboratories Ltd.</t>
  </si>
  <si>
    <t>CORALAB</t>
  </si>
  <si>
    <t>CORAL LABORATORIES LTD.</t>
  </si>
  <si>
    <t>INE276N01011</t>
  </si>
  <si>
    <t>Tulasee Bio-Ethanol Ltd.</t>
  </si>
  <si>
    <t>TULASEEBIOE</t>
  </si>
  <si>
    <t>TULASEE BIO-ETHANOL LTD.</t>
  </si>
  <si>
    <t>INE711D01018</t>
  </si>
  <si>
    <t>Bacil Pharma Ltd.</t>
  </si>
  <si>
    <t>BACPHAR</t>
  </si>
  <si>
    <t>BACIL PHARMA LTD.</t>
  </si>
  <si>
    <t>INE268B01013</t>
  </si>
  <si>
    <t>Krebs Biochemicals &amp; Industries Ltd.</t>
  </si>
  <si>
    <t>KREBSBIO</t>
  </si>
  <si>
    <t>KREBS BIOCHEMICALS &amp; INDUSTRIES LTD.-$</t>
  </si>
  <si>
    <t>INE879K01018</t>
  </si>
  <si>
    <t>KMC Speciality Hospitals India Limited</t>
  </si>
  <si>
    <t>KMCSHIL</t>
  </si>
  <si>
    <t>KMC SPECIALITY HOSPITALS (INDIA) LTD.</t>
  </si>
  <si>
    <t>INE919B01011</t>
  </si>
  <si>
    <t>Laffans Petrochemicals Ltd.</t>
  </si>
  <si>
    <t>LAFFANSQ</t>
  </si>
  <si>
    <t>LAFFANS PETROCHEMICALS LTD.-$</t>
  </si>
  <si>
    <t>INE972C01018</t>
  </si>
  <si>
    <t>Bhaskar Agrochemicals Ltd.</t>
  </si>
  <si>
    <t>BHASKAGR</t>
  </si>
  <si>
    <t>BHASKAR AGROCHEMICALS LTD.</t>
  </si>
  <si>
    <t>INE450E01011</t>
  </si>
  <si>
    <t>Sukhjit Starch &amp; Chemicals Ltd.</t>
  </si>
  <si>
    <t>SUKHJITS</t>
  </si>
  <si>
    <t>SUKHJIT STARCH &amp; CHEMICALS LTD.-$</t>
  </si>
  <si>
    <t>INE06DM01015</t>
  </si>
  <si>
    <t>Satiate Agri Limited</t>
  </si>
  <si>
    <t>SATAGRI</t>
  </si>
  <si>
    <t>Satiate Agri Ltd</t>
  </si>
  <si>
    <t>INE465H01012</t>
  </si>
  <si>
    <t>Sharma East India Hospitals And Res</t>
  </si>
  <si>
    <t>SHARMEH</t>
  </si>
  <si>
    <t>SHARMA EAST INDIA HOSPITALS &amp; MEDICAL RESEARCH LTD.</t>
  </si>
  <si>
    <t>INE794A01010</t>
  </si>
  <si>
    <t>Gulf Oil Lubricants India Limited</t>
  </si>
  <si>
    <t>GULFOILLUB</t>
  </si>
  <si>
    <t>Gulf Oil Lubricants India Ltd</t>
  </si>
  <si>
    <t>INE635Q01029</t>
  </si>
  <si>
    <t>INE052E01015</t>
  </si>
  <si>
    <t>Gayatri BioOrganics Ltd</t>
  </si>
  <si>
    <t>GAYATRIBI</t>
  </si>
  <si>
    <t>GAYATRI BIOORGANICS LTD.</t>
  </si>
  <si>
    <t>INE371C01013</t>
  </si>
  <si>
    <t>Poddar Pigments Ltd.</t>
  </si>
  <si>
    <t>PODDARMENT</t>
  </si>
  <si>
    <t>PODDAR PIGMENTS LTD.-$</t>
  </si>
  <si>
    <t>INE117D01018</t>
  </si>
  <si>
    <t>Pharmaids Pharmaceuticals Ltd.</t>
  </si>
  <si>
    <t>PHARMAID</t>
  </si>
  <si>
    <t>PHARMAIDS PHARMACEUTICALS LTD.</t>
  </si>
  <si>
    <t>INE737C01023</t>
  </si>
  <si>
    <t>Vivid Global Industries Limited</t>
  </si>
  <si>
    <t>VIVIDIND</t>
  </si>
  <si>
    <t>VIVID GLOBAL INDUSTRIES LTD.</t>
  </si>
  <si>
    <t>INE686C01014</t>
  </si>
  <si>
    <t>ABC India Ltd.</t>
  </si>
  <si>
    <t>ABCINDQ</t>
  </si>
  <si>
    <t>ABC INDIA LTD.-$</t>
  </si>
  <si>
    <t>Road Transport</t>
  </si>
  <si>
    <t>INE314D01011</t>
  </si>
  <si>
    <t>Tirupati Starch &amp; Chemicals Ltd.</t>
  </si>
  <si>
    <t>TIRUSTA</t>
  </si>
  <si>
    <t>TIRUPATI STARCH &amp; CHEMICALS LTD.</t>
  </si>
  <si>
    <t>INE422G01015</t>
  </si>
  <si>
    <t>DRA CONSULTANTS LIMITED</t>
  </si>
  <si>
    <t>DRA</t>
  </si>
  <si>
    <t>DRA Consultants Ltd</t>
  </si>
  <si>
    <t>INE746V01016</t>
  </si>
  <si>
    <t>INE263B01022</t>
  </si>
  <si>
    <t>JD Orgochem Ltd.</t>
  </si>
  <si>
    <t>JDORGOCHEM</t>
  </si>
  <si>
    <t>JD ORGOCHEM LTD.</t>
  </si>
  <si>
    <t>INE994D01010</t>
  </si>
  <si>
    <t>Aeonx Digital Technology Limited</t>
  </si>
  <si>
    <t>AEONXDIGI</t>
  </si>
  <si>
    <t>Aeonx Digital Technology Ltd</t>
  </si>
  <si>
    <t>INE542B01011</t>
  </si>
  <si>
    <t>AksharChem (India) Ltd.</t>
  </si>
  <si>
    <t>AKSHARCHEM</t>
  </si>
  <si>
    <t>AKSHARCHEM (INDIA) LTD.-$</t>
  </si>
  <si>
    <t>INE875N01036</t>
  </si>
  <si>
    <t>BANDARAM PHARMA PACKTECH LIMITED</t>
  </si>
  <si>
    <t>BANDARAM</t>
  </si>
  <si>
    <t>Bandaram Pharma Packtech Ltd</t>
  </si>
  <si>
    <t>INE276T01018</t>
  </si>
  <si>
    <t>ADLINE CHEM LAB LIMITED</t>
  </si>
  <si>
    <t>ADLINE</t>
  </si>
  <si>
    <t>Adline Chem Lab Ltd</t>
  </si>
  <si>
    <t>INE415H01017</t>
  </si>
  <si>
    <t>Beryl Drugs Ltd.</t>
  </si>
  <si>
    <t>BERLDRG</t>
  </si>
  <si>
    <t>BERYL DRUGS LTD.</t>
  </si>
  <si>
    <t>INE056E01024</t>
  </si>
  <si>
    <t>IEL LIMITED</t>
  </si>
  <si>
    <t>INDXTRA</t>
  </si>
  <si>
    <t>IEL Ltd</t>
  </si>
  <si>
    <t>INE532B01020</t>
  </si>
  <si>
    <t>iStreet Network Limited</t>
  </si>
  <si>
    <t>ISTRNETWK</t>
  </si>
  <si>
    <t>INE076D01016</t>
  </si>
  <si>
    <t>Gagan Gases Ltd.</t>
  </si>
  <si>
    <t>GAGAN</t>
  </si>
  <si>
    <t>GAGAN GASES LTD.</t>
  </si>
  <si>
    <t>INE750B01010</t>
  </si>
  <si>
    <t>Zodiac Ventures Limited</t>
  </si>
  <si>
    <t>ZODIACVEN</t>
  </si>
  <si>
    <t>INE551C01028</t>
  </si>
  <si>
    <t>Shukra Pharmaceuticals Limited</t>
  </si>
  <si>
    <t>SHUKRAPHAR</t>
  </si>
  <si>
    <t>Shukra Pharmaceuticals Ltd</t>
  </si>
  <si>
    <t>INE058F01019</t>
  </si>
  <si>
    <t>Alufluoride  Ltd.</t>
  </si>
  <si>
    <t>ALUFLUOR</t>
  </si>
  <si>
    <t>ALUFLUORIDE LTD.</t>
  </si>
  <si>
    <t>INE102E01018</t>
  </si>
  <si>
    <t>OXYGENTA PHARMACEUTICAL LIMITED</t>
  </si>
  <si>
    <t>OXYGENTAPH</t>
  </si>
  <si>
    <t>Oxygenta Pharmaceutical Ltd</t>
  </si>
  <si>
    <t>INE078I01011</t>
  </si>
  <si>
    <t>Archit Organosys Limited</t>
  </si>
  <si>
    <t>ARCHITORG</t>
  </si>
  <si>
    <t>ARCHIT ORGANOSYS LTD.</t>
  </si>
  <si>
    <t>INE528E01022</t>
  </si>
  <si>
    <t>Sikozy Realtors Limited</t>
  </si>
  <si>
    <t>SIKOZY</t>
  </si>
  <si>
    <t>INE760F01028</t>
  </si>
  <si>
    <t>Indo Amines Ltd.</t>
  </si>
  <si>
    <t>INDOAMIN</t>
  </si>
  <si>
    <t>INDO AMINES LTD.-$</t>
  </si>
  <si>
    <t>INE788B01028</t>
  </si>
  <si>
    <t>Ind-Swift Ltd.</t>
  </si>
  <si>
    <t>INDSWFTLTD</t>
  </si>
  <si>
    <t>IND-SWIFT LTD.</t>
  </si>
  <si>
    <t>INE936B01015</t>
  </si>
  <si>
    <t>Natural Capsules Ltd.</t>
  </si>
  <si>
    <t>NATCAPSUQ</t>
  </si>
  <si>
    <t>NATURAL CAPSULES LTD.</t>
  </si>
  <si>
    <t>INE331C01017</t>
  </si>
  <si>
    <t>Welcure Drugs &amp; Pharmaceuticals ltd</t>
  </si>
  <si>
    <t>WELCURE</t>
  </si>
  <si>
    <t>WELCURE DRUGS &amp; PHARMACEUTICALS LTD.</t>
  </si>
  <si>
    <t>INE994B01014</t>
  </si>
  <si>
    <t>Bharat Immunologicals &amp; Biologicals</t>
  </si>
  <si>
    <t>BIBCL</t>
  </si>
  <si>
    <t>BHARAT IMMUNOLOGICALS &amp; BIOLOGICALS CORPORATION LTD.-$</t>
  </si>
  <si>
    <t>INE035D01020</t>
  </si>
  <si>
    <t>Savita Oil Technologies Limited</t>
  </si>
  <si>
    <t>SOTL</t>
  </si>
  <si>
    <t>SAVITA OIL TECHNOLOGIES LTD.</t>
  </si>
  <si>
    <t>INE782E01017</t>
  </si>
  <si>
    <t>Hester Biosciences Ltd</t>
  </si>
  <si>
    <t>HESTERBIO</t>
  </si>
  <si>
    <t>HESTER BIOSCIENCES LTD.</t>
  </si>
  <si>
    <t>INE645C01010</t>
  </si>
  <si>
    <t>JOHNSON PHARMACARE LIMITED</t>
  </si>
  <si>
    <t>JOHNPHARMA</t>
  </si>
  <si>
    <t>Johnson Pharmacare Ltd</t>
  </si>
  <si>
    <t>INE560F01022</t>
  </si>
  <si>
    <t>INE473E01021</t>
  </si>
  <si>
    <t>Basant Agro-Tech (India) Ltd.</t>
  </si>
  <si>
    <t>BASANTGL</t>
  </si>
  <si>
    <t>BASANT AGRO TECH (INDIA) LTD.-$</t>
  </si>
  <si>
    <t>INE751D01014</t>
  </si>
  <si>
    <t>Sandu Pharmaceuticals Ltd.</t>
  </si>
  <si>
    <t>SANDUPHQ</t>
  </si>
  <si>
    <t>SANDU PHARMACEUTICALS LTD.</t>
  </si>
  <si>
    <t>INE295D01020</t>
  </si>
  <si>
    <t>NACL Industries Limited</t>
  </si>
  <si>
    <t>NACLIND</t>
  </si>
  <si>
    <t>NACL Industries Ltd</t>
  </si>
  <si>
    <t>INE427C01021</t>
  </si>
  <si>
    <t>Vista Pharmaceuticals Ltd.</t>
  </si>
  <si>
    <t>VISTAPH</t>
  </si>
  <si>
    <t>VISTA PHARMACEUTICALS LTD.</t>
  </si>
  <si>
    <t>INE044A01036</t>
  </si>
  <si>
    <t>Gujarat Gas Limited</t>
  </si>
  <si>
    <t>GUJGASLTD</t>
  </si>
  <si>
    <t>Gujarat Gas Ltd</t>
  </si>
  <si>
    <t>INE844O01030</t>
  </si>
  <si>
    <t>INE150C01011</t>
  </si>
  <si>
    <t>Titan Bio-Tech Ltd.</t>
  </si>
  <si>
    <t>TITANBIO</t>
  </si>
  <si>
    <t>TITAN BIOTECH LTD.</t>
  </si>
  <si>
    <t>INE491D01017</t>
  </si>
  <si>
    <t>Ashnisha Industries Limited</t>
  </si>
  <si>
    <t>ASHNI</t>
  </si>
  <si>
    <t>Ashnisha Industries Ltd</t>
  </si>
  <si>
    <t>INE694W01024</t>
  </si>
  <si>
    <t>INE004E01016</t>
  </si>
  <si>
    <t>Span Divergent Limited</t>
  </si>
  <si>
    <t>SDL</t>
  </si>
  <si>
    <t>Span Divergent Ltd-$</t>
  </si>
  <si>
    <t>INE354A01013</t>
  </si>
  <si>
    <t>Jenburkt Pharmaceuticals Ltd.</t>
  </si>
  <si>
    <t>JENBURPH</t>
  </si>
  <si>
    <t>JENBURKT PHARMACEUTICALS LTD.</t>
  </si>
  <si>
    <t>INE475B01022</t>
  </si>
  <si>
    <t>Hikal Ltd.</t>
  </si>
  <si>
    <t>HIKAL</t>
  </si>
  <si>
    <t>HIKAL LTD.</t>
  </si>
  <si>
    <t>INE475E01026</t>
  </si>
  <si>
    <t>Mahanagar Gas Limited</t>
  </si>
  <si>
    <t>MGL</t>
  </si>
  <si>
    <t>Mahanagar Gas Ltd</t>
  </si>
  <si>
    <t>INE002S01010</t>
  </si>
  <si>
    <t>INE771F01025</t>
  </si>
  <si>
    <t>FISCHER MEDICAL VENTURES LIMITED</t>
  </si>
  <si>
    <t>FISCHER</t>
  </si>
  <si>
    <t>Fischer Medical Ventures Ltd</t>
  </si>
  <si>
    <t>INE302F01011</t>
  </si>
  <si>
    <t>Link Pharma Chem Ltd.</t>
  </si>
  <si>
    <t>LINKPH</t>
  </si>
  <si>
    <t>LINK PHARMA CHEM LTD.</t>
  </si>
  <si>
    <t>INE643N01012</t>
  </si>
  <si>
    <t>DECIPHER LABS LIMITED</t>
  </si>
  <si>
    <t>DECIPHER</t>
  </si>
  <si>
    <t>Decipher Labs Ltd</t>
  </si>
  <si>
    <t>INE634B01016</t>
  </si>
  <si>
    <t>Emmessar Biotech &amp; Nutrition Ltd.</t>
  </si>
  <si>
    <t>EMMESSA</t>
  </si>
  <si>
    <t>EMMESSAR BIOTECH &amp; NUTRITION LTD.</t>
  </si>
  <si>
    <t>INE887E01022</t>
  </si>
  <si>
    <t>NGL Fine Chem Ltd.</t>
  </si>
  <si>
    <t>NGLFINE</t>
  </si>
  <si>
    <t>NGL FINE-CHEM LTD.</t>
  </si>
  <si>
    <t>INE334C01029</t>
  </si>
  <si>
    <t>Everest Organics Ltd.</t>
  </si>
  <si>
    <t>EVERESTO</t>
  </si>
  <si>
    <t>EVEREST ORGANICS LTD.</t>
  </si>
  <si>
    <t>INE406A01037</t>
  </si>
  <si>
    <t>ADANI TOTAL GAS LIMITED</t>
  </si>
  <si>
    <t>ATGL</t>
  </si>
  <si>
    <t>Adani Total Gas Ltd</t>
  </si>
  <si>
    <t>INE399L01023</t>
  </si>
  <si>
    <t>INE037C01010</t>
  </si>
  <si>
    <t>Phyto Chem (India) Ltd.</t>
  </si>
  <si>
    <t>PHYTO</t>
  </si>
  <si>
    <t>PHYTO CHEM (INDIA) LTD.</t>
  </si>
  <si>
    <t>INE987B01026</t>
  </si>
  <si>
    <t>Bajaj Hindusthan Sugar Limited</t>
  </si>
  <si>
    <t>BAJAJHIND</t>
  </si>
  <si>
    <t>INE457C01010</t>
  </si>
  <si>
    <t>Dynamic Industries Ltd.</t>
  </si>
  <si>
    <t>DYNAMIND</t>
  </si>
  <si>
    <t>DYNAMIC INDUSTRIES LTD.-$</t>
  </si>
  <si>
    <t>INE305C01029</t>
  </si>
  <si>
    <t>Panama Petrochem Ltd.</t>
  </si>
  <si>
    <t>PANAMAPET</t>
  </si>
  <si>
    <t>PANAMA PETROCHEM LTD.</t>
  </si>
  <si>
    <t>INE083D01012</t>
  </si>
  <si>
    <t>Bal Pharma Ltd.</t>
  </si>
  <si>
    <t>BALPHARMA</t>
  </si>
  <si>
    <t>BAL PHARMA LTD.</t>
  </si>
  <si>
    <t>INE278D01018</t>
  </si>
  <si>
    <t>BDH Industries Ltd.</t>
  </si>
  <si>
    <t>BDH</t>
  </si>
  <si>
    <t>BDH INDUSTRIES LTD.</t>
  </si>
  <si>
    <t>INE593O01017</t>
  </si>
  <si>
    <t>Jauss Polymers Ltd</t>
  </si>
  <si>
    <t>JAUSPOL</t>
  </si>
  <si>
    <t>JAUSS POLYMERS LTD.</t>
  </si>
  <si>
    <t>INE064L01015</t>
  </si>
  <si>
    <t>Globus Constructors &amp; Developers Limited</t>
  </si>
  <si>
    <t>GLOBUSCON</t>
  </si>
  <si>
    <t>INE144D01012</t>
  </si>
  <si>
    <t>Cubex Tubings Ltd</t>
  </si>
  <si>
    <t>CUBEXTUB</t>
  </si>
  <si>
    <t>CUBEX TUBINGS LTD.</t>
  </si>
  <si>
    <t>INE809B01014</t>
  </si>
  <si>
    <t>Polymechplast Machines Ltd.</t>
  </si>
  <si>
    <t>POLYCHMP</t>
  </si>
  <si>
    <t>POLYMECHPLAST MACHINES LTD.</t>
  </si>
  <si>
    <t>INE395F01023</t>
  </si>
  <si>
    <t>STELLANT SECURITIES (INDIA) LIMITED</t>
  </si>
  <si>
    <t>STELLANT</t>
  </si>
  <si>
    <t>STELLANT SECURITIES (INDIA) LTD.</t>
  </si>
  <si>
    <t>INE020S01012</t>
  </si>
  <si>
    <t>Galaxy Bearings Ltd.</t>
  </si>
  <si>
    <t>GALXBRG</t>
  </si>
  <si>
    <t>GALAXY BEARINGS LTD.</t>
  </si>
  <si>
    <t>INE895E01017</t>
  </si>
  <si>
    <t>SC Agrotech Limited</t>
  </si>
  <si>
    <t>SCAGRO</t>
  </si>
  <si>
    <t>SC Agrotech Ltd</t>
  </si>
  <si>
    <t>INE427E01027</t>
  </si>
  <si>
    <t>Ravileela Granites Limited</t>
  </si>
  <si>
    <t>RALEGRA</t>
  </si>
  <si>
    <t>RAVILEELA GRANITES LTD.</t>
  </si>
  <si>
    <t>INE602H01010</t>
  </si>
  <si>
    <t>Uniroyal Marine Exports Ltd.</t>
  </si>
  <si>
    <t>UNRYLMA</t>
  </si>
  <si>
    <t>UNIROYAL MARINE EXPORTS LTD.</t>
  </si>
  <si>
    <t>INE327D01013</t>
  </si>
  <si>
    <t>Karan Woo-sin ltd.</t>
  </si>
  <si>
    <t>KARANWO</t>
  </si>
  <si>
    <t>KARAN WOO-SIN LTD.</t>
  </si>
  <si>
    <t>INE011D01013</t>
  </si>
  <si>
    <t>Shervani Industrial syndicate Ltd</t>
  </si>
  <si>
    <t>SHERVANI</t>
  </si>
  <si>
    <t>SHERVANI INDUSTRIAL SYNDICATE LTD.</t>
  </si>
  <si>
    <t>Rose Merc.Limited</t>
  </si>
  <si>
    <t>ROSEMER</t>
  </si>
  <si>
    <t>ROSE MERC.LTD.</t>
  </si>
  <si>
    <t>INE881B01054</t>
  </si>
  <si>
    <t>Supertex Industries Ltd</t>
  </si>
  <si>
    <t>SUPERTEX</t>
  </si>
  <si>
    <t>SUPERTEX INDUSTRIES LTD.</t>
  </si>
  <si>
    <t>INE278C01010</t>
  </si>
  <si>
    <t>Shetron Ltd.</t>
  </si>
  <si>
    <t>SHETR</t>
  </si>
  <si>
    <t>SHETRON LTD.</t>
  </si>
  <si>
    <t>INE773D01018</t>
  </si>
  <si>
    <t>Transgene Biotek Ltd.</t>
  </si>
  <si>
    <t>TRABI</t>
  </si>
  <si>
    <t>TRANSGENE BIOTEK LTD.</t>
  </si>
  <si>
    <t>INE343A01016</t>
  </si>
  <si>
    <t>MPL Plastics Limited</t>
  </si>
  <si>
    <t>MPL</t>
  </si>
  <si>
    <t>INE926C01022</t>
  </si>
  <si>
    <t>Nikhil Adhesives Ltd.</t>
  </si>
  <si>
    <t>NIKHILAD</t>
  </si>
  <si>
    <t>NIKHIL ADHESIVES LTD.-$</t>
  </si>
  <si>
    <t>INE175C01018</t>
  </si>
  <si>
    <t>Spenta International Ltd.</t>
  </si>
  <si>
    <t>SPENTA</t>
  </si>
  <si>
    <t>SPENTA INTERNATIONAL LTD.</t>
  </si>
  <si>
    <t>INE678F01014</t>
  </si>
  <si>
    <t>Multibase India Ltd</t>
  </si>
  <si>
    <t>MULTIBASE</t>
  </si>
  <si>
    <t>MULTIBASE INDIA LTD.</t>
  </si>
  <si>
    <t>INE449C01025</t>
  </si>
  <si>
    <t>Andrew Yule &amp; Company Ltd</t>
  </si>
  <si>
    <t>ANDREWYU</t>
  </si>
  <si>
    <t>ANDREW YULE &amp; COMPANY LTD.</t>
  </si>
  <si>
    <t>INE983C01015</t>
  </si>
  <si>
    <t>Ludlow Jute &amp; Specialities Ltd</t>
  </si>
  <si>
    <t>LUDLOWJUT</t>
  </si>
  <si>
    <t>LUDLOW JUTE &amp; SPECIALITIES LTD.</t>
  </si>
  <si>
    <t>Jute &amp; Jute Products</t>
  </si>
  <si>
    <t>INE293C01019</t>
  </si>
  <si>
    <t>Ashram Online.com Ltd</t>
  </si>
  <si>
    <t>ASHRAM</t>
  </si>
  <si>
    <t>ASHRAM ONLINE.COM LTD.</t>
  </si>
  <si>
    <t>INE618A01011</t>
  </si>
  <si>
    <t>Royal Cushion Vinyl Products Ltd.</t>
  </si>
  <si>
    <t>ROYALCU</t>
  </si>
  <si>
    <t>ROYAL CUSHION VINYL PRODUCTS LTD.-$</t>
  </si>
  <si>
    <t>INE170U01011</t>
  </si>
  <si>
    <t>Suraj Industries Limited.</t>
  </si>
  <si>
    <t>SURJIND</t>
  </si>
  <si>
    <t>SURAJ INDUSTRIES LTD.</t>
  </si>
  <si>
    <t>INE120D01012</t>
  </si>
  <si>
    <t>Hitech Corporation Limited</t>
  </si>
  <si>
    <t>HITECHCORP</t>
  </si>
  <si>
    <t>Hitech Corporation Ltd-$</t>
  </si>
  <si>
    <t>INE253C01013</t>
  </si>
  <si>
    <t>Bloom Dekor Ltd.</t>
  </si>
  <si>
    <t>BLOOM</t>
  </si>
  <si>
    <t>BLOOM DEKOR LTD.-$</t>
  </si>
  <si>
    <t>INE816B01035</t>
  </si>
  <si>
    <t>Filatex India Ltd.</t>
  </si>
  <si>
    <t>FILATEX</t>
  </si>
  <si>
    <t>FILATEX INDIA LTD.-$</t>
  </si>
  <si>
    <t>INE307D01015</t>
  </si>
  <si>
    <t>Standard Surfactants Ltd.</t>
  </si>
  <si>
    <t>STDSFAC</t>
  </si>
  <si>
    <t>STANDARD SURFACTANTS LTD.</t>
  </si>
  <si>
    <t>INE902C01015</t>
  </si>
  <si>
    <t>Morgan Ventures Ltd.</t>
  </si>
  <si>
    <t>MORGAN</t>
  </si>
  <si>
    <t>MORGAN VENTURES LTD.</t>
  </si>
  <si>
    <t>PRISMX GLOBAL VENTURES LIMITED</t>
  </si>
  <si>
    <t>PRISMX</t>
  </si>
  <si>
    <t>Prismx Global Ventures Ltd</t>
  </si>
  <si>
    <t>INE863B01029</t>
  </si>
  <si>
    <t>Premier Explosives Ltd.</t>
  </si>
  <si>
    <t>PREMEXPLN</t>
  </si>
  <si>
    <t>PREMIER EXPLOSIVES LTD.</t>
  </si>
  <si>
    <t>INE033E01015</t>
  </si>
  <si>
    <t>Mid East Portfolio Management Ltd.</t>
  </si>
  <si>
    <t>MIDEASTP</t>
  </si>
  <si>
    <t>MID EAST PORTFOLIO MANAGEMENT LTD.</t>
  </si>
  <si>
    <t>INE835B01035</t>
  </si>
  <si>
    <t>Mold-Tek Technologies Ltd</t>
  </si>
  <si>
    <t>MOLDTECH</t>
  </si>
  <si>
    <t>MOLD-TEK TECHNOLOGIES LTD.</t>
  </si>
  <si>
    <t>INE293N01016</t>
  </si>
  <si>
    <t>Crestchem Ltd.</t>
  </si>
  <si>
    <t>CRSTCHM</t>
  </si>
  <si>
    <t>CRESTCHEM LTD.</t>
  </si>
  <si>
    <t>INE356A01018</t>
  </si>
  <si>
    <t>Balrampur Chini Mills Ltd.</t>
  </si>
  <si>
    <t>BALRAMCHIN</t>
  </si>
  <si>
    <t>BALRAMPUR CHINI MILLS LTD.</t>
  </si>
  <si>
    <t>INE047C01019</t>
  </si>
  <si>
    <t>Medinova Diagnostic Services Ltd.</t>
  </si>
  <si>
    <t>MEDINOV</t>
  </si>
  <si>
    <t>MEDINOVA DIAGNOSTIC SERVICES LTD.</t>
  </si>
  <si>
    <t>INE410G01010</t>
  </si>
  <si>
    <t>DIVYASHAKTI LIMITED</t>
  </si>
  <si>
    <t>DIVSHKT</t>
  </si>
  <si>
    <t>Divyashakti Ltd</t>
  </si>
  <si>
    <t>INE609C01024</t>
  </si>
  <si>
    <t>Orient Press ltd.</t>
  </si>
  <si>
    <t>ORIENTLTD</t>
  </si>
  <si>
    <t>ORIENT PRESS LTD.</t>
  </si>
  <si>
    <t>INE115F01017</t>
  </si>
  <si>
    <t>Shreyas Intermediates Ltd.</t>
  </si>
  <si>
    <t>SHREYASI</t>
  </si>
  <si>
    <t>SHREYAS INTERMEDIATES LTD.</t>
  </si>
  <si>
    <t>INE744D01019</t>
  </si>
  <si>
    <t>Panjon Ltd.</t>
  </si>
  <si>
    <t>PANJON</t>
  </si>
  <si>
    <t>PANJON LTD.</t>
  </si>
  <si>
    <t>INE218T01010</t>
  </si>
  <si>
    <t>Nirbhay Colours India Limited</t>
  </si>
  <si>
    <t>NIRBHAYIND</t>
  </si>
  <si>
    <t>Nirbhay Colours India Ltd</t>
  </si>
  <si>
    <t>INE138B01018</t>
  </si>
  <si>
    <t>Duropack Ltd</t>
  </si>
  <si>
    <t>DUROPACK</t>
  </si>
  <si>
    <t>DUROPACK LTD.</t>
  </si>
  <si>
    <t>INE967A01012</t>
  </si>
  <si>
    <t>SWARNSARITA JEWELS INDIA LIMITED</t>
  </si>
  <si>
    <t>SWARNSAR</t>
  </si>
  <si>
    <t>Swarnsarita Jewels India Ltd</t>
  </si>
  <si>
    <t>Dabur India Ltd.</t>
  </si>
  <si>
    <t>DABUR</t>
  </si>
  <si>
    <t>DABUR INDIA LTD.</t>
  </si>
  <si>
    <t>Godfrey Phillips India Ltd.</t>
  </si>
  <si>
    <t>GODFRYPHLP</t>
  </si>
  <si>
    <t>GODFREY PHILLIPS INDIA LTD.</t>
  </si>
  <si>
    <t>INE908C01012</t>
  </si>
  <si>
    <t>Cindrella Hotels Ltd.</t>
  </si>
  <si>
    <t>CINDHO</t>
  </si>
  <si>
    <t>CINDRELLA HOTELS LTD.-$</t>
  </si>
  <si>
    <t>Balurghat Technologies Ltd.</t>
  </si>
  <si>
    <t>BALTE</t>
  </si>
  <si>
    <t>BALURGHAT TECHNOLOGIES LTD.</t>
  </si>
  <si>
    <t>INE137C01018</t>
  </si>
  <si>
    <t>Alphageo (India)Ltd.</t>
  </si>
  <si>
    <t>ALPHAGEO</t>
  </si>
  <si>
    <t>ALPHAGEO (INDIA) LTD.-$</t>
  </si>
  <si>
    <t>INE299D01022</t>
  </si>
  <si>
    <t>HAMPTON SKY REALTY LIMITED</t>
  </si>
  <si>
    <t>HAMPTON</t>
  </si>
  <si>
    <t>Hampton Sky Realty Ltd</t>
  </si>
  <si>
    <t>INE301C01028</t>
  </si>
  <si>
    <t>Kkalpana Industries (India) Ltd</t>
  </si>
  <si>
    <t>KKALPANAIND</t>
  </si>
  <si>
    <t>INE870B01024</t>
  </si>
  <si>
    <t>OK Play India Ltd.</t>
  </si>
  <si>
    <t>OKPLA</t>
  </si>
  <si>
    <t>OK PLAY INDIA LTD.</t>
  </si>
  <si>
    <t>Leisure Products</t>
  </si>
  <si>
    <t>INE479D01038</t>
  </si>
  <si>
    <t>Kriti Industries (India) Ltd.</t>
  </si>
  <si>
    <t>KRITI</t>
  </si>
  <si>
    <t>KRITI INDUSTRIES (INDIA) LTD.-$</t>
  </si>
  <si>
    <t>INE867C01010</t>
  </si>
  <si>
    <t>ASM Technologies Ltd.</t>
  </si>
  <si>
    <t>ASMTEC</t>
  </si>
  <si>
    <t>ASM TECHNOLOGIES LTD.</t>
  </si>
  <si>
    <t>INE759I01024</t>
  </si>
  <si>
    <t>Perfectpac Limited</t>
  </si>
  <si>
    <t>PERFEPA</t>
  </si>
  <si>
    <t>PERFECTPAC LTD.</t>
  </si>
  <si>
    <t>INE267C01013</t>
  </si>
  <si>
    <t>ERP Soft Systems Ltd.</t>
  </si>
  <si>
    <t>ERPSOFT</t>
  </si>
  <si>
    <t>ERP SOFT SYSTEMS LTD.</t>
  </si>
  <si>
    <t>INE308B01017</t>
  </si>
  <si>
    <t>INE515B01025</t>
  </si>
  <si>
    <t>Vision Cinemas Limited</t>
  </si>
  <si>
    <t>VISIONCINE</t>
  </si>
  <si>
    <t>VISION CINEMAS LTD.</t>
  </si>
  <si>
    <t>Advertising &amp; Media Agencies</t>
  </si>
  <si>
    <t>INE072B01027</t>
  </si>
  <si>
    <t>Datasoft Application Software (I) L</t>
  </si>
  <si>
    <t>DATASOFT</t>
  </si>
  <si>
    <t>DATASOFT APPLICATION SOFTWARE (INDIA) LTD.</t>
  </si>
  <si>
    <t>INE007C01021</t>
  </si>
  <si>
    <t>Indrayani Biotech Ltd.</t>
  </si>
  <si>
    <t>INDRANIB</t>
  </si>
  <si>
    <t>INDRAYANI BIOTECH LTD.</t>
  </si>
  <si>
    <t>INE940E01011</t>
  </si>
  <si>
    <t>Euro Leder Fashion Ltd.</t>
  </si>
  <si>
    <t>EUROLED</t>
  </si>
  <si>
    <t>EURO LEDER FASHION LTD.</t>
  </si>
  <si>
    <t>INE391C01011</t>
  </si>
  <si>
    <t>Winsome Breweries Ltd.</t>
  </si>
  <si>
    <t>WINSOMBR</t>
  </si>
  <si>
    <t>WINSOME BREWERIES LTD.</t>
  </si>
  <si>
    <t>INE152E01013</t>
  </si>
  <si>
    <t>Elegant Floriculture &amp; Agrotech (In</t>
  </si>
  <si>
    <t>ELEFLOR</t>
  </si>
  <si>
    <t>ELEGANT FLORICULTURE &amp; AGROTECH (INDIA) LTD.</t>
  </si>
  <si>
    <t>INE765B01018</t>
  </si>
  <si>
    <t>Sky Industries Ltd</t>
  </si>
  <si>
    <t>SKYIND</t>
  </si>
  <si>
    <t>SKY INDUSTRIES LTD.-$</t>
  </si>
  <si>
    <t>FLOMIC GLOBAL LOGISTICS LIMITED</t>
  </si>
  <si>
    <t>FLOMIC</t>
  </si>
  <si>
    <t>Flomic Global Logistics Ltd</t>
  </si>
  <si>
    <t>INE432N01010</t>
  </si>
  <si>
    <t>BHUDEVI INFRA PROJECTS LIMITED</t>
  </si>
  <si>
    <t>BHUDEVI</t>
  </si>
  <si>
    <t>Bhudevi Infra Projects Ltd</t>
  </si>
  <si>
    <t>INE206C01029</t>
  </si>
  <si>
    <t>Pratik Panels Ltd.</t>
  </si>
  <si>
    <t>PRATIK</t>
  </si>
  <si>
    <t>PRATIK PANELS LTD.</t>
  </si>
  <si>
    <t>Forest Products</t>
  </si>
  <si>
    <t>INE582D01013</t>
  </si>
  <si>
    <t>Rishiroop Limited</t>
  </si>
  <si>
    <t>RISHIROOP</t>
  </si>
  <si>
    <t>Rishiroop Ltd</t>
  </si>
  <si>
    <t>INE818D01011</t>
  </si>
  <si>
    <t>PROMACT IMPEX LIMITED</t>
  </si>
  <si>
    <t>PROMACT</t>
  </si>
  <si>
    <t>Promact Impex Ltd</t>
  </si>
  <si>
    <t>INE398F01019</t>
  </si>
  <si>
    <t>Sterling Green  Woods  Limited</t>
  </si>
  <si>
    <t>STRGRENWO</t>
  </si>
  <si>
    <t>STERLING GREEN WOODS LTD.</t>
  </si>
  <si>
    <t>INE356B01016</t>
  </si>
  <si>
    <t>Systematix Corporate Services Ltd.</t>
  </si>
  <si>
    <t>SYSTMTXC</t>
  </si>
  <si>
    <t>SYSTEMATIX CORPORATE SERVICES LTD.</t>
  </si>
  <si>
    <t>INE825D01016</t>
  </si>
  <si>
    <t>Artefact Projects Ltd</t>
  </si>
  <si>
    <t>ARTEFACT</t>
  </si>
  <si>
    <t>ARTEFACT PROJECTS LTD.</t>
  </si>
  <si>
    <t>INE885B01014</t>
  </si>
  <si>
    <t>INE840D01015</t>
  </si>
  <si>
    <t>Alpine Housing Development Corporat</t>
  </si>
  <si>
    <t>ALPINEHOU</t>
  </si>
  <si>
    <t>ALPINE HOUSING DEVELOPMENT CORPORATION LTD.</t>
  </si>
  <si>
    <t>INE999B01013</t>
  </si>
  <si>
    <t>Sanghi Industries Ltd.</t>
  </si>
  <si>
    <t>SANGHIIND</t>
  </si>
  <si>
    <t>SANGHI INDUSTRIES LTD.</t>
  </si>
  <si>
    <t>INE550D01010</t>
  </si>
  <si>
    <t>Salora International Limited</t>
  </si>
  <si>
    <t>SALORAINTL</t>
  </si>
  <si>
    <t>SALORA INTERNATIONAL LTD.</t>
  </si>
  <si>
    <t>Kaiser Corporation Limited</t>
  </si>
  <si>
    <t>KACL</t>
  </si>
  <si>
    <t>INE229G01022</t>
  </si>
  <si>
    <t>INE716K01020</t>
  </si>
  <si>
    <t>Square Four Projects India Limited</t>
  </si>
  <si>
    <t>SFPIL</t>
  </si>
  <si>
    <t>INE967B01028</t>
  </si>
  <si>
    <t>Scanpoint Geomatics Limited</t>
  </si>
  <si>
    <t>SCANPGEOM</t>
  </si>
  <si>
    <t>SCANPOINT GEOMATICS LTD.</t>
  </si>
  <si>
    <t>INE493D01013</t>
  </si>
  <si>
    <t>Choksi Laboratories Ltd.</t>
  </si>
  <si>
    <t>CHOKSILA</t>
  </si>
  <si>
    <t>CHOKSI LABORATORIES LTD.</t>
  </si>
  <si>
    <t>INE652F01027</t>
  </si>
  <si>
    <t>Country Club Hospitality &amp; Holidays Ltd</t>
  </si>
  <si>
    <t>CCHHL</t>
  </si>
  <si>
    <t>INE696E01019</t>
  </si>
  <si>
    <t>Longview Tea Company ltd.</t>
  </si>
  <si>
    <t>LONTE</t>
  </si>
  <si>
    <t>LONGVIEW TEA COMPANY LTD.</t>
  </si>
  <si>
    <t>INE519N01014</t>
  </si>
  <si>
    <t>Midwest Gold Ltd</t>
  </si>
  <si>
    <t>MIDWEST</t>
  </si>
  <si>
    <t>MIDWEST GOLD LTD.</t>
  </si>
  <si>
    <t>INE439G01019</t>
  </si>
  <si>
    <t>ICDS Ltd.</t>
  </si>
  <si>
    <t>ICDSLTD</t>
  </si>
  <si>
    <t>ICDS LTD.</t>
  </si>
  <si>
    <t>INE778A01021</t>
  </si>
  <si>
    <t>TECHINDIA NIRMAN LIMITED</t>
  </si>
  <si>
    <t>TECHIN</t>
  </si>
  <si>
    <t>INE413G01022</t>
  </si>
  <si>
    <t>TPL Plastech Limited</t>
  </si>
  <si>
    <t>TPLPLASTEH</t>
  </si>
  <si>
    <t>TPL PLASTECH LTD.</t>
  </si>
  <si>
    <t>INE015B01018</t>
  </si>
  <si>
    <t>Wim Plast Ltd.</t>
  </si>
  <si>
    <t>WIMPLAST</t>
  </si>
  <si>
    <t>WIM PLAST LTD.-$</t>
  </si>
  <si>
    <t>INE813B01016</t>
  </si>
  <si>
    <t>Photoquip India Ltd.</t>
  </si>
  <si>
    <t>PHOTOQUP</t>
  </si>
  <si>
    <t>PHOTOQUIP INDIA LTD.</t>
  </si>
  <si>
    <t>INE557B01019</t>
  </si>
  <si>
    <t>Liberty Shoes Ltd.</t>
  </si>
  <si>
    <t>LIBERTSHOE</t>
  </si>
  <si>
    <t>LIBERTY SHOES LTD.</t>
  </si>
  <si>
    <t>INE845B01018</t>
  </si>
  <si>
    <t>Lippi Systems Ltd.</t>
  </si>
  <si>
    <t>LIPPISYS</t>
  </si>
  <si>
    <t>LIPPI SYSTEMS LTD.-$</t>
  </si>
  <si>
    <t>INE822G01016</t>
  </si>
  <si>
    <t>Electrotherm (India) Ltd</t>
  </si>
  <si>
    <t>ELECTHERM</t>
  </si>
  <si>
    <t>ELECTROTHERM (INDIA) LTD.</t>
  </si>
  <si>
    <t>INE233B01017</t>
  </si>
  <si>
    <t>Fervent Synergies Limited</t>
  </si>
  <si>
    <t>FERVENTSYN</t>
  </si>
  <si>
    <t>FERVENT SYNERGIES LTD.</t>
  </si>
  <si>
    <t>INE258M01011</t>
  </si>
  <si>
    <t>INE561D01025</t>
  </si>
  <si>
    <t>Expo Gas Containers Ltd.</t>
  </si>
  <si>
    <t>EXPOGAS</t>
  </si>
  <si>
    <t>EXPO GAS CONTAINERS LTD.</t>
  </si>
  <si>
    <t>INE233D01013</t>
  </si>
  <si>
    <t>National Plastic Industries Ltd.</t>
  </si>
  <si>
    <t>NATPLAS</t>
  </si>
  <si>
    <t>NATIONAL PLASTIC INDUSTRIES LTD.</t>
  </si>
  <si>
    <t>INE244C01020</t>
  </si>
  <si>
    <t>SELLWIN TRADERS LIMITED</t>
  </si>
  <si>
    <t>SELLWIN</t>
  </si>
  <si>
    <t>Sellwin Traders Ltd</t>
  </si>
  <si>
    <t>INE195F01019</t>
  </si>
  <si>
    <t>INE594V01028</t>
  </si>
  <si>
    <t>Texel Industries Ltd.</t>
  </si>
  <si>
    <t>TEXELIN</t>
  </si>
  <si>
    <t>TEXEL INDUSTRIES LTD.</t>
  </si>
  <si>
    <t>INE008C01011</t>
  </si>
  <si>
    <t>Royale Manor Hotels &amp; Industries Lt</t>
  </si>
  <si>
    <t>RAYALEMA</t>
  </si>
  <si>
    <t>ROYALE MANOR HOTELS &amp; INDUSTRIES LTD.</t>
  </si>
  <si>
    <t>INE771A01026</t>
  </si>
  <si>
    <t>Mirza International  Limited</t>
  </si>
  <si>
    <t>MIRZAINT</t>
  </si>
  <si>
    <t>MIRZA INTERNATIONAL LTD.</t>
  </si>
  <si>
    <t>INE305A01015</t>
  </si>
  <si>
    <t>Tourism Finance Corpn. Of India Ltd</t>
  </si>
  <si>
    <t>TFCILTD</t>
  </si>
  <si>
    <t>TOURISM FINANCE CORPORATION OF INDIA LTD.</t>
  </si>
  <si>
    <t>Financial Institution</t>
  </si>
  <si>
    <t>INE403F01017</t>
  </si>
  <si>
    <t>Thakker's Developers Ltd.</t>
  </si>
  <si>
    <t>THAKDEV</t>
  </si>
  <si>
    <t>THAKKERS DEVELOPERS LTD.</t>
  </si>
  <si>
    <t>INE610C01014</t>
  </si>
  <si>
    <t>Rajdarshan Industries Ltd.</t>
  </si>
  <si>
    <t>ARENTERP</t>
  </si>
  <si>
    <t>RAJDARSHAN INDUSTRIES LTD.</t>
  </si>
  <si>
    <t>INE828A01016</t>
  </si>
  <si>
    <t>Bhartiya International Ltd.</t>
  </si>
  <si>
    <t>BIL</t>
  </si>
  <si>
    <t>BHARTIYA INTERNATIONAL LTD.</t>
  </si>
  <si>
    <t>INE967C01018</t>
  </si>
  <si>
    <t>Kamat Hotels (India) ltd.</t>
  </si>
  <si>
    <t>KAMATHOTEL</t>
  </si>
  <si>
    <t>KAMAT HOTELS (INDIA) LTD.</t>
  </si>
  <si>
    <t>INE008N01018</t>
  </si>
  <si>
    <t>Contil India Limited</t>
  </si>
  <si>
    <t>CONTILI</t>
  </si>
  <si>
    <t>CONTIL INDIA LTD.</t>
  </si>
  <si>
    <t>INE080G01011</t>
  </si>
  <si>
    <t>INE055C01020</t>
  </si>
  <si>
    <t>DSJ KEEP LEARNING LIMITED</t>
  </si>
  <si>
    <t>KEEPLEARN</t>
  </si>
  <si>
    <t>DSJ keep Learning Ltd</t>
  </si>
  <si>
    <t>INE084C01012</t>
  </si>
  <si>
    <t>Polo Hotels Ltd.</t>
  </si>
  <si>
    <t>POLOHOT</t>
  </si>
  <si>
    <t>POLO HOTELS LTD.</t>
  </si>
  <si>
    <t>INE423D01010</t>
  </si>
  <si>
    <t>Ecoplast Ltd.</t>
  </si>
  <si>
    <t>ECOPLAST</t>
  </si>
  <si>
    <t>ECOPLAST LTD.-$</t>
  </si>
  <si>
    <t>INE095B01010</t>
  </si>
  <si>
    <t>Elegant Marbles &amp; Grani Industries</t>
  </si>
  <si>
    <t>ELEMARB</t>
  </si>
  <si>
    <t>ELEGANT MARBLES &amp; GRANI INDUSTRIES LTD.</t>
  </si>
  <si>
    <t>INE839A01021</t>
  </si>
  <si>
    <t>BITS Ltd</t>
  </si>
  <si>
    <t>BITS</t>
  </si>
  <si>
    <t>BITS LTD.</t>
  </si>
  <si>
    <t>INE627D01016</t>
  </si>
  <si>
    <t>Adarsh Plant Project Ltd.</t>
  </si>
  <si>
    <t>ADARSHPL</t>
  </si>
  <si>
    <t>ADARSH PLANT PROTECT LTD.</t>
  </si>
  <si>
    <t>INE136C01044</t>
  </si>
  <si>
    <t>HCP PLASTENE BULKPACK LIMITED</t>
  </si>
  <si>
    <t>HPBL</t>
  </si>
  <si>
    <t>HCP Plastene Bulkpack Ltd</t>
  </si>
  <si>
    <t>INE653C01022</t>
  </si>
  <si>
    <t>Nicco Parks And Resorts Ltd.</t>
  </si>
  <si>
    <t>NICCOPAR</t>
  </si>
  <si>
    <t>NICCO PARKS &amp; RESORTS LTD.-$</t>
  </si>
  <si>
    <t>INE920C01017</t>
  </si>
  <si>
    <t>NTC INDUSTRIES LIMITED</t>
  </si>
  <si>
    <t>NTCIND</t>
  </si>
  <si>
    <t>NTC INDUSTRIES LTD.</t>
  </si>
  <si>
    <t>INE583B01015</t>
  </si>
  <si>
    <t>Sandesh Ltd.</t>
  </si>
  <si>
    <t>SANDESH</t>
  </si>
  <si>
    <t>SANDESH LTD.</t>
  </si>
  <si>
    <t>INE797D01017</t>
  </si>
  <si>
    <t>Garnet Construction Ltd.</t>
  </si>
  <si>
    <t>GARNET</t>
  </si>
  <si>
    <t>GARNET CONSTRUCTION LTD.</t>
  </si>
  <si>
    <t>INE025B01025</t>
  </si>
  <si>
    <t>Goldiam International Ltd.</t>
  </si>
  <si>
    <t>GOLDIAM</t>
  </si>
  <si>
    <t>GOLDIAM INTERNATIONAL LTD.</t>
  </si>
  <si>
    <t>INE630D01010</t>
  </si>
  <si>
    <t>Bright Brothers Ltd.</t>
  </si>
  <si>
    <t>BRIGHTBR</t>
  </si>
  <si>
    <t>BRIGHT BROTHERS LTD.-$</t>
  </si>
  <si>
    <t>INE869A01010</t>
  </si>
  <si>
    <t>Narmada Gelatines Ltd.</t>
  </si>
  <si>
    <t>SHAWGELTIN</t>
  </si>
  <si>
    <t>NARMADA GELATINES LTD.</t>
  </si>
  <si>
    <t>INE078D01012</t>
  </si>
  <si>
    <t>P.G.Foils Ltd.</t>
  </si>
  <si>
    <t>PGFOILQ</t>
  </si>
  <si>
    <t>PG FOILS LTD.</t>
  </si>
  <si>
    <t>INE915E01013</t>
  </si>
  <si>
    <t>Gratex Industries Ltd.</t>
  </si>
  <si>
    <t>GRATEXI</t>
  </si>
  <si>
    <t>GRATEX INDUSTRIES LTD.</t>
  </si>
  <si>
    <t>INE548D01014</t>
  </si>
  <si>
    <t>Velan Hotels Ltd.</t>
  </si>
  <si>
    <t>VELHO</t>
  </si>
  <si>
    <t>VELAN HOTELS LTD.</t>
  </si>
  <si>
    <t>INE931B01016</t>
  </si>
  <si>
    <t>Howard Hotels Limited</t>
  </si>
  <si>
    <t>HOWARHO</t>
  </si>
  <si>
    <t>HOWARD HOTELS LTD.</t>
  </si>
  <si>
    <t>INE891E01024</t>
  </si>
  <si>
    <t>Pressure Sensitive Systems (India)</t>
  </si>
  <si>
    <t>PRESSURS</t>
  </si>
  <si>
    <t>PRESSURE SENSITIVE SYSTEMS (INDIA) LTD.</t>
  </si>
  <si>
    <t>INE760B01019</t>
  </si>
  <si>
    <t>Valiant Communications Ltd.</t>
  </si>
  <si>
    <t>VALIANT</t>
  </si>
  <si>
    <t>VALIANT COMMUNICATIONS LTD.-$</t>
  </si>
  <si>
    <t>INE934C01018</t>
  </si>
  <si>
    <t>Dr.Agarwals Eye Hospital Ltd.</t>
  </si>
  <si>
    <t>DRAGARWQ</t>
  </si>
  <si>
    <t>DR.AGARWALS EYE HOSPITAL LTD.-$</t>
  </si>
  <si>
    <t>INE007G01014</t>
  </si>
  <si>
    <t>Maharashtra Corporation Ltd.</t>
  </si>
  <si>
    <t>MAHACORP</t>
  </si>
  <si>
    <t>MAHARASHTRA CORPORATION LTD.</t>
  </si>
  <si>
    <t>INE461C01038</t>
  </si>
  <si>
    <t>Greenply Industries Ltd</t>
  </si>
  <si>
    <t>GREENPLY</t>
  </si>
  <si>
    <t>GREENPLY INDUSTRIES LTD.</t>
  </si>
  <si>
    <t>Sai Capital Ltd.</t>
  </si>
  <si>
    <t>SAICAPI</t>
  </si>
  <si>
    <t>SAI CAPITAL LTD.</t>
  </si>
  <si>
    <t>INE531X01018</t>
  </si>
  <si>
    <t>INE753B01014</t>
  </si>
  <si>
    <t>Raghunath International Ltd.</t>
  </si>
  <si>
    <t>RAGHUNAT</t>
  </si>
  <si>
    <t>RAGHUNATH INTERNATIONAL LTD.</t>
  </si>
  <si>
    <t>INE974B01016</t>
  </si>
  <si>
    <t>Cheviot Co.Ltd.</t>
  </si>
  <si>
    <t>CHEVIOT</t>
  </si>
  <si>
    <t>CHEVIOT CO.LTD.-$</t>
  </si>
  <si>
    <t>INE928C01010</t>
  </si>
  <si>
    <t>Dai-Ichi Karkaria Ltd.</t>
  </si>
  <si>
    <t>DAICHI</t>
  </si>
  <si>
    <t>DAI-ICHI KARKARIA LTD.-$</t>
  </si>
  <si>
    <t>INE016C01014</t>
  </si>
  <si>
    <t>Rajeswari Infrastructure Limited</t>
  </si>
  <si>
    <t>RAJINFRA</t>
  </si>
  <si>
    <t>INE882D01017</t>
  </si>
  <si>
    <t>SPICE ISLANDS INDUSTRIES LIMITED</t>
  </si>
  <si>
    <t>SPICEISLIN</t>
  </si>
  <si>
    <t>Spice Islands Industries Ltd-$</t>
  </si>
  <si>
    <t>INE552D01024</t>
  </si>
  <si>
    <t>Confidence Petroleum India Limited</t>
  </si>
  <si>
    <t>CONFIPET</t>
  </si>
  <si>
    <t>CONFIDENCE PETROLEUM INDIA LTD.</t>
  </si>
  <si>
    <t>INE413C01013</t>
  </si>
  <si>
    <t>Shelter Infra Projects Limited</t>
  </si>
  <si>
    <t>SIPL</t>
  </si>
  <si>
    <t>SHELTER INFRA PROJECTS LTD.-$</t>
  </si>
  <si>
    <t>INE794C01016</t>
  </si>
  <si>
    <t>Shakti Press Ltd.</t>
  </si>
  <si>
    <t>SHAKTIPR</t>
  </si>
  <si>
    <t>SHAKTI PRESS LTD.</t>
  </si>
  <si>
    <t>INE338C01012</t>
  </si>
  <si>
    <t>Ashirwad Steels &amp; Industries  Ltd.</t>
  </si>
  <si>
    <t>ASHSI</t>
  </si>
  <si>
    <t>ASHIRWAD STEELS &amp; INDUSTRIES LTD.</t>
  </si>
  <si>
    <t>INE655B01011</t>
  </si>
  <si>
    <t>Banaras Beads Ltd.</t>
  </si>
  <si>
    <t>BANARBEADS</t>
  </si>
  <si>
    <t>BANARAS BEADS LTD.</t>
  </si>
  <si>
    <t>INE480H01011</t>
  </si>
  <si>
    <t>Arex Industries Ltd.</t>
  </si>
  <si>
    <t>AREXMIS</t>
  </si>
  <si>
    <t>AREX INDUSTRIES LTD.</t>
  </si>
  <si>
    <t>INE986A01012</t>
  </si>
  <si>
    <t>Bilcare Ltd.</t>
  </si>
  <si>
    <t>BI</t>
  </si>
  <si>
    <t>BILCARE LTD.-$</t>
  </si>
  <si>
    <t>INE973B01026</t>
  </si>
  <si>
    <t>ISF LIMITED</t>
  </si>
  <si>
    <t>ISFL</t>
  </si>
  <si>
    <t>INE988D01012</t>
  </si>
  <si>
    <t>Rishi Laser  Ltd.</t>
  </si>
  <si>
    <t>RISHILASE</t>
  </si>
  <si>
    <t>RISHI LASER LTD.</t>
  </si>
  <si>
    <t>INE966C01010</t>
  </si>
  <si>
    <t>SecUR Credentials Limited</t>
  </si>
  <si>
    <t>SECURCRED</t>
  </si>
  <si>
    <t>SecUR Credentials Ltd</t>
  </si>
  <si>
    <t>INE195Y01010</t>
  </si>
  <si>
    <t>INE795E01019</t>
  </si>
  <si>
    <t>Kumbhat Financial Services Ltd.</t>
  </si>
  <si>
    <t>KUMPFIN</t>
  </si>
  <si>
    <t>KUMBHAT FINANCIAL SERVICES LTD.</t>
  </si>
  <si>
    <t>INE017E01018</t>
  </si>
  <si>
    <t>Intec Capital Limited</t>
  </si>
  <si>
    <t>INTECCAP</t>
  </si>
  <si>
    <t>INTEC CAPITAL LTD.</t>
  </si>
  <si>
    <t>INE184D01026</t>
  </si>
  <si>
    <t>Rajasthan Gases Ltd.</t>
  </si>
  <si>
    <t>RAJGASES</t>
  </si>
  <si>
    <t>RAJASTHAN GASES LTD.</t>
  </si>
  <si>
    <t>INE797C01019</t>
  </si>
  <si>
    <t>Suncare Traders Limited</t>
  </si>
  <si>
    <t>SCTL</t>
  </si>
  <si>
    <t>Suncare Traders Ltd</t>
  </si>
  <si>
    <t>INE452S01025</t>
  </si>
  <si>
    <t>INE111B01023</t>
  </si>
  <si>
    <t>63 Moons Technologies Limited</t>
  </si>
  <si>
    <t>63MOONS</t>
  </si>
  <si>
    <t>63 Moons Technologies Ltd</t>
  </si>
  <si>
    <t>INE453D01025</t>
  </si>
  <si>
    <t>Sarla Performance Fibers Ltd</t>
  </si>
  <si>
    <t>SARLAPOLY</t>
  </si>
  <si>
    <t>SARLA PERFORMANCE FIBERS LTD.-$</t>
  </si>
  <si>
    <t>INE944C01017</t>
  </si>
  <si>
    <t>Market Creators Ltd.</t>
  </si>
  <si>
    <t>MKTCREAT</t>
  </si>
  <si>
    <t>MARKET CREATORS LTD.</t>
  </si>
  <si>
    <t>INE552B01010</t>
  </si>
  <si>
    <t>HIMALAYA FOOD INTERNATIONAL LIMITED</t>
  </si>
  <si>
    <t>HFIL</t>
  </si>
  <si>
    <t>Himalaya Food International Ltd</t>
  </si>
  <si>
    <t>INE344I01017</t>
  </si>
  <si>
    <t>Sonal Adhesives Ltd.</t>
  </si>
  <si>
    <t>SONALAD</t>
  </si>
  <si>
    <t>SONAL ADHESIVES LTD.</t>
  </si>
  <si>
    <t>INE743D01011</t>
  </si>
  <si>
    <t>Padmanabh Industries Limited</t>
  </si>
  <si>
    <t>PADMAIND</t>
  </si>
  <si>
    <t>INE253B01015</t>
  </si>
  <si>
    <t>Twentyfirst Century Management Serv</t>
  </si>
  <si>
    <t>21STCENMGM</t>
  </si>
  <si>
    <t>TWENTYFIRST CENTURY MANAGEMENT SERVICES LTD.</t>
  </si>
  <si>
    <t>INE400G01011</t>
  </si>
  <si>
    <t>Hariyana Ship Breakers Ltd.</t>
  </si>
  <si>
    <t>HRYNSHP</t>
  </si>
  <si>
    <t>HARIYANA SHIP BREAKERS LTD.-$</t>
  </si>
  <si>
    <t>Ship Building &amp; Allied Services</t>
  </si>
  <si>
    <t>INE377D01018</t>
  </si>
  <si>
    <t>ARUNIS ABODE LIMITED</t>
  </si>
  <si>
    <t>ARUNIS</t>
  </si>
  <si>
    <t>Arunis Abode Ltd</t>
  </si>
  <si>
    <t>INE945B01016</t>
  </si>
  <si>
    <t>Tyroon Tea Co. Ltd.</t>
  </si>
  <si>
    <t>TYROON</t>
  </si>
  <si>
    <t>TYROON TEA CO.LTD.</t>
  </si>
  <si>
    <t>INE059D01020</t>
  </si>
  <si>
    <t>La Opala RG Ltd.</t>
  </si>
  <si>
    <t>LAOPALA</t>
  </si>
  <si>
    <t>LA OPALA RG LTD.</t>
  </si>
  <si>
    <t>Glass - Consumer</t>
  </si>
  <si>
    <t>INE239C01020</t>
  </si>
  <si>
    <t>Stylam Industries Limited</t>
  </si>
  <si>
    <t>STYLAMIND</t>
  </si>
  <si>
    <t>INE411B01019</t>
  </si>
  <si>
    <t>Venus Remedies Ltd.</t>
  </si>
  <si>
    <t>VENUSREM</t>
  </si>
  <si>
    <t>VENUS REMEDIES LTD.</t>
  </si>
  <si>
    <t>INE374J01020</t>
  </si>
  <si>
    <t>Woodsvilla Limited</t>
  </si>
  <si>
    <t>WOODSVILA</t>
  </si>
  <si>
    <t>WOODSVILLA LTD.</t>
  </si>
  <si>
    <t>INE404B01014</t>
  </si>
  <si>
    <t>LAST MILE ENTERPRISES LIMITED</t>
  </si>
  <si>
    <t>LASTMILE</t>
  </si>
  <si>
    <t>Last Mile Enterprises Ltd</t>
  </si>
  <si>
    <t>INE372D01019</t>
  </si>
  <si>
    <t>Gujarat Craft Industries Ltd.</t>
  </si>
  <si>
    <t>GUJCRAFT</t>
  </si>
  <si>
    <t>GUJARAT CRAFT INDUSTRIES LTD.</t>
  </si>
  <si>
    <t>INE025D01013</t>
  </si>
  <si>
    <t>Heera Ispat Ltd.</t>
  </si>
  <si>
    <t>HEERAISP</t>
  </si>
  <si>
    <t>HEERA ISPAT LTD.</t>
  </si>
  <si>
    <t>Chandra Prabhu International Ltd.</t>
  </si>
  <si>
    <t>CHANDRAP</t>
  </si>
  <si>
    <t>CHANDRA PRABHU INTERNATIONAL LTD.-$</t>
  </si>
  <si>
    <t>INE368D01025</t>
  </si>
  <si>
    <t>INE318P01016</t>
  </si>
  <si>
    <t>Crimson Metal Engineering Company Ltd</t>
  </si>
  <si>
    <t>CRIMSON</t>
  </si>
  <si>
    <t>INE402H01015</t>
  </si>
  <si>
    <t>SHRI BAJRANG ALLIANCE LIMITED</t>
  </si>
  <si>
    <t>SHBAJRG</t>
  </si>
  <si>
    <t>Shri Bajrang Alliance Ltd</t>
  </si>
  <si>
    <t>INE760M01016</t>
  </si>
  <si>
    <t>Ashoka Refineries Ltd.</t>
  </si>
  <si>
    <t>ASHOKRE</t>
  </si>
  <si>
    <t>ASHOKA REFINERIES LTD.</t>
  </si>
  <si>
    <t>INE550C01020</t>
  </si>
  <si>
    <t>Urja Global Limited</t>
  </si>
  <si>
    <t>URJA</t>
  </si>
  <si>
    <t>URJA GLOBAL LTD.</t>
  </si>
  <si>
    <t>INE348A01023</t>
  </si>
  <si>
    <t>Ashapura Minechem Ltd</t>
  </si>
  <si>
    <t>ASHAPURMIN</t>
  </si>
  <si>
    <t>ASHAPURA MINECHEM LTD.</t>
  </si>
  <si>
    <t>INE847D01010</t>
  </si>
  <si>
    <t>Shree Pacetronix Ltd</t>
  </si>
  <si>
    <t>SHREEPAC</t>
  </si>
  <si>
    <t>SHREE PACETRONIX LTD.</t>
  </si>
  <si>
    <t>Healthcare Equipment &amp; Supplies</t>
  </si>
  <si>
    <t>Medical Equipment &amp; Supplies</t>
  </si>
  <si>
    <t>Patanjali Foods Limited</t>
  </si>
  <si>
    <t>PATANJALI</t>
  </si>
  <si>
    <t>Patanjali Foods Ltd</t>
  </si>
  <si>
    <t>Procter &amp; Gamble Hygiene &amp; Health Care Ltd.</t>
  </si>
  <si>
    <t>PGHH</t>
  </si>
  <si>
    <t>PROCTER &amp; GAMBLE HYGIENE &amp; HEALTH CARE LTD.</t>
  </si>
  <si>
    <t>Hindustan Unilever Ltd.</t>
  </si>
  <si>
    <t>HINDUNILVR</t>
  </si>
  <si>
    <t>HINDUSTAN UNILEVER LTD.</t>
  </si>
  <si>
    <t>Diversified FMCG</t>
  </si>
  <si>
    <t>INE558B01017</t>
  </si>
  <si>
    <t>Mangalore Chemicals &amp; Fertilisers L</t>
  </si>
  <si>
    <t>MANGCHEFER</t>
  </si>
  <si>
    <t>MANGALORE CHEMICALS &amp; FERTILIZERS LTD.</t>
  </si>
  <si>
    <t>INE173A01025</t>
  </si>
  <si>
    <t>Standard Industries Ltd.</t>
  </si>
  <si>
    <t>SIL</t>
  </si>
  <si>
    <t>STANDARD INDUSTRIES LTD.</t>
  </si>
  <si>
    <t>INE700A01033</t>
  </si>
  <si>
    <t>Nestle India Ltd.</t>
  </si>
  <si>
    <t>NESTLEIND</t>
  </si>
  <si>
    <t>NESTLE INDIA LTD.</t>
  </si>
  <si>
    <t>INE924D01017</t>
  </si>
  <si>
    <t>THE INVESTMENT TRUST OF INDIA LIMITED</t>
  </si>
  <si>
    <t>THEINVEST</t>
  </si>
  <si>
    <t>The Investment Trust Of India Ltd</t>
  </si>
  <si>
    <t>INE607G01011</t>
  </si>
  <si>
    <t>Lesha Industries Limited</t>
  </si>
  <si>
    <t>LESHAIND</t>
  </si>
  <si>
    <t>LESHA INDUSTRIES LTD.</t>
  </si>
  <si>
    <t>INE050L01048</t>
  </si>
  <si>
    <t>INE563D01013</t>
  </si>
  <si>
    <t>Aadi Industries Ltd</t>
  </si>
  <si>
    <t>AADIIND</t>
  </si>
  <si>
    <t>AADI INDUSTRIES LTD.</t>
  </si>
  <si>
    <t>INE612D01018</t>
  </si>
  <si>
    <t>Santosh Fine-Fab Ltd.</t>
  </si>
  <si>
    <t>SANTOSHF</t>
  </si>
  <si>
    <t>SANTOSH FINE-FAB LTD.</t>
  </si>
  <si>
    <t>INE618F01010</t>
  </si>
  <si>
    <t>Sree Jayalakshmi Autospin Ltd.</t>
  </si>
  <si>
    <t>SREEJAYA</t>
  </si>
  <si>
    <t>SREE JAYALAKSHMI AUTOSPIN LTD.</t>
  </si>
  <si>
    <t>INE326C01017</t>
  </si>
  <si>
    <t>Acknit Industries Ltd</t>
  </si>
  <si>
    <t>ACKNIT</t>
  </si>
  <si>
    <t>ACKNIT INDUSTRIES LTD.</t>
  </si>
  <si>
    <t>INE090D01017</t>
  </si>
  <si>
    <t>Titan Securities Ltd.</t>
  </si>
  <si>
    <t>TITANSEC</t>
  </si>
  <si>
    <t>TITAN SECURITIES LTD.</t>
  </si>
  <si>
    <t>INE055E01026</t>
  </si>
  <si>
    <t>REAL ECO-ENERGY LIMITED</t>
  </si>
  <si>
    <t>REALECO</t>
  </si>
  <si>
    <t>Real Eco-Energy Ltd</t>
  </si>
  <si>
    <t>INE264N01017</t>
  </si>
  <si>
    <t>Sawaca Business Machines Ltd.</t>
  </si>
  <si>
    <t>SAWABUSI</t>
  </si>
  <si>
    <t>SAWACA BUSINESS MACHINES LTD.</t>
  </si>
  <si>
    <t>INE248B01023</t>
  </si>
  <si>
    <t>INE984E01035</t>
  </si>
  <si>
    <t>Vivanza Biosciences Limited</t>
  </si>
  <si>
    <t>VIVANZA</t>
  </si>
  <si>
    <t>Vivanza Biosciences Ltd</t>
  </si>
  <si>
    <t>INE095C01018</t>
  </si>
  <si>
    <t>Yashraj Containeurs Ltd.</t>
  </si>
  <si>
    <t>YASHRAJC</t>
  </si>
  <si>
    <t>YASHRAJ CONTAINEURS LTD.</t>
  </si>
  <si>
    <t>INE689J01013</t>
  </si>
  <si>
    <t>Lords Ishwar Hotels Limited</t>
  </si>
  <si>
    <t>LORDSHOTL</t>
  </si>
  <si>
    <t>INE718F01018</t>
  </si>
  <si>
    <t>CSL Finance Limited</t>
  </si>
  <si>
    <t>CSLFINANCE</t>
  </si>
  <si>
    <t>CSL Finance Ltd</t>
  </si>
  <si>
    <t>INE989A01024</t>
  </si>
  <si>
    <t>Sanghvi Movers Ltd.</t>
  </si>
  <si>
    <t>SANGHVIMOV</t>
  </si>
  <si>
    <t>SANGHVI MOVERS LTD.</t>
  </si>
  <si>
    <t>INE818A01017</t>
  </si>
  <si>
    <t>Selan Exploration Technology Ltd.</t>
  </si>
  <si>
    <t>SELAN</t>
  </si>
  <si>
    <t>SELAN EXPLORATION TECHNOLOGY LTD.-$</t>
  </si>
  <si>
    <t>INE795D01011</t>
  </si>
  <si>
    <t>Freshtrop Fruits Ltd.</t>
  </si>
  <si>
    <t>FRSHTRP</t>
  </si>
  <si>
    <t>FRESHTROP FRUITS LTD.</t>
  </si>
  <si>
    <t>INE963C01033</t>
  </si>
  <si>
    <t>Faze Three Ltd.</t>
  </si>
  <si>
    <t>FAZE3Q</t>
  </si>
  <si>
    <t>FAZE THREE LTD.-$</t>
  </si>
  <si>
    <t>INE656B01019</t>
  </si>
  <si>
    <t>PRADHIN LIMITED</t>
  </si>
  <si>
    <t>PRADHIN</t>
  </si>
  <si>
    <t>Pradhin Ltd</t>
  </si>
  <si>
    <t>INE069B01023</t>
  </si>
  <si>
    <t>ANUPAM FINSERV LIMITED</t>
  </si>
  <si>
    <t>ANUPAM</t>
  </si>
  <si>
    <t>Anupam Finserv Ltd</t>
  </si>
  <si>
    <t>INE639C01013</t>
  </si>
  <si>
    <t>Raj Packaging Industries Ltd.</t>
  </si>
  <si>
    <t>RAJPACK</t>
  </si>
  <si>
    <t>RAJ PACKAGING INDUSTRIES LTD.</t>
  </si>
  <si>
    <t>TATA CONSUMER PRODUCTS LIMITED</t>
  </si>
  <si>
    <t>TATACONSUM</t>
  </si>
  <si>
    <t>Tata Consumer Products Ltd</t>
  </si>
  <si>
    <t>INE444D01016</t>
  </si>
  <si>
    <t>Natraj Proteins Ltd.</t>
  </si>
  <si>
    <t>NATRAJPR</t>
  </si>
  <si>
    <t>NATRAJ PROTEINS LTD.</t>
  </si>
  <si>
    <t>INE103E01016</t>
  </si>
  <si>
    <t>Samrat Pharmachem Ltd.</t>
  </si>
  <si>
    <t>SAMRATPH</t>
  </si>
  <si>
    <t>SAMRAT PHARMACHEM LTD.-$</t>
  </si>
  <si>
    <t>INE446D01011</t>
  </si>
  <si>
    <t>NPR Finance Ltd.</t>
  </si>
  <si>
    <t>NPRFIN</t>
  </si>
  <si>
    <t>NPR FINANCE LTD.</t>
  </si>
  <si>
    <t>INE445D01013</t>
  </si>
  <si>
    <t>Nile Ltd.</t>
  </si>
  <si>
    <t>NILE</t>
  </si>
  <si>
    <t>NILE LTD.</t>
  </si>
  <si>
    <t>INE225C01029</t>
  </si>
  <si>
    <t>Udaipur Cement Works Limited</t>
  </si>
  <si>
    <t>UDAICEMENT</t>
  </si>
  <si>
    <t>UDAIPUR CEMENT WORKS LTD.</t>
  </si>
  <si>
    <t>INE924B01011</t>
  </si>
  <si>
    <t>Amco India Ltd.</t>
  </si>
  <si>
    <t>AMCOIND</t>
  </si>
  <si>
    <t>AMCO INDIA LTD.-$</t>
  </si>
  <si>
    <t>INE350C01017</t>
  </si>
  <si>
    <t>Optiemus Infracom Limited</t>
  </si>
  <si>
    <t>OPTIEMUS</t>
  </si>
  <si>
    <t>Optiemus Infracom Ltd</t>
  </si>
  <si>
    <t>INE302C01018</t>
  </si>
  <si>
    <t>Kreon Finnancial Services Limited</t>
  </si>
  <si>
    <t>KREONFIN</t>
  </si>
  <si>
    <t>KREON FINNANCIAL SERVICES LTD.</t>
  </si>
  <si>
    <t>INE487G01018</t>
  </si>
  <si>
    <t>Gyan Developers &amp; Builders Ltd.</t>
  </si>
  <si>
    <t>GYANDEV</t>
  </si>
  <si>
    <t>GYAN DEVELOPERS &amp; BUILDERS LTD.</t>
  </si>
  <si>
    <t>INE017C01012</t>
  </si>
  <si>
    <t>Kisan Mouldings Ltd.</t>
  </si>
  <si>
    <t>KISAN</t>
  </si>
  <si>
    <t>KISAN MOULDINGS LTD.-$</t>
  </si>
  <si>
    <t>INE236P01010</t>
  </si>
  <si>
    <t>Starlog Enterprises Limited</t>
  </si>
  <si>
    <t>STARLOG</t>
  </si>
  <si>
    <t>Starlog Enterprises Ltd</t>
  </si>
  <si>
    <t>INE817B01025</t>
  </si>
  <si>
    <t>Kerala Ayurveda Limited</t>
  </si>
  <si>
    <t>KERALAYUR</t>
  </si>
  <si>
    <t>KERALA AYURVEDA LTD.</t>
  </si>
  <si>
    <t>INE153K01018</t>
  </si>
  <si>
    <t>Moongipa Capital Finance Ltd.</t>
  </si>
  <si>
    <t>MONGIPA</t>
  </si>
  <si>
    <t>MOONGIPA CAPITAL FINANCE LTD.</t>
  </si>
  <si>
    <t>INE388C01017</t>
  </si>
  <si>
    <t>Mohit Paper Mills Ltd.</t>
  </si>
  <si>
    <t>MOHITPPR</t>
  </si>
  <si>
    <t>MOHIT PAPER MILLS LTD.</t>
  </si>
  <si>
    <t>INE108C01019</t>
  </si>
  <si>
    <t>Daulat Securities Ltd.</t>
  </si>
  <si>
    <t>DAULAT</t>
  </si>
  <si>
    <t>DAULAT SECURITIES LTD.</t>
  </si>
  <si>
    <t>INE473F01010</t>
  </si>
  <si>
    <t>Oscar Global Ltd</t>
  </si>
  <si>
    <t>OSCARGLO</t>
  </si>
  <si>
    <t>OSCAR GLOBAL LTD.</t>
  </si>
  <si>
    <t>INE213B01019</t>
  </si>
  <si>
    <t>Odyssey Technologies Ltd.</t>
  </si>
  <si>
    <t>ODYSSEY</t>
  </si>
  <si>
    <t>ODYSSEY TECHNOLOGIES LTD.-$</t>
  </si>
  <si>
    <t>INE936A01025</t>
  </si>
  <si>
    <t>Surat Trade and Mercantile Limited</t>
  </si>
  <si>
    <t>SURATRAML</t>
  </si>
  <si>
    <t>Surat Trade and Mercantile Ltd</t>
  </si>
  <si>
    <t>INE354E01031</t>
  </si>
  <si>
    <t>Atharv Enterprises Limited</t>
  </si>
  <si>
    <t>ATHARVENT</t>
  </si>
  <si>
    <t>ATHARV ENTERPRISES LTD.</t>
  </si>
  <si>
    <t>INE365H01014</t>
  </si>
  <si>
    <t>FUNDVISER CAPITAL (INDIA) LIMITED</t>
  </si>
  <si>
    <t>FUNDVISER</t>
  </si>
  <si>
    <t>Fundviser Capital (India) Ltd</t>
  </si>
  <si>
    <t>INE083B01024</t>
  </si>
  <si>
    <t>Themis Medicare Ltd.</t>
  </si>
  <si>
    <t>THEMISMED</t>
  </si>
  <si>
    <t>THEMIS MEDICARE LTD.</t>
  </si>
  <si>
    <t>INE629F01025</t>
  </si>
  <si>
    <t>KALLAM TEXTILES LTD</t>
  </si>
  <si>
    <t>KALLAM</t>
  </si>
  <si>
    <t>Kallam Textiles Ltd-$</t>
  </si>
  <si>
    <t>INE899B01015</t>
  </si>
  <si>
    <t>Brawn Biotech Limited</t>
  </si>
  <si>
    <t>BRAWN</t>
  </si>
  <si>
    <t>BRAWN BIOTECH LTD.</t>
  </si>
  <si>
    <t>INE501D01013</t>
  </si>
  <si>
    <t>Kabsons Industries Ltd.</t>
  </si>
  <si>
    <t>KABSON</t>
  </si>
  <si>
    <t>KABSONS INDUSTRIES LTD.</t>
  </si>
  <si>
    <t>INE050N01010</t>
  </si>
  <si>
    <t>Kings Infra Ventures Limited</t>
  </si>
  <si>
    <t>KINGSINFR</t>
  </si>
  <si>
    <t>INE690D01014</t>
  </si>
  <si>
    <t>Subhash Silk Mills Ltd.</t>
  </si>
  <si>
    <t>SUBSM</t>
  </si>
  <si>
    <t>SUBHASH SILK MILLS LTD.</t>
  </si>
  <si>
    <t>INE292C01011</t>
  </si>
  <si>
    <t>Auro Laboratories Ltd.</t>
  </si>
  <si>
    <t>AUROLAB</t>
  </si>
  <si>
    <t>AURO LABORATORIES LTD.</t>
  </si>
  <si>
    <t>INE533C01018</t>
  </si>
  <si>
    <t>KJMC Financial Services Ltd.</t>
  </si>
  <si>
    <t>KJMCFIN</t>
  </si>
  <si>
    <t>KJMC FINANCIAL SERVICES LTD.</t>
  </si>
  <si>
    <t>INE495B01038</t>
  </si>
  <si>
    <t>Suven Life Sciences Ltd.</t>
  </si>
  <si>
    <t>SUVEN</t>
  </si>
  <si>
    <t>SUVEN LIFE SCIENCES LTD.</t>
  </si>
  <si>
    <t>INE032E01017</t>
  </si>
  <si>
    <t>Aryaman Financial Services Ltd.</t>
  </si>
  <si>
    <t>ARYAMAN</t>
  </si>
  <si>
    <t>ARYAMAN FINANCIAL SERVICES LTD.</t>
  </si>
  <si>
    <t>INE958C01017</t>
  </si>
  <si>
    <t>Bridge Securities Ltd.</t>
  </si>
  <si>
    <t>BRIDGESE</t>
  </si>
  <si>
    <t>BRIDGE SECURITIES LTD.</t>
  </si>
  <si>
    <t>INE001O01029</t>
  </si>
  <si>
    <t>Megri Soft Limited</t>
  </si>
  <si>
    <t>MEGRISOFT</t>
  </si>
  <si>
    <t>Megri Soft Ltd</t>
  </si>
  <si>
    <t>INE756R01013</t>
  </si>
  <si>
    <t>INE497E01012</t>
  </si>
  <si>
    <t>Rajasthan Tube Mfg. Co</t>
  </si>
  <si>
    <t>RAJTUBE</t>
  </si>
  <si>
    <t>RAJASTHAN TUBE MANUFACTURING CO.LTD.</t>
  </si>
  <si>
    <t>INE961B01013</t>
  </si>
  <si>
    <t>Kay Power And Paper Ltd</t>
  </si>
  <si>
    <t>KAYPOWR</t>
  </si>
  <si>
    <t>KAY POWER AND PAPER LTD.</t>
  </si>
  <si>
    <t>INE003B01014</t>
  </si>
  <si>
    <t>Getalong Enterprise Limited</t>
  </si>
  <si>
    <t>GETALONG</t>
  </si>
  <si>
    <t>Getalong Enterprise Ltd</t>
  </si>
  <si>
    <t>INE0H1201012</t>
  </si>
  <si>
    <t>INE062C01042</t>
  </si>
  <si>
    <t>Global Capital Markets Ltd.</t>
  </si>
  <si>
    <t>GLOBALCA</t>
  </si>
  <si>
    <t>GLOBAL CAPITAL MARKETS LTD.</t>
  </si>
  <si>
    <t>INE584B01013</t>
  </si>
  <si>
    <t>Sainik Finance and Industries Ltd</t>
  </si>
  <si>
    <t>SAINIK</t>
  </si>
  <si>
    <t>SAINIK FINANCE &amp; INDUSTRIES LTD.</t>
  </si>
  <si>
    <t>INE021N01011</t>
  </si>
  <si>
    <t>ARIGATO UNIVERSE LIMITED</t>
  </si>
  <si>
    <t>ARIGATO</t>
  </si>
  <si>
    <t>Arigato Universe Ltd</t>
  </si>
  <si>
    <t>INE373C01019</t>
  </si>
  <si>
    <t>Quantum Digital Vision (India) Ltd.</t>
  </si>
  <si>
    <t>QUANTDIA</t>
  </si>
  <si>
    <t>QUANTUM DIGITAL VISION (INDIA) LTD.</t>
  </si>
  <si>
    <t>INE102F01015</t>
  </si>
  <si>
    <t>Hemang Resources Limited</t>
  </si>
  <si>
    <t>HEMANG</t>
  </si>
  <si>
    <t>Hemang Resources Ltd</t>
  </si>
  <si>
    <t>INE930A01010</t>
  </si>
  <si>
    <t>INE791C01012</t>
  </si>
  <si>
    <t>PAOS INDUSTRIES LIMITED</t>
  </si>
  <si>
    <t>PAOS</t>
  </si>
  <si>
    <t>Paos Industries Ltd</t>
  </si>
  <si>
    <t>Grandma Trading &amp; Agencies Ltd.</t>
  </si>
  <si>
    <t>GRANDMA</t>
  </si>
  <si>
    <t>GRANDMA TRADING &amp; AGENCIES LTD.</t>
  </si>
  <si>
    <t>INE546C01010</t>
  </si>
  <si>
    <t>Britannia Industries Ltd.</t>
  </si>
  <si>
    <t>BRITANNIA</t>
  </si>
  <si>
    <t>BRITANNIA INDUSTRIES LTD.</t>
  </si>
  <si>
    <t>INE419D01026</t>
  </si>
  <si>
    <t>Chaman Lal Setia Exports Ltd.</t>
  </si>
  <si>
    <t>CLSEL</t>
  </si>
  <si>
    <t>CHAMAN LAL SETIA EXPORTS LTD.-$</t>
  </si>
  <si>
    <t>Informed Technologies India Ltd.</t>
  </si>
  <si>
    <t>INFORTEC</t>
  </si>
  <si>
    <t>INFORMED TECHNOLOGIES INDIA LTD.</t>
  </si>
  <si>
    <t>INE285U01025</t>
  </si>
  <si>
    <t>KIMIA BIOSCIENCES LIMITED</t>
  </si>
  <si>
    <t>KIMIABL</t>
  </si>
  <si>
    <t>Kimia Biosciences Ltd</t>
  </si>
  <si>
    <t>INE428D01019</t>
  </si>
  <si>
    <t>Hindustan Tin Works Ltd.</t>
  </si>
  <si>
    <t>HINDTIN</t>
  </si>
  <si>
    <t>HINDUSTAN TIN WORKS LTD.-$</t>
  </si>
  <si>
    <t>INE362C01012</t>
  </si>
  <si>
    <t>Godavari Drugs Ltd.</t>
  </si>
  <si>
    <t>GODAVARI</t>
  </si>
  <si>
    <t>GODAVARI DRUGS LTD.</t>
  </si>
  <si>
    <t>INE001E01012</t>
  </si>
  <si>
    <t>Premco Global Ltd.</t>
  </si>
  <si>
    <t>PREMCO</t>
  </si>
  <si>
    <t>PREMCO GLOBAL LTD.-$</t>
  </si>
  <si>
    <t>INE596B01017</t>
  </si>
  <si>
    <t>Mukesh Babu Financial Services Ltd.</t>
  </si>
  <si>
    <t>MUKESHB</t>
  </si>
  <si>
    <t>MUKESH BABU FINANCIAL SERVICES LTD.</t>
  </si>
  <si>
    <t>INE955D01029</t>
  </si>
  <si>
    <t>Colgate-Palmolive (India) Ltd.</t>
  </si>
  <si>
    <t>COLPAL</t>
  </si>
  <si>
    <t>COLGATE-PALMOLIVE (INDIA) LTD.</t>
  </si>
  <si>
    <t>INE276G01015</t>
  </si>
  <si>
    <t>ASIAN ENERGY SERVICES LTD</t>
  </si>
  <si>
    <t>ASIANENE</t>
  </si>
  <si>
    <t>Asian Energy Services Ltd</t>
  </si>
  <si>
    <t>INE883D01023</t>
  </si>
  <si>
    <t>KBS INDIA LIMITED</t>
  </si>
  <si>
    <t>KBSINDIA</t>
  </si>
  <si>
    <t>INE428P01013</t>
  </si>
  <si>
    <t>PRABHHANS INDUSTRIES LIMITED</t>
  </si>
  <si>
    <t>PRABHHANS</t>
  </si>
  <si>
    <t>Prabhhans Industries Ltd</t>
  </si>
  <si>
    <t>INE071E01023</t>
  </si>
  <si>
    <t>Ugar Sugar Works Ltd.</t>
  </si>
  <si>
    <t>UGARSUGAR</t>
  </si>
  <si>
    <t>UGAR SUGAR WORKS LTD.-$</t>
  </si>
  <si>
    <t>INE607D01018</t>
  </si>
  <si>
    <t>Orient Bell Limited</t>
  </si>
  <si>
    <t>ORIENTBELL</t>
  </si>
  <si>
    <t>ORIENT BELL LIMITED-$</t>
  </si>
  <si>
    <t>INE349A01021</t>
  </si>
  <si>
    <t>NRB Bearings Ltd.</t>
  </si>
  <si>
    <t>NRBBEARING</t>
  </si>
  <si>
    <t>NRB BEARINGS LTD.</t>
  </si>
  <si>
    <t>INE380C01014</t>
  </si>
  <si>
    <t>Vamshi Rubber Ltd.</t>
  </si>
  <si>
    <t>VAMSHIRU</t>
  </si>
  <si>
    <t>VAMSHI RUBBER LTD.</t>
  </si>
  <si>
    <t>INE937C01029</t>
  </si>
  <si>
    <t>Nila Infrastructures Ltd</t>
  </si>
  <si>
    <t>NILAINFRA</t>
  </si>
  <si>
    <t>NILA INFRASTRUCTURES LTD.</t>
  </si>
  <si>
    <t>INE921B01025</t>
  </si>
  <si>
    <t>DB(INTERNATIONAL)Stock Brokers Ltd</t>
  </si>
  <si>
    <t>DBSTOCKBRO</t>
  </si>
  <si>
    <t>DB (INTERNATIONAL) STOCK BROKERS LTD.</t>
  </si>
  <si>
    <t>INE526H01011</t>
  </si>
  <si>
    <t>Vinyoflex Ltd.</t>
  </si>
  <si>
    <t>VINYOFL</t>
  </si>
  <si>
    <t>VINYOFLEX LTD.</t>
  </si>
  <si>
    <t>INE356F01017</t>
  </si>
  <si>
    <t>Jindal Capital Ltd.</t>
  </si>
  <si>
    <t>JINDCAP</t>
  </si>
  <si>
    <t>JINDAL CAPITAL LTD.</t>
  </si>
  <si>
    <t>INE932F01015</t>
  </si>
  <si>
    <t>EPIC Energy Ltd.</t>
  </si>
  <si>
    <t>EPIC</t>
  </si>
  <si>
    <t>EPIC ENERGY LTD.-$</t>
  </si>
  <si>
    <t>INE886B01012</t>
  </si>
  <si>
    <t>Sumedha Fiscal Services Ltd.</t>
  </si>
  <si>
    <t>SUMEDHA</t>
  </si>
  <si>
    <t>SUMEDHA FISCAL SERVICES LTD.</t>
  </si>
  <si>
    <t>INE430F01010</t>
  </si>
  <si>
    <t>Kuwer Industries Ltd.</t>
  </si>
  <si>
    <t>KUWERIN</t>
  </si>
  <si>
    <t>KUWER INDUSTRIES LTD.</t>
  </si>
  <si>
    <t>INE865B01016</t>
  </si>
  <si>
    <t>Choksi Imaging Ltd.</t>
  </si>
  <si>
    <t>CHOKSI</t>
  </si>
  <si>
    <t>CHOKSI IMAGING LTD.</t>
  </si>
  <si>
    <t>INE831C01016</t>
  </si>
  <si>
    <t>Ashish Polyplast Ltd.</t>
  </si>
  <si>
    <t>ASHISHPO</t>
  </si>
  <si>
    <t>ASHISH POLYPLAST LTD.</t>
  </si>
  <si>
    <t>INE853A01022</t>
  </si>
  <si>
    <t>Ador Fontech Ltd</t>
  </si>
  <si>
    <t>ADORFO</t>
  </si>
  <si>
    <t>ADOR FONTECH LTD.-$</t>
  </si>
  <si>
    <t>INE960E01019</t>
  </si>
  <si>
    <t>Shiva Global Agro Industries Limited</t>
  </si>
  <si>
    <t>SHIVAAGRO</t>
  </si>
  <si>
    <t>SHIVA GLOBAL AGRO INDUSTRIES LTD.</t>
  </si>
  <si>
    <t>INE140C01012</t>
  </si>
  <si>
    <t>Siddha Ventures Limited</t>
  </si>
  <si>
    <t>SIDDHA</t>
  </si>
  <si>
    <t>SIDDHA VENTURES LTD.</t>
  </si>
  <si>
    <t>INE293D01017</t>
  </si>
  <si>
    <t>Kiran Syntex Ltd.</t>
  </si>
  <si>
    <t>KIRANSY-B</t>
  </si>
  <si>
    <t>KIRAN SYNTEX LTD.</t>
  </si>
  <si>
    <t>INE764B01029</t>
  </si>
  <si>
    <t>Safa Systems &amp; Technologies Limited</t>
  </si>
  <si>
    <t>SSTL</t>
  </si>
  <si>
    <t>Safa Systems &amp; Technologies Ltd</t>
  </si>
  <si>
    <t>INE0JNA01014</t>
  </si>
  <si>
    <t>INE347C01013</t>
  </si>
  <si>
    <t>Rungta Irrigation Ltd.</t>
  </si>
  <si>
    <t>RUNGTAIR</t>
  </si>
  <si>
    <t>RUNGTA IRRIGATION LTD.</t>
  </si>
  <si>
    <t>INE959B01017</t>
  </si>
  <si>
    <t>Cinerad Communications Ltd.</t>
  </si>
  <si>
    <t>CINERAD</t>
  </si>
  <si>
    <t>CINERAD COMMUNICATIONS LTD.</t>
  </si>
  <si>
    <t>INE808A01018</t>
  </si>
  <si>
    <t>Valson Industries Ltd.</t>
  </si>
  <si>
    <t>VALSONQ</t>
  </si>
  <si>
    <t>VALSON INDUSTRIES LTD.-$</t>
  </si>
  <si>
    <t>INE440C01016</t>
  </si>
  <si>
    <t>Saboo Sodium Chloro Ltd.</t>
  </si>
  <si>
    <t>SABOOSOD</t>
  </si>
  <si>
    <t>SABOO SODIUM CHLORO LTD.</t>
  </si>
  <si>
    <t>INE721D01017</t>
  </si>
  <si>
    <t>GSL Securities Ltd.</t>
  </si>
  <si>
    <t>GSLSEC</t>
  </si>
  <si>
    <t>GSL SECURITIES LTD.</t>
  </si>
  <si>
    <t>INE015C01016</t>
  </si>
  <si>
    <t>Tinna Rubber and Infrastructure Limited</t>
  </si>
  <si>
    <t>TINNARUBR</t>
  </si>
  <si>
    <t>INE337E01010</t>
  </si>
  <si>
    <t>Vikram Thermo (India) Ltd.</t>
  </si>
  <si>
    <t>VIKRAMTH</t>
  </si>
  <si>
    <t>VIKRAM THERMO (INDIA) LTD.</t>
  </si>
  <si>
    <t>INE473C01025</t>
  </si>
  <si>
    <t>Future Market Networks Limited</t>
  </si>
  <si>
    <t>FMNL</t>
  </si>
  <si>
    <t>FUTURE MARKET NETWORKS LTD.</t>
  </si>
  <si>
    <t>INE360L01017</t>
  </si>
  <si>
    <t>INE701G01012</t>
  </si>
  <si>
    <t>A.K.Capital Services Ltd.</t>
  </si>
  <si>
    <t>AKCAPIT</t>
  </si>
  <si>
    <t>A.K.CAPITAL SERVICES LTD.</t>
  </si>
  <si>
    <t>ITC Ltd</t>
  </si>
  <si>
    <t>ITC</t>
  </si>
  <si>
    <t>ITC LTD.</t>
  </si>
  <si>
    <t>INE467D01017</t>
  </si>
  <si>
    <t>Virat Industries Ltd.</t>
  </si>
  <si>
    <t>VIRAT</t>
  </si>
  <si>
    <t>VIRAT INDUSTRIES LTD.</t>
  </si>
  <si>
    <t>INE786J01025</t>
  </si>
  <si>
    <t>RAJNISH RETAIL LIMITED</t>
  </si>
  <si>
    <t>RRETAIL</t>
  </si>
  <si>
    <t>Rajnish Retail Ltd</t>
  </si>
  <si>
    <t>INE390D01011</t>
  </si>
  <si>
    <t>Terai Tea Co. Ltd.</t>
  </si>
  <si>
    <t>TERAI</t>
  </si>
  <si>
    <t>TERAI TEA CO.LTD.</t>
  </si>
  <si>
    <t>INE948I01015</t>
  </si>
  <si>
    <t>Manraj Housing Finance Ltd.</t>
  </si>
  <si>
    <t>MANRAJH</t>
  </si>
  <si>
    <t>MANRAJ HOUSING FINANCE LTD.</t>
  </si>
  <si>
    <t>INE949B01018</t>
  </si>
  <si>
    <t>Cosco (India) ltd.</t>
  </si>
  <si>
    <t>COSCO</t>
  </si>
  <si>
    <t>COSCO (INDIA) LTD.-$</t>
  </si>
  <si>
    <t>INE395E01018</t>
  </si>
  <si>
    <t>Ken Financial Services Ltd.</t>
  </si>
  <si>
    <t>KENFIN</t>
  </si>
  <si>
    <t>KEN FINANCIAL SERVICES LTD.</t>
  </si>
  <si>
    <t>INE790G01031</t>
  </si>
  <si>
    <t>Bombay Burmah Trading Corpn. Ltd.</t>
  </si>
  <si>
    <t>BBTC</t>
  </si>
  <si>
    <t>BOMBAY BURMAH TRADING CORP.LTD.</t>
  </si>
  <si>
    <t>INE074B01023</t>
  </si>
  <si>
    <t>Paramount Communications Ltd.</t>
  </si>
  <si>
    <t>PARACABLES</t>
  </si>
  <si>
    <t>PARAMOUNT COMMUNICATIONS LTD.-$</t>
  </si>
  <si>
    <t>INE132F01038</t>
  </si>
  <si>
    <t>NCL Research And Financial Services</t>
  </si>
  <si>
    <t>NCLRESE</t>
  </si>
  <si>
    <t>NCL RESEARCH &amp; FINANCIAL SERVICES LTD.</t>
  </si>
  <si>
    <t>INE149B01015</t>
  </si>
  <si>
    <t>POPEES CARES LIMITED</t>
  </si>
  <si>
    <t>POPEES</t>
  </si>
  <si>
    <t>Popees Cares Ltd</t>
  </si>
  <si>
    <t>INE335G01019</t>
  </si>
  <si>
    <t>Beekay Niryat Limited</t>
  </si>
  <si>
    <t>BNL</t>
  </si>
  <si>
    <t>Beekay Niryat Ltd</t>
  </si>
  <si>
    <t>INE679E01015</t>
  </si>
  <si>
    <t>INE519D01015</t>
  </si>
  <si>
    <t>Ladderup Finance Ltd.</t>
  </si>
  <si>
    <t>LADDERUP</t>
  </si>
  <si>
    <t>LADDERUP FINANCE LTD.</t>
  </si>
  <si>
    <t>INE152C01025</t>
  </si>
  <si>
    <t>U. Y. FINCORP LIMITED</t>
  </si>
  <si>
    <t>UYFINCORP</t>
  </si>
  <si>
    <t>U. Y. Fincorp Ltd</t>
  </si>
  <si>
    <t>INE906L01025</t>
  </si>
  <si>
    <t>Rithwik Facility Management Services Limited</t>
  </si>
  <si>
    <t>RITHWIKFMS</t>
  </si>
  <si>
    <t>Rithwik Facility Management Services Ltd</t>
  </si>
  <si>
    <t>INE819Y01015</t>
  </si>
  <si>
    <t>INE691C01014</t>
  </si>
  <si>
    <t>Swastika Investmart Ltd</t>
  </si>
  <si>
    <t>SWASTIKA</t>
  </si>
  <si>
    <t>SWASTIKA INVESTMART LTD.</t>
  </si>
  <si>
    <t>INE573B01016</t>
  </si>
  <si>
    <t>Prima Plastics Ltd.</t>
  </si>
  <si>
    <t>PRIMAPLA</t>
  </si>
  <si>
    <t>PRIMA PLASTICS LTD.</t>
  </si>
  <si>
    <t>INE381G01013</t>
  </si>
  <si>
    <t>TeleCanor Global Limited</t>
  </si>
  <si>
    <t>TELECANOR</t>
  </si>
  <si>
    <t>TELECANOR GLOBAL LTD.</t>
  </si>
  <si>
    <t>INE582C01015</t>
  </si>
  <si>
    <t>Jagsonpal Finance &amp; Leasing Ltd.</t>
  </si>
  <si>
    <t>JAGSONFI</t>
  </si>
  <si>
    <t>JAGSONPAL FINANCE &amp; LEASING LTD.</t>
  </si>
  <si>
    <t>INE194E01015</t>
  </si>
  <si>
    <t>Garg Furnace Ltd.</t>
  </si>
  <si>
    <t>GARGFUR</t>
  </si>
  <si>
    <t>GARG FURNACE LTD.</t>
  </si>
  <si>
    <t>INE375C01014</t>
  </si>
  <si>
    <t>Sampre Nutritions Ltd.</t>
  </si>
  <si>
    <t>SAMPRE</t>
  </si>
  <si>
    <t>SAMPRE NUTRITIONS LTD.</t>
  </si>
  <si>
    <t>INE864E01021</t>
  </si>
  <si>
    <t>Akar Auto Industries Limited</t>
  </si>
  <si>
    <t>AAIL</t>
  </si>
  <si>
    <t>Akar Auto Industries Ltd</t>
  </si>
  <si>
    <t>INE834D01018</t>
  </si>
  <si>
    <t>Vipul Organics Limited</t>
  </si>
  <si>
    <t>VIPULORG</t>
  </si>
  <si>
    <t>Vipul Organics Ltd</t>
  </si>
  <si>
    <t>INE316A01038</t>
  </si>
  <si>
    <t>Eco Recycling Limited</t>
  </si>
  <si>
    <t>ECORECO</t>
  </si>
  <si>
    <t>ECO RECYCLING LTD.</t>
  </si>
  <si>
    <t>Other Utilities</t>
  </si>
  <si>
    <t>Waste Management</t>
  </si>
  <si>
    <t>INE127I01024</t>
  </si>
  <si>
    <t>Goodluck India Limited</t>
  </si>
  <si>
    <t>GOODLUCK</t>
  </si>
  <si>
    <t>Goodluck India Ltd</t>
  </si>
  <si>
    <t>INE912B01032</t>
  </si>
  <si>
    <t>Goyal Associates Ltd.</t>
  </si>
  <si>
    <t>GOYALASS</t>
  </si>
  <si>
    <t>GOYAL ASSOCIATES LTD.</t>
  </si>
  <si>
    <t>INE812B01026</t>
  </si>
  <si>
    <t>Zenith Health Care Ltd.</t>
  </si>
  <si>
    <t>ZENITHHE</t>
  </si>
  <si>
    <t>ZENITH HEALTH CARE LTD.</t>
  </si>
  <si>
    <t>INE057Q01018</t>
  </si>
  <si>
    <t>York Exports Ltd.</t>
  </si>
  <si>
    <t>YORKEXP</t>
  </si>
  <si>
    <t>YORK EXPORTS LTD.</t>
  </si>
  <si>
    <t>INE822E01011</t>
  </si>
  <si>
    <t>Supreme Holdings &amp; Hospitality (India) Ltd</t>
  </si>
  <si>
    <t>SUPREME</t>
  </si>
  <si>
    <t>SUPREME HOLDINGS &amp; HOSPITALITY (INDIA) LTD.</t>
  </si>
  <si>
    <t>Greencrest Financial Services Limited</t>
  </si>
  <si>
    <t>GREENCREST</t>
  </si>
  <si>
    <t>INE414C01045</t>
  </si>
  <si>
    <t>INE233C01023</t>
  </si>
  <si>
    <t>Prime Property Development Corporation Ltd.</t>
  </si>
  <si>
    <t>PRIMEPRO</t>
  </si>
  <si>
    <t>PRIME PROPERTY DEVELOPMENT CORPORATION LTD.-$</t>
  </si>
  <si>
    <t>INE546F01013</t>
  </si>
  <si>
    <t>MARKOBENZ VENTURES LIMITED</t>
  </si>
  <si>
    <t>MARKOBENZ</t>
  </si>
  <si>
    <t>Markobenz Ventures Ltd</t>
  </si>
  <si>
    <t>INE533D01032</t>
  </si>
  <si>
    <t>Raj Rayon Industries Limited</t>
  </si>
  <si>
    <t>RAJRILTD</t>
  </si>
  <si>
    <t>Raj Rayon Industries Limited-$</t>
  </si>
  <si>
    <t>INE161F01011</t>
  </si>
  <si>
    <t>Flora Textiles Ltd.</t>
  </si>
  <si>
    <t>FLORATX</t>
  </si>
  <si>
    <t>FLORA TEXTILES LTD.</t>
  </si>
  <si>
    <t>INE225G01012</t>
  </si>
  <si>
    <t>Gowra Leasing &amp; Finance Ltd.</t>
  </si>
  <si>
    <t>GOWRALE</t>
  </si>
  <si>
    <t>GOWRA LEASING &amp; FINANCE LTD.</t>
  </si>
  <si>
    <t>INE144C01014</t>
  </si>
  <si>
    <t>Jagan Lamps Ltd.</t>
  </si>
  <si>
    <t>JAGANLAM</t>
  </si>
  <si>
    <t>JAGAN LAMPS LTD.</t>
  </si>
  <si>
    <t>INE229B01015</t>
  </si>
  <si>
    <t>AJEL Limited</t>
  </si>
  <si>
    <t>AJEL</t>
  </si>
  <si>
    <t>AJEL LTD.</t>
  </si>
  <si>
    <t>INE093B01015</t>
  </si>
  <si>
    <t>Alps Industries Ltd.</t>
  </si>
  <si>
    <t>ALPSINDUS</t>
  </si>
  <si>
    <t>ALPS INDUSTRIES LTD.</t>
  </si>
  <si>
    <t>INE041B01014</t>
  </si>
  <si>
    <t>Asit C Mehta Financial Services Limited</t>
  </si>
  <si>
    <t>ASITCFIN</t>
  </si>
  <si>
    <t>ASIT C.MEHTA FINANCIAL SERVICES LTD.</t>
  </si>
  <si>
    <t>INE900O01014</t>
  </si>
  <si>
    <t>ENCODE PACKAGING INDIA LIMITED</t>
  </si>
  <si>
    <t>ENCODE</t>
  </si>
  <si>
    <t>Encode Packaging India Ltd</t>
  </si>
  <si>
    <t>INE897A01011</t>
  </si>
  <si>
    <t>Super Bakers (India) Ltd.</t>
  </si>
  <si>
    <t>SUPERBAK</t>
  </si>
  <si>
    <t>SUPER BAKERS (INDIA) LTD.</t>
  </si>
  <si>
    <t>INE812S01012</t>
  </si>
  <si>
    <t>Ovobel Foods Ltd.</t>
  </si>
  <si>
    <t>OVOBELE</t>
  </si>
  <si>
    <t>OVOBEL FOODS LTD.</t>
  </si>
  <si>
    <t>INE807A01010</t>
  </si>
  <si>
    <t>CHALLANI CAPITAL LIMITED</t>
  </si>
  <si>
    <t>CHALLANI</t>
  </si>
  <si>
    <t>Challani Capital Ltd</t>
  </si>
  <si>
    <t>INE715D01019</t>
  </si>
  <si>
    <t>Coral Newsprints Ltd.</t>
  </si>
  <si>
    <t>CORNE</t>
  </si>
  <si>
    <t>CORAL NEWSPRINTS LTD.</t>
  </si>
  <si>
    <t>INE334A01023</t>
  </si>
  <si>
    <t>Sterling Tools Ltd.</t>
  </si>
  <si>
    <t>STERTOOLS</t>
  </si>
  <si>
    <t>STERLING TOOLS LTD.-$</t>
  </si>
  <si>
    <t>INE510B01018</t>
  </si>
  <si>
    <t>AGARWAL FORTUNE INDIA LIMITED</t>
  </si>
  <si>
    <t>AGARWAL</t>
  </si>
  <si>
    <t>Agarwal Fortune India Ltd</t>
  </si>
  <si>
    <t>Glass - Industrial</t>
  </si>
  <si>
    <t>INE118C01018</t>
  </si>
  <si>
    <t>Dynamic Protfolio Management &amp; Serv</t>
  </si>
  <si>
    <t>DYNAMICP</t>
  </si>
  <si>
    <t>DYNAMIC PORTFOLIO MANAGEMENT &amp; SERVICES LTD.</t>
  </si>
  <si>
    <t>INE055O01033</t>
  </si>
  <si>
    <t>Inland Printers Ltd.</t>
  </si>
  <si>
    <t>INLANPR</t>
  </si>
  <si>
    <t>INLAND PRINTERS LTD.</t>
  </si>
  <si>
    <t>INE358C01010</t>
  </si>
  <si>
    <t>Ceejay Finance Limited</t>
  </si>
  <si>
    <t>CEEJAY</t>
  </si>
  <si>
    <t>CEEJAY FINANCE LTD.</t>
  </si>
  <si>
    <t>INE584D01019</t>
  </si>
  <si>
    <t>Suncity Synthetics Ltd.</t>
  </si>
  <si>
    <t>SUNCITYSY</t>
  </si>
  <si>
    <t>SUNCITY SYNTHETICS LTD.</t>
  </si>
  <si>
    <t>INE400N01017</t>
  </si>
  <si>
    <t>TRANSVOY LOGISTICS INDIA LIMITED</t>
  </si>
  <si>
    <t>TRANSVOY</t>
  </si>
  <si>
    <t>Transvoy Logistics India Ltd</t>
  </si>
  <si>
    <t>INE0MPU01011</t>
  </si>
  <si>
    <t>INE336D01014</t>
  </si>
  <si>
    <t>Anna Infrastructures Ltd</t>
  </si>
  <si>
    <t>ANNAINFRA</t>
  </si>
  <si>
    <t>ANNA INFRASTRUCTURES LTD.</t>
  </si>
  <si>
    <t>INE354C01027</t>
  </si>
  <si>
    <t>Bhageria Industries Limited</t>
  </si>
  <si>
    <t>BHAGERIA</t>
  </si>
  <si>
    <t>Bhageria Industries Ltd</t>
  </si>
  <si>
    <t>INE125F01024</t>
  </si>
  <si>
    <t>Cargosol Logistics Limited</t>
  </si>
  <si>
    <t>CARGOSOL</t>
  </si>
  <si>
    <t>Cargosol Logistics Ltd</t>
  </si>
  <si>
    <t>INE0KZM01011</t>
  </si>
  <si>
    <t>INE355C01016</t>
  </si>
  <si>
    <t>Asian Tea &amp; Exports Ltd.</t>
  </si>
  <si>
    <t>ASIANTNE</t>
  </si>
  <si>
    <t>ASIAN TEA &amp; EXPORTS LTD.-$</t>
  </si>
  <si>
    <t>INE001B01026</t>
  </si>
  <si>
    <t>Gillette India Ltd.</t>
  </si>
  <si>
    <t>GILLETTE</t>
  </si>
  <si>
    <t>GILLETTE INDIA LTD.</t>
  </si>
  <si>
    <t>INE838C01011</t>
  </si>
  <si>
    <t>SSPDL Limited</t>
  </si>
  <si>
    <t>SSPDL</t>
  </si>
  <si>
    <t>SSPDL LTD.-$</t>
  </si>
  <si>
    <t>INE789B01018</t>
  </si>
  <si>
    <t>Daikaffil Chemicals India Ltd.</t>
  </si>
  <si>
    <t>DAIKAFFI</t>
  </si>
  <si>
    <t>DAIKAFFIL CHEMICALS INDIA LTD.</t>
  </si>
  <si>
    <t>INE830A01012</t>
  </si>
  <si>
    <t>Cil Securities Ltd.</t>
  </si>
  <si>
    <t>CILSEC</t>
  </si>
  <si>
    <t>CIL SECURITIES LTD.</t>
  </si>
  <si>
    <t>INE011B01017</t>
  </si>
  <si>
    <t>Clio Infotech Ltd.</t>
  </si>
  <si>
    <t>CLIOINFO</t>
  </si>
  <si>
    <t>CLIO INFOTECH LTD.</t>
  </si>
  <si>
    <t>INE509F01029</t>
  </si>
  <si>
    <t>Cupid Limited</t>
  </si>
  <si>
    <t>CUPID</t>
  </si>
  <si>
    <t>CUPID LTD.-$</t>
  </si>
  <si>
    <t>INE199E01014</t>
  </si>
  <si>
    <t>Sunshield Chemicals Ltd.</t>
  </si>
  <si>
    <t>SUNSHIEL</t>
  </si>
  <si>
    <t>SUNSHIELD CHEMICALS LTD.</t>
  </si>
  <si>
    <t>INE963A01011</t>
  </si>
  <si>
    <t>Hipolin Ltd.</t>
  </si>
  <si>
    <t>HIPOLIN</t>
  </si>
  <si>
    <t>HIPOLIN LTD.</t>
  </si>
  <si>
    <t>INE545E01018</t>
  </si>
  <si>
    <t>GDL Leasing &amp; Finance ltd.</t>
  </si>
  <si>
    <t>GDLLEAS</t>
  </si>
  <si>
    <t>GDL LEASING &amp; FINANCE LTD.</t>
  </si>
  <si>
    <t>INE995D01025</t>
  </si>
  <si>
    <t>Chembond Chemicals Ltd.</t>
  </si>
  <si>
    <t>CHEMBOND</t>
  </si>
  <si>
    <t>CHEMBOND CHEMICALS LTD.-$</t>
  </si>
  <si>
    <t>INE345H01016</t>
  </si>
  <si>
    <t>CAPITAL INDIA FINANCE LIMITED</t>
  </si>
  <si>
    <t>CIFL</t>
  </si>
  <si>
    <t>Capital India Finance Ltd</t>
  </si>
  <si>
    <t>INE485K01014</t>
  </si>
  <si>
    <t>Arunjyoti Bio Ventures Limited</t>
  </si>
  <si>
    <t>ABVL</t>
  </si>
  <si>
    <t>Arunjyoti Bio Ventures Ltd</t>
  </si>
  <si>
    <t>INE366G01022</t>
  </si>
  <si>
    <t>Super Crop Safe Ltd.</t>
  </si>
  <si>
    <t>SUCROSA</t>
  </si>
  <si>
    <t>SUPER CROP SAFE LTD.</t>
  </si>
  <si>
    <t>INE825C01018</t>
  </si>
  <si>
    <t>N.G.Industries Ltd.</t>
  </si>
  <si>
    <t>NGIND</t>
  </si>
  <si>
    <t>N.G.INDUSTRIES LTD.-$</t>
  </si>
  <si>
    <t>INE784M01016</t>
  </si>
  <si>
    <t>Asia Pack Ltd.</t>
  </si>
  <si>
    <t>ASIAPAK</t>
  </si>
  <si>
    <t>ASIA PACK LTD.</t>
  </si>
  <si>
    <t>INE417F01017</t>
  </si>
  <si>
    <t>Dhanlaxmi Cotex Ltd.</t>
  </si>
  <si>
    <t>DHANCOT</t>
  </si>
  <si>
    <t>DHANLAXMI COTEX LTD.</t>
  </si>
  <si>
    <t>Fortune International Ltd.</t>
  </si>
  <si>
    <t>FORINTL</t>
  </si>
  <si>
    <t>FORTUNE INTERNATIONAL LTD.</t>
  </si>
  <si>
    <t>INE474H01014</t>
  </si>
  <si>
    <t>MFL India Ltd</t>
  </si>
  <si>
    <t>MFLINDIA</t>
  </si>
  <si>
    <t>MFL INDIA LTD.</t>
  </si>
  <si>
    <t>INE474C01015</t>
  </si>
  <si>
    <t>Remsons Industries Ltd.</t>
  </si>
  <si>
    <t>REMSONSIND</t>
  </si>
  <si>
    <t>REMSONS INDUSTRIES LTD.</t>
  </si>
  <si>
    <t>INE609D01014</t>
  </si>
  <si>
    <t>Ramsons Projects Ltd.</t>
  </si>
  <si>
    <t>RAMSONS</t>
  </si>
  <si>
    <t>RAMSONS PROJECTS LTD.</t>
  </si>
  <si>
    <t>INE737G01016</t>
  </si>
  <si>
    <t>Haryana Financial Corporation ltd.</t>
  </si>
  <si>
    <t>HARAFIN</t>
  </si>
  <si>
    <t>HARYANA FINANCIAL CORPORATION LTD.</t>
  </si>
  <si>
    <t>INE535P01015</t>
  </si>
  <si>
    <t>DANUBE INDUSTRIES LIMITED</t>
  </si>
  <si>
    <t>DANUBE</t>
  </si>
  <si>
    <t>Danube Industries Ltd</t>
  </si>
  <si>
    <t>INE575D01041</t>
  </si>
  <si>
    <t>INE457D01018</t>
  </si>
  <si>
    <t>Stanpacks (India) Ltd.</t>
  </si>
  <si>
    <t>STANPACK</t>
  </si>
  <si>
    <t>STANPACKS (INDIA) LTD.</t>
  </si>
  <si>
    <t>INE416A01044</t>
  </si>
  <si>
    <t>Sri Adhikari Brothers Television Ne</t>
  </si>
  <si>
    <t>SABTNL</t>
  </si>
  <si>
    <t>SRI ADHIKARI BROTHERS TELEVISION NETWORK LTD.</t>
  </si>
  <si>
    <t>INE357B01022</t>
  </si>
  <si>
    <t>RAMINFO LIMITED</t>
  </si>
  <si>
    <t>RAMINFO</t>
  </si>
  <si>
    <t>INE224D01012</t>
  </si>
  <si>
    <t>Sunil Agro Foods ltd.</t>
  </si>
  <si>
    <t>SUNILAGR</t>
  </si>
  <si>
    <t>SUNIL AGRO FOODS LTD.-$</t>
  </si>
  <si>
    <t>INE012E01035</t>
  </si>
  <si>
    <t>Diana Tea Co.Ltd.</t>
  </si>
  <si>
    <t>DIANATEA</t>
  </si>
  <si>
    <t>DIANA TEA CO.LTD.</t>
  </si>
  <si>
    <t>INE806A01020</t>
  </si>
  <si>
    <t>Vikas EcoTech Limited</t>
  </si>
  <si>
    <t>VIKASECO</t>
  </si>
  <si>
    <t>Vikas EcoTech Ltd</t>
  </si>
  <si>
    <t>VST Industries Ltd.</t>
  </si>
  <si>
    <t>VSTIND</t>
  </si>
  <si>
    <t>VST INDUSTRIES LTD.</t>
  </si>
  <si>
    <t>INE042C01010</t>
  </si>
  <si>
    <t>Alfa Ica (India) Ltd</t>
  </si>
  <si>
    <t>ALFAICA</t>
  </si>
  <si>
    <t>ALFA ICA (INDIA) LTD.</t>
  </si>
  <si>
    <t>INE260E01014</t>
  </si>
  <si>
    <t>Shri Keshav Cements and Infra Limited</t>
  </si>
  <si>
    <t>SKCIL</t>
  </si>
  <si>
    <t>Shri Keshav Cements And Infra Ltd</t>
  </si>
  <si>
    <t>INE274E01015</t>
  </si>
  <si>
    <t>India Home Loan Limited</t>
  </si>
  <si>
    <t>INDIAHOME</t>
  </si>
  <si>
    <t>INDIA HOME LOAN LTD.</t>
  </si>
  <si>
    <t>INE443C01010</t>
  </si>
  <si>
    <t>Roopa Industries Ltd.</t>
  </si>
  <si>
    <t>ROOPAIND</t>
  </si>
  <si>
    <t>ROOPA INDUSTRIES LTD.</t>
  </si>
  <si>
    <t>INE333E01019</t>
  </si>
  <si>
    <t>Unique Organics Ltd.</t>
  </si>
  <si>
    <t>UNIQUEO</t>
  </si>
  <si>
    <t>UNIQUE ORGANICS LTD.</t>
  </si>
  <si>
    <t>Avanti Feeds ltd.</t>
  </si>
  <si>
    <t>AVANTIFEED</t>
  </si>
  <si>
    <t>AVANTI FEEDS LTD.-$</t>
  </si>
  <si>
    <t>INE595G01018</t>
  </si>
  <si>
    <t>Swarna Securities Ltd.</t>
  </si>
  <si>
    <t>SWRNASE</t>
  </si>
  <si>
    <t>SWARNA SECURITIES LTD.</t>
  </si>
  <si>
    <t>INE190D01015</t>
  </si>
  <si>
    <t>Kratos Energy &amp; Infrastructure Limited</t>
  </si>
  <si>
    <t>KRATOSENER</t>
  </si>
  <si>
    <t>KRATOS ENERGY &amp; INFRASTRUCTURE LTD.</t>
  </si>
  <si>
    <t>INE309H01038</t>
  </si>
  <si>
    <t>Visagar Financial Services Ltd</t>
  </si>
  <si>
    <t>VISAGAR</t>
  </si>
  <si>
    <t>VISAGAR FINANCIAL SERVICES LTD.</t>
  </si>
  <si>
    <t>INE267E01019</t>
  </si>
  <si>
    <t>Libord Securities Ltd.</t>
  </si>
  <si>
    <t>LIBORD</t>
  </si>
  <si>
    <t>LIBORD SECURITIES LTD.</t>
  </si>
  <si>
    <t>INE432F01024</t>
  </si>
  <si>
    <t>ERAAYA LIFESPACES LIMITED</t>
  </si>
  <si>
    <t>ERAAYA</t>
  </si>
  <si>
    <t>Eraaya Lifespaces Ltd</t>
  </si>
  <si>
    <t>INE823B01015</t>
  </si>
  <si>
    <t>Competent Automobiles Co. Ltd.</t>
  </si>
  <si>
    <t>COMPEAU</t>
  </si>
  <si>
    <t>COMPETENT AUTOMOBILES CO.LTD.</t>
  </si>
  <si>
    <t>Auto -Dealer</t>
  </si>
  <si>
    <t>INE239F01015</t>
  </si>
  <si>
    <t>Dhanvantri Jeevan Rekha Ltd.</t>
  </si>
  <si>
    <t>ZDHJERK</t>
  </si>
  <si>
    <t>DHANVANTRI JEEVAN REKHA LTD.</t>
  </si>
  <si>
    <t>INE741D01015</t>
  </si>
  <si>
    <t>Neelkanth Rockminerals ltd.</t>
  </si>
  <si>
    <t>NEELKAN</t>
  </si>
  <si>
    <t>NEELKANTH ROCKMINERALS LTD.</t>
  </si>
  <si>
    <t>INE153C01015</t>
  </si>
  <si>
    <t>Vintage Securities Ltd.</t>
  </si>
  <si>
    <t>VINTAGES</t>
  </si>
  <si>
    <t>VINTAGE SECURITIES LTD.</t>
  </si>
  <si>
    <t>INE906K01027</t>
  </si>
  <si>
    <t>Oswal Overseas Ltd</t>
  </si>
  <si>
    <t>OSWALOR</t>
  </si>
  <si>
    <t>OSWAL OVERSEAS LTD.</t>
  </si>
  <si>
    <t>Sunil Industries Ltd.</t>
  </si>
  <si>
    <t>SUNILTX</t>
  </si>
  <si>
    <t>SUNIL INDUSTRIES LTD.</t>
  </si>
  <si>
    <t>INE362D01010</t>
  </si>
  <si>
    <t>Vijay Solvex Ltd.</t>
  </si>
  <si>
    <t>VIJSOLX</t>
  </si>
  <si>
    <t>VIJAY SOLVEX LTD.</t>
  </si>
  <si>
    <t>INE997I01012</t>
  </si>
  <si>
    <t>Shri Krishna Devcon Limited</t>
  </si>
  <si>
    <t>SHRIKRISH</t>
  </si>
  <si>
    <t>SHRI KRISHNA DEVCON LTD.</t>
  </si>
  <si>
    <t>Innovative Ideals and Services (India) Limited</t>
  </si>
  <si>
    <t>INNOVATIVE</t>
  </si>
  <si>
    <t>Innovative Ideals and Services (India) Ltd</t>
  </si>
  <si>
    <t>INE492Y01011</t>
  </si>
  <si>
    <t>INE876E01033</t>
  </si>
  <si>
    <t>Nihar Info Global Ltd.</t>
  </si>
  <si>
    <t>NIHARINF</t>
  </si>
  <si>
    <t>NIHAR INFO GLOBAL LTD.</t>
  </si>
  <si>
    <t>INE858C01027</t>
  </si>
  <si>
    <t>United Credit ltd.</t>
  </si>
  <si>
    <t>UNITDCR</t>
  </si>
  <si>
    <t>UNITED CREDIT LTD.</t>
  </si>
  <si>
    <t>INE239D01028</t>
  </si>
  <si>
    <t>OM INFRA LIMITED</t>
  </si>
  <si>
    <t>OMINFRAL</t>
  </si>
  <si>
    <t>OM Infra Ltd</t>
  </si>
  <si>
    <t>INE396H01019</t>
  </si>
  <si>
    <t>Checkpoint Trends Limited</t>
  </si>
  <si>
    <t>CHECKPOINT</t>
  </si>
  <si>
    <t>Checkpoint Trends Ltd</t>
  </si>
  <si>
    <t>INE561M01018</t>
  </si>
  <si>
    <t>Ishan Dyes &amp; Chemicals Ltd.</t>
  </si>
  <si>
    <t>ISHANCH</t>
  </si>
  <si>
    <t>ISHAN DYES &amp; CHEMICALS LTD.</t>
  </si>
  <si>
    <t>INE538G01018</t>
  </si>
  <si>
    <t>Gothi Plascon (India) Ltd.</t>
  </si>
  <si>
    <t>GOTHIPL</t>
  </si>
  <si>
    <t>GOTHI PLASCON (INDIA) LTD.</t>
  </si>
  <si>
    <t>INE011E01029</t>
  </si>
  <si>
    <t>BALU FORGE INDUSTRIES LIMITED</t>
  </si>
  <si>
    <t>BALUFORGE</t>
  </si>
  <si>
    <t>Balu Forge Industries Ltd</t>
  </si>
  <si>
    <t>INE418D01010</t>
  </si>
  <si>
    <t>Ceenik Exports (india) Ltd.</t>
  </si>
  <si>
    <t>CEENIK</t>
  </si>
  <si>
    <t>CEENIK EXPORTS (INDIA) LTD.</t>
  </si>
  <si>
    <t>INE244B01030</t>
  </si>
  <si>
    <t>Hindustan Foods Ltd.</t>
  </si>
  <si>
    <t>HNDFDS</t>
  </si>
  <si>
    <t>HINDUSTAN FOODS LTD.</t>
  </si>
  <si>
    <t>INE635D01027</t>
  </si>
  <si>
    <t>Inani Marbles &amp; Industries Ltd.</t>
  </si>
  <si>
    <t>INANI</t>
  </si>
  <si>
    <t>INANI MARBLES &amp; INDUSTRIES LTD.</t>
  </si>
  <si>
    <t>INE503D01027</t>
  </si>
  <si>
    <t>Tarini International Limited</t>
  </si>
  <si>
    <t>TARINI</t>
  </si>
  <si>
    <t>Tarini International Ltd</t>
  </si>
  <si>
    <t>INE849M01017</t>
  </si>
  <si>
    <t>INE158F01017</t>
  </si>
  <si>
    <t>El Forge Ltd.</t>
  </si>
  <si>
    <t>ELFORGE</t>
  </si>
  <si>
    <t>EL FORGE LTD.-$</t>
  </si>
  <si>
    <t>INE646B01010</t>
  </si>
  <si>
    <t>Medicamen Biotech Ltd.</t>
  </si>
  <si>
    <t>MEDICAMEQ</t>
  </si>
  <si>
    <t>MEDICAMEN BIOTECH LTD.-$</t>
  </si>
  <si>
    <t>INE062D01024</t>
  </si>
  <si>
    <t>Alicon Castalloy Limited</t>
  </si>
  <si>
    <t>ALICON</t>
  </si>
  <si>
    <t>INE650C01036</t>
  </si>
  <si>
    <t>Diligent Industries Limited</t>
  </si>
  <si>
    <t>DILIGENT</t>
  </si>
  <si>
    <t>DILIGENT INDUSTRIES LTD.</t>
  </si>
  <si>
    <t>INE601F01016</t>
  </si>
  <si>
    <t>Epsom Properties Limited</t>
  </si>
  <si>
    <t>EPSOMPRO</t>
  </si>
  <si>
    <t>EPSOM PROPERTIES LTD.</t>
  </si>
  <si>
    <t>INE883B01027</t>
  </si>
  <si>
    <t>Alfavision Overseas (India) Ltd.</t>
  </si>
  <si>
    <t>ALFAVIO</t>
  </si>
  <si>
    <t>ALFAVISION OVERSEAS (INDIA) LTD.</t>
  </si>
  <si>
    <t>INE412E01011</t>
  </si>
  <si>
    <t>Organic Coatings Ltd.</t>
  </si>
  <si>
    <t>ORGCOAT</t>
  </si>
  <si>
    <t>ORGANIC COATINGS LTD.</t>
  </si>
  <si>
    <t>INE660B01011</t>
  </si>
  <si>
    <t>Lex Nimble Solutions Limited</t>
  </si>
  <si>
    <t>LEX</t>
  </si>
  <si>
    <t>Lex Nimble Solutions Ltd</t>
  </si>
  <si>
    <t>INE860Y01019</t>
  </si>
  <si>
    <t>INE850B01026</t>
  </si>
  <si>
    <t>ABM Knowledgeware Ltd.</t>
  </si>
  <si>
    <t>ABMKNO</t>
  </si>
  <si>
    <t>ABM KNOWLEDGEWARE LTD.</t>
  </si>
  <si>
    <t>INE548C01032</t>
  </si>
  <si>
    <t>Heritage Foods Limited</t>
  </si>
  <si>
    <t>HERITGFOOD</t>
  </si>
  <si>
    <t>INE971L01029</t>
  </si>
  <si>
    <t>Kemistar Corporation Limited</t>
  </si>
  <si>
    <t>KEMISTAR</t>
  </si>
  <si>
    <t>INE771E01010</t>
  </si>
  <si>
    <t>Associated Ceramics Ltd.</t>
  </si>
  <si>
    <t>ASSOCER</t>
  </si>
  <si>
    <t>ASSOCIATED CERAMICS LTD.</t>
  </si>
  <si>
    <t>INE709B01016</t>
  </si>
  <si>
    <t>SKP Securities Ltd.</t>
  </si>
  <si>
    <t>SKPSEC</t>
  </si>
  <si>
    <t>SKP SECURITIES LTD.</t>
  </si>
  <si>
    <t>INE121D01036</t>
  </si>
  <si>
    <t>Syschem (India) Ltd.</t>
  </si>
  <si>
    <t>SYSCHEM</t>
  </si>
  <si>
    <t>SYSCHEM (INDIA) LTD.</t>
  </si>
  <si>
    <t>INE606B01022</t>
  </si>
  <si>
    <t>BLS Infotech Limited</t>
  </si>
  <si>
    <t>BLSINFOTE</t>
  </si>
  <si>
    <t>BLS INFOTECH LTD.</t>
  </si>
  <si>
    <t>INE186C01023</t>
  </si>
  <si>
    <t>Mefcom Capital Markets Ltd.</t>
  </si>
  <si>
    <t>MEFCOMCAP</t>
  </si>
  <si>
    <t>MEFCOM CAPITAL MARKETS LTD.</t>
  </si>
  <si>
    <t>Diggi Multitrade Limited</t>
  </si>
  <si>
    <t>DML</t>
  </si>
  <si>
    <t>Diggi Multitrade Ltd</t>
  </si>
  <si>
    <t>INE158R01012</t>
  </si>
  <si>
    <t>INE109C01017</t>
  </si>
  <si>
    <t>Arman Financial Services Limited</t>
  </si>
  <si>
    <t>ARMANFIN</t>
  </si>
  <si>
    <t>ARMAN FINANCIAL SERVICES LTD.</t>
  </si>
  <si>
    <t>INE580D01017</t>
  </si>
  <si>
    <t>Glance Finance Ltd.</t>
  </si>
  <si>
    <t>GLANCE</t>
  </si>
  <si>
    <t>GLANCE FINANCE LTD.</t>
  </si>
  <si>
    <t>INE024F01011</t>
  </si>
  <si>
    <t>Shilchar Technologies Ltd.</t>
  </si>
  <si>
    <t>SHILCTECH</t>
  </si>
  <si>
    <t>SHILCHAR TECHNOLOGIES LTD.</t>
  </si>
  <si>
    <t>INE819G01012</t>
  </si>
  <si>
    <t>Zenlabs Ethica Limited</t>
  </si>
  <si>
    <t>ZENLABS</t>
  </si>
  <si>
    <t>Zenlabs Ethica Ltd</t>
  </si>
  <si>
    <t>Gconnect Logitech and Supply Chain Limited</t>
  </si>
  <si>
    <t>GCONNECT</t>
  </si>
  <si>
    <t>Gconnect Logitech and Supply Chain Ltd</t>
  </si>
  <si>
    <t>INE0QHY01011</t>
  </si>
  <si>
    <t>INE096B01018</t>
  </si>
  <si>
    <t>Nucleus Software Exports Ltd</t>
  </si>
  <si>
    <t>NUCLEUS</t>
  </si>
  <si>
    <t>NUCLEUS SOFTWARE EXPORTS LTD.</t>
  </si>
  <si>
    <t>INE923C01011</t>
  </si>
  <si>
    <t>Colinz Laboratories ltd.</t>
  </si>
  <si>
    <t>COLINZ</t>
  </si>
  <si>
    <t>COLINZ LABORATORIES LTD.</t>
  </si>
  <si>
    <t>INE606C01012</t>
  </si>
  <si>
    <t>Nalin Lease Finance Ltd.</t>
  </si>
  <si>
    <t>NLFL</t>
  </si>
  <si>
    <t>NALIN LEASE FINANCE LTD.</t>
  </si>
  <si>
    <t>INE522D01027</t>
  </si>
  <si>
    <t>CCL Products (India) Ltd.</t>
  </si>
  <si>
    <t>CCL</t>
  </si>
  <si>
    <t>CCL PRODUCTS (INDIA) LTD.</t>
  </si>
  <si>
    <t>INE005C01017</t>
  </si>
  <si>
    <t>RTS Power Corporation Ltd.</t>
  </si>
  <si>
    <t>RTSPOWR</t>
  </si>
  <si>
    <t>RTS POWER CORPORATION LTD.</t>
  </si>
  <si>
    <t>INE819A01049</t>
  </si>
  <si>
    <t>Comfort Intech Ltd</t>
  </si>
  <si>
    <t>COMFINTE</t>
  </si>
  <si>
    <t>COMFORT INTECH LTD.-$</t>
  </si>
  <si>
    <t>INE861E01019</t>
  </si>
  <si>
    <t>Shyama Infosys Ltd.</t>
  </si>
  <si>
    <t>SHYAMAINFO</t>
  </si>
  <si>
    <t>SHYAMA INFOSYS LTD.</t>
  </si>
  <si>
    <t>INE262W01012</t>
  </si>
  <si>
    <t>Mayur Floorings Ltd.</t>
  </si>
  <si>
    <t>MAYURFL</t>
  </si>
  <si>
    <t>MAYUR FLOORINGS LTD.</t>
  </si>
  <si>
    <t>INE364D01032</t>
  </si>
  <si>
    <t>Anjani Synthetics Limited</t>
  </si>
  <si>
    <t>ANJANI</t>
  </si>
  <si>
    <t>ANJANI SYNTHETICS LTD.-$</t>
  </si>
  <si>
    <t>INE547B01028</t>
  </si>
  <si>
    <t>XTGLOBAL INFOTECH LIMITED</t>
  </si>
  <si>
    <t>XTGLOBAL</t>
  </si>
  <si>
    <t>Xtglobal Infotech Ltd</t>
  </si>
  <si>
    <t>INE907E01010</t>
  </si>
  <si>
    <t>Deco-Mica Ltd.</t>
  </si>
  <si>
    <t>DECOMIC</t>
  </si>
  <si>
    <t>DECO-MICA LTD.</t>
  </si>
  <si>
    <t>INE821D01031</t>
  </si>
  <si>
    <t>Rander Corporation Ltd.</t>
  </si>
  <si>
    <t>RANDER</t>
  </si>
  <si>
    <t>RANDER CORPORATION LTD.</t>
  </si>
  <si>
    <t>INE822D01021</t>
  </si>
  <si>
    <t>Rasi Electrodes Ltd.</t>
  </si>
  <si>
    <t>RASIELEC</t>
  </si>
  <si>
    <t>RASI ELECTRODES LTD.</t>
  </si>
  <si>
    <t>INE962E01015</t>
  </si>
  <si>
    <t>SCOOBEE DAY GARMENTS (INDIA) LIMITED</t>
  </si>
  <si>
    <t>SCOOBEEDAY</t>
  </si>
  <si>
    <t>Scoobee Day Garments (India) Ltd</t>
  </si>
  <si>
    <t>INE494D01011</t>
  </si>
  <si>
    <t>Citiport Financial Services Ltd.</t>
  </si>
  <si>
    <t>CITIPOR</t>
  </si>
  <si>
    <t>CITIPORT FINANCIAL SERVICES LTD.</t>
  </si>
  <si>
    <t>INE972E01014</t>
  </si>
  <si>
    <t>Dhruva Capital Services Ltd.</t>
  </si>
  <si>
    <t>DHRUVCA</t>
  </si>
  <si>
    <t>DHRUVA CAPITAL SERVICES LTD.</t>
  </si>
  <si>
    <t>INE022F01015</t>
  </si>
  <si>
    <t>MRC AGROTECH LIMITED</t>
  </si>
  <si>
    <t>MRCAGRO</t>
  </si>
  <si>
    <t>MRC Agrotech Ltd</t>
  </si>
  <si>
    <t>INE333Y01017</t>
  </si>
  <si>
    <t>INE802B01019</t>
  </si>
  <si>
    <t>LINC LIMITED</t>
  </si>
  <si>
    <t>LINC</t>
  </si>
  <si>
    <t>Linc Ltd-$</t>
  </si>
  <si>
    <t>INE723N01012</t>
  </si>
  <si>
    <t>Prima Industries Ltd.</t>
  </si>
  <si>
    <t>PRIMAIN</t>
  </si>
  <si>
    <t>PRIMA INDUSTRIES LTD.</t>
  </si>
  <si>
    <t>INE342D01012</t>
  </si>
  <si>
    <t>India Gelatine &amp; Chemicals Ltd.</t>
  </si>
  <si>
    <t>INDGELA</t>
  </si>
  <si>
    <t>INDIA GELATINE &amp; CHEMICALS LTD.-$</t>
  </si>
  <si>
    <t>INE031G01014</t>
  </si>
  <si>
    <t>Optimus Finance Limited</t>
  </si>
  <si>
    <t>OPTIFIN</t>
  </si>
  <si>
    <t>Optimus Finance Ltd</t>
  </si>
  <si>
    <t>INE015E01012</t>
  </si>
  <si>
    <t>Paragon Finance Ltd.</t>
  </si>
  <si>
    <t>PARAGONF</t>
  </si>
  <si>
    <t>PARAGON FINANCE LTD.</t>
  </si>
  <si>
    <t>INE530D01012</t>
  </si>
  <si>
    <t>Pratiksha Chemicals Ltd.</t>
  </si>
  <si>
    <t>PRATIKSH</t>
  </si>
  <si>
    <t>PRATIKSHA CHEMICALS LTD.</t>
  </si>
  <si>
    <t>INE328F01016</t>
  </si>
  <si>
    <t>Esha Media Research Limited</t>
  </si>
  <si>
    <t>ESHAMEDIA</t>
  </si>
  <si>
    <t>INE332F01018</t>
  </si>
  <si>
    <t>Refex Renewables &amp; Infrastructure Limited</t>
  </si>
  <si>
    <t>REFEXRENEW</t>
  </si>
  <si>
    <t>Refex Renewables &amp; Infrastructure Ltd</t>
  </si>
  <si>
    <t>INE764D01017</t>
  </si>
  <si>
    <t>V.S.T.Tillers Tractors Ltd.</t>
  </si>
  <si>
    <t>VSTTILLERS</t>
  </si>
  <si>
    <t>V.S.T.TILLERS TRACTORS LTD.-$</t>
  </si>
  <si>
    <t>Tractors</t>
  </si>
  <si>
    <t>INE151B01011</t>
  </si>
  <si>
    <t>B2B Software Technologies Ltd.</t>
  </si>
  <si>
    <t>B2BSOFT</t>
  </si>
  <si>
    <t>B2B SOFTWARE TECHNOLOGIES LTD.</t>
  </si>
  <si>
    <t>INE526C01012</t>
  </si>
  <si>
    <t>Nikki Global Finance Ltd.</t>
  </si>
  <si>
    <t>NIKKIGL</t>
  </si>
  <si>
    <t>NIKKI GLOBAL FINANCE LTD.</t>
  </si>
  <si>
    <t>INE986B01044</t>
  </si>
  <si>
    <t>Radhe Developers (India) ltd.</t>
  </si>
  <si>
    <t>RADHEDE</t>
  </si>
  <si>
    <t>RADHE DEVELOPERS (INDIA) LTD.</t>
  </si>
  <si>
    <t>INE785D01012</t>
  </si>
  <si>
    <t>Elixir Capital Limited</t>
  </si>
  <si>
    <t>ELIXIR</t>
  </si>
  <si>
    <t>Elixir Capital Ltd</t>
  </si>
  <si>
    <t>INE238C01022</t>
  </si>
  <si>
    <t>Trishakti Industries Limited</t>
  </si>
  <si>
    <t>TRISHAKT</t>
  </si>
  <si>
    <t>Trishakti Industries Ltd</t>
  </si>
  <si>
    <t>INE698B01011</t>
  </si>
  <si>
    <t>Pankaj Polymers Ltd.</t>
  </si>
  <si>
    <t>PANKAJPO</t>
  </si>
  <si>
    <t>PANKAJ POLYMERS LTD.</t>
  </si>
  <si>
    <t>INE807H01023</t>
  </si>
  <si>
    <t>MARBLE CITY INDIA LIMITED</t>
  </si>
  <si>
    <t>MARBLE</t>
  </si>
  <si>
    <t>Marble City India Ltd</t>
  </si>
  <si>
    <t>INE897D01015</t>
  </si>
  <si>
    <t>Cindrella Financial Services Ltd.</t>
  </si>
  <si>
    <t>CINDRELL</t>
  </si>
  <si>
    <t>CINDRELLA FINANCIAL SERVICES LTD.</t>
  </si>
  <si>
    <t>INE896D01017</t>
  </si>
  <si>
    <t>National Plastic Technologies Ltd</t>
  </si>
  <si>
    <t>NATPLASTI</t>
  </si>
  <si>
    <t>NATIONAL PLASTIC TECHNOLOGIES LTD.</t>
  </si>
  <si>
    <t>INE531D01010</t>
  </si>
  <si>
    <t>Lead Financial Services  Ltd</t>
  </si>
  <si>
    <t>LEADFIN</t>
  </si>
  <si>
    <t>LEAD FINANCIAL SERVICES LTD.</t>
  </si>
  <si>
    <t>INE643C01015</t>
  </si>
  <si>
    <t>National Fittings Limited</t>
  </si>
  <si>
    <t>NATFIT</t>
  </si>
  <si>
    <t>Tai Industries Ltd.</t>
  </si>
  <si>
    <t>TAIIND</t>
  </si>
  <si>
    <t>TAI INDUSTRIES LTD.-$</t>
  </si>
  <si>
    <t>INE053D01015</t>
  </si>
  <si>
    <t>Amit International Ltd.</t>
  </si>
  <si>
    <t>AMITINT</t>
  </si>
  <si>
    <t>AMIT INTERNATIONAL LTD.</t>
  </si>
  <si>
    <t>INE960H01012</t>
  </si>
  <si>
    <t>Nutech Global Ltd.</t>
  </si>
  <si>
    <t>NUTECGLOB</t>
  </si>
  <si>
    <t>NUTECH GLOBAL LTD.</t>
  </si>
  <si>
    <t>INE590D01016</t>
  </si>
  <si>
    <t>DHP India Ltd.</t>
  </si>
  <si>
    <t>DHPIND</t>
  </si>
  <si>
    <t>DHP INDIA LTD.</t>
  </si>
  <si>
    <t>INE951M01037</t>
  </si>
  <si>
    <t>RRIL LIMITED</t>
  </si>
  <si>
    <t>RRIL</t>
  </si>
  <si>
    <t>RRIL Ltd</t>
  </si>
  <si>
    <t>INE325G01010</t>
  </si>
  <si>
    <t>Available Finance Ltd.</t>
  </si>
  <si>
    <t>AVAILFC</t>
  </si>
  <si>
    <t>AVAILABLE FINANCE LTD.</t>
  </si>
  <si>
    <t>INE366H01012</t>
  </si>
  <si>
    <t>INTEGRA CAPITAL LIMITED</t>
  </si>
  <si>
    <t>INTCAPL</t>
  </si>
  <si>
    <t>Integra Capital  Ltd</t>
  </si>
  <si>
    <t>INE293B01029</t>
  </si>
  <si>
    <t>SRI HAVISHA HOSPITALITY AND INFRASTRUCTURE LIMITED</t>
  </si>
  <si>
    <t>HAVISHA</t>
  </si>
  <si>
    <t>Sri Havisha Hospitality And Infrastructure Ltd</t>
  </si>
  <si>
    <t>INE250D01017</t>
  </si>
  <si>
    <t>JAYATMA INDUSTRIES LIMITED</t>
  </si>
  <si>
    <t>JAYIND</t>
  </si>
  <si>
    <t>Jayatma Industries Ltd</t>
  </si>
  <si>
    <t>INE475C01012</t>
  </si>
  <si>
    <t>Roselabs Finance Ltd.</t>
  </si>
  <si>
    <t>ROSELABS</t>
  </si>
  <si>
    <t>ROSELABS FINANCE LTD.</t>
  </si>
  <si>
    <t>INE128R01023</t>
  </si>
  <si>
    <t>KRETTO SYSCON LIMITED</t>
  </si>
  <si>
    <t>KRETTOSYS</t>
  </si>
  <si>
    <t>Kretto Syscon Ltd</t>
  </si>
  <si>
    <t>INE186E01011</t>
  </si>
  <si>
    <t>Roni Households Limited</t>
  </si>
  <si>
    <t>RONI</t>
  </si>
  <si>
    <t>Roni Households Ltd</t>
  </si>
  <si>
    <t>INE02AP01013</t>
  </si>
  <si>
    <t>INE768C01010</t>
  </si>
  <si>
    <t>Gujarat Ambuja Exports Ltd.</t>
  </si>
  <si>
    <t>GAEL</t>
  </si>
  <si>
    <t>GUJARAT AMBUJA EXPORTS LTD.</t>
  </si>
  <si>
    <t>INE974C01022</t>
  </si>
  <si>
    <t>WinPro Industries Limited</t>
  </si>
  <si>
    <t>WINPRO</t>
  </si>
  <si>
    <t>WinPro Industries Ltd</t>
  </si>
  <si>
    <t>INE151H01018</t>
  </si>
  <si>
    <t>Milestone Global Limited</t>
  </si>
  <si>
    <t>MILESTONE</t>
  </si>
  <si>
    <t>MILESTONE GLOBAL LTD.</t>
  </si>
  <si>
    <t>INE348I01018</t>
  </si>
  <si>
    <t>Bervin Investments And Leasing Ltd.</t>
  </si>
  <si>
    <t>BERVINL</t>
  </si>
  <si>
    <t>BERVIN INVESTMENT &amp; LEASING LTD.</t>
  </si>
  <si>
    <t>INE373D01017</t>
  </si>
  <si>
    <t>Gujarat Investa Ltd.</t>
  </si>
  <si>
    <t>GUJINV</t>
  </si>
  <si>
    <t>GUJARAT INVESTA LTD.</t>
  </si>
  <si>
    <t>INE111A01025</t>
  </si>
  <si>
    <t>Shahi Shipping Limited</t>
  </si>
  <si>
    <t>SHAHISHIP</t>
  </si>
  <si>
    <t>Shahi Shipping Ltd-$</t>
  </si>
  <si>
    <t>INE500D01015</t>
  </si>
  <si>
    <t>Eastern Treads Ltd.</t>
  </si>
  <si>
    <t>EASTRED</t>
  </si>
  <si>
    <t>EASTERN TREADS LTD.</t>
  </si>
  <si>
    <t>INE922B01023</t>
  </si>
  <si>
    <t>Panacea Biotec Ltd.</t>
  </si>
  <si>
    <t>PANACEABIO</t>
  </si>
  <si>
    <t>PANACEA BIOTEC LTD.</t>
  </si>
  <si>
    <t>INE328D01011</t>
  </si>
  <si>
    <t>Peeti Securities Ltd.</t>
  </si>
  <si>
    <t>PEETISEC</t>
  </si>
  <si>
    <t>PEETI SECURITIES LTD.</t>
  </si>
  <si>
    <t>INE763M01028</t>
  </si>
  <si>
    <t>MERCURY EV-TECH LIMITED</t>
  </si>
  <si>
    <t>MERCURYEV</t>
  </si>
  <si>
    <t>Mercury Ev-Tech Ltd</t>
  </si>
  <si>
    <t>INE102B01014</t>
  </si>
  <si>
    <t>Piccadily Agro Industries ltd.</t>
  </si>
  <si>
    <t>PICCADIL</t>
  </si>
  <si>
    <t>PICCADILY AGRO INDUSTRIES LTD.</t>
  </si>
  <si>
    <t>INE777G01012</t>
  </si>
  <si>
    <t>Shriram Asset Management Co.Ltd.</t>
  </si>
  <si>
    <t>SRAMSET</t>
  </si>
  <si>
    <t>SHRIRAM ASSET MANAGEMENT CO.LTD.</t>
  </si>
  <si>
    <t>INE427D01011</t>
  </si>
  <si>
    <t>SBEC Systems (Ind) Ltd.</t>
  </si>
  <si>
    <t>SBECSYS</t>
  </si>
  <si>
    <t>SBEC SYSTEMS (INDIA) LTD.</t>
  </si>
  <si>
    <t>Fruition Venture Limited</t>
  </si>
  <si>
    <t>FRUTION</t>
  </si>
  <si>
    <t>Fruition Venture Ltd</t>
  </si>
  <si>
    <t>INE836C01015</t>
  </si>
  <si>
    <t>INE960B01015</t>
  </si>
  <si>
    <t>SPARC ELECTREX LIMITED</t>
  </si>
  <si>
    <t>SPAR</t>
  </si>
  <si>
    <t>Sparc Electrex Ltd</t>
  </si>
  <si>
    <t>INE319B01014</t>
  </si>
  <si>
    <t>The Byke Hospitality    Ltd</t>
  </si>
  <si>
    <t>BYKE</t>
  </si>
  <si>
    <t>THE BYKE HOSPITALITY LTD.</t>
  </si>
  <si>
    <t>INE405H01018</t>
  </si>
  <si>
    <t>Centenial Surgical Suture Ltd.</t>
  </si>
  <si>
    <t>CSURGSU</t>
  </si>
  <si>
    <t>CENTENIAL SURGICAL SUTURE LTD.</t>
  </si>
  <si>
    <t>INE413D01011</t>
  </si>
  <si>
    <t>Arihant Foundations &amp; Housing Ltd.</t>
  </si>
  <si>
    <t>ARIHANT</t>
  </si>
  <si>
    <t>ARIHANT FOUNDATIONS &amp; HOUSING LTD.-$</t>
  </si>
  <si>
    <t>INE671D01014</t>
  </si>
  <si>
    <t>Hasti Finance Ltd.</t>
  </si>
  <si>
    <t>HASTIFIN</t>
  </si>
  <si>
    <t>HASTI FINANCE LTD.</t>
  </si>
  <si>
    <t>INE890B01014</t>
  </si>
  <si>
    <t>Upsurge Investment And Finance Ltd.</t>
  </si>
  <si>
    <t>UPSURGE</t>
  </si>
  <si>
    <t>UPSURGE INVESTMENT &amp; FINANCE LTD.</t>
  </si>
  <si>
    <t>INE448D01017</t>
  </si>
  <si>
    <t>Padam Cotton Yarns Ltd.</t>
  </si>
  <si>
    <t>PADAMCO</t>
  </si>
  <si>
    <t>PADAM COTTON YARNS LTD.</t>
  </si>
  <si>
    <t>INE905B01010</t>
  </si>
  <si>
    <t>Women Networks Ltd.</t>
  </si>
  <si>
    <t>WOMENNET</t>
  </si>
  <si>
    <t>WOMEN NETWORKS LTD.</t>
  </si>
  <si>
    <t>INE262C01014</t>
  </si>
  <si>
    <t>Polycon International Ltd.</t>
  </si>
  <si>
    <t>POLYCON</t>
  </si>
  <si>
    <t>POLYCON INTERNATIONAL LTD.</t>
  </si>
  <si>
    <t>INE679C01027</t>
  </si>
  <si>
    <t>Source Natural Foods &amp; Herbal Suppl Ltd</t>
  </si>
  <si>
    <t>SOURCENTRL</t>
  </si>
  <si>
    <t>SOURCE NATURAL FOODS &amp; HERBAL SUPPL LTD.</t>
  </si>
  <si>
    <t>INE493B01017</t>
  </si>
  <si>
    <t>G.G.Automotive Gears Ltd.</t>
  </si>
  <si>
    <t>GGAUTO</t>
  </si>
  <si>
    <t>G.G.AUTOMOTIVE GEARS LTD.</t>
  </si>
  <si>
    <t>INE326B01027</t>
  </si>
  <si>
    <t>Almondz Global Securities Limited</t>
  </si>
  <si>
    <t>ALMONDZ</t>
  </si>
  <si>
    <t>ALMONDZ GLOBAL SECURITIES LTD.</t>
  </si>
  <si>
    <t>INE281M01013</t>
  </si>
  <si>
    <t>Cargotrans Maritime Limited</t>
  </si>
  <si>
    <t>CARGOTRANS</t>
  </si>
  <si>
    <t>Cargotrans Maritime Ltd</t>
  </si>
  <si>
    <t>INE0M4L01013</t>
  </si>
  <si>
    <t>INE234J01018</t>
  </si>
  <si>
    <t>ANS Limited</t>
  </si>
  <si>
    <t>ANSINDUS</t>
  </si>
  <si>
    <t>ANS Industries Ltd</t>
  </si>
  <si>
    <t>INE560D01027</t>
  </si>
  <si>
    <t>Tuni Textile Mills Ltd.</t>
  </si>
  <si>
    <t>TUNITEX</t>
  </si>
  <si>
    <t>TUNI TEXTILE MILLS LTD.</t>
  </si>
  <si>
    <t>INE576N01014</t>
  </si>
  <si>
    <t>Radix Industries (India) Limited</t>
  </si>
  <si>
    <t>RADIXIND</t>
  </si>
  <si>
    <t>INE516D01011</t>
  </si>
  <si>
    <t>Kiran Print-Pack Ltd.</t>
  </si>
  <si>
    <t>KIRANPR</t>
  </si>
  <si>
    <t>KIRAN PRINT-PACK LTD.</t>
  </si>
  <si>
    <t>INE603F01012</t>
  </si>
  <si>
    <t>Narendra Properties Ltd.</t>
  </si>
  <si>
    <t>NARPROP</t>
  </si>
  <si>
    <t>NARENDRA PROPERTIES LTD.</t>
  </si>
  <si>
    <t>INE804B01023</t>
  </si>
  <si>
    <t>Mega Corporation Ltd</t>
  </si>
  <si>
    <t>MEGACOR</t>
  </si>
  <si>
    <t>MEGA CORPORATION LTD.</t>
  </si>
  <si>
    <t>INE107A01015</t>
  </si>
  <si>
    <t>Tamil Nadu Newsprint And Papers Ltd</t>
  </si>
  <si>
    <t>TNPL</t>
  </si>
  <si>
    <t>TAMIL NADU NEWSPRINT &amp; PAPERS LTD.</t>
  </si>
  <si>
    <t>INE908D01010</t>
  </si>
  <si>
    <t>KRBL Ltd.</t>
  </si>
  <si>
    <t>KRBL</t>
  </si>
  <si>
    <t>KRBL LTD.</t>
  </si>
  <si>
    <t>INE07P301011</t>
  </si>
  <si>
    <t>Systematix Securities Ltd.</t>
  </si>
  <si>
    <t>SYTIXSE</t>
  </si>
  <si>
    <t>SYSTEMATIX SECURITIES LTD.</t>
  </si>
  <si>
    <t>INE271D01013</t>
  </si>
  <si>
    <t>Sungold Capital Ltd.</t>
  </si>
  <si>
    <t>SUNGOLD</t>
  </si>
  <si>
    <t>SUNGOLD CAPITAL LTD.</t>
  </si>
  <si>
    <t>INE474D01013</t>
  </si>
  <si>
    <t>Saffron Industries Limited</t>
  </si>
  <si>
    <t>SAFFRON</t>
  </si>
  <si>
    <t>INE523I01016</t>
  </si>
  <si>
    <t>Prakash Woollen &amp; Synthetic Mills Ltd</t>
  </si>
  <si>
    <t>PWASML</t>
  </si>
  <si>
    <t>INE805A01014</t>
  </si>
  <si>
    <t>AION-TECH SOLUTIONS LIMITED</t>
  </si>
  <si>
    <t>GOLDTECH</t>
  </si>
  <si>
    <t>Aion-Tech Solutions Ltd</t>
  </si>
  <si>
    <t>INE115C01014</t>
  </si>
  <si>
    <t>Vardhman Concrete Limited</t>
  </si>
  <si>
    <t>VARDHMAN</t>
  </si>
  <si>
    <t>INE192H01020</t>
  </si>
  <si>
    <t>GRM Overseas Ltd.</t>
  </si>
  <si>
    <t>GRMOVER</t>
  </si>
  <si>
    <t>GRM OVERSEAS LTD.</t>
  </si>
  <si>
    <t>INE954E01012</t>
  </si>
  <si>
    <t>Mohit Industries Limited</t>
  </si>
  <si>
    <t>MOHITIND</t>
  </si>
  <si>
    <t>MOHIT INDUSTRIES LTD.-$</t>
  </si>
  <si>
    <t>INE323D01020</t>
  </si>
  <si>
    <t>Polylink Polymers (india) Ltd.</t>
  </si>
  <si>
    <t>POLYLINK</t>
  </si>
  <si>
    <t>POLYLINK POLYMERS (INDIA) LTD.</t>
  </si>
  <si>
    <t>INE952C01028</t>
  </si>
  <si>
    <t>Minaxi Textiles Ltd.</t>
  </si>
  <si>
    <t>MINAXI</t>
  </si>
  <si>
    <t>MINAXI TEXTILES LTD.</t>
  </si>
  <si>
    <t>INE545B01022</t>
  </si>
  <si>
    <t>Continental Controls Ltd.</t>
  </si>
  <si>
    <t>CONTICON</t>
  </si>
  <si>
    <t>CONTINENTAL CONTROLS LTD.</t>
  </si>
  <si>
    <t>INE317B01042</t>
  </si>
  <si>
    <t>Yash Management &amp; Satellite Ltd.</t>
  </si>
  <si>
    <t>YASHMGM</t>
  </si>
  <si>
    <t>YASH MANAGEMENT &amp; SATELLITE LTD.</t>
  </si>
  <si>
    <t>INE397G01019</t>
  </si>
  <si>
    <t>Duke Offshore Ltd.</t>
  </si>
  <si>
    <t>DUKEOFS</t>
  </si>
  <si>
    <t>DUKE OFFSHORE LTD.</t>
  </si>
  <si>
    <t>INE183D01010</t>
  </si>
  <si>
    <t>Cybele  Industries Limited</t>
  </si>
  <si>
    <t>CYBELEIND</t>
  </si>
  <si>
    <t>CYBELE INDUSTRIES LTD.</t>
  </si>
  <si>
    <t>INE084D01010</t>
  </si>
  <si>
    <t>Cg-Vak Software &amp; Exports Ltd.</t>
  </si>
  <si>
    <t>CGVAK</t>
  </si>
  <si>
    <t>CG-VAK SOFTWARE &amp; EXPORTS LTD.</t>
  </si>
  <si>
    <t>INE268H01036</t>
  </si>
  <si>
    <t>NAVKAR URBANSTRUCTURE LIMITED</t>
  </si>
  <si>
    <t>NAVKAR</t>
  </si>
  <si>
    <t>Navkar Urbanstructure Ltd</t>
  </si>
  <si>
    <t>INE378D01032</t>
  </si>
  <si>
    <t>Madhucon Projects Ltd.</t>
  </si>
  <si>
    <t>MADHUCON</t>
  </si>
  <si>
    <t>MADHUCON PROJECTS LTD.-$</t>
  </si>
  <si>
    <t>INE080D01042</t>
  </si>
  <si>
    <t>Sybly Industries Ltd.</t>
  </si>
  <si>
    <t>SYBLY</t>
  </si>
  <si>
    <t>SYBLY INDUSTRIES LTD.-$</t>
  </si>
  <si>
    <t>Emami Ltd</t>
  </si>
  <si>
    <t>EMAMILTD</t>
  </si>
  <si>
    <t>EMAMI LTD.-$</t>
  </si>
  <si>
    <t>INE404L01039</t>
  </si>
  <si>
    <t>Pro Fin Capital Services Ltd</t>
  </si>
  <si>
    <t>PROFINC</t>
  </si>
  <si>
    <t>PRO FIN CAPITAL SERVICES LTD.</t>
  </si>
  <si>
    <t>INE866D01010</t>
  </si>
  <si>
    <t>Maris Spinners Ltd.</t>
  </si>
  <si>
    <t>MARIS</t>
  </si>
  <si>
    <t>MARIS SPINNERS LTD.-$</t>
  </si>
  <si>
    <t>INE628F01019</t>
  </si>
  <si>
    <t>Indergiri Finance ltd.</t>
  </si>
  <si>
    <t>INDERGR</t>
  </si>
  <si>
    <t>INDERGIRI FINANCE LTD.</t>
  </si>
  <si>
    <t>INE561E01015</t>
  </si>
  <si>
    <t>Vrundavan Plantation Limited</t>
  </si>
  <si>
    <t>VPL</t>
  </si>
  <si>
    <t>Vrundavan Plantation Ltd</t>
  </si>
  <si>
    <t>INE0Q6901013</t>
  </si>
  <si>
    <t>INE128A01029</t>
  </si>
  <si>
    <t>Eveready Industries India Ltd.</t>
  </si>
  <si>
    <t>EVEREADY</t>
  </si>
  <si>
    <t>EVEREADY INDUSTRIES INDIA LTD.</t>
  </si>
  <si>
    <t>INE623D01015</t>
  </si>
  <si>
    <t>Step Two Corporation Ltd.</t>
  </si>
  <si>
    <t>STEP2COR</t>
  </si>
  <si>
    <t>STEP TWO CORPORATION LTD.</t>
  </si>
  <si>
    <t>INE681D01039</t>
  </si>
  <si>
    <t>Orient Tradelink Ltd.</t>
  </si>
  <si>
    <t>ORIENTTR</t>
  </si>
  <si>
    <t>ORIENT TRADELINK LTD.</t>
  </si>
  <si>
    <t>INE735D01033</t>
  </si>
  <si>
    <t>O. P. Chains Limited</t>
  </si>
  <si>
    <t>OPCHAINS</t>
  </si>
  <si>
    <t>O. P. Chains Ltd</t>
  </si>
  <si>
    <t>INE118Q01018</t>
  </si>
  <si>
    <t>INE767B01022</t>
  </si>
  <si>
    <t>VIKAS PROPPANT &amp; GRANITE LTD.</t>
  </si>
  <si>
    <t>VIKASPROP</t>
  </si>
  <si>
    <t>Vikas Proppant &amp; Granite Ltd</t>
  </si>
  <si>
    <t>INE971E01016</t>
  </si>
  <si>
    <t>Desh Rakshak Aushdhalaya Ltd.</t>
  </si>
  <si>
    <t>DESHRAK</t>
  </si>
  <si>
    <t>DESH RAKSHAK AUSHDHALAYA LTD.</t>
  </si>
  <si>
    <t>INE849B01010</t>
  </si>
  <si>
    <t>Ace Software Exports ltd.</t>
  </si>
  <si>
    <t>ACESOFT</t>
  </si>
  <si>
    <t>ACE SOFTWARE EXPORTS LTD.-$</t>
  </si>
  <si>
    <t>INE562E01013</t>
  </si>
  <si>
    <t>Softrak Venture Investments Ltd.</t>
  </si>
  <si>
    <t>SOFTRAKV</t>
  </si>
  <si>
    <t>SOFTRAK VENTURE INVESTMENT LTD.</t>
  </si>
  <si>
    <t>INE473B01035</t>
  </si>
  <si>
    <t>Zydus Wellness Limited</t>
  </si>
  <si>
    <t>ZYDUSWELL</t>
  </si>
  <si>
    <t>ZYDUS WELLNESS LTD.-$</t>
  </si>
  <si>
    <t>INE578B01015</t>
  </si>
  <si>
    <t>ACCEDERE LIMITED</t>
  </si>
  <si>
    <t>ACCEDERE</t>
  </si>
  <si>
    <t>Accedere Ltd</t>
  </si>
  <si>
    <t>INE681K01026</t>
  </si>
  <si>
    <t>Sarthak Industries Ltd.</t>
  </si>
  <si>
    <t>SARTHAKIND</t>
  </si>
  <si>
    <t>SARTHAK INDUSTRIES LTD.</t>
  </si>
  <si>
    <t>INE074H01012</t>
  </si>
  <si>
    <t>INE864D01015</t>
  </si>
  <si>
    <t>Rishabh Digha Steel And Allied Prod</t>
  </si>
  <si>
    <t>RISHDIGA</t>
  </si>
  <si>
    <t>RISHABH DIGHA STEEL &amp; ALLIED PRODUCTS LTD.-$</t>
  </si>
  <si>
    <t>INE392G01010</t>
  </si>
  <si>
    <t>Maruti Infrastructure Ltd.</t>
  </si>
  <si>
    <t>MAINFRA</t>
  </si>
  <si>
    <t>MARUTI INFRASTRUCTURE LTD.</t>
  </si>
  <si>
    <t>INE881A01015</t>
  </si>
  <si>
    <t>KOBO BIOTECH LIMITED</t>
  </si>
  <si>
    <t>KOBO</t>
  </si>
  <si>
    <t>Kobo Biotech Ltd-$</t>
  </si>
  <si>
    <t>Hatsun Agro Products Ltd.</t>
  </si>
  <si>
    <t>HATSUN</t>
  </si>
  <si>
    <t>HATSUN AGRO PRODUCT LTD.</t>
  </si>
  <si>
    <t>INE355A01028</t>
  </si>
  <si>
    <t>Somany Ceramics Limited</t>
  </si>
  <si>
    <t>SOMANYCERA</t>
  </si>
  <si>
    <t>SOMANY CERAMICS LTD.</t>
  </si>
  <si>
    <t>INE865D01012</t>
  </si>
  <si>
    <t>Jhaveri Credits &amp; Capital Ltd.</t>
  </si>
  <si>
    <t>JHACC</t>
  </si>
  <si>
    <t>JHAVERI CREDITS &amp; CAPITAL LTD.</t>
  </si>
  <si>
    <t>INE754B01012</t>
  </si>
  <si>
    <t>Raghunath Tobacco Co. Ltd.</t>
  </si>
  <si>
    <t>RAGHUTOB</t>
  </si>
  <si>
    <t>RAGHUNATH TOBACCO CO.LTD.</t>
  </si>
  <si>
    <t>INE193D01019</t>
  </si>
  <si>
    <t>BNR Udyog Ltd.</t>
  </si>
  <si>
    <t>BNRUDY</t>
  </si>
  <si>
    <t>BNR UDYOG LTD.</t>
  </si>
  <si>
    <t>Palm Jewels Limited</t>
  </si>
  <si>
    <t>PALMJEWELS</t>
  </si>
  <si>
    <t>Palm Jewels Ltd</t>
  </si>
  <si>
    <t>INE838Z01012</t>
  </si>
  <si>
    <t>INE723K01018</t>
  </si>
  <si>
    <t>Ashutosh Paper Mills Ltd.</t>
  </si>
  <si>
    <t>ASHUTPM</t>
  </si>
  <si>
    <t>ASHUTOSH PAPER MILLS LTD.</t>
  </si>
  <si>
    <t>INE860D01013</t>
  </si>
  <si>
    <t>Sanjivani Paranteral Ltd.</t>
  </si>
  <si>
    <t>SANJIVIN</t>
  </si>
  <si>
    <t>SANJIVANI PARANTERAL LTD.</t>
  </si>
  <si>
    <t>INE192C01013</t>
  </si>
  <si>
    <t>Vas Infrastructure  Ltd.</t>
  </si>
  <si>
    <t>VASINFRA</t>
  </si>
  <si>
    <t>VAS INFRASTRUCTURE LTD.</t>
  </si>
  <si>
    <t>INE580H01026</t>
  </si>
  <si>
    <t>KMF Builders &amp; Developers Ltd.</t>
  </si>
  <si>
    <t>KMFBLDR</t>
  </si>
  <si>
    <t>KMF BUILDERS &amp; DEVELOPERS LTD.</t>
  </si>
  <si>
    <t>INE508J01015</t>
  </si>
  <si>
    <t>Beryl Securities Ltd</t>
  </si>
  <si>
    <t>BERYLSE</t>
  </si>
  <si>
    <t>BERYL SECURITIES LTD.</t>
  </si>
  <si>
    <t>INE483D01014</t>
  </si>
  <si>
    <t>Rap Media Ltd.</t>
  </si>
  <si>
    <t>RAP</t>
  </si>
  <si>
    <t>RAP MEDIA LTD.</t>
  </si>
  <si>
    <t>INE455C01014</t>
  </si>
  <si>
    <t>Gautam Exim Limited</t>
  </si>
  <si>
    <t>GEL</t>
  </si>
  <si>
    <t>Gautam Exim Ltd</t>
  </si>
  <si>
    <t>INE721X01015</t>
  </si>
  <si>
    <t>INE802A01037</t>
  </si>
  <si>
    <t>Bampsl Securities Ltd.</t>
  </si>
  <si>
    <t>BAMPSL</t>
  </si>
  <si>
    <t>BAMPSL SECURITIES LTD.</t>
  </si>
  <si>
    <t>NEERAJ PAPER MARKETING LIMITED</t>
  </si>
  <si>
    <t>NEERAJ</t>
  </si>
  <si>
    <t>Neeraj Paper Marketing Ltd</t>
  </si>
  <si>
    <t>INE894J01019</t>
  </si>
  <si>
    <t>INE507D01010</t>
  </si>
  <si>
    <t>Incon Engineers Ltd.</t>
  </si>
  <si>
    <t>INCON</t>
  </si>
  <si>
    <t>INCON ENGINEERS LTD.</t>
  </si>
  <si>
    <t>INE180C01042</t>
  </si>
  <si>
    <t>Marico Limited</t>
  </si>
  <si>
    <t>MARICO</t>
  </si>
  <si>
    <t>MARICO LTD.</t>
  </si>
  <si>
    <t>INE196A01026</t>
  </si>
  <si>
    <t>INE258B01022</t>
  </si>
  <si>
    <t>Triveni Engineering &amp; Industries Ltd</t>
  </si>
  <si>
    <t>TRIVENI</t>
  </si>
  <si>
    <t>TRIVENI ENGINEERING &amp; INDUSTRIES LTD.</t>
  </si>
  <si>
    <t>INE256C01024</t>
  </si>
  <si>
    <t>INE832C01014</t>
  </si>
  <si>
    <t>Gogia Capital Services Limited</t>
  </si>
  <si>
    <t>GOGIACAP</t>
  </si>
  <si>
    <t>INE792J01015</t>
  </si>
  <si>
    <t>Gorani Industries Ltd.</t>
  </si>
  <si>
    <t>GORANIN</t>
  </si>
  <si>
    <t>GORANI INDUSTRIES LTD.</t>
  </si>
  <si>
    <t>INE902G01016</t>
  </si>
  <si>
    <t>KG Petrochem Ltd.</t>
  </si>
  <si>
    <t>KGPETRO</t>
  </si>
  <si>
    <t>KG PETROCHEM LTD.</t>
  </si>
  <si>
    <t>INE695B01025</t>
  </si>
  <si>
    <t>Country Condo's Ltd</t>
  </si>
  <si>
    <t>COUNCODOS</t>
  </si>
  <si>
    <t>COUNTRY CONDO'S LTD.</t>
  </si>
  <si>
    <t>INE628B01034</t>
  </si>
  <si>
    <t>Orosil Smiths India Limited</t>
  </si>
  <si>
    <t>OROSMITHS</t>
  </si>
  <si>
    <t>OROSIL SMITHS INDIA LTD.-$</t>
  </si>
  <si>
    <t>INE173E01019</t>
  </si>
  <si>
    <t>TEJASSVI AAHARAM LIMITED</t>
  </si>
  <si>
    <t>TEJASSVI</t>
  </si>
  <si>
    <t>Tejassvi Aaharam Ltd</t>
  </si>
  <si>
    <t>INE405C01035</t>
  </si>
  <si>
    <t>Lincoln Pharmaceuticals ltd.</t>
  </si>
  <si>
    <t>LINCOLN</t>
  </si>
  <si>
    <t>LINCOLN PHARMACEUTICALS LTD.</t>
  </si>
  <si>
    <t>INE722B01019</t>
  </si>
  <si>
    <t>PRAVEG LIMITED</t>
  </si>
  <si>
    <t>PRAVEG</t>
  </si>
  <si>
    <t>Praveg Ltd</t>
  </si>
  <si>
    <t>INE713C01016</t>
  </si>
  <si>
    <t>Suraj Ltd.</t>
  </si>
  <si>
    <t>SURAJLTD</t>
  </si>
  <si>
    <t>SURAJ LTD.-$</t>
  </si>
  <si>
    <t>INE936N01010</t>
  </si>
  <si>
    <t>Suvidha Infraestate Corporation Limited</t>
  </si>
  <si>
    <t>SICL</t>
  </si>
  <si>
    <t>Godrej Consumer Products Ltd.</t>
  </si>
  <si>
    <t>GODREJCP</t>
  </si>
  <si>
    <t>GODREJ CONSUMER PRODUCTS LTD.</t>
  </si>
  <si>
    <t>INE102D01028</t>
  </si>
  <si>
    <t>INE546D01018</t>
  </si>
  <si>
    <t>Tokyo Finance Ltd.</t>
  </si>
  <si>
    <t>TOKYOFIN</t>
  </si>
  <si>
    <t>TOKYO FINANCE LTD.</t>
  </si>
  <si>
    <t>INE265C01025</t>
  </si>
  <si>
    <t>B.J.Duplex Boards Ltd.</t>
  </si>
  <si>
    <t>BJDUP</t>
  </si>
  <si>
    <t>B.J.DUPLEX BOARDS LTD.</t>
  </si>
  <si>
    <t>INE654H01011</t>
  </si>
  <si>
    <t>National General Industries Ltd.</t>
  </si>
  <si>
    <t>NATGENI</t>
  </si>
  <si>
    <t>NATIONAL GENERAL INDUSTRIES LTD.</t>
  </si>
  <si>
    <t>INE528C01018</t>
  </si>
  <si>
    <t>Thirdwave Financial Intermediaries</t>
  </si>
  <si>
    <t>THIRDFIN</t>
  </si>
  <si>
    <t>THIRDWAVE FINANCIAL INTERMEDIARIES LTD.</t>
  </si>
  <si>
    <t>INE863C01019</t>
  </si>
  <si>
    <t>Hittco Tools Ltd.</t>
  </si>
  <si>
    <t>HITTCO</t>
  </si>
  <si>
    <t>HITTCO TOOLS LTD.</t>
  </si>
  <si>
    <t>INE117K01013</t>
  </si>
  <si>
    <t>RR METALMAKERS INDIA LIMITED</t>
  </si>
  <si>
    <t>RRMETAL</t>
  </si>
  <si>
    <t>RR MetalMakers India Ltd</t>
  </si>
  <si>
    <t>INE661D01015</t>
  </si>
  <si>
    <t>Vision Corporation Ltd.</t>
  </si>
  <si>
    <t>VISIONCO</t>
  </si>
  <si>
    <t>VISION CORPORATION LTD.</t>
  </si>
  <si>
    <t>INE214D01021</t>
  </si>
  <si>
    <t>Bisil Plast Limited</t>
  </si>
  <si>
    <t>BISIL</t>
  </si>
  <si>
    <t>INE224C01014</t>
  </si>
  <si>
    <t>Inani Securities Ltd.</t>
  </si>
  <si>
    <t>INANISEC</t>
  </si>
  <si>
    <t>INANI SECURITIES LTD.</t>
  </si>
  <si>
    <t>INE067C01025</t>
  </si>
  <si>
    <t>Anka India Ltd.</t>
  </si>
  <si>
    <t>ANKIN</t>
  </si>
  <si>
    <t>ANKA INDIA LTD.</t>
  </si>
  <si>
    <t>INE673C01020</t>
  </si>
  <si>
    <t>AMERISE BIOSCIENCES LIMITED</t>
  </si>
  <si>
    <t>AMERISE</t>
  </si>
  <si>
    <t>Amerise Biosciences Ltd</t>
  </si>
  <si>
    <t>INE621B01021</t>
  </si>
  <si>
    <t>Prithvi Exchange (India) Limited</t>
  </si>
  <si>
    <t>PRITHVIEXCH</t>
  </si>
  <si>
    <t>Prithvi Exchange (India) Ltd</t>
  </si>
  <si>
    <t>INE593B01030</t>
  </si>
  <si>
    <t>Khyati Multimedia-Entertainment Ltd</t>
  </si>
  <si>
    <t>KHYATI</t>
  </si>
  <si>
    <t>KHYATI MULTIMEDIA-ENTERTAINMENT LTD.</t>
  </si>
  <si>
    <t>INE230F01014</t>
  </si>
  <si>
    <t>Rainbow Foundations Ltd</t>
  </si>
  <si>
    <t>RAINBOWF</t>
  </si>
  <si>
    <t>RAINBOW FOUNDATIONS LTD.</t>
  </si>
  <si>
    <t>INE489F01016</t>
  </si>
  <si>
    <t>Nyssa Corporation Limited</t>
  </si>
  <si>
    <t>NYSSACORP</t>
  </si>
  <si>
    <t>INE843F01014</t>
  </si>
  <si>
    <t>Tricom Fruit Products Limited</t>
  </si>
  <si>
    <t>TRICOMFRU</t>
  </si>
  <si>
    <t>INE632C01026</t>
  </si>
  <si>
    <t>Vidhi Specialty Food Ingredients Limited</t>
  </si>
  <si>
    <t>VIDHIING</t>
  </si>
  <si>
    <t>Vidhi Specialty Food Ingredients Ltd-$</t>
  </si>
  <si>
    <t>INE414D01027</t>
  </si>
  <si>
    <t>Bhagiradha Chemicals and Industries</t>
  </si>
  <si>
    <t>BHAGCHEM</t>
  </si>
  <si>
    <t>BHAGIRADHA CHEMICALS &amp; INDUSTRIES LTD.</t>
  </si>
  <si>
    <t>INE224E01028</t>
  </si>
  <si>
    <t>GACM Technologies Limited</t>
  </si>
  <si>
    <t>GATECH</t>
  </si>
  <si>
    <t>GACM Technologies Ltd</t>
  </si>
  <si>
    <t>INE316G01019</t>
  </si>
  <si>
    <t>Panchsheel Organic Ltd.</t>
  </si>
  <si>
    <t>PANCHSHEEL</t>
  </si>
  <si>
    <t>PANCHSHEEL ORGANICS LTD.</t>
  </si>
  <si>
    <t>INE650G01029</t>
  </si>
  <si>
    <t>Menon Pistons Ltd.</t>
  </si>
  <si>
    <t>MENNPIS</t>
  </si>
  <si>
    <t>MENON PISTONS LTD.</t>
  </si>
  <si>
    <t>INE429Q01019</t>
  </si>
  <si>
    <t>Prism Finance Ltd.</t>
  </si>
  <si>
    <t>PRISMFN</t>
  </si>
  <si>
    <t>PRISM FINANCE LTD.</t>
  </si>
  <si>
    <t>Frontline Corporation Limited</t>
  </si>
  <si>
    <t>FRONTCORP</t>
  </si>
  <si>
    <t>FRONTLINE CORPORATION LTD.</t>
  </si>
  <si>
    <t>INE092D01013</t>
  </si>
  <si>
    <t>INE509C01026</t>
  </si>
  <si>
    <t>Gennex Laboratories Ltd</t>
  </si>
  <si>
    <t>GENNEX</t>
  </si>
  <si>
    <t>GENNEX LABORATORIES LTD.</t>
  </si>
  <si>
    <t>INE258Z01013</t>
  </si>
  <si>
    <t>CRP Risk Management Limited</t>
  </si>
  <si>
    <t>CRPRISK</t>
  </si>
  <si>
    <t>CRP Risk Management Ltd</t>
  </si>
  <si>
    <t>INE422M01013</t>
  </si>
  <si>
    <t>Mitshi India Limited</t>
  </si>
  <si>
    <t>MITSHI</t>
  </si>
  <si>
    <t>Mitshi India Ltd</t>
  </si>
  <si>
    <t>INE505C01016</t>
  </si>
  <si>
    <t>Prajay Engineers Syndicate Ltd.</t>
  </si>
  <si>
    <t>PRAENG</t>
  </si>
  <si>
    <t>PRAJAY ENGINEERS SYNDICATE LTD.</t>
  </si>
  <si>
    <t>INE703D01023</t>
  </si>
  <si>
    <t>BIOGEN PHARMACHEM INDUSTRIES LIMITED</t>
  </si>
  <si>
    <t>BIOGEN</t>
  </si>
  <si>
    <t>Biogen Pharmachem Industries Ltd</t>
  </si>
  <si>
    <t>INE131D01019</t>
  </si>
  <si>
    <t>G.k.Consultants Ltd.</t>
  </si>
  <si>
    <t>GKCONS</t>
  </si>
  <si>
    <t>G.K.CONSULTANTS LTD.</t>
  </si>
  <si>
    <t>INE126J01016</t>
  </si>
  <si>
    <t>APOLLO PIPES LIMITED</t>
  </si>
  <si>
    <t>APOLLOPIPE</t>
  </si>
  <si>
    <t>Apollo Pipes Ltd</t>
  </si>
  <si>
    <t>INE576D01015</t>
  </si>
  <si>
    <t>Unjha Formulations Ltd.</t>
  </si>
  <si>
    <t>UNJHAFOR</t>
  </si>
  <si>
    <t>UNJHA FORMULATIONS LTD.</t>
  </si>
  <si>
    <t>INE205C01021</t>
  </si>
  <si>
    <t>United Spirits Limited</t>
  </si>
  <si>
    <t>UNITDSPR</t>
  </si>
  <si>
    <t>UNITED SPIRITS LTD.</t>
  </si>
  <si>
    <t>INE854D01024</t>
  </si>
  <si>
    <t>INE311M01018</t>
  </si>
  <si>
    <t>SHRADDHA PRIME PROJECTS LTD</t>
  </si>
  <si>
    <t>SHRADDHA</t>
  </si>
  <si>
    <t>Shraddha Prime Projects Ltd</t>
  </si>
  <si>
    <t>INE059E01010</t>
  </si>
  <si>
    <t>Kachchh Minerals Ltd.</t>
  </si>
  <si>
    <t>KACHCHH</t>
  </si>
  <si>
    <t>KACHCHH MINERALS LTD.</t>
  </si>
  <si>
    <t>INE630U01014</t>
  </si>
  <si>
    <t>Padmanabh Alloys &amp; Polymers Ltd.</t>
  </si>
  <si>
    <t>PADALPO</t>
  </si>
  <si>
    <t>PADMANABH ALLOYS &amp; POLYMERS LTD.</t>
  </si>
  <si>
    <t>Samyak International Limited</t>
  </si>
  <si>
    <t>SAMYAKINT</t>
  </si>
  <si>
    <t>SAMYAK INTERNATIONAL LTD.</t>
  </si>
  <si>
    <t>INE469F01026</t>
  </si>
  <si>
    <t>KCL Infra Projects Limited</t>
  </si>
  <si>
    <t>KCLINFRA</t>
  </si>
  <si>
    <t>KCL Infra Projects Ltd</t>
  </si>
  <si>
    <t>INE951D01028</t>
  </si>
  <si>
    <t>Atul Auto Limited</t>
  </si>
  <si>
    <t>ATULAUTO</t>
  </si>
  <si>
    <t>ATUL AUTO LTD.-$</t>
  </si>
  <si>
    <t>INE393D01015</t>
  </si>
  <si>
    <t>Scan Projects Ltd</t>
  </si>
  <si>
    <t>SCANPRO</t>
  </si>
  <si>
    <t>SCAN PROJECTS LTD.</t>
  </si>
  <si>
    <t>INE426H01014</t>
  </si>
  <si>
    <t>Prerna Infrabuild Limited</t>
  </si>
  <si>
    <t>PRERINFRA</t>
  </si>
  <si>
    <t>PRERNA INFRABUILD LTD.</t>
  </si>
  <si>
    <t>INE161E01014</t>
  </si>
  <si>
    <t>Metal Coatings (India) Ltd.</t>
  </si>
  <si>
    <t>METALCO</t>
  </si>
  <si>
    <t>METAL COATINGS (INDIA) LTD.</t>
  </si>
  <si>
    <t>INE266C01023</t>
  </si>
  <si>
    <t>SGN Telecoms Ltd.</t>
  </si>
  <si>
    <t>SGNTE</t>
  </si>
  <si>
    <t>SGN TELECOMS LTD.</t>
  </si>
  <si>
    <t>INE278O01015</t>
  </si>
  <si>
    <t>Ganga Papers India Ltd</t>
  </si>
  <si>
    <t>GANGAPA</t>
  </si>
  <si>
    <t>GANGA PAPERS INDIA LTD.</t>
  </si>
  <si>
    <t>INE297J01023</t>
  </si>
  <si>
    <t>Tirupati Sarjan Ltd.</t>
  </si>
  <si>
    <t>TIRSARJ</t>
  </si>
  <si>
    <t>TIRUPATI SARJAN LTD.</t>
  </si>
  <si>
    <t>INE348D01019</t>
  </si>
  <si>
    <t>Munoth Financial Services Ltd.</t>
  </si>
  <si>
    <t>MUNOTHFI</t>
  </si>
  <si>
    <t>MUNOTH FINANCIAL SERVICES LTD.</t>
  </si>
  <si>
    <t>INE513E01024</t>
  </si>
  <si>
    <t>Rodium Realty Limited</t>
  </si>
  <si>
    <t>RODIUM</t>
  </si>
  <si>
    <t>INE793H01017</t>
  </si>
  <si>
    <t>Nagarjuna Agritech Ltd.</t>
  </si>
  <si>
    <t>NAGTECH</t>
  </si>
  <si>
    <t>NAGARJUNA AGRI TECH LTD.</t>
  </si>
  <si>
    <t>INE487B01019</t>
  </si>
  <si>
    <t>Natura Hue Chem Ltd.</t>
  </si>
  <si>
    <t>NATHUEC</t>
  </si>
  <si>
    <t>NATURA HUE CHEM LTD.</t>
  </si>
  <si>
    <t>INE172B01017</t>
  </si>
  <si>
    <t>IEC Education Limited</t>
  </si>
  <si>
    <t>IECEDU</t>
  </si>
  <si>
    <t>IEC EDUCATION LTD.</t>
  </si>
  <si>
    <t>INE935D01013</t>
  </si>
  <si>
    <t>Indus Finance Limited</t>
  </si>
  <si>
    <t>INDUSFINL</t>
  </si>
  <si>
    <t>Indus Finance Ltd</t>
  </si>
  <si>
    <t>Golechha Global Finance Ltd.</t>
  </si>
  <si>
    <t>GOLECHA</t>
  </si>
  <si>
    <t>GOLECHHA GLOBAL FINANCE LTD.</t>
  </si>
  <si>
    <t>INE318D01020</t>
  </si>
  <si>
    <t>ZENITH STEEL PIPES AND  INDUSTRIES LIMITED</t>
  </si>
  <si>
    <t>ZENITHSTL</t>
  </si>
  <si>
    <t>Zenith Steel Pipes &amp; Industries Ltd-$</t>
  </si>
  <si>
    <t>INE884X01011</t>
  </si>
  <si>
    <t>Trinity League India Limited</t>
  </si>
  <si>
    <t>TRINITYLEA</t>
  </si>
  <si>
    <t>TRINITY LEAGUE INDIA LTD.</t>
  </si>
  <si>
    <t>INE194D01017</t>
  </si>
  <si>
    <t>Asian Star Co. Ltd.</t>
  </si>
  <si>
    <t>ASTAR</t>
  </si>
  <si>
    <t>ASIAN STAR CO.LTD.-$</t>
  </si>
  <si>
    <t>INE457G01029</t>
  </si>
  <si>
    <t>ORIENTAL RAIL INFRASTRUCTURE LIMITED</t>
  </si>
  <si>
    <t>ORIRAIL</t>
  </si>
  <si>
    <t>Oriental Rail Infrastructure Ltd</t>
  </si>
  <si>
    <t>INE024B01010</t>
  </si>
  <si>
    <t>Joindre Capital Services Ltd.</t>
  </si>
  <si>
    <t>JOINDRE</t>
  </si>
  <si>
    <t>JOINDRE CAPITAL SERVICES LTD.</t>
  </si>
  <si>
    <t>INE842D01029</t>
  </si>
  <si>
    <t>Bharat Agri Fert and Realty Ltd</t>
  </si>
  <si>
    <t>BHARATAGRI</t>
  </si>
  <si>
    <t>BHARAT AGRI FERT &amp; REALTY LTD.</t>
  </si>
  <si>
    <t>INE929K01011</t>
  </si>
  <si>
    <t>Unitech International Ltd</t>
  </si>
  <si>
    <t>UNITINT</t>
  </si>
  <si>
    <t>UNITECH INTERNATIONAL LTD.</t>
  </si>
  <si>
    <t>INE433G01012</t>
  </si>
  <si>
    <t>Sacheta Metals Ltd.</t>
  </si>
  <si>
    <t>SACHEMT</t>
  </si>
  <si>
    <t>SACHETA METALS LTD.</t>
  </si>
  <si>
    <t>INE370C01015</t>
  </si>
  <si>
    <t>Popular Estate Management Ltd</t>
  </si>
  <si>
    <t>POPULARES</t>
  </si>
  <si>
    <t>POPULAR ESTATE MANAGEMENT LTD.</t>
  </si>
  <si>
    <t>INE283D01018</t>
  </si>
  <si>
    <t>Anjani Finance Ltd</t>
  </si>
  <si>
    <t>ANJANIFIN</t>
  </si>
  <si>
    <t>ANJANI FINANCE LTD.</t>
  </si>
  <si>
    <t>INE763K01014</t>
  </si>
  <si>
    <t>Muller &amp; Phipps (India) Ltd.</t>
  </si>
  <si>
    <t>MULLER</t>
  </si>
  <si>
    <t>MULLER &amp; PHIPPS (INDIA) LTD.</t>
  </si>
  <si>
    <t>INE149D01011</t>
  </si>
  <si>
    <t>Rahul Merchandising ltd.</t>
  </si>
  <si>
    <t>RAHME</t>
  </si>
  <si>
    <t>RAHUL MERCHANDISING LTD.</t>
  </si>
  <si>
    <t>INE687C01012</t>
  </si>
  <si>
    <t>Rexnord Electronics &amp; Controls Ltd.</t>
  </si>
  <si>
    <t>REXNORD</t>
  </si>
  <si>
    <t>REXNORD ELECTRONICS &amp; CONTROLS LTD.</t>
  </si>
  <si>
    <t>INE882B01029</t>
  </si>
  <si>
    <t>INTEGRATED INDUSTRIES LIMITED</t>
  </si>
  <si>
    <t>IIL</t>
  </si>
  <si>
    <t>Integrated Industries Ltd</t>
  </si>
  <si>
    <t>INE060B01014</t>
  </si>
  <si>
    <t>Khandwala Securities Ltd.</t>
  </si>
  <si>
    <t>KHANDSE</t>
  </si>
  <si>
    <t>KHANDWALA SECURITIES LTD.</t>
  </si>
  <si>
    <t>White Organic Retail Limited</t>
  </si>
  <si>
    <t>WORL</t>
  </si>
  <si>
    <t>White Organic Retail Ltd</t>
  </si>
  <si>
    <t>INE06CG01019</t>
  </si>
  <si>
    <t>INE778E01031</t>
  </si>
  <si>
    <t>CCL International Ltd</t>
  </si>
  <si>
    <t>CCLINTER</t>
  </si>
  <si>
    <t>CCL INTERNATIONAL LTD.</t>
  </si>
  <si>
    <t>INE755J01012</t>
  </si>
  <si>
    <t>Gallops Enterprise  Limited</t>
  </si>
  <si>
    <t>GALLOPENT</t>
  </si>
  <si>
    <t>GALLOPS ENTERPRISE LTD.</t>
  </si>
  <si>
    <t>INE587J01027</t>
  </si>
  <si>
    <t>CROISSANCE LIMITED</t>
  </si>
  <si>
    <t>CROISSANCE</t>
  </si>
  <si>
    <t>Croissance Ltd</t>
  </si>
  <si>
    <t>INE312M01016</t>
  </si>
  <si>
    <t>Madhuveer Com 18 Network Limited</t>
  </si>
  <si>
    <t>MADHUVEER</t>
  </si>
  <si>
    <t>Madhuveer Com 18 Network Ltd</t>
  </si>
  <si>
    <t>INE803L01016</t>
  </si>
  <si>
    <t>Galaxy Agrico Exports Ltd.</t>
  </si>
  <si>
    <t>GALAGEX</t>
  </si>
  <si>
    <t>GALAXY AGRICO EXPORTS LTD.</t>
  </si>
  <si>
    <t>INE641H01018</t>
  </si>
  <si>
    <t>Gopal Iron &amp; Steels Co.(Gujarat) Lt</t>
  </si>
  <si>
    <t>GOPAIST</t>
  </si>
  <si>
    <t>GOPAL IRON &amp; STEELS CO.(GUJARAT) LTD.</t>
  </si>
  <si>
    <t>INE02XD01011</t>
  </si>
  <si>
    <t>Onesource Ideas Venture Limited</t>
  </si>
  <si>
    <t>OIVL</t>
  </si>
  <si>
    <t>Onesource Ideas Venture Ltd</t>
  </si>
  <si>
    <t>INE204E01012</t>
  </si>
  <si>
    <t>Agarwal Industrial Corporation Limited</t>
  </si>
  <si>
    <t>AGARIND</t>
  </si>
  <si>
    <t>AGARWAL INDUSTRIAL CORPORATION LTD.</t>
  </si>
  <si>
    <t>INE956B01013</t>
  </si>
  <si>
    <t>Dhampure Speciality Sugars Ltd.</t>
  </si>
  <si>
    <t>DHAMPURE</t>
  </si>
  <si>
    <t>DHAMPURE SPECIALITY SUGARS LTD.</t>
  </si>
  <si>
    <t>INE545N01019</t>
  </si>
  <si>
    <t>Shantanu Sheorey Aquakult ltd.</t>
  </si>
  <si>
    <t>SHAQUAK</t>
  </si>
  <si>
    <t>SHANTANU SHEOREY AQUAKULT LTD.</t>
  </si>
  <si>
    <t>INE214B01017</t>
  </si>
  <si>
    <t>Innocorp Limited</t>
  </si>
  <si>
    <t>INNOCORP</t>
  </si>
  <si>
    <t>INNOCORP LTD.</t>
  </si>
  <si>
    <t>Hira Automobiles Ltd.</t>
  </si>
  <si>
    <t>HIRAUTO</t>
  </si>
  <si>
    <t>HIRA AUTOMOBILES LTD.</t>
  </si>
  <si>
    <t>Saianand Commercial Limited</t>
  </si>
  <si>
    <t>SAICOM</t>
  </si>
  <si>
    <t>INE657B01025</t>
  </si>
  <si>
    <t>Blue Chip India Ltd</t>
  </si>
  <si>
    <t>BLUECHIP</t>
  </si>
  <si>
    <t>BLUE CHIP INDIA LTD.</t>
  </si>
  <si>
    <t>INE185D01015</t>
  </si>
  <si>
    <t>SERVOTEACH INDUSTRIES LTD</t>
  </si>
  <si>
    <t>SERVOTEACH</t>
  </si>
  <si>
    <t>Servoteach Industries Ltd</t>
  </si>
  <si>
    <t>INE669W01018</t>
  </si>
  <si>
    <t>Chadha Papers Ltd.</t>
  </si>
  <si>
    <t>CHADPAP</t>
  </si>
  <si>
    <t>CHADHA PAPERS LTD.</t>
  </si>
  <si>
    <t>INE316D01024</t>
  </si>
  <si>
    <t>Vertex Securities Ltd.</t>
  </si>
  <si>
    <t>VERTEX</t>
  </si>
  <si>
    <t>VERTEX SECURITIES LTD.</t>
  </si>
  <si>
    <t>INE811H01017</t>
  </si>
  <si>
    <t>Riba Textiles Ltd.</t>
  </si>
  <si>
    <t>RIBATEX</t>
  </si>
  <si>
    <t>RIBA TEXTILES LTD.</t>
  </si>
  <si>
    <t>Shyam Telecom Ltd.</t>
  </si>
  <si>
    <t>SHYAMTEL</t>
  </si>
  <si>
    <t>SHYAM TELECOM LTD.</t>
  </si>
  <si>
    <t>INE108B01029</t>
  </si>
  <si>
    <t>Kashyap Tele-Medicines Limited</t>
  </si>
  <si>
    <t>KASHYAP</t>
  </si>
  <si>
    <t>Kashyap Tele-Medicines Ltd</t>
  </si>
  <si>
    <t>INE914B01012</t>
  </si>
  <si>
    <t>Shree Metalloys Limited</t>
  </si>
  <si>
    <t>SHREMETAL</t>
  </si>
  <si>
    <t>SHREE METALLOYS LTD.</t>
  </si>
  <si>
    <t>INE786E01018</t>
  </si>
  <si>
    <t>IITL PROJECTS LIMITED</t>
  </si>
  <si>
    <t>IITLPROJ</t>
  </si>
  <si>
    <t>INE167F01018</t>
  </si>
  <si>
    <t>Hari Govind International Ltd.</t>
  </si>
  <si>
    <t>HARIGOV</t>
  </si>
  <si>
    <t>HARI GOVIND INTERNATIONAL LTD.</t>
  </si>
  <si>
    <t>Catvision Limited</t>
  </si>
  <si>
    <t>CATVISION</t>
  </si>
  <si>
    <t>INE540G01014</t>
  </si>
  <si>
    <t>Ambika Cotton Mills Ltd.</t>
  </si>
  <si>
    <t>AMBIKCO</t>
  </si>
  <si>
    <t>AMBIKA COTTON MILLS LTD.</t>
  </si>
  <si>
    <t>INE227B01019</t>
  </si>
  <si>
    <t>HIND ALUMINIUM INDUSTRIES LTD.</t>
  </si>
  <si>
    <t>HINDALUMI</t>
  </si>
  <si>
    <t>HIND ALUMINIUM INDUSTRIES LTD.-$</t>
  </si>
  <si>
    <t>INE564B01015</t>
  </si>
  <si>
    <t>Senthil Infotek Limited</t>
  </si>
  <si>
    <t>SENINFO</t>
  </si>
  <si>
    <t>Senthil Infotek Ltd</t>
  </si>
  <si>
    <t>INE547C01018</t>
  </si>
  <si>
    <t>Spectrum Foods Limited</t>
  </si>
  <si>
    <t>SPECFOOD</t>
  </si>
  <si>
    <t>SPECTRUM FOODS LTD.</t>
  </si>
  <si>
    <t>INE735C01027</t>
  </si>
  <si>
    <t>Amraworld Agrico Ltd.</t>
  </si>
  <si>
    <t>AMRAAGRI</t>
  </si>
  <si>
    <t>AMRAWORLD AGRICO LTD.</t>
  </si>
  <si>
    <t>INE839E01023</t>
  </si>
  <si>
    <t>Odyssey Corporation Ltd.</t>
  </si>
  <si>
    <t>ODYCORP</t>
  </si>
  <si>
    <t>ODYSSEY CORPORATION LTD.</t>
  </si>
  <si>
    <t>INE164D01010</t>
  </si>
  <si>
    <t>VUENOW INFRATECH LIMITED</t>
  </si>
  <si>
    <t>VUENOW</t>
  </si>
  <si>
    <t>Vuenow Infratech Ltd</t>
  </si>
  <si>
    <t>INE146H01018</t>
  </si>
  <si>
    <t>Inducto Steels ltd.</t>
  </si>
  <si>
    <t>INDCTST</t>
  </si>
  <si>
    <t>INDUCTO STEEL LTD.</t>
  </si>
  <si>
    <t>INE653D01012</t>
  </si>
  <si>
    <t>Sam Industries Ltd.</t>
  </si>
  <si>
    <t>SAMINDUS</t>
  </si>
  <si>
    <t>SAM INDUSTRIES LTD.</t>
  </si>
  <si>
    <t>INE981C01019</t>
  </si>
  <si>
    <t>NEELKANTH LIMITED</t>
  </si>
  <si>
    <t>NEELKANTH</t>
  </si>
  <si>
    <t>Neelkanth Ltd-$</t>
  </si>
  <si>
    <t>INE147C01017</t>
  </si>
  <si>
    <t>VASHU BHAGNANI INDUSTRIES LIMITED</t>
  </si>
  <si>
    <t>POOJAENT</t>
  </si>
  <si>
    <t>Vashu Bhagnani Industries Ltd</t>
  </si>
  <si>
    <t>INE995A01013</t>
  </si>
  <si>
    <t>Gravity (India) Ltd.</t>
  </si>
  <si>
    <t>GRAVITY</t>
  </si>
  <si>
    <t>GRAVITY (INDIA) LTD.-$</t>
  </si>
  <si>
    <t>INE176O01011</t>
  </si>
  <si>
    <t>ESPIRE HOSPITALITY LIMITED</t>
  </si>
  <si>
    <t>ESPIRE</t>
  </si>
  <si>
    <t>Espire Hospitality Limited</t>
  </si>
  <si>
    <t>INE938A01021</t>
  </si>
  <si>
    <t>LCC Infotech Ltd.</t>
  </si>
  <si>
    <t>LCCINFOTEC</t>
  </si>
  <si>
    <t>LCC INFOTECH LTD.</t>
  </si>
  <si>
    <t>INE185E01013</t>
  </si>
  <si>
    <t>Filatex Fashions Ltd</t>
  </si>
  <si>
    <t>FILATFASH</t>
  </si>
  <si>
    <t>FILATEX FASHIONS LTD.</t>
  </si>
  <si>
    <t>INE056J01015</t>
  </si>
  <si>
    <t>R.B.Gupta Financials Ltd.</t>
  </si>
  <si>
    <t>RBGUPTA</t>
  </si>
  <si>
    <t>R.B.GUPTA FINANCIALS LTD.</t>
  </si>
  <si>
    <t>INE325D01025</t>
  </si>
  <si>
    <t>Sindhu Trade Links Limited</t>
  </si>
  <si>
    <t>SINDHUTRAD</t>
  </si>
  <si>
    <t>INE808C01014</t>
  </si>
  <si>
    <t>Unistar Multimedia Ltd</t>
  </si>
  <si>
    <t>UNISTRMU</t>
  </si>
  <si>
    <t>UNISTAR MULTIMEDIA LTD.</t>
  </si>
  <si>
    <t>INE486F01012</t>
  </si>
  <si>
    <t>Zenotech Laboratories Limited</t>
  </si>
  <si>
    <t>ZENOTECH</t>
  </si>
  <si>
    <t>ZENOTECH LABORATORIES LTD.</t>
  </si>
  <si>
    <t>INE597C01021</t>
  </si>
  <si>
    <t>Hindustan Bio Sciences Ltd.</t>
  </si>
  <si>
    <t>HINDBIO</t>
  </si>
  <si>
    <t>HINDUSTAN BIO SCIENCES LTD.</t>
  </si>
  <si>
    <t>Tirth Plastic Ltd.</t>
  </si>
  <si>
    <t>TIRTPLS</t>
  </si>
  <si>
    <t>TIRTH PLASTIC LTD.</t>
  </si>
  <si>
    <t>INE409B01013</t>
  </si>
  <si>
    <t>Swelect Energy Systems Limited</t>
  </si>
  <si>
    <t>SWELECTES</t>
  </si>
  <si>
    <t>Swelect Energy Systems Limited-$</t>
  </si>
  <si>
    <t>INE121B01014</t>
  </si>
  <si>
    <t>Wallfort Financial Services Ltd.</t>
  </si>
  <si>
    <t>WALLFORT</t>
  </si>
  <si>
    <t>WALLFORT FINANCIAL SERVICES LTD.</t>
  </si>
  <si>
    <t>INE291D01011</t>
  </si>
  <si>
    <t>KDDL Ltd</t>
  </si>
  <si>
    <t>KDDL</t>
  </si>
  <si>
    <t>KDDL LTD.-$</t>
  </si>
  <si>
    <t>INE398H01015</t>
  </si>
  <si>
    <t>Adinath Exim Resources Ltd.</t>
  </si>
  <si>
    <t>ADIEXRE</t>
  </si>
  <si>
    <t>ADINATH EXIM RESOURCES LTD.</t>
  </si>
  <si>
    <t>INE516F01016</t>
  </si>
  <si>
    <t>Abhinav Capital Services Limited</t>
  </si>
  <si>
    <t>ABHICAP</t>
  </si>
  <si>
    <t>ABHINAV CAPITAL SERVICES LTD.</t>
  </si>
  <si>
    <t>INE994E01018</t>
  </si>
  <si>
    <t>3B BlackBio Dx Limited</t>
  </si>
  <si>
    <t>3BBLACKBIO</t>
  </si>
  <si>
    <t>3B BlackBio Dx Ltd</t>
  </si>
  <si>
    <t>INE311N01016</t>
  </si>
  <si>
    <t>Sumuka Agro Industries Limited</t>
  </si>
  <si>
    <t>SUMUKA</t>
  </si>
  <si>
    <t>Sumuka Agro Industries Ltd</t>
  </si>
  <si>
    <t>INE407E01029</t>
  </si>
  <si>
    <t>MONIND LIMITED</t>
  </si>
  <si>
    <t>MONIND</t>
  </si>
  <si>
    <t>Monind Ltd</t>
  </si>
  <si>
    <t>INE079N01019</t>
  </si>
  <si>
    <t>Enbee Trade &amp; Finance Ltd.</t>
  </si>
  <si>
    <t>ENBETRD</t>
  </si>
  <si>
    <t>ENBEE TRADE &amp; FINANCE LTD.</t>
  </si>
  <si>
    <t>INE219M01021</t>
  </si>
  <si>
    <t>Vandana Knitwear Limited</t>
  </si>
  <si>
    <t>VANDANA</t>
  </si>
  <si>
    <t>VANDANA KNITWEAR LTD.</t>
  </si>
  <si>
    <t>INE807D01030</t>
  </si>
  <si>
    <t>EPUJA SPIRITECH LIMITED</t>
  </si>
  <si>
    <t>EPUJA</t>
  </si>
  <si>
    <t>Epuja Spiritech Ltd</t>
  </si>
  <si>
    <t>INE456B01014</t>
  </si>
  <si>
    <t>Indo-City Infotech Ltd.</t>
  </si>
  <si>
    <t>INDOCITY</t>
  </si>
  <si>
    <t>INDO-CITY INFOTECH LTD.-$</t>
  </si>
  <si>
    <t>INE948G01019</t>
  </si>
  <si>
    <t>SBEC Sugar Ltd.</t>
  </si>
  <si>
    <t>SBECSUG</t>
  </si>
  <si>
    <t>SBEC SUGAR LTD.</t>
  </si>
  <si>
    <t>INE957E01031</t>
  </si>
  <si>
    <t>Brijlaxmi Leasing &amp; Finance ltd.</t>
  </si>
  <si>
    <t>BRIJLEAS</t>
  </si>
  <si>
    <t>BRIJLAXMI LEASING &amp; FINANCE LTD.</t>
  </si>
  <si>
    <t>INE395A01016</t>
  </si>
  <si>
    <t>BSEL ALGO LIMITED</t>
  </si>
  <si>
    <t>BSELALGO</t>
  </si>
  <si>
    <t>BSEL Algo Ltd</t>
  </si>
  <si>
    <t>INE419H01019</t>
  </si>
  <si>
    <t>Reliable Ventures India Ltd</t>
  </si>
  <si>
    <t>RELIABVEN</t>
  </si>
  <si>
    <t>RELIABLE VENTURES INDIA LTD.</t>
  </si>
  <si>
    <t>INE028A01039</t>
  </si>
  <si>
    <t>United Breweries Ltd.</t>
  </si>
  <si>
    <t>UBL</t>
  </si>
  <si>
    <t>UNITED BREWERIES LTD.-$</t>
  </si>
  <si>
    <t>INE686F01025</t>
  </si>
  <si>
    <t>INE440E01012</t>
  </si>
  <si>
    <t>SMC Credits ltd.</t>
  </si>
  <si>
    <t>SMCREDT</t>
  </si>
  <si>
    <t>SMC CREDITS LTD.</t>
  </si>
  <si>
    <t>INE154B01015</t>
  </si>
  <si>
    <t>Mohite Industries Limited</t>
  </si>
  <si>
    <t>MOHITE</t>
  </si>
  <si>
    <t>Mohite Industries Ltd</t>
  </si>
  <si>
    <t>INE666E01020</t>
  </si>
  <si>
    <t>Andhra Cement Ltd.</t>
  </si>
  <si>
    <t>ACL</t>
  </si>
  <si>
    <t>ANDHRA CEMENTS LTD.</t>
  </si>
  <si>
    <t>INE411D01015</t>
  </si>
  <si>
    <t>SKM Egg Products Exports (India) Lt</t>
  </si>
  <si>
    <t>SKMEGGPROD</t>
  </si>
  <si>
    <t>SKM EGG PRODUCTS EXPORT (INDIA) LTD.</t>
  </si>
  <si>
    <t>INE191B01025</t>
  </si>
  <si>
    <t>Radico Khaitan Ltd.</t>
  </si>
  <si>
    <t>RADICO</t>
  </si>
  <si>
    <t>RADICO KHAITAN LTD.</t>
  </si>
  <si>
    <t>INE944F01028</t>
  </si>
  <si>
    <t>INE731B01010</t>
  </si>
  <si>
    <t>H.S.India Ltd.</t>
  </si>
  <si>
    <t>HOTLSILV</t>
  </si>
  <si>
    <t>H.S.INDIA LTD.</t>
  </si>
  <si>
    <t>INE084A01016</t>
  </si>
  <si>
    <t>Shree Renuka Sugars Ltd.</t>
  </si>
  <si>
    <t>RENUKA</t>
  </si>
  <si>
    <t>SHREE RENUKA SUGARS LTD.</t>
  </si>
  <si>
    <t>INE087H01022</t>
  </si>
  <si>
    <t>INE681B01017</t>
  </si>
  <si>
    <t>Indraprastha Medical Corporation Lt</t>
  </si>
  <si>
    <t>INDRAMEDCO</t>
  </si>
  <si>
    <t>INDRAPRASTHA MEDICAL CORP.LTD.</t>
  </si>
  <si>
    <t>PARLE INDUSTRIES LIMITED</t>
  </si>
  <si>
    <t>PARLEIND</t>
  </si>
  <si>
    <t>Parle Industries Ltd</t>
  </si>
  <si>
    <t>INE272G01014</t>
  </si>
  <si>
    <t>LT Foods Limited</t>
  </si>
  <si>
    <t>LTFOODS</t>
  </si>
  <si>
    <t>LT FOODS LTD.</t>
  </si>
  <si>
    <t>INE818H01020</t>
  </si>
  <si>
    <t>JYOTHY LABS LIMITED</t>
  </si>
  <si>
    <t>JYOTHYLAB</t>
  </si>
  <si>
    <t>Jyothy Labs Ltd</t>
  </si>
  <si>
    <t>INE668F01031</t>
  </si>
  <si>
    <t>INE088D01011</t>
  </si>
  <si>
    <t>TRESCON LIMITED</t>
  </si>
  <si>
    <t>TRESCON</t>
  </si>
  <si>
    <t>Trescon Ltd</t>
  </si>
  <si>
    <t>INE944A01011</t>
  </si>
  <si>
    <t>Gujarat State Financial corporation</t>
  </si>
  <si>
    <t>GUJSTATFIN</t>
  </si>
  <si>
    <t>Gujarat State Financial Corporation</t>
  </si>
  <si>
    <t>Varun Beverages Limited</t>
  </si>
  <si>
    <t>VBL</t>
  </si>
  <si>
    <t>Varun Beverages Ltd</t>
  </si>
  <si>
    <t>INE200M01021</t>
  </si>
  <si>
    <t>Godrej Agrovet Limited</t>
  </si>
  <si>
    <t>GODREJAGRO</t>
  </si>
  <si>
    <t>Godrej Agrovet Ltd</t>
  </si>
  <si>
    <t>INE850D01014</t>
  </si>
  <si>
    <t>INE514C01018</t>
  </si>
  <si>
    <t>Minolta Finance Ltd.</t>
  </si>
  <si>
    <t>MINOLTAF</t>
  </si>
  <si>
    <t>MINOLTA FINANCE LTD.</t>
  </si>
  <si>
    <t>INE501C01015</t>
  </si>
  <si>
    <t>Omkar Pharmachem Ltd.</t>
  </si>
  <si>
    <t>OMKARPH</t>
  </si>
  <si>
    <t>OMKAR PHARMACHEM LTD.</t>
  </si>
  <si>
    <t>INE737B01033</t>
  </si>
  <si>
    <t>Adroit Infotech Limited</t>
  </si>
  <si>
    <t>ADROITINFO</t>
  </si>
  <si>
    <t>Adroit Infotech Ltd</t>
  </si>
  <si>
    <t>INE214A01019</t>
  </si>
  <si>
    <t>Cybertech Systems and Software Ltd.</t>
  </si>
  <si>
    <t>CYBERTECH</t>
  </si>
  <si>
    <t>CYBERTECH SYSTEMS AND SOFTWARE LTD.</t>
  </si>
  <si>
    <t>INE090A01021</t>
  </si>
  <si>
    <t>Mrs. Bectors Food Specialities Limited</t>
  </si>
  <si>
    <t>BECTORFOOD</t>
  </si>
  <si>
    <t>Mrs. Bectors Food Specialities Ltd</t>
  </si>
  <si>
    <t>INE495P01012</t>
  </si>
  <si>
    <t>INE136B01020</t>
  </si>
  <si>
    <t>Dodla Dairy Limited</t>
  </si>
  <si>
    <t>DODLA</t>
  </si>
  <si>
    <t>Dodla Dairy Ltd</t>
  </si>
  <si>
    <t>INE021O01019</t>
  </si>
  <si>
    <t>INE510A01028</t>
  </si>
  <si>
    <t>Adani Wilmar Limited</t>
  </si>
  <si>
    <t>AWL</t>
  </si>
  <si>
    <t>Adani Wilmar Ltd</t>
  </si>
  <si>
    <t>INE699H01024</t>
  </si>
  <si>
    <t>INE680A01011</t>
  </si>
  <si>
    <t>Dhanlaxmi Bank Limited</t>
  </si>
  <si>
    <t>DHANBANK</t>
  </si>
  <si>
    <t>Banks</t>
  </si>
  <si>
    <t>Private Sector Bank</t>
  </si>
  <si>
    <t>Bikaji Foods International Limited</t>
  </si>
  <si>
    <t>BIKAJI</t>
  </si>
  <si>
    <t>Bikaji Foods International Ltd</t>
  </si>
  <si>
    <t>INE00E101023</t>
  </si>
  <si>
    <t>INE622E01023</t>
  </si>
  <si>
    <t>Gayatri Sugars Ltd.</t>
  </si>
  <si>
    <t>GAYATRI</t>
  </si>
  <si>
    <t>GAYATRI SUGARS LTD.</t>
  </si>
  <si>
    <t>INE095A01012</t>
  </si>
  <si>
    <t>Honasa Consumer Limited</t>
  </si>
  <si>
    <t>HONASA</t>
  </si>
  <si>
    <t>Honasa Consumer Ltd</t>
  </si>
  <si>
    <t>INE0J5401028</t>
  </si>
  <si>
    <t>DOMS Industries Limited</t>
  </si>
  <si>
    <t>DOMS</t>
  </si>
  <si>
    <t>DOMS Industries Ltd</t>
  </si>
  <si>
    <t>INE321T01012</t>
  </si>
  <si>
    <t>INE168A01041</t>
  </si>
  <si>
    <t>Bajaj Finance Limited</t>
  </si>
  <si>
    <t>BAJFINANCE</t>
  </si>
  <si>
    <t>INE491A01021</t>
  </si>
  <si>
    <t>CRISIL Ltd.</t>
  </si>
  <si>
    <t>CRISIL</t>
  </si>
  <si>
    <t>CRISIL LTD.</t>
  </si>
  <si>
    <t>INE731A01020</t>
  </si>
  <si>
    <t>Archies Ltd.</t>
  </si>
  <si>
    <t>ARCHIES</t>
  </si>
  <si>
    <t>ARCHIES LTD.</t>
  </si>
  <si>
    <t>INE238A01034</t>
  </si>
  <si>
    <t>IFCI Ltd.</t>
  </si>
  <si>
    <t>IFCI</t>
  </si>
  <si>
    <t>IFCI LTD.</t>
  </si>
  <si>
    <t>INE550B01022</t>
  </si>
  <si>
    <t>HB Stockholdings Ltd.</t>
  </si>
  <si>
    <t>HBSL</t>
  </si>
  <si>
    <t>HB STOCKHOLDINGS LTD.</t>
  </si>
  <si>
    <t>INE027F01014</t>
  </si>
  <si>
    <t>Siel Financial Services Ltd.</t>
  </si>
  <si>
    <t>SIELFNS</t>
  </si>
  <si>
    <t>SIEL FINANCIAL SERVICES LTD.</t>
  </si>
  <si>
    <t>INE683A01023</t>
  </si>
  <si>
    <t>State Bank Of India</t>
  </si>
  <si>
    <t>SBIN</t>
  </si>
  <si>
    <t>STATE BANK OF INDIA</t>
  </si>
  <si>
    <t>Public Sector Bank</t>
  </si>
  <si>
    <t>INE306C01019</t>
  </si>
  <si>
    <t>Energy Development Company Ltd.</t>
  </si>
  <si>
    <t>ENERGYDEV</t>
  </si>
  <si>
    <t>ENERGY DEVELOPMENT COMPANY LTD.</t>
  </si>
  <si>
    <t>INE269A01021</t>
  </si>
  <si>
    <t>IDBI Bank Ltd</t>
  </si>
  <si>
    <t>IDBI</t>
  </si>
  <si>
    <t>IDBI BANK LTD.</t>
  </si>
  <si>
    <t>INE665D01016</t>
  </si>
  <si>
    <t>Bengal Tea &amp; fabrics Ltd.</t>
  </si>
  <si>
    <t>BENGALT</t>
  </si>
  <si>
    <t>BENGAL TEA &amp; FABRICS LTD.</t>
  </si>
  <si>
    <t>HDFC Bank Ltd.</t>
  </si>
  <si>
    <t>HDFCBANK</t>
  </si>
  <si>
    <t>HDFC Bank Ltd</t>
  </si>
  <si>
    <t>INE092B01025</t>
  </si>
  <si>
    <t>India Nippon Electricals Ltd</t>
  </si>
  <si>
    <t>INDNIPPON</t>
  </si>
  <si>
    <t>INDIA NIPPON ELECTRICALS LTD.</t>
  </si>
  <si>
    <t>INE023A01030</t>
  </si>
  <si>
    <t>Nalwa Sons Investment Ltd</t>
  </si>
  <si>
    <t>NSIL</t>
  </si>
  <si>
    <t>NALWA SONS INVESTMENTS LTD.</t>
  </si>
  <si>
    <t>INE372A01015</t>
  </si>
  <si>
    <t>Kotak Mahindra Bank Ltd.</t>
  </si>
  <si>
    <t>KOTAKBANK</t>
  </si>
  <si>
    <t>KOTAK MAHINDRA BANK LTD.</t>
  </si>
  <si>
    <t>YASH INNOVENTURES LIMITED</t>
  </si>
  <si>
    <t>YASHINNO</t>
  </si>
  <si>
    <t>Yash Innoventures Ltd</t>
  </si>
  <si>
    <t>INE793A01012</t>
  </si>
  <si>
    <t>ACCELYA SOLUTIONS INDIA LIMITED</t>
  </si>
  <si>
    <t>ACCELYA</t>
  </si>
  <si>
    <t>Accelya Solutions India Ltd</t>
  </si>
  <si>
    <t>INE215B01022</t>
  </si>
  <si>
    <t>ORCHASP LIMITED</t>
  </si>
  <si>
    <t>ORCHASP</t>
  </si>
  <si>
    <t>Orchasp Ltd</t>
  </si>
  <si>
    <t>INE860A01027</t>
  </si>
  <si>
    <t>Lic Housing Finance Ltd.</t>
  </si>
  <si>
    <t>LICHSGFIN</t>
  </si>
  <si>
    <t>LIC HOUSING FINANCE LTD.</t>
  </si>
  <si>
    <t>INE389D01013</t>
  </si>
  <si>
    <t>TCFC Finance Ltd</t>
  </si>
  <si>
    <t>TCFCFINQ</t>
  </si>
  <si>
    <t>TCFC FINANCE LTD.</t>
  </si>
  <si>
    <t>INE007B01023</t>
  </si>
  <si>
    <t>Geojit Financial Services Limited</t>
  </si>
  <si>
    <t>GEOJITFSL</t>
  </si>
  <si>
    <t>Geojit Financial Services Ltd</t>
  </si>
  <si>
    <t>Maharashtra Scooters Ltd.</t>
  </si>
  <si>
    <t>MAHSCOOTER</t>
  </si>
  <si>
    <t>MAHARASHTRA SCOOTERS LTD.</t>
  </si>
  <si>
    <t>INE791A01024</t>
  </si>
  <si>
    <t>BLB Limited</t>
  </si>
  <si>
    <t>BLBLIMITED</t>
  </si>
  <si>
    <t>BLB LTD.</t>
  </si>
  <si>
    <t>INE935A01035</t>
  </si>
  <si>
    <t>Max Financial Services Limited</t>
  </si>
  <si>
    <t>MFSL</t>
  </si>
  <si>
    <t>Max Financial Services Ltd</t>
  </si>
  <si>
    <t>Insurance</t>
  </si>
  <si>
    <t>Life Insurance</t>
  </si>
  <si>
    <t>INE049B01025</t>
  </si>
  <si>
    <t>Piramal Enterprises Limited</t>
  </si>
  <si>
    <t>PEL</t>
  </si>
  <si>
    <t>PIRAMAL ENTERPRISES LTD.</t>
  </si>
  <si>
    <t>INE934A01012</t>
  </si>
  <si>
    <t>Integrated Hi-tech ltd.</t>
  </si>
  <si>
    <t>INTEGHIT</t>
  </si>
  <si>
    <t>INTEGRATED HITECH LTD.</t>
  </si>
  <si>
    <t>INE602C01011</t>
  </si>
  <si>
    <t>KJMC Corporate Advisors (India) Ltd.</t>
  </si>
  <si>
    <t>KJMCCORP</t>
  </si>
  <si>
    <t>INE915B01019</t>
  </si>
  <si>
    <t>Ind-Swift Laboratories Ltd.</t>
  </si>
  <si>
    <t>INDSWFTLAB</t>
  </si>
  <si>
    <t>IND-SWIFT LABORATORIES LTD.</t>
  </si>
  <si>
    <t>INE878A01011</t>
  </si>
  <si>
    <t>GE Power India Limited</t>
  </si>
  <si>
    <t>GEPIL</t>
  </si>
  <si>
    <t>GE Power India Ltd</t>
  </si>
  <si>
    <t>INE879A01019</t>
  </si>
  <si>
    <t>Shree Rama Multi-tech Ltd.</t>
  </si>
  <si>
    <t>SHREERAMA</t>
  </si>
  <si>
    <t>SHREE RAMA MULTI-TECH LTD.</t>
  </si>
  <si>
    <t>Federal Bank Ltd.</t>
  </si>
  <si>
    <t>FEDERALBNK</t>
  </si>
  <si>
    <t>FEDERAL BANK LTD.</t>
  </si>
  <si>
    <t>INE042B01012</t>
  </si>
  <si>
    <t>Telesys Software Ltd.</t>
  </si>
  <si>
    <t>TELESYS</t>
  </si>
  <si>
    <t>TELESYS SOFTWARE LTD.</t>
  </si>
  <si>
    <t>INE418B01048</t>
  </si>
  <si>
    <t>Vaarad Ventures Ltd</t>
  </si>
  <si>
    <t>VAARAD</t>
  </si>
  <si>
    <t>INE010B01027</t>
  </si>
  <si>
    <t>Bajaj Holdings &amp; Investment Limited</t>
  </si>
  <si>
    <t>BAJAJHLDNG</t>
  </si>
  <si>
    <t>BAJAJ HOLDINGS &amp; INVESTMENT LTD.</t>
  </si>
  <si>
    <t>INE555C01029</t>
  </si>
  <si>
    <t>Shiva Cement Ltd.</t>
  </si>
  <si>
    <t>SHIVACEM</t>
  </si>
  <si>
    <t>SHIVA CEMENT LTD.</t>
  </si>
  <si>
    <t>INE039B01026</t>
  </si>
  <si>
    <t>Cinevista Limited</t>
  </si>
  <si>
    <t>CINEVISTA</t>
  </si>
  <si>
    <t>CINEVISTA LTD.</t>
  </si>
  <si>
    <t>INE781A01025</t>
  </si>
  <si>
    <t>Intense Technologies</t>
  </si>
  <si>
    <t>INTENTECH</t>
  </si>
  <si>
    <t>INTENSE TECHNOLOGIES LTD.-$</t>
  </si>
  <si>
    <t>INE310B01013</t>
  </si>
  <si>
    <t>Danlaw Technologies India Ltd.</t>
  </si>
  <si>
    <t>DANLAW</t>
  </si>
  <si>
    <t>DANLAW TECHNOLOGIES INDIA LTD.-$</t>
  </si>
  <si>
    <t>INE031B01049</t>
  </si>
  <si>
    <t>Tata Investment Corporation Ltd.</t>
  </si>
  <si>
    <t>TATAINVEST</t>
  </si>
  <si>
    <t>TATA INVESTMENT CORPORATION LTD.</t>
  </si>
  <si>
    <t>INE638B01025</t>
  </si>
  <si>
    <t>HB Portfolio Ltd.</t>
  </si>
  <si>
    <t>HBPOR</t>
  </si>
  <si>
    <t>HB PORTFOLIO LTD.</t>
  </si>
  <si>
    <t>INE640B01021</t>
  </si>
  <si>
    <t>HB Estate Developers Ltd.</t>
  </si>
  <si>
    <t>HBESD</t>
  </si>
  <si>
    <t>HB ESTATE DEVELOPERS LTD.</t>
  </si>
  <si>
    <t>INE792B01012</t>
  </si>
  <si>
    <t>Ambica Agarbathies &amp; Aroma Ind. Ltd.</t>
  </si>
  <si>
    <t>AMBICAAGAR</t>
  </si>
  <si>
    <t>AMBICA AGARBATHIES &amp; AROMA INDUSTRIES LTD.</t>
  </si>
  <si>
    <t>INE453B01029</t>
  </si>
  <si>
    <t>Compucom Software Lt.</t>
  </si>
  <si>
    <t>COMPUSOFT</t>
  </si>
  <si>
    <t>COMPUCOM SOFTWARE LTD.-$</t>
  </si>
  <si>
    <t>INE369B01019</t>
  </si>
  <si>
    <t>Omni Axs Software Ltd.</t>
  </si>
  <si>
    <t>OMNIAX</t>
  </si>
  <si>
    <t>OMNI AXS SOFTWARE LTD.</t>
  </si>
  <si>
    <t>INE848A01014</t>
  </si>
  <si>
    <t>IZMO Limited</t>
  </si>
  <si>
    <t>IZMO</t>
  </si>
  <si>
    <t>IZMO Limited-$</t>
  </si>
  <si>
    <t>CHOLAMANDALAM FINANCIAL HOLDINGS LIMITED</t>
  </si>
  <si>
    <t>CHOLAHLDNG</t>
  </si>
  <si>
    <t>Cholamandalam Financial Holdings Ltd</t>
  </si>
  <si>
    <t>INE002B01016</t>
  </si>
  <si>
    <t>SoftSol India Limited.</t>
  </si>
  <si>
    <t>SOFTSOL</t>
  </si>
  <si>
    <t>SOFTSOL INDIA LTD.</t>
  </si>
  <si>
    <t>Sahara Maritime Limited</t>
  </si>
  <si>
    <t>SMARITIME</t>
  </si>
  <si>
    <t>Sahara Maritime Ltd</t>
  </si>
  <si>
    <t>INE0PSJ01011</t>
  </si>
  <si>
    <t>INE754A01055</t>
  </si>
  <si>
    <t>Subex  Ltd</t>
  </si>
  <si>
    <t>SUBEXLTD</t>
  </si>
  <si>
    <t>SUBEX LTD.</t>
  </si>
  <si>
    <t>INE688A01022</t>
  </si>
  <si>
    <t>A.F. Enterprises Limited</t>
  </si>
  <si>
    <t>AFEL</t>
  </si>
  <si>
    <t>A.F. Enterprises Ltd</t>
  </si>
  <si>
    <t>INE663P01015</t>
  </si>
  <si>
    <t>INE243B01016</t>
  </si>
  <si>
    <t>Padmalaya Telefilms Ltd.</t>
  </si>
  <si>
    <t>PADMALAYAT</t>
  </si>
  <si>
    <t>PADMALAYA TELEFILMS LTD.</t>
  </si>
  <si>
    <t>INE523B01011</t>
  </si>
  <si>
    <t>Aksh Optifibre Ltd.</t>
  </si>
  <si>
    <t>AKSHOPTFBR</t>
  </si>
  <si>
    <t>AKSH OPTIFIBRE LTD.</t>
  </si>
  <si>
    <t>INE400B01020</t>
  </si>
  <si>
    <t>Virgo Global Limited</t>
  </si>
  <si>
    <t>VIRGOGLOB</t>
  </si>
  <si>
    <t>Virgo Global Ltd</t>
  </si>
  <si>
    <t>INE448B01029</t>
  </si>
  <si>
    <t>Picturehouse Media Limited</t>
  </si>
  <si>
    <t>PICTUREHS</t>
  </si>
  <si>
    <t>PICTUREHOUSE MEDIA LTD.</t>
  </si>
  <si>
    <t>Can Fin Homes Ltd.</t>
  </si>
  <si>
    <t>CANFINHOME</t>
  </si>
  <si>
    <t>CAN FIN HOMES LTD.</t>
  </si>
  <si>
    <t>INE374B01019</t>
  </si>
  <si>
    <t>Mukta Arts Ltd.</t>
  </si>
  <si>
    <t>MUKTAARTS</t>
  </si>
  <si>
    <t>MUKTA ARTS LTD.</t>
  </si>
  <si>
    <t>INE099E01016</t>
  </si>
  <si>
    <t>Nagpur Power &amp; Industries Ltd</t>
  </si>
  <si>
    <t>NAGPI</t>
  </si>
  <si>
    <t>NAGPUR POWER &amp; INDUSTRIES LTD.</t>
  </si>
  <si>
    <t>INE417B01040</t>
  </si>
  <si>
    <t>Dynacons Systems &amp; Solutions Ltd.</t>
  </si>
  <si>
    <t>DSSL</t>
  </si>
  <si>
    <t>DYNACONS SYSTEMS &amp; SOLUTIONS LTD.</t>
  </si>
  <si>
    <t>INE859A01011</t>
  </si>
  <si>
    <t>PNB Gilts Ltd</t>
  </si>
  <si>
    <t>PNBGILTS</t>
  </si>
  <si>
    <t>PNB GILTS LTD.</t>
  </si>
  <si>
    <t>INE614A01028</t>
  </si>
  <si>
    <t>Ramco Industries Ltd</t>
  </si>
  <si>
    <t>RAMCOIND</t>
  </si>
  <si>
    <t>RAMCO INDUSTRIES LTD.</t>
  </si>
  <si>
    <t>INE246B01019</t>
  </si>
  <si>
    <t>Ramco Systems Ltd</t>
  </si>
  <si>
    <t>RAMCOSYS</t>
  </si>
  <si>
    <t>RAMCO SYSTEMS LTD.</t>
  </si>
  <si>
    <t>INE517B01013</t>
  </si>
  <si>
    <t>Shriram Finance Limited</t>
  </si>
  <si>
    <t>SHRIRAMFIN</t>
  </si>
  <si>
    <t>Shriram Finance Ltd</t>
  </si>
  <si>
    <t>INE539B01017</t>
  </si>
  <si>
    <t>Virinchi Limited</t>
  </si>
  <si>
    <t>VIRINCHI</t>
  </si>
  <si>
    <t>Virinchi Ltd</t>
  </si>
  <si>
    <t>INE434B01029</t>
  </si>
  <si>
    <t>WEP Solutions Ltd</t>
  </si>
  <si>
    <t>WEPSOLN</t>
  </si>
  <si>
    <t>WEP SOLUTIONS LTD.</t>
  </si>
  <si>
    <t>INE089C01029</t>
  </si>
  <si>
    <t>Cholamandalam Investment and Finance Company Ltd</t>
  </si>
  <si>
    <t>CHOLAFIN</t>
  </si>
  <si>
    <t>TVS Holdings Limited</t>
  </si>
  <si>
    <t>TVSHLTD</t>
  </si>
  <si>
    <t>TVS Holdings Ltd</t>
  </si>
  <si>
    <t>INE398B01018</t>
  </si>
  <si>
    <t>MRO-TEK Realty Limited</t>
  </si>
  <si>
    <t>MRO-TEK</t>
  </si>
  <si>
    <t>MRO-TEK Realty Ltd</t>
  </si>
  <si>
    <t>INE464B01018</t>
  </si>
  <si>
    <t>Universal Arts Ltd</t>
  </si>
  <si>
    <t>UNIVARTS</t>
  </si>
  <si>
    <t>UNIVERSAL ARTS LTD.</t>
  </si>
  <si>
    <t>INE683B01047</t>
  </si>
  <si>
    <t>FIRST FINTEC LIMITED</t>
  </si>
  <si>
    <t>FIRSTFIN</t>
  </si>
  <si>
    <t>First Fintec Ltd</t>
  </si>
  <si>
    <t>INE893A01036</t>
  </si>
  <si>
    <t>Baba Arts Ltd</t>
  </si>
  <si>
    <t>BABA</t>
  </si>
  <si>
    <t>BABA ARTS LTD.-$</t>
  </si>
  <si>
    <t>INE794B01026</t>
  </si>
  <si>
    <t>Balaji Telefilms Ltd.</t>
  </si>
  <si>
    <t>BALAJITELE</t>
  </si>
  <si>
    <t>BALAJI TELEFILMS LTD.</t>
  </si>
  <si>
    <t>INE443B01012</t>
  </si>
  <si>
    <t>Tyche Industries Ltd.</t>
  </si>
  <si>
    <t>TYCHE</t>
  </si>
  <si>
    <t>TYCHE INDUSTRIES LTD.</t>
  </si>
  <si>
    <t>INE526B01014</t>
  </si>
  <si>
    <t>California Software Co. Ltd.</t>
  </si>
  <si>
    <t>CALSOFT</t>
  </si>
  <si>
    <t>CALIFORNIA SOFTWARE CO.LTD.</t>
  </si>
  <si>
    <t>INE392B01011</t>
  </si>
  <si>
    <t>Pritish Nandy Communications Ltd</t>
  </si>
  <si>
    <t>PNC</t>
  </si>
  <si>
    <t>PRITISH NANDY COMMUNICATIONS LTD.</t>
  </si>
  <si>
    <t>INE565A01014</t>
  </si>
  <si>
    <t>JM Financial Limited</t>
  </si>
  <si>
    <t>JMFINANCIL</t>
  </si>
  <si>
    <t>JM FINANCIAL LTD.-$</t>
  </si>
  <si>
    <t>INE586B01026</t>
  </si>
  <si>
    <t>Taj GVK Hotels &amp; Resorts Ltd.</t>
  </si>
  <si>
    <t>TAJGVK</t>
  </si>
  <si>
    <t>TAJGVK HOTELS &amp; RESORTS LTD.</t>
  </si>
  <si>
    <t>INE230B01021</t>
  </si>
  <si>
    <t>Creative Eye Ltd.</t>
  </si>
  <si>
    <t>CREATIVEYE</t>
  </si>
  <si>
    <t>CREATIVE EYE LTD.</t>
  </si>
  <si>
    <t>INE555B01013</t>
  </si>
  <si>
    <t>AXISCADES TECHNOLOGIES LIMITED</t>
  </si>
  <si>
    <t>AXISCADES</t>
  </si>
  <si>
    <t>Axiscades Technologies Ltd</t>
  </si>
  <si>
    <t>INE971A01014</t>
  </si>
  <si>
    <t>KONNDOR INDUSTRIES LIMITED</t>
  </si>
  <si>
    <t>KONNDOR</t>
  </si>
  <si>
    <t>Konndor Industries Ltd</t>
  </si>
  <si>
    <t>INE240C01028</t>
  </si>
  <si>
    <t>Usha Martin Education &amp; Solutions Limited</t>
  </si>
  <si>
    <t>UMESLTD</t>
  </si>
  <si>
    <t>INE836A01035</t>
  </si>
  <si>
    <t>POONAWALLA FINCORP LIMITED</t>
  </si>
  <si>
    <t>POONAWALLA</t>
  </si>
  <si>
    <t>Poonawalla Fincorp Ltd</t>
  </si>
  <si>
    <t>INE718B01017</t>
  </si>
  <si>
    <t>USG Tech Solutions Ltd</t>
  </si>
  <si>
    <t>USGTECH</t>
  </si>
  <si>
    <t>USG TECH SOLUTIONS LTD.</t>
  </si>
  <si>
    <t>INE856B01023</t>
  </si>
  <si>
    <t>Saven Technologies Ltd.</t>
  </si>
  <si>
    <t>7TEC</t>
  </si>
  <si>
    <t>SAVEN TECHNOLOGIES LTD.</t>
  </si>
  <si>
    <t>INE005B01027</t>
  </si>
  <si>
    <t>Avantel Limited</t>
  </si>
  <si>
    <t>AVANTEL</t>
  </si>
  <si>
    <t>AVANTEL LTD.</t>
  </si>
  <si>
    <t>INE935B01025</t>
  </si>
  <si>
    <t>Manappuram Finance Limited</t>
  </si>
  <si>
    <t>MANAPPURAM</t>
  </si>
  <si>
    <t>MANAPPURAM FINANCE LTD.</t>
  </si>
  <si>
    <t>INE933B01012</t>
  </si>
  <si>
    <t>Megasoft Ltd.</t>
  </si>
  <si>
    <t>MEGASOFT</t>
  </si>
  <si>
    <t>MEGASOFT LTD.</t>
  </si>
  <si>
    <t>INE330E01023</t>
  </si>
  <si>
    <t>Transcorp International Ltd.</t>
  </si>
  <si>
    <t>TRANSCOR</t>
  </si>
  <si>
    <t>TRANSCORP INTERNATIONAL LTD.</t>
  </si>
  <si>
    <t>INE345B01019</t>
  </si>
  <si>
    <t>Cerebra Integrated Technologies Ltd.</t>
  </si>
  <si>
    <t>CEREBRAINT</t>
  </si>
  <si>
    <t>CEREBRA INTEGRATED TECHNOLOGIES LTD.</t>
  </si>
  <si>
    <t>INE747B01016</t>
  </si>
  <si>
    <t>Next Mediaworks Ltd</t>
  </si>
  <si>
    <t>NEXTMEDIA</t>
  </si>
  <si>
    <t>NEXT MEDIAWORKS LTD.</t>
  </si>
  <si>
    <t>INE178C01020</t>
  </si>
  <si>
    <t>Smartlink Holdings Limited</t>
  </si>
  <si>
    <t>SMARTLINK</t>
  </si>
  <si>
    <t>Smartlink Holdings Ltd</t>
  </si>
  <si>
    <t>Choice International Ltd</t>
  </si>
  <si>
    <t>CHOICEIN</t>
  </si>
  <si>
    <t>CHOICE INTERNATIONAL LTD.</t>
  </si>
  <si>
    <t>INE256D01014</t>
  </si>
  <si>
    <t>GENUS PRIME INFRA LIMITED</t>
  </si>
  <si>
    <t>GENUSPRIME</t>
  </si>
  <si>
    <t>Genus Prime Infra Ltd</t>
  </si>
  <si>
    <t>DISHA RESOURCES LIMITED</t>
  </si>
  <si>
    <t>DRL</t>
  </si>
  <si>
    <t>Disha Resources Ltd</t>
  </si>
  <si>
    <t>Capri Global Capital Limited</t>
  </si>
  <si>
    <t>CGCL</t>
  </si>
  <si>
    <t>INE799C01031</t>
  </si>
  <si>
    <t>Sanmit Infra Limited</t>
  </si>
  <si>
    <t>SANINFRA</t>
  </si>
  <si>
    <t>Bank Of Baroda</t>
  </si>
  <si>
    <t>BANKBARODA</t>
  </si>
  <si>
    <t>BANK OF BARODA</t>
  </si>
  <si>
    <t>INE943D01017</t>
  </si>
  <si>
    <t>MPS Limited</t>
  </si>
  <si>
    <t>MPSLTD</t>
  </si>
  <si>
    <t>MPS LTD.</t>
  </si>
  <si>
    <t>Bank of India</t>
  </si>
  <si>
    <t>BANKINDIA</t>
  </si>
  <si>
    <t>BANK OF INDIA</t>
  </si>
  <si>
    <t>INE541C01037</t>
  </si>
  <si>
    <t>T. Spiritual World Ltd.</t>
  </si>
  <si>
    <t>TSPIRITUAL</t>
  </si>
  <si>
    <t>T.SPIRITUAL WORLD LTD.</t>
  </si>
  <si>
    <t>INE397D01024</t>
  </si>
  <si>
    <t>ICICI Bank Ltd.</t>
  </si>
  <si>
    <t>ICICIBANK</t>
  </si>
  <si>
    <t>ICICI BANK LTD.</t>
  </si>
  <si>
    <t>INE655D01025</t>
  </si>
  <si>
    <t>Shalimar Wires Industries Ltd.</t>
  </si>
  <si>
    <t>SHALIWIR</t>
  </si>
  <si>
    <t>SHALIMAR WIRES INDUSTRIES LTD.</t>
  </si>
  <si>
    <t>INE255D01024</t>
  </si>
  <si>
    <t>Gulshan Polyols Ltd.</t>
  </si>
  <si>
    <t>GULPOLY</t>
  </si>
  <si>
    <t>GULSHAN POLYOLS LTD.</t>
  </si>
  <si>
    <t>INE838E01017</t>
  </si>
  <si>
    <t>Ponni Sugars (Erode) Ltd.</t>
  </si>
  <si>
    <t>PONNIERODE</t>
  </si>
  <si>
    <t>PONNI SUGARS (ERODE) LTD.</t>
  </si>
  <si>
    <t>INE160A01022</t>
  </si>
  <si>
    <t>IndusInd Bank Ltd.</t>
  </si>
  <si>
    <t>INDUSINDBK</t>
  </si>
  <si>
    <t>INDUSIND BANK LTD.</t>
  </si>
  <si>
    <t>INE881D01027</t>
  </si>
  <si>
    <t>Jammu and Kashmir Bank Ltd.</t>
  </si>
  <si>
    <t>J&amp;KBANK</t>
  </si>
  <si>
    <t>JAMMU &amp; KASHMIR BANK LTD.</t>
  </si>
  <si>
    <t>INE550F01031</t>
  </si>
  <si>
    <t>Hazoor Multi Projects Limited</t>
  </si>
  <si>
    <t>HAZOOR</t>
  </si>
  <si>
    <t>HAZOOR MULTI PROJECTS LTD.-$</t>
  </si>
  <si>
    <t>INE411F01010</t>
  </si>
  <si>
    <t>City Union Bank Ltd</t>
  </si>
  <si>
    <t>CUB</t>
  </si>
  <si>
    <t>CITY UNION BANK LTD.</t>
  </si>
  <si>
    <t>INE266F01018</t>
  </si>
  <si>
    <t>Aptech Ltd.</t>
  </si>
  <si>
    <t>APTECHT</t>
  </si>
  <si>
    <t>APTECH LTD.</t>
  </si>
  <si>
    <t>INE692A01016</t>
  </si>
  <si>
    <t>AXIS Bank Ltd.</t>
  </si>
  <si>
    <t>AXISBANK</t>
  </si>
  <si>
    <t>AXIS BANK LTD.</t>
  </si>
  <si>
    <t>South Indian Bank Ltd.</t>
  </si>
  <si>
    <t>SOUTHBANK</t>
  </si>
  <si>
    <t>SOUTH INDIAN BANK LTD.</t>
  </si>
  <si>
    <t>INE732F01019</t>
  </si>
  <si>
    <t>ISMT Limited</t>
  </si>
  <si>
    <t>ISMTLTD</t>
  </si>
  <si>
    <t>ISMT LTD.</t>
  </si>
  <si>
    <t>Future Supply Chain Solutions Limited</t>
  </si>
  <si>
    <t>FSC</t>
  </si>
  <si>
    <t>Future Supply Chain Solutions Ltd</t>
  </si>
  <si>
    <t>INE935Q01015</t>
  </si>
  <si>
    <t>INE101D01020</t>
  </si>
  <si>
    <t>Indian Overseas Bank</t>
  </si>
  <si>
    <t>IOB</t>
  </si>
  <si>
    <t>INDIAN OVERSEAS BANK</t>
  </si>
  <si>
    <t>INE476A01022</t>
  </si>
  <si>
    <t>Punjab National Bank</t>
  </si>
  <si>
    <t>PNB</t>
  </si>
  <si>
    <t>PUNJAB NATIONAL BANK</t>
  </si>
  <si>
    <t>INE525F01017</t>
  </si>
  <si>
    <t>Balmer Lawrie Investments Ltd.</t>
  </si>
  <si>
    <t>BLIL</t>
  </si>
  <si>
    <t>BALMER LAWRIE INVESTMENTS LTD.</t>
  </si>
  <si>
    <t>INE637C01025</t>
  </si>
  <si>
    <t>Pokarna Ltd.</t>
  </si>
  <si>
    <t>POKARNA</t>
  </si>
  <si>
    <t>POKARNA LTD.</t>
  </si>
  <si>
    <t>INE361B01024</t>
  </si>
  <si>
    <t>Kama Holdings Limited</t>
  </si>
  <si>
    <t>KAMAHOLD</t>
  </si>
  <si>
    <t>Kama Holdings Limited-$</t>
  </si>
  <si>
    <t>INE386C01029</t>
  </si>
  <si>
    <t>Union Bank of India</t>
  </si>
  <si>
    <t>UNIONBANK</t>
  </si>
  <si>
    <t>UNION BANK OF INDIA</t>
  </si>
  <si>
    <t>Canara Bank</t>
  </si>
  <si>
    <t>CANBK</t>
  </si>
  <si>
    <t>CANARA BANK</t>
  </si>
  <si>
    <t>UCO Bank</t>
  </si>
  <si>
    <t>UCOBANK</t>
  </si>
  <si>
    <t>UCO BANK</t>
  </si>
  <si>
    <t>INE691A01018</t>
  </si>
  <si>
    <t>INE296E01026</t>
  </si>
  <si>
    <t>Rajapalayam Mills Limited</t>
  </si>
  <si>
    <t>RAJPALAYAM</t>
  </si>
  <si>
    <t>RAJAPALAYAM MILLS LTD.-$</t>
  </si>
  <si>
    <t>Bank of maharashtra</t>
  </si>
  <si>
    <t>MAHABANK</t>
  </si>
  <si>
    <t>BANK OF MAHARASHTRA</t>
  </si>
  <si>
    <t>INE457A01014</t>
  </si>
  <si>
    <t>IIFL FINANCE LIMITED</t>
  </si>
  <si>
    <t>IIFL</t>
  </si>
  <si>
    <t>IIFL Finance Ltd</t>
  </si>
  <si>
    <t>INE530B01024</t>
  </si>
  <si>
    <t>INE116D01028</t>
  </si>
  <si>
    <t>B.A.G. Films &amp; Media Ltd</t>
  </si>
  <si>
    <t>BAGFILMS</t>
  </si>
  <si>
    <t>B.A.G.FILMS &amp; MEDIA LTD.</t>
  </si>
  <si>
    <t>JSW Holdings Limited</t>
  </si>
  <si>
    <t>JSWHL</t>
  </si>
  <si>
    <t>INE824G01012</t>
  </si>
  <si>
    <t>Yes Bank Ltd.</t>
  </si>
  <si>
    <t>YESBANK</t>
  </si>
  <si>
    <t>YES BANK LTD.</t>
  </si>
  <si>
    <t>INE528G01035</t>
  </si>
  <si>
    <t>INE236G01019</t>
  </si>
  <si>
    <t>TVS Electronics Ltd.</t>
  </si>
  <si>
    <t>TVSELECT</t>
  </si>
  <si>
    <t>TVS ELECTRONICS LTD.</t>
  </si>
  <si>
    <t>Karnataka Bank Ltd.</t>
  </si>
  <si>
    <t>KTKBANK</t>
  </si>
  <si>
    <t>KARNATAKA BANK LTD.</t>
  </si>
  <si>
    <t>INE614B01018</t>
  </si>
  <si>
    <t>INE038F01029</t>
  </si>
  <si>
    <t>T.V.Today Network Limited</t>
  </si>
  <si>
    <t>TVTODAY</t>
  </si>
  <si>
    <t>TV TODAY NETWORK LTD.</t>
  </si>
  <si>
    <t>INE218G01033</t>
  </si>
  <si>
    <t>Palred Technologies Limited</t>
  </si>
  <si>
    <t>PALREDTEC</t>
  </si>
  <si>
    <t>IDFC LIMITED</t>
  </si>
  <si>
    <t>IDFC</t>
  </si>
  <si>
    <t>INE043D01016</t>
  </si>
  <si>
    <t>INE376G01013</t>
  </si>
  <si>
    <t>Mahindra &amp; Mahindra Financial Services Limited</t>
  </si>
  <si>
    <t>M&amp;MFIN</t>
  </si>
  <si>
    <t>MAHINDRA &amp; MAHINDRA FINANCIAL SERVICES LTD.</t>
  </si>
  <si>
    <t>INE774D01024</t>
  </si>
  <si>
    <t>INE877F01012</t>
  </si>
  <si>
    <t>Power Finance Corporation Ltd</t>
  </si>
  <si>
    <t>PFC</t>
  </si>
  <si>
    <t>POWER FINANCE CORPORATION LTD.</t>
  </si>
  <si>
    <t>INE134E01011</t>
  </si>
  <si>
    <t>Indian Bank</t>
  </si>
  <si>
    <t>INDIANB</t>
  </si>
  <si>
    <t>INDIAN BANK</t>
  </si>
  <si>
    <t>INE562A01011</t>
  </si>
  <si>
    <t>ICRA Limited</t>
  </si>
  <si>
    <t>ICRA</t>
  </si>
  <si>
    <t>ICRA LTD.</t>
  </si>
  <si>
    <t>INE725G01011</t>
  </si>
  <si>
    <t>Ratings</t>
  </si>
  <si>
    <t>INE365B01017</t>
  </si>
  <si>
    <t>Datamatics Global Services Limited</t>
  </si>
  <si>
    <t>DATAMATICS</t>
  </si>
  <si>
    <t>DATAMATICS GLOBAL SERVICES LTD.</t>
  </si>
  <si>
    <t>INE155G01029</t>
  </si>
  <si>
    <t>New Delhi Television Limited</t>
  </si>
  <si>
    <t>NDTV</t>
  </si>
  <si>
    <t>NEW DELHI TELEVISION LTD.</t>
  </si>
  <si>
    <t>INE939A01011</t>
  </si>
  <si>
    <t>Central Bank of India</t>
  </si>
  <si>
    <t>CENTRALBK</t>
  </si>
  <si>
    <t>CENTRAL BANK OF INDIA</t>
  </si>
  <si>
    <t>INE483A01010</t>
  </si>
  <si>
    <t>INE455F01025</t>
  </si>
  <si>
    <t>Jaiprakash Associates Limited</t>
  </si>
  <si>
    <t>JPASSOCIAT</t>
  </si>
  <si>
    <t>JAIPRAKASH ASSOCIATES LTD.</t>
  </si>
  <si>
    <t>Motilal Oswal Financial Services Limited</t>
  </si>
  <si>
    <t>MOTILALOFS</t>
  </si>
  <si>
    <t>MOTILAL OSWAL FINANCIAL SERVICES LTD.</t>
  </si>
  <si>
    <t>INE338I01027</t>
  </si>
  <si>
    <t>PAISALO DIGITAL LIMITED</t>
  </si>
  <si>
    <t>PAISALO</t>
  </si>
  <si>
    <t>Paisalo Digital Ltd</t>
  </si>
  <si>
    <t>INE420C01059</t>
  </si>
  <si>
    <t>INE467B01029</t>
  </si>
  <si>
    <t>Religare Enterprises Ltd</t>
  </si>
  <si>
    <t>RELIGARE</t>
  </si>
  <si>
    <t>RELIGARE ENTERPRISES LTD.</t>
  </si>
  <si>
    <t>INE621H01010</t>
  </si>
  <si>
    <t>INE591G01017</t>
  </si>
  <si>
    <t>Edelweiss Financial Services Ltd.</t>
  </si>
  <si>
    <t>EDELWEISS</t>
  </si>
  <si>
    <t>INE532F01054</t>
  </si>
  <si>
    <t>INE586G01017</t>
  </si>
  <si>
    <t>GP Petroleums Limited</t>
  </si>
  <si>
    <t>GULFPETRO</t>
  </si>
  <si>
    <t>REC LIMITED</t>
  </si>
  <si>
    <t>RECLTD</t>
  </si>
  <si>
    <t>REC Ltd</t>
  </si>
  <si>
    <t>INE020B01018</t>
  </si>
  <si>
    <t>INE625G01013</t>
  </si>
  <si>
    <t>Bajaj Finserv Limited</t>
  </si>
  <si>
    <t>BAJAJFINSV</t>
  </si>
  <si>
    <t>BAJAJ FINSERV LTD.</t>
  </si>
  <si>
    <t>INE918I01026</t>
  </si>
  <si>
    <t>INE733E01010</t>
  </si>
  <si>
    <t>Bengal &amp; Assam Company Limited</t>
  </si>
  <si>
    <t>BENGALASM</t>
  </si>
  <si>
    <t>BENGAL &amp; ASSAM COMPANY LTD.</t>
  </si>
  <si>
    <t>INE083K01017</t>
  </si>
  <si>
    <t>INE658G01014</t>
  </si>
  <si>
    <t>S.A.L. Steel Ltd.</t>
  </si>
  <si>
    <t>SALSTEEL</t>
  </si>
  <si>
    <t>S.A.L.STEEL LTD.</t>
  </si>
  <si>
    <t>PUNJAB &amp; SIND BANK</t>
  </si>
  <si>
    <t>PSB</t>
  </si>
  <si>
    <t>INE608A01012</t>
  </si>
  <si>
    <t>INE366A01041</t>
  </si>
  <si>
    <t>Dwarikesh Sugar Industries Ltd.</t>
  </si>
  <si>
    <t>DWARKESH</t>
  </si>
  <si>
    <t>DWARIKESH SUGAR INDUSTRIES LTD.</t>
  </si>
  <si>
    <t>INE873D01024</t>
  </si>
  <si>
    <t>Indoco Remedies Ltd.</t>
  </si>
  <si>
    <t>INDOCO</t>
  </si>
  <si>
    <t>INDOCO REMEDIES LTD.</t>
  </si>
  <si>
    <t>INE450G01024</t>
  </si>
  <si>
    <t>VIP Clothing Limited</t>
  </si>
  <si>
    <t>VIPCLOTHNG</t>
  </si>
  <si>
    <t>VIP Clothing Ltd</t>
  </si>
  <si>
    <t>INE691G01015</t>
  </si>
  <si>
    <t>Impex Ferro tech Ltd.</t>
  </si>
  <si>
    <t>IMPEXFERRO</t>
  </si>
  <si>
    <t>IMPEX FERRO TECH LTD.</t>
  </si>
  <si>
    <t>INE692G01013</t>
  </si>
  <si>
    <t>Xchanging Solutions Limited</t>
  </si>
  <si>
    <t>XCHANGING</t>
  </si>
  <si>
    <t>XCHANGING SOLUTIONS LTD.</t>
  </si>
  <si>
    <t>Triveni Enterprises Limited</t>
  </si>
  <si>
    <t>TRIVENIENT</t>
  </si>
  <si>
    <t>Triveni Enterprises Ltd</t>
  </si>
  <si>
    <t>INE916P01025</t>
  </si>
  <si>
    <t>INE796G01012</t>
  </si>
  <si>
    <t>Jindal Photo Limited</t>
  </si>
  <si>
    <t>JINDALPHOT</t>
  </si>
  <si>
    <t>JINDAL PHOTO LTD.</t>
  </si>
  <si>
    <t>INE063E01046</t>
  </si>
  <si>
    <t>Pondy Oxides &amp; Chemicals Limited</t>
  </si>
  <si>
    <t>POCL</t>
  </si>
  <si>
    <t>PONDY OXIDES &amp; CHEMICALS LTD.</t>
  </si>
  <si>
    <t>INE351F01018</t>
  </si>
  <si>
    <t>MUTHOOT FINANCE LIMITED</t>
  </si>
  <si>
    <t>MUTHOOTFIN</t>
  </si>
  <si>
    <t>MUTHOOT FINANCE LTD.</t>
  </si>
  <si>
    <t>INE414G01012</t>
  </si>
  <si>
    <t>INE748C01038</t>
  </si>
  <si>
    <t>3i Infotech limited</t>
  </si>
  <si>
    <t>3IINFOLTD</t>
  </si>
  <si>
    <t>3I INFOTECH LTD.</t>
  </si>
  <si>
    <t>INE748A01016</t>
  </si>
  <si>
    <t>McNally Bharat Engineering Company Limited</t>
  </si>
  <si>
    <t>MBECL</t>
  </si>
  <si>
    <t>MCNALLY BHARAT ENGINEERING COMPANY LTD.</t>
  </si>
  <si>
    <t>L&amp;T Finance Limited</t>
  </si>
  <si>
    <t>LTF</t>
  </si>
  <si>
    <t>L&amp;T Finance Ltd</t>
  </si>
  <si>
    <t>INE498L01015</t>
  </si>
  <si>
    <t>Sumeru Industries Ltd.</t>
  </si>
  <si>
    <t>SUMERUIND</t>
  </si>
  <si>
    <t>SUMERU INDUSTRIES LTD.</t>
  </si>
  <si>
    <t>Multi Commodity Exchange of India Ltd</t>
  </si>
  <si>
    <t>MCX</t>
  </si>
  <si>
    <t>MULTI COMMODITY EXCHANGE OF INDIA LTD.</t>
  </si>
  <si>
    <t>INE745G01035</t>
  </si>
  <si>
    <t>Exchange and Data Platform</t>
  </si>
  <si>
    <t>INE584F01014</t>
  </si>
  <si>
    <t>Mangalam Drugs and Organics Ltd.</t>
  </si>
  <si>
    <t>MANGALAM</t>
  </si>
  <si>
    <t>MANGALAM DRUGS &amp; ORGANICS LTD.</t>
  </si>
  <si>
    <t>INDIABULLS HOUSING FINANCE LIMITED</t>
  </si>
  <si>
    <t>IBULHSGFIN</t>
  </si>
  <si>
    <t>Indiabulls Housing Finance Ltd</t>
  </si>
  <si>
    <t>INE148I01020</t>
  </si>
  <si>
    <t>INE278G01037</t>
  </si>
  <si>
    <t>Cyber Media (India) Ltd.</t>
  </si>
  <si>
    <t>CYBERMEDIA</t>
  </si>
  <si>
    <t>CYBER MEDIA (INDIA) LTD.</t>
  </si>
  <si>
    <t>INE875G01030</t>
  </si>
  <si>
    <t>Nandan Denim Limited</t>
  </si>
  <si>
    <t>NDL</t>
  </si>
  <si>
    <t>Authum Investment &amp; Infrastructure Limited</t>
  </si>
  <si>
    <t>AIIL</t>
  </si>
  <si>
    <t>Authum Investment &amp; Infrastructure Ltd</t>
  </si>
  <si>
    <t>INE206F01022</t>
  </si>
  <si>
    <t>IDFC FIRST BANK LIMITED</t>
  </si>
  <si>
    <t>IDFCFIRSTB</t>
  </si>
  <si>
    <t>IDFC First Bank Ltd</t>
  </si>
  <si>
    <t>INE092T01019</t>
  </si>
  <si>
    <t>INE052B01011</t>
  </si>
  <si>
    <t>Esaar (India) Ltd.</t>
  </si>
  <si>
    <t>ESARIND</t>
  </si>
  <si>
    <t>ESAAR (INDIA) LTD.</t>
  </si>
  <si>
    <t>INFIBEAM AVENUES LIMITED</t>
  </si>
  <si>
    <t>INFIBEAM</t>
  </si>
  <si>
    <t>Infibeam Avenues Ltd</t>
  </si>
  <si>
    <t>INE483S01020</t>
  </si>
  <si>
    <t>INE023H01027</t>
  </si>
  <si>
    <t>Nectar Lifesciences Limited</t>
  </si>
  <si>
    <t>NECLIFE</t>
  </si>
  <si>
    <t>NECTAR LIFESCIENCES LTD.</t>
  </si>
  <si>
    <t>INE752G01015</t>
  </si>
  <si>
    <t>MSP STEEL &amp; POWER LTD.</t>
  </si>
  <si>
    <t>MSPL</t>
  </si>
  <si>
    <t>INE978G01016</t>
  </si>
  <si>
    <t>SPL INDUSTRIES LIMITED</t>
  </si>
  <si>
    <t>SPLIL</t>
  </si>
  <si>
    <t>SPL INDUSTRIES LTD.</t>
  </si>
  <si>
    <t>Pilani Investment And Industries Corporation Limited</t>
  </si>
  <si>
    <t>PILANIINVS</t>
  </si>
  <si>
    <t>Pilani Investment and Industries Corporation Ltd</t>
  </si>
  <si>
    <t>INE417C01014</t>
  </si>
  <si>
    <t>INE942G01012</t>
  </si>
  <si>
    <t>McLeod Russel India Limited</t>
  </si>
  <si>
    <t>MCLEODRUSS</t>
  </si>
  <si>
    <t>MCLEOD RUSSEL INDIA LTD.</t>
  </si>
  <si>
    <t>INE828G01013</t>
  </si>
  <si>
    <t>FACOR Alloys Limited</t>
  </si>
  <si>
    <t>FACORALL</t>
  </si>
  <si>
    <t>FACOR ALLOYS LTD.</t>
  </si>
  <si>
    <t>RBL Bank Limited</t>
  </si>
  <si>
    <t>RBLBANK</t>
  </si>
  <si>
    <t>RBL Bank Ltd</t>
  </si>
  <si>
    <t>INE976G01028</t>
  </si>
  <si>
    <t>INE050H01012</t>
  </si>
  <si>
    <t>Rane (Madras)  Ltd.</t>
  </si>
  <si>
    <t>RML</t>
  </si>
  <si>
    <t>RANE (MADRAS) LTD.</t>
  </si>
  <si>
    <t>INE501G01024</t>
  </si>
  <si>
    <t>HT Media Ltd</t>
  </si>
  <si>
    <t>HTMEDIA</t>
  </si>
  <si>
    <t>HT MEDIA LTD.</t>
  </si>
  <si>
    <t>INE231F01020</t>
  </si>
  <si>
    <t>Sasken Technologies Limited</t>
  </si>
  <si>
    <t>SASKEN</t>
  </si>
  <si>
    <t>Sasken Technologies Ltd</t>
  </si>
  <si>
    <t>INE512B01022</t>
  </si>
  <si>
    <t>FCS Software Solutions Ltd.</t>
  </si>
  <si>
    <t>FCSSOFT</t>
  </si>
  <si>
    <t>FCS SOFTWARE SOLUTIONS LTD.</t>
  </si>
  <si>
    <t>INE040H01021</t>
  </si>
  <si>
    <t>ICICI Prudential Life Insurance Company Limited</t>
  </si>
  <si>
    <t>ICICIPRULI</t>
  </si>
  <si>
    <t>ICICI Prudential Life Insurance Company Ltd</t>
  </si>
  <si>
    <t>INE726G01019</t>
  </si>
  <si>
    <t>INE132H01018</t>
  </si>
  <si>
    <t>PNB Housing Finance Limited</t>
  </si>
  <si>
    <t>PNBHOUSING</t>
  </si>
  <si>
    <t>PNB Housing Finance Ltd</t>
  </si>
  <si>
    <t>INE572E01012</t>
  </si>
  <si>
    <t>Housing &amp;Urban Development Corporation Ltd.</t>
  </si>
  <si>
    <t>HUDCO</t>
  </si>
  <si>
    <t>Housing &amp; Urban Development Corporation Ltd</t>
  </si>
  <si>
    <t>INE031A01017</t>
  </si>
  <si>
    <t>INE157H01023</t>
  </si>
  <si>
    <t>K. M. Sugar Mills Ltd.</t>
  </si>
  <si>
    <t>KMSUGAR</t>
  </si>
  <si>
    <t>K.M.SUGAR MILLS LTD.</t>
  </si>
  <si>
    <t>INE186H01022</t>
  </si>
  <si>
    <t>Bannari Amman Spinning Mills Ltd</t>
  </si>
  <si>
    <t>BASML</t>
  </si>
  <si>
    <t>BANNARI AMMAN SPINNING MILLS LTD.</t>
  </si>
  <si>
    <t>INE160H01019</t>
  </si>
  <si>
    <t>PBA INFRASTRUCTURE LTD.</t>
  </si>
  <si>
    <t>PBAINFRA</t>
  </si>
  <si>
    <t>INE212H01026</t>
  </si>
  <si>
    <t>AU Small Finance Bank Limited</t>
  </si>
  <si>
    <t>AUBANK</t>
  </si>
  <si>
    <t>AU Small Finance Bank Ltd</t>
  </si>
  <si>
    <t>INE949L01017</t>
  </si>
  <si>
    <t>INE184H01027</t>
  </si>
  <si>
    <t>Everest Kanto Cylinders Ltd.</t>
  </si>
  <si>
    <t>EKC</t>
  </si>
  <si>
    <t>EVEREST KANTO CYLINDER LTD.</t>
  </si>
  <si>
    <t>Gemstone Investments Ltd.</t>
  </si>
  <si>
    <t>GEMSI</t>
  </si>
  <si>
    <t>GEMSTONE INVESTMENTS LTD.</t>
  </si>
  <si>
    <t>INE461B01014</t>
  </si>
  <si>
    <t>Repro India Ltd.</t>
  </si>
  <si>
    <t>REPRO</t>
  </si>
  <si>
    <t>REPRO INDIA LTD.</t>
  </si>
  <si>
    <t>Aditya Birla Capital Ltd</t>
  </si>
  <si>
    <t>ABCAPITAL</t>
  </si>
  <si>
    <t>INE674K01013</t>
  </si>
  <si>
    <t>INE855F01042</t>
  </si>
  <si>
    <t>Bartronics India Ltd.</t>
  </si>
  <si>
    <t>ASMS</t>
  </si>
  <si>
    <t>BARTRONICS INDIA LTD.</t>
  </si>
  <si>
    <t>INE185H01016</t>
  </si>
  <si>
    <t>Celebrity Fashions Ltd.</t>
  </si>
  <si>
    <t>CELEBRITY</t>
  </si>
  <si>
    <t>CELEBRITY FASHIONS LTD.</t>
  </si>
  <si>
    <t>INE229H01012</t>
  </si>
  <si>
    <t>Nitin Spinners Ltd.</t>
  </si>
  <si>
    <t>NITINSPIN</t>
  </si>
  <si>
    <t>NITIN SPINNERS LTD.</t>
  </si>
  <si>
    <t>INE283H01019</t>
  </si>
  <si>
    <t>Royal Orchid Hotels Ltd</t>
  </si>
  <si>
    <t>ROHLTD</t>
  </si>
  <si>
    <t>ROYAL ORCHID HOTELS LTD.</t>
  </si>
  <si>
    <t>INE265F01028</t>
  </si>
  <si>
    <t>Entertainment Network (India) Ltd</t>
  </si>
  <si>
    <t>ENIL</t>
  </si>
  <si>
    <t>ENTERTAINMENT NETWORK (INDIA) LTD.</t>
  </si>
  <si>
    <t>INE266H01014</t>
  </si>
  <si>
    <t>CELLA SPACE LIMITED</t>
  </si>
  <si>
    <t>CELLA</t>
  </si>
  <si>
    <t>Cella Space Ltd</t>
  </si>
  <si>
    <t>ICICI Lombard General Insurance Company Limited</t>
  </si>
  <si>
    <t>ICICIGI</t>
  </si>
  <si>
    <t>ICICI Lombard General Insurance Company Ltd</t>
  </si>
  <si>
    <t>INE765G01017</t>
  </si>
  <si>
    <t>General Insurance</t>
  </si>
  <si>
    <t>INE199G01027</t>
  </si>
  <si>
    <t>Jagran Prakashan Limited</t>
  </si>
  <si>
    <t>JAGRAN</t>
  </si>
  <si>
    <t>JAGRAN PRAKASHAN LTD.</t>
  </si>
  <si>
    <t>INE256H01015</t>
  </si>
  <si>
    <t>Dynemic Products Ltd.</t>
  </si>
  <si>
    <t>DYNPRO</t>
  </si>
  <si>
    <t>DYNEMIC PRODUCTS LTD.</t>
  </si>
  <si>
    <t>INE251H01024</t>
  </si>
  <si>
    <t>GVK Power &amp; Infrastructure Ltd</t>
  </si>
  <si>
    <t>GVKPIL</t>
  </si>
  <si>
    <t>GVK POWER &amp; INFRASTRUCTURE LTD.</t>
  </si>
  <si>
    <t>INE226H01026</t>
  </si>
  <si>
    <t>Sadbhav Engineering Ltd.</t>
  </si>
  <si>
    <t>SADBHAV</t>
  </si>
  <si>
    <t>SADBHAV ENGINEERING LTD.</t>
  </si>
  <si>
    <t>Sun Retail Limited</t>
  </si>
  <si>
    <t>SUNRETAIL</t>
  </si>
  <si>
    <t>Sun Retail Ltd</t>
  </si>
  <si>
    <t>INE206Z01020</t>
  </si>
  <si>
    <t>INE389H01022</t>
  </si>
  <si>
    <t>SBI Life Insurance Company Limited</t>
  </si>
  <si>
    <t>SBILIFE</t>
  </si>
  <si>
    <t>SBI Life Insurance Company Ltd</t>
  </si>
  <si>
    <t>INE123W01016</t>
  </si>
  <si>
    <t>INE047B01011</t>
  </si>
  <si>
    <t>Gillanders Arbuthnot &amp; Co. Ltd.</t>
  </si>
  <si>
    <t>GILLANDERS</t>
  </si>
  <si>
    <t>GILLANDERS ARBUTHNOT &amp; CO.LTD.</t>
  </si>
  <si>
    <t>INE332H01014</t>
  </si>
  <si>
    <t>Indo Tech Transformers Limited</t>
  </si>
  <si>
    <t>INDOTECH</t>
  </si>
  <si>
    <t>INDO TECH TRANSFORMERS LTD.</t>
  </si>
  <si>
    <t>INE350H01032</t>
  </si>
  <si>
    <t>B L Kashyap and Sons Ltd</t>
  </si>
  <si>
    <t>BLKASHYAP</t>
  </si>
  <si>
    <t>B.L.KASHYAP AND SONS LTD.</t>
  </si>
  <si>
    <t>Share India Securities Limited</t>
  </si>
  <si>
    <t>SHAREINDIA</t>
  </si>
  <si>
    <t>Share India Securities Ltd</t>
  </si>
  <si>
    <t>INE932X01026</t>
  </si>
  <si>
    <t>INE286H01012</t>
  </si>
  <si>
    <t>Visa Steel Limited</t>
  </si>
  <si>
    <t>VISASTEEL</t>
  </si>
  <si>
    <t>VISA STEEL LTD.</t>
  </si>
  <si>
    <t>INE858F01012</t>
  </si>
  <si>
    <t>Nitco Ltd.</t>
  </si>
  <si>
    <t>NITCO</t>
  </si>
  <si>
    <t>NITCO LTD.</t>
  </si>
  <si>
    <t>INE493H01014</t>
  </si>
  <si>
    <t>MPDL LIMITED</t>
  </si>
  <si>
    <t>MPDL</t>
  </si>
  <si>
    <t>MPDL Ltd</t>
  </si>
  <si>
    <t>MAS Financial Services Limited</t>
  </si>
  <si>
    <t>MASFIN</t>
  </si>
  <si>
    <t>MAS Financial Services Ltd</t>
  </si>
  <si>
    <t>INE348L01012</t>
  </si>
  <si>
    <t>INE297H01019</t>
  </si>
  <si>
    <t>Indian Energy Exchange Limited</t>
  </si>
  <si>
    <t>IEX</t>
  </si>
  <si>
    <t>Indian Energy Exchange Ltd</t>
  </si>
  <si>
    <t>INE022Q01020</t>
  </si>
  <si>
    <t>INE383H01017</t>
  </si>
  <si>
    <t>Malu Paper Mills Limited</t>
  </si>
  <si>
    <t>MALUPAPER</t>
  </si>
  <si>
    <t>MALU PAPER MILLS LTD.</t>
  </si>
  <si>
    <t>INE786F01031</t>
  </si>
  <si>
    <t>Uttam Sugar Mills Ltd</t>
  </si>
  <si>
    <t>UTTAMSUGAR</t>
  </si>
  <si>
    <t>UTTAM SUGAR MILLS LTD.</t>
  </si>
  <si>
    <t>INE353H01010</t>
  </si>
  <si>
    <t>STL Global Ltd</t>
  </si>
  <si>
    <t>SGL</t>
  </si>
  <si>
    <t>STL GLOBAL LTD.</t>
  </si>
  <si>
    <t>INE401H01017</t>
  </si>
  <si>
    <t>Kewal Kiran Clothing Ltd.</t>
  </si>
  <si>
    <t>KKCL</t>
  </si>
  <si>
    <t>KEWAL KIRAN CLOTHING LTD.</t>
  </si>
  <si>
    <t>General Insurance Corporation of India</t>
  </si>
  <si>
    <t>GICRE</t>
  </si>
  <si>
    <t>INE481Y01014</t>
  </si>
  <si>
    <t>INE177H01021</t>
  </si>
  <si>
    <t>NIPPON LIFE INDIA ASSET MANAGEMENT LIMITED</t>
  </si>
  <si>
    <t>NAM-INDIA</t>
  </si>
  <si>
    <t>Nippon Life India Asset Management Ltd</t>
  </si>
  <si>
    <t>INE298J01013</t>
  </si>
  <si>
    <t>INE411H01032</t>
  </si>
  <si>
    <t>The New India Assurance Company Limited</t>
  </si>
  <si>
    <t>NIACL</t>
  </si>
  <si>
    <t>The New India Assurance Company Ltd</t>
  </si>
  <si>
    <t>INE470Y01017</t>
  </si>
  <si>
    <t>INE296H01011</t>
  </si>
  <si>
    <t>Emkay Global Financial Services Ltd</t>
  </si>
  <si>
    <t>EMKAY</t>
  </si>
  <si>
    <t>EMKAY GLOBAL FINANCIAL SERVICES LTD.</t>
  </si>
  <si>
    <t>INE388G01026</t>
  </si>
  <si>
    <t>Tantia Constructions Limited</t>
  </si>
  <si>
    <t>TCLCONS</t>
  </si>
  <si>
    <t>TANTIA CONSTRUCTIONS LTD.</t>
  </si>
  <si>
    <t>INE397H01017</t>
  </si>
  <si>
    <t>Lokesh Machines Limited</t>
  </si>
  <si>
    <t>LOKESHMACH</t>
  </si>
  <si>
    <t>LOKESH MACHINES LTD.</t>
  </si>
  <si>
    <t>INE390H01012</t>
  </si>
  <si>
    <t>Kamdhenu Limited</t>
  </si>
  <si>
    <t>KAMDHENU</t>
  </si>
  <si>
    <t>Kamdhenu Ltd</t>
  </si>
  <si>
    <t>INE111F01016</t>
  </si>
  <si>
    <t>PAUSHAK LIMITED (formerly known as Darshak Limited)</t>
  </si>
  <si>
    <t>PAUSHAKLTD</t>
  </si>
  <si>
    <t>PAUSHAK LTD.</t>
  </si>
  <si>
    <t>INE302H01017</t>
  </si>
  <si>
    <t>GTN Textiles Ltd. (formerly known as GTN Industries Ltd.)</t>
  </si>
  <si>
    <t>GTNTEX</t>
  </si>
  <si>
    <t>GTN TEXTILES LTD.</t>
  </si>
  <si>
    <t>INE347H01012</t>
  </si>
  <si>
    <t>Inditrade Capital Limited</t>
  </si>
  <si>
    <t>INDICAP</t>
  </si>
  <si>
    <t>INE367G01038</t>
  </si>
  <si>
    <t>Prime Focus Limited</t>
  </si>
  <si>
    <t>PFOCUS</t>
  </si>
  <si>
    <t>PRIME FOCUS LTD.</t>
  </si>
  <si>
    <t>INE418H01029</t>
  </si>
  <si>
    <t>Coastal Roadways Ltd.</t>
  </si>
  <si>
    <t>COARO</t>
  </si>
  <si>
    <t>COASTAL ROADWAYS LTD.</t>
  </si>
  <si>
    <t>INE776C01039</t>
  </si>
  <si>
    <t>SRU Steels Limited</t>
  </si>
  <si>
    <t>SRUSTEELS</t>
  </si>
  <si>
    <t>SRU Steels Ltd</t>
  </si>
  <si>
    <t>INE425C01017</t>
  </si>
  <si>
    <t>INE669C01036</t>
  </si>
  <si>
    <t>HDFC LIFE INSURANCE COMPANY LIMITED</t>
  </si>
  <si>
    <t>HDFCLIFE</t>
  </si>
  <si>
    <t>HDFC Life Insurance Company Ltd</t>
  </si>
  <si>
    <t>INE795G01014</t>
  </si>
  <si>
    <t>Bandhan Bank Limited</t>
  </si>
  <si>
    <t>BANDHANBNK</t>
  </si>
  <si>
    <t>Bandhan Bank Ltd</t>
  </si>
  <si>
    <t>INE545U01014</t>
  </si>
  <si>
    <t>INE540H01012</t>
  </si>
  <si>
    <t>ICICI Securities Limited</t>
  </si>
  <si>
    <t>ISEC</t>
  </si>
  <si>
    <t>ICICI Securities Ltd</t>
  </si>
  <si>
    <t>INE763G01038</t>
  </si>
  <si>
    <t>Photon Capital Advisors Ltd</t>
  </si>
  <si>
    <t>PHOTON</t>
  </si>
  <si>
    <t>PHOTON CAPITAL ADVISORS LTD.</t>
  </si>
  <si>
    <t>INE677H01012</t>
  </si>
  <si>
    <t>DEEP ENERGY RESOURCES LIMITED</t>
  </si>
  <si>
    <t>DEEPENR</t>
  </si>
  <si>
    <t>Deep Energy Resources Ltd</t>
  </si>
  <si>
    <t>INE596H01014</t>
  </si>
  <si>
    <t>HOV Services Limited</t>
  </si>
  <si>
    <t>HOVS</t>
  </si>
  <si>
    <t>HOV SERVICES LTD.</t>
  </si>
  <si>
    <t>INE731H01025</t>
  </si>
  <si>
    <t>HDFC Asset Management Company Limited</t>
  </si>
  <si>
    <t>HDFCAMC</t>
  </si>
  <si>
    <t>HDFC Asset Management Company Ltd</t>
  </si>
  <si>
    <t>INE127D01025</t>
  </si>
  <si>
    <t>INE916G01016</t>
  </si>
  <si>
    <t>GeeCee Ventures Limited</t>
  </si>
  <si>
    <t>GEECEE</t>
  </si>
  <si>
    <t>INE516H01012</t>
  </si>
  <si>
    <t>Richa Industries Limited</t>
  </si>
  <si>
    <t>RICHAIND</t>
  </si>
  <si>
    <t>RICHA INDUSTRIES LTD.</t>
  </si>
  <si>
    <t>INE737H01014</t>
  </si>
  <si>
    <t>FIEM INDUSTRIES LIMITED</t>
  </si>
  <si>
    <t>FIEMIND</t>
  </si>
  <si>
    <t>FIEM INDUSTRIES LTD.</t>
  </si>
  <si>
    <t>INE544H01014</t>
  </si>
  <si>
    <t>JHS Svendgaard Laboratories Ltd.</t>
  </si>
  <si>
    <t>JHS</t>
  </si>
  <si>
    <t>JHS SVENDGAARD LABORATORIES LTD.</t>
  </si>
  <si>
    <t>INE503A01015</t>
  </si>
  <si>
    <t>DCB Bank Limited</t>
  </si>
  <si>
    <t>DCBBANK</t>
  </si>
  <si>
    <t>Universal Office Automation Limited</t>
  </si>
  <si>
    <t>UNIOFFICE</t>
  </si>
  <si>
    <t>UNIVERSAL OFFICE AUTOMATION LTD.</t>
  </si>
  <si>
    <t>INE020G01017</t>
  </si>
  <si>
    <t>Inspirisys Solutions Limited</t>
  </si>
  <si>
    <t>INSPIRISYS</t>
  </si>
  <si>
    <t>Inspirisys Solutions Ltd</t>
  </si>
  <si>
    <t>INE221H01019</t>
  </si>
  <si>
    <t>GTL Infrastructure Limited</t>
  </si>
  <si>
    <t>GTLINFRA</t>
  </si>
  <si>
    <t>GTL INFRASTRUCTURE LTD.</t>
  </si>
  <si>
    <t>INE637H01024</t>
  </si>
  <si>
    <t>SHIVAM AUTOTECH LIMITED</t>
  </si>
  <si>
    <t>SHIVAMAUTO</t>
  </si>
  <si>
    <t>SHIVAM AUTOTECH LTD.</t>
  </si>
  <si>
    <t>CreditAccess Grameen Ltd.</t>
  </si>
  <si>
    <t>CREDITACC</t>
  </si>
  <si>
    <t>CreditAccess Grameen Ltd</t>
  </si>
  <si>
    <t>INE741K01010</t>
  </si>
  <si>
    <t>Microfinance Institutions</t>
  </si>
  <si>
    <t>INE813H01021</t>
  </si>
  <si>
    <t>AAVAS Financiers Limited</t>
  </si>
  <si>
    <t>AAVAS</t>
  </si>
  <si>
    <t>AAVAS Financiers Ltd</t>
  </si>
  <si>
    <t>INE216P01012</t>
  </si>
  <si>
    <t>INE561H01026</t>
  </si>
  <si>
    <t>Parsvnath Developers Ltd.</t>
  </si>
  <si>
    <t>PARSVNATH</t>
  </si>
  <si>
    <t>PARSVNATH DEVELOPERS LTD.</t>
  </si>
  <si>
    <t>INE645H01027</t>
  </si>
  <si>
    <t>SUTLEJ TEXTILES &amp; INDUSTRIES LIMITED</t>
  </si>
  <si>
    <t>SUTLEJTEX</t>
  </si>
  <si>
    <t>SUTLEJ TEXTILES &amp; INDUSTRIES LTD.</t>
  </si>
  <si>
    <t>Spandana Sphoorty Financial Limited</t>
  </si>
  <si>
    <t>SPANDANA</t>
  </si>
  <si>
    <t>Spandana Sphoorty Financial Ltd</t>
  </si>
  <si>
    <t>INE572J01011</t>
  </si>
  <si>
    <t>IIFL Securities Limited</t>
  </si>
  <si>
    <t>IIFLSEC</t>
  </si>
  <si>
    <t>IIFL Securities Ltd</t>
  </si>
  <si>
    <t>INE489L01022</t>
  </si>
  <si>
    <t>INE803H01014</t>
  </si>
  <si>
    <t>Ruchira Papers Ltd</t>
  </si>
  <si>
    <t>RUCHIRA</t>
  </si>
  <si>
    <t>RUCHIRA PAPERS LTD.</t>
  </si>
  <si>
    <t>INE483C01032</t>
  </si>
  <si>
    <t>CSB Bank Limited</t>
  </si>
  <si>
    <t>CSBBANK</t>
  </si>
  <si>
    <t>CSB Bank Ltd</t>
  </si>
  <si>
    <t>INE679A01013</t>
  </si>
  <si>
    <t>INE966H01019</t>
  </si>
  <si>
    <t>Zee Media Corporation Limited</t>
  </si>
  <si>
    <t>ZEEMEDIA</t>
  </si>
  <si>
    <t>INE965H01011</t>
  </si>
  <si>
    <t>Siti Networks Limited</t>
  </si>
  <si>
    <t>SITINET</t>
  </si>
  <si>
    <t>Siti Networks Ltd</t>
  </si>
  <si>
    <t>INE872H01027</t>
  </si>
  <si>
    <t>Lumax Auto Technologies Ltd.</t>
  </si>
  <si>
    <t>LUMAXTECH</t>
  </si>
  <si>
    <t>LUMAX AUTO TECHNOLOGIES LTD.</t>
  </si>
  <si>
    <t>INE718H01014</t>
  </si>
  <si>
    <t>AUTOLINE INDUSTRIES LTD.</t>
  </si>
  <si>
    <t>AUTOIND</t>
  </si>
  <si>
    <t>Ujjivan Small Finance Bank Limited</t>
  </si>
  <si>
    <t>UJJIVANSFB</t>
  </si>
  <si>
    <t>Ujjivan Small Finance Bank Ltd</t>
  </si>
  <si>
    <t>INE551W01018</t>
  </si>
  <si>
    <t>INE703H01016</t>
  </si>
  <si>
    <t>Hubtown Limited</t>
  </si>
  <si>
    <t>HUBTOWN</t>
  </si>
  <si>
    <t>HUBTOWN LTD.</t>
  </si>
  <si>
    <t>SBI CARDS AND PAYMENT SERVICES LIMITED</t>
  </si>
  <si>
    <t>SBICARD</t>
  </si>
  <si>
    <t>SBI Cards and Payment Services Ltd</t>
  </si>
  <si>
    <t>INE018E01016</t>
  </si>
  <si>
    <t>INE627H01017</t>
  </si>
  <si>
    <t>Cambridge Technology Enterprises Ltd.</t>
  </si>
  <si>
    <t>CTE</t>
  </si>
  <si>
    <t>CAMBRIDGE TECHNOLOGY ENTERPRISES LTD.</t>
  </si>
  <si>
    <t>INE545H01011</t>
  </si>
  <si>
    <t>Computer Age Management Services Limited</t>
  </si>
  <si>
    <t>CAMS</t>
  </si>
  <si>
    <t>Computer Age Management Services Ltd</t>
  </si>
  <si>
    <t>INE596I01012</t>
  </si>
  <si>
    <t>Depositories, Clearing Houses and Other Intermediaries</t>
  </si>
  <si>
    <t>INE891D01026</t>
  </si>
  <si>
    <t>Risa International Limited</t>
  </si>
  <si>
    <t>RISAINTL</t>
  </si>
  <si>
    <t>RISA INTERNATIONAL LTD.</t>
  </si>
  <si>
    <t>INE768E01024</t>
  </si>
  <si>
    <t>AI CHAMPDANY INDUSTRIES LIMITED</t>
  </si>
  <si>
    <t>AICHAMP</t>
  </si>
  <si>
    <t>AI CHAMPDANY INDUSTRIES LTD.</t>
  </si>
  <si>
    <t>INE704H01022</t>
  </si>
  <si>
    <t>Cineline India Limited</t>
  </si>
  <si>
    <t>CINELINE</t>
  </si>
  <si>
    <t>INE940H01022</t>
  </si>
  <si>
    <t>Pearl Global Industries Limited</t>
  </si>
  <si>
    <t>PGIL</t>
  </si>
  <si>
    <t>INE684F01012</t>
  </si>
  <si>
    <t>ZINEMA MEDIA AND ENTERTAINMENT LIMITED</t>
  </si>
  <si>
    <t>ZINEMA</t>
  </si>
  <si>
    <t>Zinema Media And Entertainment Ltd</t>
  </si>
  <si>
    <t>INE641Q01019</t>
  </si>
  <si>
    <t>ANGEL ONE LIMITED</t>
  </si>
  <si>
    <t>ANGELONE</t>
  </si>
  <si>
    <t>Angel One Ltd</t>
  </si>
  <si>
    <t>INE732I01013</t>
  </si>
  <si>
    <t>INE758C01029</t>
  </si>
  <si>
    <t>UTI Asset Management Company Limited</t>
  </si>
  <si>
    <t>UTIAMC</t>
  </si>
  <si>
    <t>UTI Asset Management Company Ltd</t>
  </si>
  <si>
    <t>INE094J01016</t>
  </si>
  <si>
    <t>INE804H01012</t>
  </si>
  <si>
    <t>Transwarranty Finance Limited</t>
  </si>
  <si>
    <t>TFL</t>
  </si>
  <si>
    <t>TRANSWARRANTY FINANCE LTD.</t>
  </si>
  <si>
    <t>Equitas Small Finance Bank Limited</t>
  </si>
  <si>
    <t>EQUITASBNK</t>
  </si>
  <si>
    <t>Equitas Small Finance Bank Ltd</t>
  </si>
  <si>
    <t>INE063P01018</t>
  </si>
  <si>
    <t>INE812G01025</t>
  </si>
  <si>
    <t>SMS Pharmaceuticals Ltd</t>
  </si>
  <si>
    <t>SMSPHARMA</t>
  </si>
  <si>
    <t>SMS PHARMACEUTICALS LTD.</t>
  </si>
  <si>
    <t>INE998H01012</t>
  </si>
  <si>
    <t>Oriental Trimex Limited</t>
  </si>
  <si>
    <t>ORIENTALTL</t>
  </si>
  <si>
    <t>ORIENTAL TRIMEX LTD.</t>
  </si>
  <si>
    <t>INE311H01018</t>
  </si>
  <si>
    <t>E-Land Apparel Limited</t>
  </si>
  <si>
    <t>ELAND</t>
  </si>
  <si>
    <t>INE669E01016</t>
  </si>
  <si>
    <t>Indian Railway Finance Corporation</t>
  </si>
  <si>
    <t>IRFC</t>
  </si>
  <si>
    <t>Indian Railway Finance Corporation Ltd</t>
  </si>
  <si>
    <t>INE053F01010</t>
  </si>
  <si>
    <t>INE702H01018</t>
  </si>
  <si>
    <t>JAGJANANI TEXTILES LIMITED</t>
  </si>
  <si>
    <t>JAGJANANI</t>
  </si>
  <si>
    <t>JAGJANANI TEXTILES LTD.</t>
  </si>
  <si>
    <t>INE952H01027</t>
  </si>
  <si>
    <t>Raj Television Network Ltd</t>
  </si>
  <si>
    <t>RAJTV</t>
  </si>
  <si>
    <t>RAJ TELEVISION NETWORK LTD.</t>
  </si>
  <si>
    <t>Home First Finance Company India Limited</t>
  </si>
  <si>
    <t>HOMEFIRST</t>
  </si>
  <si>
    <t>Home First Finance Company India Ltd</t>
  </si>
  <si>
    <t>INE481N01025</t>
  </si>
  <si>
    <t>INE005I01014</t>
  </si>
  <si>
    <t>AMD Industries Ltd</t>
  </si>
  <si>
    <t>AMDIND</t>
  </si>
  <si>
    <t>AMD INDUSTRIES LTD.</t>
  </si>
  <si>
    <t>INE976H01018</t>
  </si>
  <si>
    <t>LEHAR FOOTWEARS LIMITED</t>
  </si>
  <si>
    <t>LEHAR</t>
  </si>
  <si>
    <t>Lehar Footwears Ltd</t>
  </si>
  <si>
    <t>INE006I01046</t>
  </si>
  <si>
    <t>Aptus Value Housing Finance India Limited</t>
  </si>
  <si>
    <t>APTUS</t>
  </si>
  <si>
    <t>Aptus Value Housing Finance India Ltd</t>
  </si>
  <si>
    <t>INE852O01025</t>
  </si>
  <si>
    <t>Aditya Birla Sun Life AMC Limited</t>
  </si>
  <si>
    <t>ABSLAMC</t>
  </si>
  <si>
    <t>Aditya Birla Sun Life AMC Ltd</t>
  </si>
  <si>
    <t>INE404A01024</t>
  </si>
  <si>
    <t>INE052I01032</t>
  </si>
  <si>
    <t>Camlin Fine Sciences Ltd</t>
  </si>
  <si>
    <t>CAMLINFINE</t>
  </si>
  <si>
    <t>CAMLIN FINE SCIENCES LTD.</t>
  </si>
  <si>
    <t>PB Fintech Limited</t>
  </si>
  <si>
    <t>POLICYBZR</t>
  </si>
  <si>
    <t>PB Fintech Ltd</t>
  </si>
  <si>
    <t>INE417T01026</t>
  </si>
  <si>
    <t>INE836F01026</t>
  </si>
  <si>
    <t>Dish TV India Limited</t>
  </si>
  <si>
    <t>DISHTV</t>
  </si>
  <si>
    <t>DISH TV INDIA LTD.</t>
  </si>
  <si>
    <t>INE280H01015</t>
  </si>
  <si>
    <t>SAHYADRI INDUSTRIES LTD.</t>
  </si>
  <si>
    <t>SAHYADRI</t>
  </si>
  <si>
    <t>INE917H01012</t>
  </si>
  <si>
    <t>Sree Rayalaseema Hi-Strength Hypo Limited</t>
  </si>
  <si>
    <t>SRHHYPOLTD</t>
  </si>
  <si>
    <t>SREE RAYALASEEMA HI-STRENGTH HYPO LTD.</t>
  </si>
  <si>
    <t>INE061F01013</t>
  </si>
  <si>
    <t>One 97 Communications Limited</t>
  </si>
  <si>
    <t>PAYTM</t>
  </si>
  <si>
    <t>One 97 Communications Ltd</t>
  </si>
  <si>
    <t>INE982J01020</t>
  </si>
  <si>
    <t>INE797H01018</t>
  </si>
  <si>
    <t>TGB Banquets and Hotels Limited</t>
  </si>
  <si>
    <t>TGBHOTELS</t>
  </si>
  <si>
    <t>TGB BANQUETS AND HOTELS LTD.</t>
  </si>
  <si>
    <t>INE788H01017</t>
  </si>
  <si>
    <t>HILTON METAL FORGING LIMITED</t>
  </si>
  <si>
    <t>HILTON</t>
  </si>
  <si>
    <t>HILTON METAL FORGING LTD.</t>
  </si>
  <si>
    <t>INE124G01033</t>
  </si>
  <si>
    <t>Delta Corp Limited</t>
  </si>
  <si>
    <t>DELTACORP</t>
  </si>
  <si>
    <t>DELTA CORP LTD.</t>
  </si>
  <si>
    <t>INE287C01037</t>
  </si>
  <si>
    <t>MIC Electronics Limited</t>
  </si>
  <si>
    <t>MICEL</t>
  </si>
  <si>
    <t>MIC ELECTRONICS LTD.</t>
  </si>
  <si>
    <t>INE070I01018</t>
  </si>
  <si>
    <t>Insecticides India Ltd.</t>
  </si>
  <si>
    <t>INSECTICID</t>
  </si>
  <si>
    <t>INSECTICIDES (INDIA) LTD.</t>
  </si>
  <si>
    <t>INE228I01012</t>
  </si>
  <si>
    <t>Asahi Songwon Colors Ltd.</t>
  </si>
  <si>
    <t>ASAHISONG</t>
  </si>
  <si>
    <t>ASAHI SONGWON COLORS LTD.</t>
  </si>
  <si>
    <t>INE928H01019</t>
  </si>
  <si>
    <t>Haryana Capfin Ltd.</t>
  </si>
  <si>
    <t>HARYNACAP</t>
  </si>
  <si>
    <t>HARYANA CAPFIN LTD.</t>
  </si>
  <si>
    <t>INE508G01029</t>
  </si>
  <si>
    <t>Star Health and Allied Insurance Company Limited</t>
  </si>
  <si>
    <t>STARHEALTH</t>
  </si>
  <si>
    <t>Star Health and Allied Insurance Company Ltd</t>
  </si>
  <si>
    <t>INE575P01011</t>
  </si>
  <si>
    <t>DHYAANI TRADEVENTTURES LIMITED</t>
  </si>
  <si>
    <t>DHYAANITR</t>
  </si>
  <si>
    <t>Dhyaani Tradeventtures Ltd</t>
  </si>
  <si>
    <t>INE0K5F01014</t>
  </si>
  <si>
    <t>INE189I01024</t>
  </si>
  <si>
    <t>Nelcast Limited</t>
  </si>
  <si>
    <t>NELCAST</t>
  </si>
  <si>
    <t>NELCAST LTD.</t>
  </si>
  <si>
    <t>INE945H01013</t>
  </si>
  <si>
    <t>V2 Retail Limited</t>
  </si>
  <si>
    <t>V2RETAIL</t>
  </si>
  <si>
    <t>V2 RETAIL LTD.</t>
  </si>
  <si>
    <t>Anand Rathi Wealth Limited</t>
  </si>
  <si>
    <t>ANANDRATHI</t>
  </si>
  <si>
    <t>Anand Rathi Wealth Ltd</t>
  </si>
  <si>
    <t>INE463V01026</t>
  </si>
  <si>
    <t>Financial Products Distributor</t>
  </si>
  <si>
    <t>INE924H01018</t>
  </si>
  <si>
    <t>Tarmat Limited</t>
  </si>
  <si>
    <t>TARMAT</t>
  </si>
  <si>
    <t>TARMAT LTD.</t>
  </si>
  <si>
    <t>INE106I01010</t>
  </si>
  <si>
    <t>Ankit Metal  &amp; Power Limited</t>
  </si>
  <si>
    <t>ANKITMETAL</t>
  </si>
  <si>
    <t>ANKIT METAL &amp; POWER LTD.</t>
  </si>
  <si>
    <t>INE232I01014</t>
  </si>
  <si>
    <t>LIFE INSURANCE CORPORATION OF INDIA</t>
  </si>
  <si>
    <t>LICI</t>
  </si>
  <si>
    <t>Life Insurance Corporation of India</t>
  </si>
  <si>
    <t>INE0J1Y01017</t>
  </si>
  <si>
    <t>INE102I01027</t>
  </si>
  <si>
    <t>Allied Digital Services Limited</t>
  </si>
  <si>
    <t>ADSL</t>
  </si>
  <si>
    <t>ALLIED DIGITAL SERVICES LTD.</t>
  </si>
  <si>
    <t>INE385I01010</t>
  </si>
  <si>
    <t>Alpa Laboratories Limited</t>
  </si>
  <si>
    <t>ALPA</t>
  </si>
  <si>
    <t>ALPA LABORATORIES LTD.</t>
  </si>
  <si>
    <t>INE117H01019</t>
  </si>
  <si>
    <t>Sir Shadi Lal Enterprises Ltd</t>
  </si>
  <si>
    <t>SSLEL</t>
  </si>
  <si>
    <t>SIR SHADI LAL ENTERPRISES LTD.</t>
  </si>
  <si>
    <t>INE800H01010</t>
  </si>
  <si>
    <t>OMAXE LIMITED</t>
  </si>
  <si>
    <t>OMAXE</t>
  </si>
  <si>
    <t>OMAXE LTD.</t>
  </si>
  <si>
    <t>INE056I01025</t>
  </si>
  <si>
    <t>Refex Industries Limited</t>
  </si>
  <si>
    <t>REFEX</t>
  </si>
  <si>
    <t>Prudent Corporate Advisory Services Limited</t>
  </si>
  <si>
    <t>PRUDENT</t>
  </si>
  <si>
    <t>Prudent Corporate Advisory Services Ltd</t>
  </si>
  <si>
    <t>INE00F201020</t>
  </si>
  <si>
    <t>INE105I01020</t>
  </si>
  <si>
    <t>SEL Manufacturing Company Limited</t>
  </si>
  <si>
    <t>SELMC</t>
  </si>
  <si>
    <t>SEL MANUFACTURING COMPANY LTD.</t>
  </si>
  <si>
    <t>INE022I01019</t>
  </si>
  <si>
    <t>ASIAN GRANITO INDIA LIMITED</t>
  </si>
  <si>
    <t>ASIANTILES</t>
  </si>
  <si>
    <t>ASIAN GRANITO INDIA LTD.</t>
  </si>
  <si>
    <t>Tamilnad Mercantile Bank Limited</t>
  </si>
  <si>
    <t>TMB</t>
  </si>
  <si>
    <t>Tamilnad Mercantile Bank Ltd</t>
  </si>
  <si>
    <t>INE668A01016</t>
  </si>
  <si>
    <t>INE142I01023</t>
  </si>
  <si>
    <t>Take Solutions Ltd</t>
  </si>
  <si>
    <t>TAKE</t>
  </si>
  <si>
    <t>TAKE SOLUTIONS LTD.</t>
  </si>
  <si>
    <t>Five-Star Business Finance Ltd.</t>
  </si>
  <si>
    <t>FIVESTAR</t>
  </si>
  <si>
    <t>Five-Star Business Finance Ltd</t>
  </si>
  <si>
    <t>INE128S01021</t>
  </si>
  <si>
    <t>KFin Technologies Limited</t>
  </si>
  <si>
    <t>KFINTECH</t>
  </si>
  <si>
    <t>KFin Technologies Ltd</t>
  </si>
  <si>
    <t>INE138Y01010</t>
  </si>
  <si>
    <t>INE222F01029</t>
  </si>
  <si>
    <t>VTM Ltd</t>
  </si>
  <si>
    <t>VTMLTD</t>
  </si>
  <si>
    <t>VTM LTD.</t>
  </si>
  <si>
    <t>INE227G01018</t>
  </si>
  <si>
    <t>Indowind Energy Ltd.</t>
  </si>
  <si>
    <t>INDOWIND</t>
  </si>
  <si>
    <t>INDOWIND ENERGY LTD.</t>
  </si>
  <si>
    <t>INE245I01016</t>
  </si>
  <si>
    <t>Nagreeka Capital &amp; Infrastructure Limited</t>
  </si>
  <si>
    <t>NAGREEKCAP</t>
  </si>
  <si>
    <t>NAGREEKA CAPITAL &amp; INFRASTRUCTURE LTD.</t>
  </si>
  <si>
    <t>INE387I01016</t>
  </si>
  <si>
    <t>MAGNUM VENTURES LIMITED</t>
  </si>
  <si>
    <t>MAGNUM</t>
  </si>
  <si>
    <t>MAGNUM VENTURES LTD.</t>
  </si>
  <si>
    <t>INE752E01010</t>
  </si>
  <si>
    <t>Jio Financial Services Limited</t>
  </si>
  <si>
    <t>JIOFIN</t>
  </si>
  <si>
    <t>Jio Financial Services Ltd</t>
  </si>
  <si>
    <t>INE758E01017</t>
  </si>
  <si>
    <t>INE455I01029</t>
  </si>
  <si>
    <t>Kaveri Seed Company Ltd</t>
  </si>
  <si>
    <t>KSCL</t>
  </si>
  <si>
    <t>KAVERI SEED COMPANY LTD.</t>
  </si>
  <si>
    <t>UTKARSH SMALL FINANCE BANK LIMITED</t>
  </si>
  <si>
    <t>UTKARSHBNK</t>
  </si>
  <si>
    <t>Utkarsh Small Finance Bank Ltd</t>
  </si>
  <si>
    <t>INE735W01017</t>
  </si>
  <si>
    <t>INE550H01011</t>
  </si>
  <si>
    <t>Supreme Infrastructure India Limited</t>
  </si>
  <si>
    <t>SUPREMEINF</t>
  </si>
  <si>
    <t>SUPREME INFRASTRUCTURE INDIA LTD.</t>
  </si>
  <si>
    <t>INE215I01027</t>
  </si>
  <si>
    <t>MAAN ALUMINIUM LIMITED</t>
  </si>
  <si>
    <t>MAANALU</t>
  </si>
  <si>
    <t>MAAN ALUMINIUM LTD.</t>
  </si>
  <si>
    <t>INE369I01014</t>
  </si>
  <si>
    <t>IL&amp;FS Engineering and Construction Company Ltd</t>
  </si>
  <si>
    <t>IL&amp;FSENGG</t>
  </si>
  <si>
    <t>IL&amp;FS ENGINEERING AND CONSTRUCTION COMPANY LTD.</t>
  </si>
  <si>
    <t>Aravali Securities &amp; Finance Ltd.</t>
  </si>
  <si>
    <t>ARAVALIS</t>
  </si>
  <si>
    <t>ARAVALI SECURITIES &amp; FINANCE LTD.</t>
  </si>
  <si>
    <t>SBFC Finance Limited</t>
  </si>
  <si>
    <t>SBFC</t>
  </si>
  <si>
    <t>SBFC Finance Ltd</t>
  </si>
  <si>
    <t>INE423Y01016</t>
  </si>
  <si>
    <t>INE139I01011</t>
  </si>
  <si>
    <t>BARAK VALLEY CEMENTS LIMITED</t>
  </si>
  <si>
    <t>BVCL</t>
  </si>
  <si>
    <t>BARAK VALLEY CEMENTS LTD.</t>
  </si>
  <si>
    <t>INE575I01016</t>
  </si>
  <si>
    <t>RATHI BARS LIMITED</t>
  </si>
  <si>
    <t>RATHIBAR</t>
  </si>
  <si>
    <t>RATHI BARS LTD.</t>
  </si>
  <si>
    <t>INE742F01042</t>
  </si>
  <si>
    <t>Mukta Agriculture Limited</t>
  </si>
  <si>
    <t>MUKTA</t>
  </si>
  <si>
    <t>Mukta Agriculture Ltd</t>
  </si>
  <si>
    <t>INE160O01031</t>
  </si>
  <si>
    <t>Nuvama Wealth Management Limited</t>
  </si>
  <si>
    <t>NUVAMA</t>
  </si>
  <si>
    <t>Nuvama Wealth Management Ltd</t>
  </si>
  <si>
    <t>INE531F01015</t>
  </si>
  <si>
    <t>INE722H01024</t>
  </si>
  <si>
    <t>RENAISSANCE GLOBAL LIMITED</t>
  </si>
  <si>
    <t>RGL</t>
  </si>
  <si>
    <t>Renaissance Global Ltd</t>
  </si>
  <si>
    <t>INE094I01018</t>
  </si>
  <si>
    <t>Kolte-Patil Developers Ltd</t>
  </si>
  <si>
    <t>KOLTEPATIL</t>
  </si>
  <si>
    <t>KOLTE-PATIL DEVELOPERS LTD.</t>
  </si>
  <si>
    <t>INE234I01028</t>
  </si>
  <si>
    <t>Kaushalya Infrastructure Development Corporation Ltd</t>
  </si>
  <si>
    <t>KAUSHALYA</t>
  </si>
  <si>
    <t>KAUSHALYA INFRASTRUCTURE DEVELOPMENT CORPORATION LTD.</t>
  </si>
  <si>
    <t>Indian Renewable Energy Development Agency Limited</t>
  </si>
  <si>
    <t>IREDA</t>
  </si>
  <si>
    <t>Indian Renewable Energy Development Agency Ltd</t>
  </si>
  <si>
    <t>INE202E01016</t>
  </si>
  <si>
    <t>INE738I01010</t>
  </si>
  <si>
    <t>WORLDWIDE ALUMINIUM LIMITED</t>
  </si>
  <si>
    <t>WWALUM</t>
  </si>
  <si>
    <t>Worldwide Aluminium Ltd</t>
  </si>
  <si>
    <t>INE763I01026</t>
  </si>
  <si>
    <t>India Shelter Finance Corporation Limited</t>
  </si>
  <si>
    <t>INDIASHLTR</t>
  </si>
  <si>
    <t>India Shelter Finance Corporation Ltd</t>
  </si>
  <si>
    <t>INE922K01024</t>
  </si>
  <si>
    <t>JANA SMALL FINANCE BANK LIMITED</t>
  </si>
  <si>
    <t>JSFB</t>
  </si>
  <si>
    <t>Jana Small Finance Bank Ltd</t>
  </si>
  <si>
    <t>INE953L01027</t>
  </si>
  <si>
    <t>INE661I01014</t>
  </si>
  <si>
    <t>BGR ENERGY SYSTEMS LIMITED</t>
  </si>
  <si>
    <t>BGRENERGY</t>
  </si>
  <si>
    <t>BGR ENERGY SYSTEMS LTD.</t>
  </si>
  <si>
    <t>INE817H01014</t>
  </si>
  <si>
    <t>Burnpur Cement Limited</t>
  </si>
  <si>
    <t>BURNPUR</t>
  </si>
  <si>
    <t>BURNPUR CEMENT LTD.</t>
  </si>
  <si>
    <t>INE015D01022</t>
  </si>
  <si>
    <t>MANAKSIA LIMITED</t>
  </si>
  <si>
    <t>MANAKSIA</t>
  </si>
  <si>
    <t>MANAKSIA LTD.</t>
  </si>
  <si>
    <t>INE386I01018</t>
  </si>
  <si>
    <t>PORWAL AUTO COMPONENTS LIMITED</t>
  </si>
  <si>
    <t>PORWAL</t>
  </si>
  <si>
    <t>PORWAL AUTO COMPONENTS LTD.</t>
  </si>
  <si>
    <t>INE095I01015</t>
  </si>
  <si>
    <t>PPAP Automotive Limited</t>
  </si>
  <si>
    <t>PPAP</t>
  </si>
  <si>
    <t>INE298I01015</t>
  </si>
  <si>
    <t>Aries Agro Limited</t>
  </si>
  <si>
    <t>ARIES</t>
  </si>
  <si>
    <t>ARIES AGRO LTD.</t>
  </si>
  <si>
    <t>INE529I01021</t>
  </si>
  <si>
    <t>Kuantum Papers Limited</t>
  </si>
  <si>
    <t>KUANTUM</t>
  </si>
  <si>
    <t>KUANTUM PAPERS LTD.</t>
  </si>
  <si>
    <t>INE614G01033</t>
  </si>
  <si>
    <t>Aadhar Housing Finance Limited</t>
  </si>
  <si>
    <t>AADHARHFC</t>
  </si>
  <si>
    <t>Aadhar Housing Finance Ltd</t>
  </si>
  <si>
    <t>INE883F01010</t>
  </si>
  <si>
    <t>INE576I01022</t>
  </si>
  <si>
    <t>Go Digit General Insurance Limited</t>
  </si>
  <si>
    <t>GODIGIT</t>
  </si>
  <si>
    <t>Go Digit General Insurance Ltd</t>
  </si>
  <si>
    <t>INE03JT01014</t>
  </si>
  <si>
    <t>INE792I01017</t>
  </si>
  <si>
    <t>Cords Cable Industries Limited</t>
  </si>
  <si>
    <t>CORDSCABLE</t>
  </si>
  <si>
    <t>CORDS CABLE INDUSTRIES LTD.</t>
  </si>
  <si>
    <t>INE634I01029</t>
  </si>
  <si>
    <t>Karur Vysya Bank Ltd.</t>
  </si>
  <si>
    <t>KARURVYSYA</t>
  </si>
  <si>
    <t>KARUR VYSYA BANK LTD.</t>
  </si>
  <si>
    <t>INE036D01028</t>
  </si>
  <si>
    <t>INE809I01019</t>
  </si>
  <si>
    <t>OnMobile Global Ltd.</t>
  </si>
  <si>
    <t>ONMOBILE</t>
  </si>
  <si>
    <t>INE964H01014</t>
  </si>
  <si>
    <t>SEPC LIMITED</t>
  </si>
  <si>
    <t>SEPC</t>
  </si>
  <si>
    <t>SEPC Ltd</t>
  </si>
  <si>
    <t>INE863I01016</t>
  </si>
  <si>
    <t>Bang Overseas Ltd</t>
  </si>
  <si>
    <t>BANG</t>
  </si>
  <si>
    <t>BANG OVERSEAS LTD.</t>
  </si>
  <si>
    <t>INE821I01022</t>
  </si>
  <si>
    <t>IRB Infrastructure Developers Limited</t>
  </si>
  <si>
    <t>IRB</t>
  </si>
  <si>
    <t>IRB INFRASTRUCTURE DEVELOPERS LTD.</t>
  </si>
  <si>
    <t>INE871H01011</t>
  </si>
  <si>
    <t>GSS Infotech Ltd</t>
  </si>
  <si>
    <t>GSS</t>
  </si>
  <si>
    <t>GSS INFOTECH LTD.</t>
  </si>
  <si>
    <t>INE049I01012</t>
  </si>
  <si>
    <t>Nahar Capital &amp; Financial Services Ltd.</t>
  </si>
  <si>
    <t>NAHARCAP</t>
  </si>
  <si>
    <t>NAHAR CAPITAL &amp; FINANCIAL SERVICES LTD.</t>
  </si>
  <si>
    <t>SUNDARAM FINANCE LTD</t>
  </si>
  <si>
    <t>SUNDARMFIN</t>
  </si>
  <si>
    <t>SUNDARAM FINANCE LTD.</t>
  </si>
  <si>
    <t>INE660A01013</t>
  </si>
  <si>
    <t>BSE</t>
  </si>
  <si>
    <t>INE118H01025</t>
  </si>
  <si>
    <t>INE642I01014</t>
  </si>
  <si>
    <t>GOKAK TEXTILES LTD.</t>
  </si>
  <si>
    <t>GOKAKTEX</t>
  </si>
  <si>
    <t>INE274G01010</t>
  </si>
  <si>
    <t>Dhani Services Limited</t>
  </si>
  <si>
    <t>DHANI</t>
  </si>
  <si>
    <t>Dhani Services Ltd</t>
  </si>
  <si>
    <t>INE615H01020</t>
  </si>
  <si>
    <t>CDSL</t>
  </si>
  <si>
    <t>C D S L</t>
  </si>
  <si>
    <t>INE736A01011</t>
  </si>
  <si>
    <t>INE415I01015</t>
  </si>
  <si>
    <t>KIRI INDUSTRIES LIMITED</t>
  </si>
  <si>
    <t>KIRIINDUS</t>
  </si>
  <si>
    <t>KIRI INDUSTRIES LTD.</t>
  </si>
  <si>
    <t>INE865C01022</t>
  </si>
  <si>
    <t>Aditya Birla  Money Ltd</t>
  </si>
  <si>
    <t>BIRLAMONEY</t>
  </si>
  <si>
    <t>ADITYA BIRLA MONEY LTD.-$</t>
  </si>
  <si>
    <t>INE778I01024</t>
  </si>
  <si>
    <t>TELOGICA LIMITED</t>
  </si>
  <si>
    <t>TELOGICA</t>
  </si>
  <si>
    <t>Telogica Ltd</t>
  </si>
  <si>
    <t>SUNDARMHLD</t>
  </si>
  <si>
    <t>Sundaram Fin.Hol</t>
  </si>
  <si>
    <t>INE202Z01029</t>
  </si>
  <si>
    <t>Cipla Ltd.</t>
  </si>
  <si>
    <t>CIPLA</t>
  </si>
  <si>
    <t>CIPLA LTD.</t>
  </si>
  <si>
    <t>Dr. Reddy's Laboratories Ltd.</t>
  </si>
  <si>
    <t>DRREDDY</t>
  </si>
  <si>
    <t>DR.REDDY'S LABORATORIES LTD.</t>
  </si>
  <si>
    <t>INE020J01029</t>
  </si>
  <si>
    <t>Gokul Refoils and Solvent Limited</t>
  </si>
  <si>
    <t>GOKUL</t>
  </si>
  <si>
    <t>GOKUL REFOILS &amp; SOLVENT LTD.</t>
  </si>
  <si>
    <t>INE105J01010</t>
  </si>
  <si>
    <t>RPG Life Sciences Limited</t>
  </si>
  <si>
    <t>RPGLIFE</t>
  </si>
  <si>
    <t>RPG LIFE SCIENCES LTD.</t>
  </si>
  <si>
    <t>INF174KA1JD7</t>
  </si>
  <si>
    <t>Kotak Mahindra Mutual Fund</t>
  </si>
  <si>
    <t>SENSEX1</t>
  </si>
  <si>
    <t>Kotak S&amp;P BSE Sensex ETF</t>
  </si>
  <si>
    <t>Mutual Fund Scheme - ETF</t>
  </si>
  <si>
    <t>INE368I01016</t>
  </si>
  <si>
    <t>Niraj Cement Structurals Limited</t>
  </si>
  <si>
    <t>NIRAJ</t>
  </si>
  <si>
    <t>NIRAJ CEMENT STRUCTURALS LTD.</t>
  </si>
  <si>
    <t>INE244J01017</t>
  </si>
  <si>
    <t>Rane Brake Lining Limited</t>
  </si>
  <si>
    <t>RBL</t>
  </si>
  <si>
    <t>RANE BRAKE LINING LTD.</t>
  </si>
  <si>
    <t>INE222J01013</t>
  </si>
  <si>
    <t>Rane Engine Valve Limited</t>
  </si>
  <si>
    <t>RANEENGINE</t>
  </si>
  <si>
    <t>RANE ENGINE VALVE LTD.</t>
  </si>
  <si>
    <t>INE790D01020</t>
  </si>
  <si>
    <t>CHL Limited</t>
  </si>
  <si>
    <t>CHLLTD</t>
  </si>
  <si>
    <t>CHL LTD.</t>
  </si>
  <si>
    <t>INE955I01044</t>
  </si>
  <si>
    <t>SEJAL GLASS LIMITED</t>
  </si>
  <si>
    <t>SEJALLTD</t>
  </si>
  <si>
    <t>Sejal Glass Ltd</t>
  </si>
  <si>
    <t>INE877I01016</t>
  </si>
  <si>
    <t>Archidply Industries Limited</t>
  </si>
  <si>
    <t>ARCHIDPLY</t>
  </si>
  <si>
    <t>ARCHIDPLY INDUSTRIES LTD.</t>
  </si>
  <si>
    <t>INE947I01017</t>
  </si>
  <si>
    <t>Lotus Eye Hospital And Institute Limited</t>
  </si>
  <si>
    <t>LOTUSEYE</t>
  </si>
  <si>
    <t>Lotus Eye Hospital And Institute Ltd</t>
  </si>
  <si>
    <t>INE323J01019</t>
  </si>
  <si>
    <t>SOMI CONVEYOR BELTINGS LIMITED</t>
  </si>
  <si>
    <t>SOMICONVEY</t>
  </si>
  <si>
    <t>SOMI CONVEYOR BELTINGS LTD.</t>
  </si>
  <si>
    <t>INE201J01017</t>
  </si>
  <si>
    <t>LGB Forge Limited</t>
  </si>
  <si>
    <t>LGBFORGE</t>
  </si>
  <si>
    <t>LGB FORGE LTD.</t>
  </si>
  <si>
    <t>INE197J01017</t>
  </si>
  <si>
    <t>Landmark Property Development Company Ltd.</t>
  </si>
  <si>
    <t>LPDC</t>
  </si>
  <si>
    <t>LANDMARK PROPERTY DEVELOPMENT COMPANY LTD.</t>
  </si>
  <si>
    <t>INE176J01011</t>
  </si>
  <si>
    <t>Vaxfab Enterprises Limited</t>
  </si>
  <si>
    <t>VEL</t>
  </si>
  <si>
    <t>Vaxfab Enterprises Ltd</t>
  </si>
  <si>
    <t>INE560T01015</t>
  </si>
  <si>
    <t>INE457H01027</t>
  </si>
  <si>
    <t>SIMPLEX MILLS COMPANY LIMITED</t>
  </si>
  <si>
    <t>SIMPLXMIL</t>
  </si>
  <si>
    <t>SIMPLEX MILLS COMPANY LTD.</t>
  </si>
  <si>
    <t>INE456H01029</t>
  </si>
  <si>
    <t>SIMPLEX PAPERS LTD.</t>
  </si>
  <si>
    <t>SIMPLXPAP</t>
  </si>
  <si>
    <t>INE144J01027</t>
  </si>
  <si>
    <t>20 Microns Limited</t>
  </si>
  <si>
    <t>20MICRONS</t>
  </si>
  <si>
    <t>20 MICRONS LTD.</t>
  </si>
  <si>
    <t>PROCTER &amp; GAMBLE HEALTH LIMITED</t>
  </si>
  <si>
    <t>PGHL</t>
  </si>
  <si>
    <t>Procter &amp; Gamble Health Ltd</t>
  </si>
  <si>
    <t>INE773I01017</t>
  </si>
  <si>
    <t>Alkali Metals Limited</t>
  </si>
  <si>
    <t>ALKALI</t>
  </si>
  <si>
    <t>ALKALI METALS LTD.</t>
  </si>
  <si>
    <t>INE858B01029</t>
  </si>
  <si>
    <t>Lupin Ltd</t>
  </si>
  <si>
    <t>LUPIN</t>
  </si>
  <si>
    <t>LUPIN LTD.</t>
  </si>
  <si>
    <t>INE919H01018</t>
  </si>
  <si>
    <t>Indian Metals &amp; Ferro Alloys Limited</t>
  </si>
  <si>
    <t>IMFA</t>
  </si>
  <si>
    <t>INDIAN METALS &amp; FERRO ALLOYS LTD.</t>
  </si>
  <si>
    <t>INE065J01024</t>
  </si>
  <si>
    <t>Teamo Productions HQ Limited</t>
  </si>
  <si>
    <t>TPHQ</t>
  </si>
  <si>
    <t>Teamo Productions HQ Ltd</t>
  </si>
  <si>
    <t>INE359B01010</t>
  </si>
  <si>
    <t>VEDAVAAG Systems Limited</t>
  </si>
  <si>
    <t>VEDAVAAG</t>
  </si>
  <si>
    <t>VEDAVAAG SYSTEMS LTD.</t>
  </si>
  <si>
    <t>INE320D01018</t>
  </si>
  <si>
    <t>Manjeera Constructions Limited</t>
  </si>
  <si>
    <t>MANJEERA</t>
  </si>
  <si>
    <t>MANJEERA CONSTRUCTIONS LTD.</t>
  </si>
  <si>
    <t>INE893J01029</t>
  </si>
  <si>
    <t>Mold-Tek Packaging Limited</t>
  </si>
  <si>
    <t>MOLDTKPAC</t>
  </si>
  <si>
    <t>Torrent Pharmaceuticals Ltd.</t>
  </si>
  <si>
    <t>TORNTPHARM</t>
  </si>
  <si>
    <t>TORRENT PHARMACEUTICALS LTD.</t>
  </si>
  <si>
    <t>Wagend Infra Venture Limited</t>
  </si>
  <si>
    <t>WAGEND</t>
  </si>
  <si>
    <t>INE294G01026</t>
  </si>
  <si>
    <t>RAJ OIL MILLS LIMITED</t>
  </si>
  <si>
    <t>ROML</t>
  </si>
  <si>
    <t>RAJ OIL MILLS LTD.</t>
  </si>
  <si>
    <t>Abbott India Ltd.</t>
  </si>
  <si>
    <t>ABBOTINDIA</t>
  </si>
  <si>
    <t>ABBOTT INDIA LTD.</t>
  </si>
  <si>
    <t>INE814H01011</t>
  </si>
  <si>
    <t>GlaxoSmithkline Pharmaceuticals Ltd.</t>
  </si>
  <si>
    <t>GLAXO</t>
  </si>
  <si>
    <t>GLAXOSMITHKLINE PHARMACEUTICALS LTD.</t>
  </si>
  <si>
    <t>INE848E01016</t>
  </si>
  <si>
    <t>Sanofi India Ltd</t>
  </si>
  <si>
    <t>SANOFI</t>
  </si>
  <si>
    <t>INE360J01011</t>
  </si>
  <si>
    <t>Suryaamba Spinning Mills Limited</t>
  </si>
  <si>
    <t>SURYAAMBA</t>
  </si>
  <si>
    <t>SURYAAMBA SPINNING MILLS LTD.</t>
  </si>
  <si>
    <t>INE615I01010</t>
  </si>
  <si>
    <t>Globus Spirits Limited</t>
  </si>
  <si>
    <t>GLOBUSSPR</t>
  </si>
  <si>
    <t>GLOBUS SPIRITS LTD.</t>
  </si>
  <si>
    <t>Pfizer Ltd.</t>
  </si>
  <si>
    <t>PFIZER</t>
  </si>
  <si>
    <t>PFIZER LTD.</t>
  </si>
  <si>
    <t>INE274K01012</t>
  </si>
  <si>
    <t>Bhilwara Technical Textiles Limited</t>
  </si>
  <si>
    <t>BTTL</t>
  </si>
  <si>
    <t>BHILWARA TECHNICAL TEXTILES LTD.</t>
  </si>
  <si>
    <t>INE318K01025</t>
  </si>
  <si>
    <t>Shree Precoated Steels Limited</t>
  </si>
  <si>
    <t>SPSL</t>
  </si>
  <si>
    <t>SHREE PRECOATED STEELS LTD.</t>
  </si>
  <si>
    <t>INE201K01015</t>
  </si>
  <si>
    <t>EXPLEO SOLUTIONS LIMITED</t>
  </si>
  <si>
    <t>EXPLEOSOL</t>
  </si>
  <si>
    <t>Expleo Solutions Ltd</t>
  </si>
  <si>
    <t>INE399K01017</t>
  </si>
  <si>
    <t>AstraZeneca Pharma India Ltd.</t>
  </si>
  <si>
    <t>ASTRAZEN</t>
  </si>
  <si>
    <t>ASTRAZENECA PHARMA INDIA LTD.</t>
  </si>
  <si>
    <t>INE947J01015</t>
  </si>
  <si>
    <t>DEN Networks Limited</t>
  </si>
  <si>
    <t>DEN</t>
  </si>
  <si>
    <t>Den Networks Ltd</t>
  </si>
  <si>
    <t>INE563J01010</t>
  </si>
  <si>
    <t>ASTEC LIFESCIENCES LIMITED</t>
  </si>
  <si>
    <t>ASTEC</t>
  </si>
  <si>
    <t>INE250K01012</t>
  </si>
  <si>
    <t>D-Link (India) Ltd</t>
  </si>
  <si>
    <t>DLINKINDIA</t>
  </si>
  <si>
    <t>INE121E01018</t>
  </si>
  <si>
    <t>J.B. Chemicals &amp; Pharmaceuticals Lt</t>
  </si>
  <si>
    <t>JBCHEPHARM</t>
  </si>
  <si>
    <t>J.B.CHEMICALS &amp; PHARMACEUTICALS LTD.</t>
  </si>
  <si>
    <t>INE143K01019</t>
  </si>
  <si>
    <t>Yunik Managing Advisors Limited</t>
  </si>
  <si>
    <t>YUNIKM</t>
  </si>
  <si>
    <t>Yunik Managing Advisors Ltd</t>
  </si>
  <si>
    <t>Apollo Hospitals Enterprises Ltd.</t>
  </si>
  <si>
    <t>APOLLOHOSP</t>
  </si>
  <si>
    <t>APOLLO HOSPITALS ENTERPRISE LTD.</t>
  </si>
  <si>
    <t>Orchid Pharma Limited</t>
  </si>
  <si>
    <t>ORCHPHARMA</t>
  </si>
  <si>
    <t>Orchid Pharma Ltd</t>
  </si>
  <si>
    <t>INE912H01013</t>
  </si>
  <si>
    <t>MBL Infrastructure Ltd</t>
  </si>
  <si>
    <t>MBLINFRA</t>
  </si>
  <si>
    <t>Marksans Pharma Ltd.</t>
  </si>
  <si>
    <t>MARKSANS</t>
  </si>
  <si>
    <t>MARKSANS PHARMA LTD.</t>
  </si>
  <si>
    <t>INE893I01013</t>
  </si>
  <si>
    <t>Vascon Engineers Limited</t>
  </si>
  <si>
    <t>VASCONEQ</t>
  </si>
  <si>
    <t>Vascon Engineers Ltd</t>
  </si>
  <si>
    <t>INE085J01014</t>
  </si>
  <si>
    <t>Thangamayil Jewellery Limited</t>
  </si>
  <si>
    <t>THANGAMAYL</t>
  </si>
  <si>
    <t>Thangamayil Jewellery Ltd</t>
  </si>
  <si>
    <t>Ipca Laboratories Ltd.</t>
  </si>
  <si>
    <t>IPCALAB</t>
  </si>
  <si>
    <t>IPCA LABORATORIES LTD.</t>
  </si>
  <si>
    <t>INE753K01015</t>
  </si>
  <si>
    <t>Emmbi Industries Limited</t>
  </si>
  <si>
    <t>EMMBI</t>
  </si>
  <si>
    <t>Emmbi Industries Ltd</t>
  </si>
  <si>
    <t>INE982F01036</t>
  </si>
  <si>
    <t>Hathway Cable &amp; Datacom Limited</t>
  </si>
  <si>
    <t>HATHWAY</t>
  </si>
  <si>
    <t>Hathway Cable &amp; Datacom Ltd</t>
  </si>
  <si>
    <t>INE141K01013</t>
  </si>
  <si>
    <t>Texmo Pipes and Products Limited</t>
  </si>
  <si>
    <t>TEXMOPIPES</t>
  </si>
  <si>
    <t>TEXMO PIPES &amp; PRODUCTS LTD.</t>
  </si>
  <si>
    <t>INE108E01023</t>
  </si>
  <si>
    <t>Sundaram Multi Pap Ltd.</t>
  </si>
  <si>
    <t>SUNDARAM</t>
  </si>
  <si>
    <t>SUNDARAM MULTI PAP LTD.</t>
  </si>
  <si>
    <t>INE847C01020</t>
  </si>
  <si>
    <t>Rossell India Limited</t>
  </si>
  <si>
    <t>ROSSELLIND</t>
  </si>
  <si>
    <t>ROSSELL INDIA LTD.</t>
  </si>
  <si>
    <t>INE949H01023</t>
  </si>
  <si>
    <t>Neuland Laboratories Limited.</t>
  </si>
  <si>
    <t>NEULANDLAB</t>
  </si>
  <si>
    <t>NEULAND LABORATORIES LTD.</t>
  </si>
  <si>
    <t>INE864J01012</t>
  </si>
  <si>
    <t>TAMBOLI INDUSTRIES LIMITED</t>
  </si>
  <si>
    <t>TAMBOLIIN</t>
  </si>
  <si>
    <t>Tamboli Industries Ltd</t>
  </si>
  <si>
    <t>INE975G01012</t>
  </si>
  <si>
    <t>IL&amp;FS Transportation Networks Limited</t>
  </si>
  <si>
    <t>IL&amp;FSTRANS</t>
  </si>
  <si>
    <t>IL&amp;FS Transportation Networks Ltd</t>
  </si>
  <si>
    <t>INE262H01021</t>
  </si>
  <si>
    <t>Sun Pharmaceutical Industries Ltd.</t>
  </si>
  <si>
    <t>SUNPHARMA</t>
  </si>
  <si>
    <t>SUN PHARMACEUTICAL INDUSTRIES LTD.</t>
  </si>
  <si>
    <t>INE566K01011</t>
  </si>
  <si>
    <t>Intrasoft Technologies Limited</t>
  </si>
  <si>
    <t>ISFT</t>
  </si>
  <si>
    <t>INTRASOFT TECHNOLOGIES LTD.</t>
  </si>
  <si>
    <t>INE516K01024</t>
  </si>
  <si>
    <t>Goenka Diamond &amp; Jewels Ltd</t>
  </si>
  <si>
    <t>GOENKA</t>
  </si>
  <si>
    <t>GOENKA DIAMOND &amp; JEWELS LTD.</t>
  </si>
  <si>
    <t>INE790B01024</t>
  </si>
  <si>
    <t>K C P SUGAR AND INDUSTRIES CORPORATION LTD.</t>
  </si>
  <si>
    <t>KCPSUGIND</t>
  </si>
  <si>
    <t>KCP SUGAR &amp; INDUSTRIES CORPORATION LTD.</t>
  </si>
  <si>
    <t>INE134B01017</t>
  </si>
  <si>
    <t>KIRLOSKAR ELECTRIC COMPANY LTD.</t>
  </si>
  <si>
    <t>KECL</t>
  </si>
  <si>
    <t>Kirloskar Electric Company Ltd</t>
  </si>
  <si>
    <t>INE639K01016</t>
  </si>
  <si>
    <t>SATCHMO HOLDINGS LIMITED</t>
  </si>
  <si>
    <t>SATCH</t>
  </si>
  <si>
    <t>Satchmo Holdings Ltd</t>
  </si>
  <si>
    <t>INE747K01017</t>
  </si>
  <si>
    <t>TARAPUR TRANSFORMERS LIMITED</t>
  </si>
  <si>
    <t>TARAPUR</t>
  </si>
  <si>
    <t>Tarapur Transformers Ltd</t>
  </si>
  <si>
    <t>INE002L01015</t>
  </si>
  <si>
    <t>Caplin Point Laboratories Ltd.</t>
  </si>
  <si>
    <t>CAPLIPOINT</t>
  </si>
  <si>
    <t>CAPLIN POINT LABORATORIES LTD.</t>
  </si>
  <si>
    <t>INE830C01026</t>
  </si>
  <si>
    <t>Emami Paper Mills Ltd.</t>
  </si>
  <si>
    <t>EMAMIPAP</t>
  </si>
  <si>
    <t>EMAMI PAPER MILLS LTD.</t>
  </si>
  <si>
    <t>INE798K01010</t>
  </si>
  <si>
    <t>Kriti Nutrients Ltd</t>
  </si>
  <si>
    <t>KRITINUT</t>
  </si>
  <si>
    <t>INE265D01015</t>
  </si>
  <si>
    <t>GKB Ophthalmics Ltd.</t>
  </si>
  <si>
    <t>GKB</t>
  </si>
  <si>
    <t>GKB OPHTHALMICS LTD.</t>
  </si>
  <si>
    <t>INE871K01015</t>
  </si>
  <si>
    <t>Hindustan Media Ventures Limited</t>
  </si>
  <si>
    <t>HMVL</t>
  </si>
  <si>
    <t>HINDUSTAN MEDIA VENTURES LTD.</t>
  </si>
  <si>
    <t>INE778K01012</t>
  </si>
  <si>
    <t>EMAMI REALTY LIMITED</t>
  </si>
  <si>
    <t>EMAMIREAL</t>
  </si>
  <si>
    <t>Emami Realty Ltd</t>
  </si>
  <si>
    <t>INE926K01017</t>
  </si>
  <si>
    <t>Asian Hotels (East) Limited</t>
  </si>
  <si>
    <t>AHLEAST</t>
  </si>
  <si>
    <t>ASIAN HOTELS (EAST) LTD.</t>
  </si>
  <si>
    <t>INE933K01021</t>
  </si>
  <si>
    <t>BAJAJ CONSUMER CARE LIMITED</t>
  </si>
  <si>
    <t>BAJAJCON</t>
  </si>
  <si>
    <t>Bajaj Consumer Care Ltd</t>
  </si>
  <si>
    <t>INE696K01024</t>
  </si>
  <si>
    <t>Prakash Steelage Limited</t>
  </si>
  <si>
    <t>PRAKASHSTL</t>
  </si>
  <si>
    <t>PRAKASH STEELAGE LTD.</t>
  </si>
  <si>
    <t>INE517F01014</t>
  </si>
  <si>
    <t>Mystic Electronics Limited</t>
  </si>
  <si>
    <t>MYSTICELE</t>
  </si>
  <si>
    <t>Mystic Electronics Ltd</t>
  </si>
  <si>
    <t>INE159O01033</t>
  </si>
  <si>
    <t>INE389K01018</t>
  </si>
  <si>
    <t>Welspun Investments and Commercials Ltd.</t>
  </si>
  <si>
    <t>WELINV</t>
  </si>
  <si>
    <t>WELSPUN INVESTMENTS AND COMMERCIALS LTD.</t>
  </si>
  <si>
    <t>INE019J01013</t>
  </si>
  <si>
    <t>Sastasundar Ventures Limited</t>
  </si>
  <si>
    <t>SASTASUNDR</t>
  </si>
  <si>
    <t>Sastasundar Ventures Ltd</t>
  </si>
  <si>
    <t>INE521J01018</t>
  </si>
  <si>
    <t>Career Point Limited</t>
  </si>
  <si>
    <t>CAREERP</t>
  </si>
  <si>
    <t>CAREER POINT LTD.</t>
  </si>
  <si>
    <t>INE416L01017</t>
  </si>
  <si>
    <t>Eros International Media Limited</t>
  </si>
  <si>
    <t>EROSMEDIA</t>
  </si>
  <si>
    <t>EROS INTERNATIONAL MEDIA LTD.</t>
  </si>
  <si>
    <t>INE874I01013</t>
  </si>
  <si>
    <t>Ramky Infrastructure Limited</t>
  </si>
  <si>
    <t>RAMKY</t>
  </si>
  <si>
    <t>RAMKY INFRASTRUCTURE LTD.</t>
  </si>
  <si>
    <t>INE999K01014</t>
  </si>
  <si>
    <t>Orient Green Power Company Limited</t>
  </si>
  <si>
    <t>GREENPOWER</t>
  </si>
  <si>
    <t>ORIENT GREEN POWER COMPANY LTD.</t>
  </si>
  <si>
    <t>INE068L01024</t>
  </si>
  <si>
    <t>CANTABIL RETAIL INDIA LIMITED</t>
  </si>
  <si>
    <t>CANTABIL</t>
  </si>
  <si>
    <t>CANTABIL RETAIL INDIA LTD.</t>
  </si>
  <si>
    <t>INE351L01016</t>
  </si>
  <si>
    <t>SEA TV Network Limited</t>
  </si>
  <si>
    <t>SEATV</t>
  </si>
  <si>
    <t>SEA TV NETWORK LTD.</t>
  </si>
  <si>
    <t>INE956G01038</t>
  </si>
  <si>
    <t>Aurobindo Pharma Ltd.</t>
  </si>
  <si>
    <t>AUROPHARMA</t>
  </si>
  <si>
    <t>AUROBINDO PHARMA LTD.</t>
  </si>
  <si>
    <t>INE844K01012</t>
  </si>
  <si>
    <t>Bedmutha Industries Limited</t>
  </si>
  <si>
    <t>BEDMUTHA</t>
  </si>
  <si>
    <t>BEDMUTHA INDUSTRIES LTD.</t>
  </si>
  <si>
    <t>INE442H01029</t>
  </si>
  <si>
    <t>Natco Pharma Ltd.</t>
  </si>
  <si>
    <t>NATCOPHARM</t>
  </si>
  <si>
    <t>NATCO PHARMA LTD.</t>
  </si>
  <si>
    <t>INE209L01016</t>
  </si>
  <si>
    <t>JUBILANT PHARMOVA LIMITED</t>
  </si>
  <si>
    <t>JUBLPHARMA</t>
  </si>
  <si>
    <t>Jubilant Pharmova Ltd</t>
  </si>
  <si>
    <t>Shilpa Medicare Ltd.</t>
  </si>
  <si>
    <t>SHILPAMED</t>
  </si>
  <si>
    <t>SHILPA MEDICARE LTD.</t>
  </si>
  <si>
    <t>FDC Ltd.</t>
  </si>
  <si>
    <t>FDC</t>
  </si>
  <si>
    <t>FDC LTD.</t>
  </si>
  <si>
    <t>INE482J01021</t>
  </si>
  <si>
    <t>SHAH METACORP LIMITED</t>
  </si>
  <si>
    <t>SHAH</t>
  </si>
  <si>
    <t>Shah Metacorp Ltd</t>
  </si>
  <si>
    <t>Poly Medicure Ltd</t>
  </si>
  <si>
    <t>POLYMED</t>
  </si>
  <si>
    <t>POLY MEDICURE LTD.</t>
  </si>
  <si>
    <t>Glenmark Pharmaceuticals ltd</t>
  </si>
  <si>
    <t>GLENMARK</t>
  </si>
  <si>
    <t>GLENMARK PHARMACEUTICALS LTD.</t>
  </si>
  <si>
    <t>INE324L01013</t>
  </si>
  <si>
    <t>RPP INFRA PROJECTS LIMITED</t>
  </si>
  <si>
    <t>RPPINFRA</t>
  </si>
  <si>
    <t>RPP INFRA PROJECTS LTD.</t>
  </si>
  <si>
    <t>INE245L01010</t>
  </si>
  <si>
    <t>RDB Realty &amp; Infrastructure Limited</t>
  </si>
  <si>
    <t>RDBRIL</t>
  </si>
  <si>
    <t>RDB REALTY &amp; INFRASTRUCTURE LTD.</t>
  </si>
  <si>
    <t>Wockhardt Ltd</t>
  </si>
  <si>
    <t>WOCKPHARMA</t>
  </si>
  <si>
    <t>WOCKHARDT LTD.</t>
  </si>
  <si>
    <t>INE565L01011</t>
  </si>
  <si>
    <t>ZEE LEARN LIMITED</t>
  </si>
  <si>
    <t>ZEELEARN</t>
  </si>
  <si>
    <t>ZEE LEARN LTD.</t>
  </si>
  <si>
    <t>Enterprise International Limited</t>
  </si>
  <si>
    <t>ENTRINT</t>
  </si>
  <si>
    <t>ENTERPRISE INTERNATIONAL LTD.</t>
  </si>
  <si>
    <t>INE619I01012</t>
  </si>
  <si>
    <t>A2Z Infra Engineering Limited</t>
  </si>
  <si>
    <t>A2ZINFRA</t>
  </si>
  <si>
    <t>INE146L01010</t>
  </si>
  <si>
    <t>Zydus Lifesciences Limited</t>
  </si>
  <si>
    <t>ZYDUSLIFE</t>
  </si>
  <si>
    <t>Zydus Lifesciences Ltd</t>
  </si>
  <si>
    <t>INE722J01012</t>
  </si>
  <si>
    <t>Ravi Kumar Distilleries Limited</t>
  </si>
  <si>
    <t>RKDL</t>
  </si>
  <si>
    <t>RAVI KUMAR DISTILLERIES LTD.</t>
  </si>
  <si>
    <t>Ajanta Pharma Ltd.</t>
  </si>
  <si>
    <t>AJANTPHARM</t>
  </si>
  <si>
    <t>AJANTA PHARMA LTD.</t>
  </si>
  <si>
    <t>Mahan Industries Ltd.</t>
  </si>
  <si>
    <t>MAHANIN</t>
  </si>
  <si>
    <t>MAHAN INDUSTRIES LTD.</t>
  </si>
  <si>
    <t>INE272L01022</t>
  </si>
  <si>
    <t>Surana Solar Limited</t>
  </si>
  <si>
    <t>SURANASOL</t>
  </si>
  <si>
    <t>INE268L01020</t>
  </si>
  <si>
    <t>Shekhawati Poly-Yarn Limited</t>
  </si>
  <si>
    <t>SPYL</t>
  </si>
  <si>
    <t>SHEKHAWATI POLY-YARN LTD.</t>
  </si>
  <si>
    <t>INE029L01018</t>
  </si>
  <si>
    <t>Kalyani Investment Company Limited</t>
  </si>
  <si>
    <t>KICL</t>
  </si>
  <si>
    <t>KALYANI INVESTMENT COMPANY LTD.</t>
  </si>
  <si>
    <t>INE878K01010</t>
  </si>
  <si>
    <t>BF Investment Limited</t>
  </si>
  <si>
    <t>BFINVEST</t>
  </si>
  <si>
    <t>BF INVESTMENT LTD.</t>
  </si>
  <si>
    <t>INE519C01017</t>
  </si>
  <si>
    <t>SUMMIT SECURITIES LTD.</t>
  </si>
  <si>
    <t>SUMMITSEC</t>
  </si>
  <si>
    <t>INE690J01011</t>
  </si>
  <si>
    <t>Innovassynth Investments Limited</t>
  </si>
  <si>
    <t>INOVSYNTH</t>
  </si>
  <si>
    <t>INNOVASSYNTH INVESTMENTS LTD.</t>
  </si>
  <si>
    <t>INE577L01016</t>
  </si>
  <si>
    <t>STEL HoldingsÂ Limited</t>
  </si>
  <si>
    <t>STEL</t>
  </si>
  <si>
    <t>STEL Holdings Ltd</t>
  </si>
  <si>
    <t>INE474L01016</t>
  </si>
  <si>
    <t>OMKAR SPECIALITY CHEMICALS LIMITED</t>
  </si>
  <si>
    <t>OMKARCHEM</t>
  </si>
  <si>
    <t>OMKAR SPECIALITY CHEMICALS LTD.</t>
  </si>
  <si>
    <t>INE645L01011</t>
  </si>
  <si>
    <t>Jubilant Industries Limited</t>
  </si>
  <si>
    <t>JUBLINDS</t>
  </si>
  <si>
    <t>JUBILANT INDUSTRIES LTD.</t>
  </si>
  <si>
    <t>INE621L01012</t>
  </si>
  <si>
    <t>Granules India Ltd.</t>
  </si>
  <si>
    <t>GRANULES</t>
  </si>
  <si>
    <t>GRANULES INDIA LTD.-$</t>
  </si>
  <si>
    <t>INE611L01021</t>
  </si>
  <si>
    <t>Indian Terrain Fashions Limited</t>
  </si>
  <si>
    <t>INDTERRAIN</t>
  </si>
  <si>
    <t>INDIAN TERRAIN FASHIONS LTD.</t>
  </si>
  <si>
    <t>INE045J01026</t>
  </si>
  <si>
    <t>Fineotex Chemical Limited</t>
  </si>
  <si>
    <t>FCL</t>
  </si>
  <si>
    <t>FINEOTEX CHEMICAL LTD.</t>
  </si>
  <si>
    <t>INE320L01011</t>
  </si>
  <si>
    <t>Dhunseri Investments Ltd</t>
  </si>
  <si>
    <t>DHUNINV</t>
  </si>
  <si>
    <t>DHUNSERI INVESTMENTS LTD.</t>
  </si>
  <si>
    <t>INE251B01027</t>
  </si>
  <si>
    <t>Divi's Laboratories Ltd.</t>
  </si>
  <si>
    <t>DIVISLAB</t>
  </si>
  <si>
    <t>DIVI'S LABORATORIES LTD.</t>
  </si>
  <si>
    <t>INE597L01014</t>
  </si>
  <si>
    <t>Lovable Lingerie Limited</t>
  </si>
  <si>
    <t>LOVABLE</t>
  </si>
  <si>
    <t>LOVABLE LINGERIE LTD.</t>
  </si>
  <si>
    <t>INE560K01014</t>
  </si>
  <si>
    <t>PTC India Financial Services Limited</t>
  </si>
  <si>
    <t>PFS</t>
  </si>
  <si>
    <t>PTC INDIA FINANCIAL SERVICES LTD.</t>
  </si>
  <si>
    <t>Biocon Ltd.</t>
  </si>
  <si>
    <t>BIOCON</t>
  </si>
  <si>
    <t>BIOCON LTD.</t>
  </si>
  <si>
    <t>INE672K01025</t>
  </si>
  <si>
    <t>CIL Nova Petrochemicals Limited</t>
  </si>
  <si>
    <t>CNOVAPETRO</t>
  </si>
  <si>
    <t>CIL NOVA PETROCHEMICALS LTD.</t>
  </si>
  <si>
    <t>Beeyu Overseas Ltd.</t>
  </si>
  <si>
    <t>BEEYU</t>
  </si>
  <si>
    <t>BEEYU OVERSEAS LTD.</t>
  </si>
  <si>
    <t>INE725L01011</t>
  </si>
  <si>
    <t>Karma Energy Limited</t>
  </si>
  <si>
    <t>KARMAENG</t>
  </si>
  <si>
    <t>KARMA ENERGY LTD.</t>
  </si>
  <si>
    <t>INE726L01019</t>
  </si>
  <si>
    <t>DELPHI WORLD MONEY LIMITED</t>
  </si>
  <si>
    <t>DELPHIFX</t>
  </si>
  <si>
    <t>Delphi World Money Ltd</t>
  </si>
  <si>
    <t>INE573K01017</t>
  </si>
  <si>
    <t>Rushil Decor Limited</t>
  </si>
  <si>
    <t>RUSHIL</t>
  </si>
  <si>
    <t>RUSHIL DECOR LTD.</t>
  </si>
  <si>
    <t>INE130L01014</t>
  </si>
  <si>
    <t>Enkei wheels (India) Limited</t>
  </si>
  <si>
    <t>ENKEIWHEL</t>
  </si>
  <si>
    <t>ENKEI WHEELS (INDIA) LTD.</t>
  </si>
  <si>
    <t>INE524L01026</t>
  </si>
  <si>
    <t>Kridhan Infra Limited</t>
  </si>
  <si>
    <t>KRIDHANINF</t>
  </si>
  <si>
    <t>INE878H01024</t>
  </si>
  <si>
    <t>INVENTURE GROWTH &amp; SECURITIES LIMITED</t>
  </si>
  <si>
    <t>INVENTURE</t>
  </si>
  <si>
    <t>INVENTURE GROWTH &amp; SECURITIES LTD.</t>
  </si>
  <si>
    <t>STRIDES PHARMA SCIENCE LIMITED</t>
  </si>
  <si>
    <t>STAR</t>
  </si>
  <si>
    <t>Strides Pharma Science Ltd</t>
  </si>
  <si>
    <t>Ganon Products Limited</t>
  </si>
  <si>
    <t>GANONPRO</t>
  </si>
  <si>
    <t>Ganon Products Ltd</t>
  </si>
  <si>
    <t>INE040M01013</t>
  </si>
  <si>
    <t>Tree House Education &amp; Accessories Limited</t>
  </si>
  <si>
    <t>TREEHOUSE</t>
  </si>
  <si>
    <t>TREE HOUSE EDUCATION &amp; ACCESSORIES LTD.</t>
  </si>
  <si>
    <t>INE650L01011</t>
  </si>
  <si>
    <t>BROOKS LABORATORIES LIMITED</t>
  </si>
  <si>
    <t>BROOKS</t>
  </si>
  <si>
    <t>BROOKS LABORATORIES LTD.</t>
  </si>
  <si>
    <t>INE895B01021</t>
  </si>
  <si>
    <t>RUPA &amp; COMPANY LIMITED</t>
  </si>
  <si>
    <t>RUPA</t>
  </si>
  <si>
    <t>RUPA &amp; COMPANY LTD.</t>
  </si>
  <si>
    <t>INE419M01027</t>
  </si>
  <si>
    <t>Fortis Healthcare Ltd</t>
  </si>
  <si>
    <t>FORTIS</t>
  </si>
  <si>
    <t>FORTIS HEALTHCARE LTD.</t>
  </si>
  <si>
    <t>INE901L01018</t>
  </si>
  <si>
    <t>Sun Pharma Advanced Research Company Ltd.</t>
  </si>
  <si>
    <t>SPARC</t>
  </si>
  <si>
    <t>SUN PHARMA ADVANCED RESEARCH COMPANY LTD.</t>
  </si>
  <si>
    <t>INE590L01019</t>
  </si>
  <si>
    <t>Vaswani Industries Limited</t>
  </si>
  <si>
    <t>VASWANI</t>
  </si>
  <si>
    <t>VASWANI INDUSTRIES LTD.</t>
  </si>
  <si>
    <t>ALEMBIC PHARMACEUTICALS LIMITED</t>
  </si>
  <si>
    <t>APLLTD</t>
  </si>
  <si>
    <t>ALEMBIC PHARMACEUTICALS LTD.</t>
  </si>
  <si>
    <t>Quasar India Limited</t>
  </si>
  <si>
    <t>QUASAR</t>
  </si>
  <si>
    <t>Quasar India Ltd</t>
  </si>
  <si>
    <t>INE855P01033</t>
  </si>
  <si>
    <t>INE123M01017</t>
  </si>
  <si>
    <t>RDB Rasayans Limited</t>
  </si>
  <si>
    <t>RDBRL</t>
  </si>
  <si>
    <t>RDB RASAYANS LTD.</t>
  </si>
  <si>
    <t>INE440L01017</t>
  </si>
  <si>
    <t>TIJARIA POLYPIPES LIMITED</t>
  </si>
  <si>
    <t>TIJARIA</t>
  </si>
  <si>
    <t>TIJARIA POLYPIPES LTD.</t>
  </si>
  <si>
    <t>INE912L01015</t>
  </si>
  <si>
    <t>Onelife Capital Advisors Ltd</t>
  </si>
  <si>
    <t>ONELIFECAP</t>
  </si>
  <si>
    <t>ONELIFE CAPITAL ADVISORS LTD.</t>
  </si>
  <si>
    <t>INE060J01017</t>
  </si>
  <si>
    <t>FLEXITUFF VENTURES INTERNATIONAL LIMITED</t>
  </si>
  <si>
    <t>FLEXITUFF</t>
  </si>
  <si>
    <t>Flexituff Ventures International Ltd</t>
  </si>
  <si>
    <t>INE152M01016</t>
  </si>
  <si>
    <t>Syngene International Limited</t>
  </si>
  <si>
    <t>SYNGENE</t>
  </si>
  <si>
    <t>Syngene International Ltd</t>
  </si>
  <si>
    <t>INE398R01022</t>
  </si>
  <si>
    <t>INE337M01013</t>
  </si>
  <si>
    <t>Indo Thai Securities Limited</t>
  </si>
  <si>
    <t>INDOTHAI</t>
  </si>
  <si>
    <t>INDO THAI SECURITIES LTD.</t>
  </si>
  <si>
    <t>AMBASSADOR INTRA HOLDINGS LIMITED</t>
  </si>
  <si>
    <t>AIHL</t>
  </si>
  <si>
    <t>Ambassador Intra Holdings Ltd</t>
  </si>
  <si>
    <t>INE342U01016</t>
  </si>
  <si>
    <t>INE702C01027</t>
  </si>
  <si>
    <t>Alkem Laboratories Limited</t>
  </si>
  <si>
    <t>ALKEM</t>
  </si>
  <si>
    <t>Alkem Laboratories Ltd</t>
  </si>
  <si>
    <t>INE540L01014</t>
  </si>
  <si>
    <t>INE390G01014</t>
  </si>
  <si>
    <t>GPT Infraprojects limited</t>
  </si>
  <si>
    <t>GPTINFRA</t>
  </si>
  <si>
    <t>GPT INFRAPROJECTS LTD.</t>
  </si>
  <si>
    <t>Shamrock Industrial Co. Ltd.</t>
  </si>
  <si>
    <t>SHAMROIN</t>
  </si>
  <si>
    <t>SHAMROCK INDUSTRIAL CO.LTD.</t>
  </si>
  <si>
    <t>INE480M01011</t>
  </si>
  <si>
    <t>THOMAS SCOTT (INDIA) LIMITED</t>
  </si>
  <si>
    <t>THOMASCOTT</t>
  </si>
  <si>
    <t>INE482B01010</t>
  </si>
  <si>
    <t>Tera Software Ltd.</t>
  </si>
  <si>
    <t>TERASOFT</t>
  </si>
  <si>
    <t>TERA SOFTWARE LTD.</t>
  </si>
  <si>
    <t>INE793G01035</t>
  </si>
  <si>
    <t>PMC Fincorp Limited</t>
  </si>
  <si>
    <t>PMCFIN</t>
  </si>
  <si>
    <t>INE241F01011</t>
  </si>
  <si>
    <t>Futuristic Solutions Ltd.</t>
  </si>
  <si>
    <t>FUTSOL</t>
  </si>
  <si>
    <t>FUTURISTIC SOLUTIONS LTD.</t>
  </si>
  <si>
    <t>INE123D01024</t>
  </si>
  <si>
    <t>Alliance Integrated Metaliks Limited</t>
  </si>
  <si>
    <t>AIML</t>
  </si>
  <si>
    <t>ALLIANCE INTEGRATED METALIKS LTD.</t>
  </si>
  <si>
    <t>INE743M01012</t>
  </si>
  <si>
    <t>Dr. Lal Pathlabs Limited</t>
  </si>
  <si>
    <t>LALPATHLAB</t>
  </si>
  <si>
    <t>Dr. Lal PathLabs Ltd</t>
  </si>
  <si>
    <t>INE600L01024</t>
  </si>
  <si>
    <t>Narayana Hrudayalaya Limited</t>
  </si>
  <si>
    <t>NH</t>
  </si>
  <si>
    <t>Narayana Hrudayalaya Ltd</t>
  </si>
  <si>
    <t>INE410P01011</t>
  </si>
  <si>
    <t>INE883L01018</t>
  </si>
  <si>
    <t>Pyxis Finvest Limited</t>
  </si>
  <si>
    <t>PYXISFIN</t>
  </si>
  <si>
    <t>Pyxis Finvest Ltd</t>
  </si>
  <si>
    <t>INE839M01018</t>
  </si>
  <si>
    <t>HealthCare Global Enterprises Limited</t>
  </si>
  <si>
    <t>HCG</t>
  </si>
  <si>
    <t>HealthCare Global Enterprises Ltd</t>
  </si>
  <si>
    <t>INE075I01017</t>
  </si>
  <si>
    <t>INE550L01013</t>
  </si>
  <si>
    <t>Olympic Cards Limited</t>
  </si>
  <si>
    <t>OLPCL</t>
  </si>
  <si>
    <t>OLYMPIC CARDS LTD.</t>
  </si>
  <si>
    <t>INE095N01031</t>
  </si>
  <si>
    <t>Laurus Labs Limited</t>
  </si>
  <si>
    <t>LAURUSLABS</t>
  </si>
  <si>
    <t>Laurus Labs Ltd</t>
  </si>
  <si>
    <t>INE947Q01028</t>
  </si>
  <si>
    <t>INE472M01018</t>
  </si>
  <si>
    <t>MT EDUCARE LIMITED</t>
  </si>
  <si>
    <t>MTEDUCARE</t>
  </si>
  <si>
    <t>MT EDUCARE LTD.</t>
  </si>
  <si>
    <t>INE750M01017</t>
  </si>
  <si>
    <t>Hexa Tradex Limited</t>
  </si>
  <si>
    <t>HEXATRADEX</t>
  </si>
  <si>
    <t>HEXA TRADEX LTD.</t>
  </si>
  <si>
    <t>INE393F01010</t>
  </si>
  <si>
    <t>Maxheights Infrastructure Limited</t>
  </si>
  <si>
    <t>MAXHEIGHTS</t>
  </si>
  <si>
    <t>MAXHEIGHTS INFRASTRUCTURE LTD.</t>
  </si>
  <si>
    <t>INE760L01018</t>
  </si>
  <si>
    <t>Tribhovandas Bhimji Zaveri Limited</t>
  </si>
  <si>
    <t>TBZ</t>
  </si>
  <si>
    <t>TRIBHOVANDAS BHIMJI ZAVERI LTD.</t>
  </si>
  <si>
    <t>INE050M01012</t>
  </si>
  <si>
    <t>Vardhman Special Steels Ltd</t>
  </si>
  <si>
    <t>VSSL</t>
  </si>
  <si>
    <t>VARDHMAN SPECIAL STEELS LTD.</t>
  </si>
  <si>
    <t>INE204N01013</t>
  </si>
  <si>
    <t>Looks Health Services Limited</t>
  </si>
  <si>
    <t>LOOKS</t>
  </si>
  <si>
    <t>INE247M01014</t>
  </si>
  <si>
    <t>Speciality Restaurants Limited</t>
  </si>
  <si>
    <t>SPECIALITY</t>
  </si>
  <si>
    <t>SPECIALITY RESTAURANTS LTD.</t>
  </si>
  <si>
    <t>INE142K01011</t>
  </si>
  <si>
    <t>Lypsa Gems &amp; Jewellery Limited</t>
  </si>
  <si>
    <t>LYPSAGEMS</t>
  </si>
  <si>
    <t>Lypsa Gems &amp; Jewellery Ltd</t>
  </si>
  <si>
    <t>Eris Lifesciences Limited</t>
  </si>
  <si>
    <t>ERIS</t>
  </si>
  <si>
    <t>Eris Lifesciences Ltd</t>
  </si>
  <si>
    <t>INE406M01024</t>
  </si>
  <si>
    <t>INE735M01018</t>
  </si>
  <si>
    <t>Sampann Utpadan India Limited</t>
  </si>
  <si>
    <t>SAMPANN</t>
  </si>
  <si>
    <t>Sampann Utpadan India Ltd</t>
  </si>
  <si>
    <t>INE391J01024</t>
  </si>
  <si>
    <t>JTL INDUSTRIES LIMITED</t>
  </si>
  <si>
    <t>JTLIND</t>
  </si>
  <si>
    <t>JTL Industries Ltd</t>
  </si>
  <si>
    <t>INE436N01029</t>
  </si>
  <si>
    <t>ADVANCE METERING TECHNOLOGY LIMITED</t>
  </si>
  <si>
    <t>AMTL</t>
  </si>
  <si>
    <t>ADVANCE METERING TECHNOLOGY LTD.</t>
  </si>
  <si>
    <t>Jainco Projects (India) Ltd.</t>
  </si>
  <si>
    <t>JAINCO</t>
  </si>
  <si>
    <t>JAINCO PROJECTS (INDIA) LTD.</t>
  </si>
  <si>
    <t>INE299N01021</t>
  </si>
  <si>
    <t>Aster DM Healthcare Limited</t>
  </si>
  <si>
    <t>ASTERDM</t>
  </si>
  <si>
    <t>Aster DM Healthcare Ltd</t>
  </si>
  <si>
    <t>INE914M01019</t>
  </si>
  <si>
    <t>INE524N01014</t>
  </si>
  <si>
    <t>Jupiter Infomedia Limited</t>
  </si>
  <si>
    <t>JUPITERIN</t>
  </si>
  <si>
    <t>JUPITER INFOMEDIA LTD.</t>
  </si>
  <si>
    <t>INE581M01016</t>
  </si>
  <si>
    <t>VINAYAK POLYCON INTERNATIONAL LIMITED</t>
  </si>
  <si>
    <t>VINAYAKPOL</t>
  </si>
  <si>
    <t>VINAYAK POLYCON INTERNATIONAL LTD.</t>
  </si>
  <si>
    <t>INE131N01018</t>
  </si>
  <si>
    <t>Jointeca Education Solutions Limited</t>
  </si>
  <si>
    <t>JOINTECAED</t>
  </si>
  <si>
    <t>JOINTECA EDUCATION SOLUTIONS LTD.</t>
  </si>
  <si>
    <t>INE741L01018</t>
  </si>
  <si>
    <t>Ducon Infratechnologies Limited</t>
  </si>
  <si>
    <t>DUCON</t>
  </si>
  <si>
    <t>Ducon Infratechnologies Ltd</t>
  </si>
  <si>
    <t>INE195N01013</t>
  </si>
  <si>
    <t>PROZONE REALTY LIMITED</t>
  </si>
  <si>
    <t>PROZONER</t>
  </si>
  <si>
    <t>Prozone Realty Ltd</t>
  </si>
  <si>
    <t>INE559N01010</t>
  </si>
  <si>
    <t>SRG Housing Finance Limited</t>
  </si>
  <si>
    <t>SRGHFL</t>
  </si>
  <si>
    <t>SRG HOUSING FINANCE LTD.</t>
  </si>
  <si>
    <t>INE456N01019</t>
  </si>
  <si>
    <t>Comfort Commotrade Limited</t>
  </si>
  <si>
    <t>COMCL</t>
  </si>
  <si>
    <t>COMFORT COMMOTRADE LTD.</t>
  </si>
  <si>
    <t>INE892L01019</t>
  </si>
  <si>
    <t>SHANTI GURU INDUSTRIES LIMITED</t>
  </si>
  <si>
    <t>SHANTIGURU</t>
  </si>
  <si>
    <t>Shanti Guru Industries Ltd</t>
  </si>
  <si>
    <t>INE176N01021</t>
  </si>
  <si>
    <t>CASPIAN CORPORATE SERVICES LIMITED</t>
  </si>
  <si>
    <t>CASPIAN</t>
  </si>
  <si>
    <t>Caspian Corporate Services Ltd</t>
  </si>
  <si>
    <t>INE175N01023</t>
  </si>
  <si>
    <t>Aerpace Industries Limited</t>
  </si>
  <si>
    <t>AERPACE</t>
  </si>
  <si>
    <t>Aerpace Industries Ltd</t>
  </si>
  <si>
    <t>INE247C01023</t>
  </si>
  <si>
    <t>VIRTUAL GLOBAL EDUCATION LTD.</t>
  </si>
  <si>
    <t>VIRTUALG</t>
  </si>
  <si>
    <t>INE840M01016</t>
  </si>
  <si>
    <t>ZUARI AGRO CHEMICALS LIMITED</t>
  </si>
  <si>
    <t>ZUARI</t>
  </si>
  <si>
    <t>ZUARI AGRO CHEMICALS LTD.</t>
  </si>
  <si>
    <t>INE503B01021</t>
  </si>
  <si>
    <t>Steel Exchange India Ltd.</t>
  </si>
  <si>
    <t>STEELXIND</t>
  </si>
  <si>
    <t>STEEL EXCHANGE INDIA LTD.</t>
  </si>
  <si>
    <t>INE234G01022</t>
  </si>
  <si>
    <t>Trio Mercantile &amp; Trading Limited</t>
  </si>
  <si>
    <t>TRIOMERC</t>
  </si>
  <si>
    <t>TRIO MERCANTILE &amp; TRADING LTD.</t>
  </si>
  <si>
    <t>INE675C01017</t>
  </si>
  <si>
    <t>Cigniti Technologies Ltd</t>
  </si>
  <si>
    <t>CIGNITITEC</t>
  </si>
  <si>
    <t>CIGNITI TECHNOLOGIES LTD.</t>
  </si>
  <si>
    <t>INE198N01017</t>
  </si>
  <si>
    <t>CDG PETCHEM LIMITED</t>
  </si>
  <si>
    <t>CDG</t>
  </si>
  <si>
    <t>CDG Petchem Ltd</t>
  </si>
  <si>
    <t>INE752H01013</t>
  </si>
  <si>
    <t>CARE Ratings Limited</t>
  </si>
  <si>
    <t>CARERATING</t>
  </si>
  <si>
    <t>CARE Ratings Ltd</t>
  </si>
  <si>
    <t>INE785M01013</t>
  </si>
  <si>
    <t>PC JEWELLER LIMITED</t>
  </si>
  <si>
    <t>PCJEWELLER</t>
  </si>
  <si>
    <t>PC JEWELLER LTD.</t>
  </si>
  <si>
    <t>INE121J01017</t>
  </si>
  <si>
    <t>Metropolis Healthcare Limited</t>
  </si>
  <si>
    <t>METROPOLIS</t>
  </si>
  <si>
    <t>Metropolis Healthcare Ltd</t>
  </si>
  <si>
    <t>INE112L01020</t>
  </si>
  <si>
    <t>SUVEN PHARMACEUTICALS LIMITED</t>
  </si>
  <si>
    <t>SUVENPHAR</t>
  </si>
  <si>
    <t>Suven Pharmaceuticals Ltd</t>
  </si>
  <si>
    <t>INE03QK01018</t>
  </si>
  <si>
    <t>INE149O01018</t>
  </si>
  <si>
    <t>NIBE LIMITED</t>
  </si>
  <si>
    <t>NIBE</t>
  </si>
  <si>
    <t>NIBE Ltd</t>
  </si>
  <si>
    <t>Ramasigns Industries Limited</t>
  </si>
  <si>
    <t>RAMASIGNS</t>
  </si>
  <si>
    <t>Ramasigns Industries Ltd</t>
  </si>
  <si>
    <t>Explicit Finance Limited</t>
  </si>
  <si>
    <t>EXPLICITFIN</t>
  </si>
  <si>
    <t>EXPLICIT FINANCE LTD.</t>
  </si>
  <si>
    <t>INE274M01026</t>
  </si>
  <si>
    <t>COMFORT FINCAP LIMITED</t>
  </si>
  <si>
    <t>COMFINCAP</t>
  </si>
  <si>
    <t>COMFORT FINCAP LTD.</t>
  </si>
  <si>
    <t>INE583M01012</t>
  </si>
  <si>
    <t>Bothra Metals &amp; Alloys Limited</t>
  </si>
  <si>
    <t>BMAL</t>
  </si>
  <si>
    <t>BOTHRA METALS &amp; ALLOYS LTD.</t>
  </si>
  <si>
    <t>INE612J01015</t>
  </si>
  <si>
    <t>Repco Home Finance Limited</t>
  </si>
  <si>
    <t>REPCOHOME</t>
  </si>
  <si>
    <t>REPCO HOME FINANCE LTD.</t>
  </si>
  <si>
    <t>INE191O01010</t>
  </si>
  <si>
    <t>LAKHOTIA POLYESTERS (INDIA) LIMITED</t>
  </si>
  <si>
    <t>LAKHOTIA</t>
  </si>
  <si>
    <t>LAKHOTIA POLYESTERS (INDIA) LTD.</t>
  </si>
  <si>
    <t>INE168O01026</t>
  </si>
  <si>
    <t>GCM Securities Limited</t>
  </si>
  <si>
    <t>GCMSECU</t>
  </si>
  <si>
    <t>GCM Securities Ltd</t>
  </si>
  <si>
    <t>INE047O01014</t>
  </si>
  <si>
    <t>NRB INDUSTRIAL BEARINGS LIMITED</t>
  </si>
  <si>
    <t>NIBL</t>
  </si>
  <si>
    <t>NRB INDUSTRIAL BEARINGS LTD.</t>
  </si>
  <si>
    <t>INE748D01010</t>
  </si>
  <si>
    <t>Prime Capital Market Limited</t>
  </si>
  <si>
    <t>PRIMECAPM</t>
  </si>
  <si>
    <t>PRIME CAPITAL MARKET LTD.</t>
  </si>
  <si>
    <t>INE902D01013</t>
  </si>
  <si>
    <t>KIFS Financial Services Ltd</t>
  </si>
  <si>
    <t>KIFS</t>
  </si>
  <si>
    <t>KIFS FINANCIAL SERVICES LTD.</t>
  </si>
  <si>
    <t>INE099F01013</t>
  </si>
  <si>
    <t>Sreeleathers Limited</t>
  </si>
  <si>
    <t>SREEL</t>
  </si>
  <si>
    <t>SREELEATHERS LTD.</t>
  </si>
  <si>
    <t>Max Healthcare Institute Limited</t>
  </si>
  <si>
    <t>MAXHEALTH</t>
  </si>
  <si>
    <t>Max Healthcare Institute Ltd</t>
  </si>
  <si>
    <t>INE027H01010</t>
  </si>
  <si>
    <t>INE159L01013</t>
  </si>
  <si>
    <t>S V Global Mill Limited</t>
  </si>
  <si>
    <t>SVGLOBAL</t>
  </si>
  <si>
    <t>S V GLOBAL MILL LTD.</t>
  </si>
  <si>
    <t>INE807O01011</t>
  </si>
  <si>
    <t>SDC TECHMEDIA LIMITED</t>
  </si>
  <si>
    <t>SDC</t>
  </si>
  <si>
    <t>SDC Techmedia Ltd</t>
  </si>
  <si>
    <t>Gland Pharma Limited</t>
  </si>
  <si>
    <t>GLAND</t>
  </si>
  <si>
    <t>Gland Pharma Ltd</t>
  </si>
  <si>
    <t>INE068V01023</t>
  </si>
  <si>
    <t>INE860E01011</t>
  </si>
  <si>
    <t>ObjectOne Information Systems Ltd</t>
  </si>
  <si>
    <t>OONE</t>
  </si>
  <si>
    <t>OBJECTONE INFORMATION SYSTEMS LTD.</t>
  </si>
  <si>
    <t>INE474O01010</t>
  </si>
  <si>
    <t>India Finsec Limited</t>
  </si>
  <si>
    <t>IFINSEC</t>
  </si>
  <si>
    <t>INDIA FINSEC LTD.</t>
  </si>
  <si>
    <t>INE320I01017</t>
  </si>
  <si>
    <t>BRAHMAPUTRA INFRASTRUCTURE LIMITED</t>
  </si>
  <si>
    <t>BRAHMINFRA</t>
  </si>
  <si>
    <t>BRAHMAPUTRA INFRASTRUCTURE LTD.</t>
  </si>
  <si>
    <t>INE989J01017</t>
  </si>
  <si>
    <t>QUEST SOFTECH (INDIA) LIMITED</t>
  </si>
  <si>
    <t>QUEST</t>
  </si>
  <si>
    <t>Quest Softech (India) Ltd</t>
  </si>
  <si>
    <t>INE731G01027</t>
  </si>
  <si>
    <t>Khoobsurat Ltd.</t>
  </si>
  <si>
    <t>KHOOBSURAT</t>
  </si>
  <si>
    <t>Khoobsurat Ltd</t>
  </si>
  <si>
    <t>Krishna Institute of Medical Sciences Limited</t>
  </si>
  <si>
    <t>KIMS</t>
  </si>
  <si>
    <t>Krishna Institute of Medical Sciences Ltd</t>
  </si>
  <si>
    <t>INE967H01017</t>
  </si>
  <si>
    <t>Glenmark Life Sciences Limited</t>
  </si>
  <si>
    <t>GLS</t>
  </si>
  <si>
    <t>Glenmark Life Sciences Ltd</t>
  </si>
  <si>
    <t>INE03Q201024</t>
  </si>
  <si>
    <t>Ami Organics Limited</t>
  </si>
  <si>
    <t>AMIORG</t>
  </si>
  <si>
    <t>Ami Organics Ltd</t>
  </si>
  <si>
    <t>INE00FF01017</t>
  </si>
  <si>
    <t>INE340O01013</t>
  </si>
  <si>
    <t>Money Masters Leasing &amp; Finance Limited</t>
  </si>
  <si>
    <t>MMLF</t>
  </si>
  <si>
    <t>Money Masters Leasing &amp; Finance Ltd</t>
  </si>
  <si>
    <t>INE030P01017</t>
  </si>
  <si>
    <t>Alacrity Securities Limited</t>
  </si>
  <si>
    <t>ALSL</t>
  </si>
  <si>
    <t>Alacrity Securities Ltd</t>
  </si>
  <si>
    <t>INE200P01016</t>
  </si>
  <si>
    <t>GCM Commodity &amp; Derivatives Limited</t>
  </si>
  <si>
    <t>GCMCOMM</t>
  </si>
  <si>
    <t>GCM Commodity &amp; Derivatives Ltd</t>
  </si>
  <si>
    <t>INE418N01035</t>
  </si>
  <si>
    <t>Integra Essentia Limited</t>
  </si>
  <si>
    <t>ESSENTIA</t>
  </si>
  <si>
    <t>Integra Essentia Ltd</t>
  </si>
  <si>
    <t>INE890N01019</t>
  </si>
  <si>
    <t>JULIEN AGRO INFRATECH LIMITED</t>
  </si>
  <si>
    <t>JULIEN</t>
  </si>
  <si>
    <t>Julien Agro Infratech Ltd</t>
  </si>
  <si>
    <t>Kaarya Facilities and Services Limited</t>
  </si>
  <si>
    <t>KAARYAFSL</t>
  </si>
  <si>
    <t>Kaarya Facilities and Services Ltd</t>
  </si>
  <si>
    <t>INE282Y01016</t>
  </si>
  <si>
    <t>INE690O01011</t>
  </si>
  <si>
    <t>JK Agri Genetics Limited</t>
  </si>
  <si>
    <t>JK AGRI</t>
  </si>
  <si>
    <t>JK Agri Genetics Ltd</t>
  </si>
  <si>
    <t>INE452O01016</t>
  </si>
  <si>
    <t>Future Lifestyle Fashions Limited</t>
  </si>
  <si>
    <t>FLFL</t>
  </si>
  <si>
    <t>Future Lifestyle Fashions Ltd</t>
  </si>
  <si>
    <t>INE428B01013</t>
  </si>
  <si>
    <t>PVV Infra Limited</t>
  </si>
  <si>
    <t>PVVINFRA</t>
  </si>
  <si>
    <t>PVV Infra Ltd</t>
  </si>
  <si>
    <t>INE962O01014</t>
  </si>
  <si>
    <t>VCU Data Management Limited</t>
  </si>
  <si>
    <t>VCU</t>
  </si>
  <si>
    <t>VCU Data Management Ltd</t>
  </si>
  <si>
    <t>INE138O01029</t>
  </si>
  <si>
    <t>IND Renewable Energy Ltd</t>
  </si>
  <si>
    <t>INDRENEW</t>
  </si>
  <si>
    <t>INE326P01019</t>
  </si>
  <si>
    <t>S R G SECURITIES FINANCE LIMITED</t>
  </si>
  <si>
    <t>SRGSFL</t>
  </si>
  <si>
    <t>S R G Securities Finance Ltd</t>
  </si>
  <si>
    <t>INE218P01018</t>
  </si>
  <si>
    <t>Amrapali Capital and Finance Services Limited</t>
  </si>
  <si>
    <t>ACFSL</t>
  </si>
  <si>
    <t>Amrapali Capital and Finance Services Ltd</t>
  </si>
  <si>
    <t>INE325P01011</t>
  </si>
  <si>
    <t>STELLAR CAPITAL SERVICES LIMITED</t>
  </si>
  <si>
    <t>STELLAR</t>
  </si>
  <si>
    <t>Stellar Capital Services Ltd</t>
  </si>
  <si>
    <t>INE147P01019</t>
  </si>
  <si>
    <t>JINDAL POLY INVESTMENT AND FINANCE COMPANY LIMITED</t>
  </si>
  <si>
    <t>JPOLYINVST</t>
  </si>
  <si>
    <t>Jindal Poly Investment and Finance Company Ltd</t>
  </si>
  <si>
    <t>INE156M01017</t>
  </si>
  <si>
    <t>Yuranus Infrastructure Ltd</t>
  </si>
  <si>
    <t>YURANUS</t>
  </si>
  <si>
    <t>INE536P01021</t>
  </si>
  <si>
    <t>CAPTAIN POLYPLAST LIMITED</t>
  </si>
  <si>
    <t>CPL</t>
  </si>
  <si>
    <t>Captain Polyplast Ltd</t>
  </si>
  <si>
    <t>INE185K01036</t>
  </si>
  <si>
    <t>Arnold Holdings Ltd</t>
  </si>
  <si>
    <t>ARNOLD</t>
  </si>
  <si>
    <t>INE671C01016</t>
  </si>
  <si>
    <t>Sunil Healthcare Limited</t>
  </si>
  <si>
    <t>SUNLOC</t>
  </si>
  <si>
    <t>Sunil Healthcare Ltd</t>
  </si>
  <si>
    <t>INE442P01014</t>
  </si>
  <si>
    <t>Suyog Telematics Limited</t>
  </si>
  <si>
    <t>SUYOG</t>
  </si>
  <si>
    <t>Suyog Telematics Ltd</t>
  </si>
  <si>
    <t>INE448G01010</t>
  </si>
  <si>
    <t>Nath Biogene India Ltd.</t>
  </si>
  <si>
    <t>NATHBIOGEN</t>
  </si>
  <si>
    <t>Nath Bio-Genes (India) Ltd</t>
  </si>
  <si>
    <t>INE449G01018</t>
  </si>
  <si>
    <t>Agri-Tech India Ltd.</t>
  </si>
  <si>
    <t>AGRITECH</t>
  </si>
  <si>
    <t>Agri- Tech (India) Ltd</t>
  </si>
  <si>
    <t>INE212P01011</t>
  </si>
  <si>
    <t>CHEMTECH INDUSTRIAL VALVES LIMITED</t>
  </si>
  <si>
    <t>CHEMTECH</t>
  </si>
  <si>
    <t>Chemtech Industrial Valves Ltd</t>
  </si>
  <si>
    <t>INE051G01012</t>
  </si>
  <si>
    <t>Denis Chem Lab Limited</t>
  </si>
  <si>
    <t>DENISCHEM</t>
  </si>
  <si>
    <t>Denis Chem Lab Ltd</t>
  </si>
  <si>
    <t>INE826P01018</t>
  </si>
  <si>
    <t>Polymac Thermoformers Limited</t>
  </si>
  <si>
    <t>POLYMAC</t>
  </si>
  <si>
    <t>Polymac Thermoformers Ltd</t>
  </si>
  <si>
    <t>INE210P01015</t>
  </si>
  <si>
    <t>Unishire Urban Infra Limited</t>
  </si>
  <si>
    <t>UNISHIRE</t>
  </si>
  <si>
    <t>Unishire Urban Infra Ltd</t>
  </si>
  <si>
    <t>INE920P01019</t>
  </si>
  <si>
    <t>LAXMIPATI ENGINEERING WORKS LIMITED</t>
  </si>
  <si>
    <t>LAXMIPATI</t>
  </si>
  <si>
    <t>Laxmipati Engineering Works Ltd</t>
  </si>
  <si>
    <t>INE546I01017</t>
  </si>
  <si>
    <t>ETT Limited</t>
  </si>
  <si>
    <t>ETT</t>
  </si>
  <si>
    <t>ETT Ltd</t>
  </si>
  <si>
    <t>INE101H01013</t>
  </si>
  <si>
    <t>SHREE HANUMAN SUGAR &amp; INDUSTRIES LTD.</t>
  </si>
  <si>
    <t>HANSUGAR</t>
  </si>
  <si>
    <t>Shree Hanuman Sugar &amp; Industries Ltd</t>
  </si>
  <si>
    <t>INE555P01013</t>
  </si>
  <si>
    <t>Kiran Vyapar Limited</t>
  </si>
  <si>
    <t>KIRANVYPAR</t>
  </si>
  <si>
    <t>Kiran Vyapar Ltd</t>
  </si>
  <si>
    <t>INE905P01028</t>
  </si>
  <si>
    <t>B.C. Power Controls Limited</t>
  </si>
  <si>
    <t>BCP</t>
  </si>
  <si>
    <t>B.C. Power Controls Ltd</t>
  </si>
  <si>
    <t>INE576P01019</t>
  </si>
  <si>
    <t>Diksha Greens Limited</t>
  </si>
  <si>
    <t>DGL</t>
  </si>
  <si>
    <t>Diksha Greens Ltd</t>
  </si>
  <si>
    <t>INE01GR01018</t>
  </si>
  <si>
    <t>INE084Q01012</t>
  </si>
  <si>
    <t>RACE ECO CHAIN LIMITED</t>
  </si>
  <si>
    <t>RACE</t>
  </si>
  <si>
    <t>Race Eco Chain Ltd</t>
  </si>
  <si>
    <t>INE717C01025</t>
  </si>
  <si>
    <t>Mangalam Industrial Finance Limited</t>
  </si>
  <si>
    <t>MANGIND</t>
  </si>
  <si>
    <t>Mangalam Industrial Finance Ltd</t>
  </si>
  <si>
    <t>INE159N01027</t>
  </si>
  <si>
    <t>VIJI FINANCE LIMITED</t>
  </si>
  <si>
    <t>VIJIFIN</t>
  </si>
  <si>
    <t>Viji Finance Ltd</t>
  </si>
  <si>
    <t>INE977M01024</t>
  </si>
  <si>
    <t>PHOENIX TOWNSHIP LIMITED</t>
  </si>
  <si>
    <t>PHOENIXTN</t>
  </si>
  <si>
    <t>Phoenix Township Ltd</t>
  </si>
  <si>
    <t>INE463B01036</t>
  </si>
  <si>
    <t>INFRONICS SYSTEMS LIMITED</t>
  </si>
  <si>
    <t>INFRONICS</t>
  </si>
  <si>
    <t>Infronics Systems Ltd</t>
  </si>
  <si>
    <t>INE493N01012</t>
  </si>
  <si>
    <t>Haria Apparels Limited</t>
  </si>
  <si>
    <t>HARIAAPL</t>
  </si>
  <si>
    <t>Haria Apparels Ltd</t>
  </si>
  <si>
    <t>INE574G01013</t>
  </si>
  <si>
    <t>SHRI VASUPRADA PLANTATIONS LIMITED</t>
  </si>
  <si>
    <t>VASUPRADA</t>
  </si>
  <si>
    <t>Shri Vasuprada Plantations Ltd</t>
  </si>
  <si>
    <t>INE012Q01021</t>
  </si>
  <si>
    <t>R&amp;B Denims Limited</t>
  </si>
  <si>
    <t>RNBDENIMS</t>
  </si>
  <si>
    <t>R&amp;B Denims Ltd</t>
  </si>
  <si>
    <t>INE909D01026</t>
  </si>
  <si>
    <t>SHARP INVESTMENTS LTD</t>
  </si>
  <si>
    <t>SHARPINV</t>
  </si>
  <si>
    <t>Sharp Investments Ltd</t>
  </si>
  <si>
    <t>Vijaya Diagnostic Centre Limited</t>
  </si>
  <si>
    <t>VIJAYA</t>
  </si>
  <si>
    <t>Vijaya Diagnostic Centre Ltd</t>
  </si>
  <si>
    <t>INE043W01024</t>
  </si>
  <si>
    <t>INE401B01010</t>
  </si>
  <si>
    <t>Response Informatics Limited</t>
  </si>
  <si>
    <t>RESPONSINF</t>
  </si>
  <si>
    <t>Response Informatics Ltd</t>
  </si>
  <si>
    <t>INE191P01017</t>
  </si>
  <si>
    <t>GCM Capital Advisors Limited</t>
  </si>
  <si>
    <t>GCMCAPI</t>
  </si>
  <si>
    <t>GCM Capital Advisors Ltd</t>
  </si>
  <si>
    <t>Shiva Suitings Ltd.</t>
  </si>
  <si>
    <t>SHVSUIT</t>
  </si>
  <si>
    <t>SHIVA SUITINGS LTD.</t>
  </si>
  <si>
    <t>INE452L01012</t>
  </si>
  <si>
    <t>INCREDIBLE INDUSTRIES LIMITED</t>
  </si>
  <si>
    <t>INCREDIBLE</t>
  </si>
  <si>
    <t>Incredible Industries Ltd</t>
  </si>
  <si>
    <t>INE266P01017</t>
  </si>
  <si>
    <t>WEST LEISURE RESORTS LIMITED</t>
  </si>
  <si>
    <t>WESTLEIRES</t>
  </si>
  <si>
    <t>West Leisure Resorts Ltd</t>
  </si>
  <si>
    <t>INE792G01011</t>
  </si>
  <si>
    <t>Nam Securities Ltd.</t>
  </si>
  <si>
    <t>NAM</t>
  </si>
  <si>
    <t>Nam Securities Ltd</t>
  </si>
  <si>
    <t>INE318N01011</t>
  </si>
  <si>
    <t>MAESTROS ELECTRONICS &amp; TELECOMMUNICATIONS SYSTEMS LTD</t>
  </si>
  <si>
    <t>METSL</t>
  </si>
  <si>
    <t>Maestros Electronics &amp; Telecommunications Systems Ltd</t>
  </si>
  <si>
    <t>INE502O01018</t>
  </si>
  <si>
    <t>SPS Finquest Limited</t>
  </si>
  <si>
    <t>SPS</t>
  </si>
  <si>
    <t>SPS Finquest Ltd</t>
  </si>
  <si>
    <t>INE508N01025</t>
  </si>
  <si>
    <t>Jackson Investments Limited</t>
  </si>
  <si>
    <t>JACKSON</t>
  </si>
  <si>
    <t>Jackson Investments Ltd</t>
  </si>
  <si>
    <t>INE296Q01012</t>
  </si>
  <si>
    <t>MONEYBOXX FINANCE LIMITED</t>
  </si>
  <si>
    <t>MONEYBOXX</t>
  </si>
  <si>
    <t>Moneyboxx Finance Ltd</t>
  </si>
  <si>
    <t>INE114O01012</t>
  </si>
  <si>
    <t>Worth Investment &amp; Trading Co Limited</t>
  </si>
  <si>
    <t>WORTH</t>
  </si>
  <si>
    <t>Worth Investment &amp; Trading Co Ltd</t>
  </si>
  <si>
    <t>Kanel Industries Limited</t>
  </si>
  <si>
    <t>KANELIND</t>
  </si>
  <si>
    <t>INE901C01017</t>
  </si>
  <si>
    <t>Thirani Projects Limited</t>
  </si>
  <si>
    <t>TPROJECT</t>
  </si>
  <si>
    <t>Thirani Projects Ltd</t>
  </si>
  <si>
    <t>INE745P01010</t>
  </si>
  <si>
    <t>Amarnath Securities Ltd.</t>
  </si>
  <si>
    <t>AMARSEC</t>
  </si>
  <si>
    <t>Amarnath Securities Ltd</t>
  </si>
  <si>
    <t>INE172D01021</t>
  </si>
  <si>
    <t>Capital Trade Links Limited</t>
  </si>
  <si>
    <t>CTL</t>
  </si>
  <si>
    <t>Capital Trade Links Ltd</t>
  </si>
  <si>
    <t>Gold Rock Investments Ltd.</t>
  </si>
  <si>
    <t>ZGOLDINV</t>
  </si>
  <si>
    <t>GOLD ROCK INVESTMENTS LTD.</t>
  </si>
  <si>
    <t>INE969E01010</t>
  </si>
  <si>
    <t>YAAN ENTERPRISES LIMITED</t>
  </si>
  <si>
    <t>YAANENT</t>
  </si>
  <si>
    <t>Yaan Enterprises Ltd</t>
  </si>
  <si>
    <t>INE075K01013</t>
  </si>
  <si>
    <t>J.Taparia Projects Ltd</t>
  </si>
  <si>
    <t>JTAPARIA</t>
  </si>
  <si>
    <t>J. Taparia Projects Ltd</t>
  </si>
  <si>
    <t>INE516P01015</t>
  </si>
  <si>
    <t>Ramchandra Leasing &amp; Finance Limited</t>
  </si>
  <si>
    <t>RLFL</t>
  </si>
  <si>
    <t>Ramchandra Leasing &amp; Finance Ltd</t>
  </si>
  <si>
    <t>INE634J01019</t>
  </si>
  <si>
    <t>GoldCoin Health Foods Limited</t>
  </si>
  <si>
    <t>GOLDCOINHF</t>
  </si>
  <si>
    <t>Gold Coin Health Foods Ltd</t>
  </si>
  <si>
    <t>INE319Q01012</t>
  </si>
  <si>
    <t>Bansal Roofing Products Limited</t>
  </si>
  <si>
    <t>BRPL</t>
  </si>
  <si>
    <t>Bansal Roofing Products Ltd</t>
  </si>
  <si>
    <t>INE510P01018</t>
  </si>
  <si>
    <t>Arman Holdings Limited</t>
  </si>
  <si>
    <t>ARMAN</t>
  </si>
  <si>
    <t>Arman Holdings Ltd</t>
  </si>
  <si>
    <t>INE439E01022</t>
  </si>
  <si>
    <t>Skipper Limited</t>
  </si>
  <si>
    <t>SKIPPER</t>
  </si>
  <si>
    <t>Skipper Ltd</t>
  </si>
  <si>
    <t>INE673E01018</t>
  </si>
  <si>
    <t>Peoples Investments Ltd.</t>
  </si>
  <si>
    <t>PEOPLIN</t>
  </si>
  <si>
    <t>PEOPLES INVESTMENTS LTD.</t>
  </si>
  <si>
    <t>INE718P01017</t>
  </si>
  <si>
    <t>James Warren Tea Limited</t>
  </si>
  <si>
    <t>JAMESWARREN</t>
  </si>
  <si>
    <t>James Warren Tea Ltd</t>
  </si>
  <si>
    <t>INE878P01019</t>
  </si>
  <si>
    <t>Vistar Amar Limited</t>
  </si>
  <si>
    <t>VISTARAMAR</t>
  </si>
  <si>
    <t>Vistar Amar Ltd</t>
  </si>
  <si>
    <t>Rainbow Children's Medicare Limited</t>
  </si>
  <si>
    <t>RAINBOW</t>
  </si>
  <si>
    <t>Rainbow Children's Medicare Ltd</t>
  </si>
  <si>
    <t>INE961O01016</t>
  </si>
  <si>
    <t>Rapid Investments Ltd.</t>
  </si>
  <si>
    <t>RAPIDIN</t>
  </si>
  <si>
    <t>RAPID INVESTMENTS LTD.</t>
  </si>
  <si>
    <t>SPRINGFORM TECHNOLOGY LIMITED</t>
  </si>
  <si>
    <t>SFTL</t>
  </si>
  <si>
    <t>Springform Technology Ltd</t>
  </si>
  <si>
    <t>INE336Q01016</t>
  </si>
  <si>
    <t>Bhanderi Infracon Limited</t>
  </si>
  <si>
    <t>BHANDERI</t>
  </si>
  <si>
    <t>Bhanderi Infracon Ltd</t>
  </si>
  <si>
    <t>Amalgamated Electricity Co. Ltd.</t>
  </si>
  <si>
    <t>AMALGAM</t>
  </si>
  <si>
    <t>AMALGAMATED ELECTRICITY CO.LTD.</t>
  </si>
  <si>
    <t>INE222B01028</t>
  </si>
  <si>
    <t>Quantum Build-Tech Limited</t>
  </si>
  <si>
    <t>QUANTBUILD</t>
  </si>
  <si>
    <t>Quantum Build-Tech Ltd</t>
  </si>
  <si>
    <t>INE404F01031</t>
  </si>
  <si>
    <t>TTI Enterprise Limited</t>
  </si>
  <si>
    <t>TTIENT</t>
  </si>
  <si>
    <t>TTI Enterprise Ltd</t>
  </si>
  <si>
    <t>INE755Q01025</t>
  </si>
  <si>
    <t>Vishal Fabrics Limited</t>
  </si>
  <si>
    <t>VISHAL</t>
  </si>
  <si>
    <t>Vishal Fabrics Ltd</t>
  </si>
  <si>
    <t>INE457P01020</t>
  </si>
  <si>
    <t>TOYAM SPORTS LIMITED</t>
  </si>
  <si>
    <t>TOYAMSL</t>
  </si>
  <si>
    <t>Toyam Sports Ltd</t>
  </si>
  <si>
    <t>INE868G01019</t>
  </si>
  <si>
    <t>Gajanan Securities Services Ltd.</t>
  </si>
  <si>
    <t>GAJANANSEC</t>
  </si>
  <si>
    <t>Gajanan Securities Services Ltd</t>
  </si>
  <si>
    <t>INE099D01018</t>
  </si>
  <si>
    <t>Unison Metals Ltd</t>
  </si>
  <si>
    <t>UNISON</t>
  </si>
  <si>
    <t>INE840I01014</t>
  </si>
  <si>
    <t>Real Touch Finance Limited</t>
  </si>
  <si>
    <t>RTFL</t>
  </si>
  <si>
    <t>Real Touch Finance Ltd</t>
  </si>
  <si>
    <t>INE406F01010</t>
  </si>
  <si>
    <t>Vasundhara Rasayans Ltd.</t>
  </si>
  <si>
    <t>VRL</t>
  </si>
  <si>
    <t>Vasundhara Rasayans Ltd</t>
  </si>
  <si>
    <t>Indsoya Limited</t>
  </si>
  <si>
    <t>INDSOYA</t>
  </si>
  <si>
    <t>INDSOYA LTD.</t>
  </si>
  <si>
    <t>INE837C01013</t>
  </si>
  <si>
    <t>QGO FINANCE LIMITED</t>
  </si>
  <si>
    <t>QGO</t>
  </si>
  <si>
    <t>QGO Finance Ltd</t>
  </si>
  <si>
    <t>INE729C01020</t>
  </si>
  <si>
    <t>Purshottam Investofin Limited</t>
  </si>
  <si>
    <t>PURSHOTTAM</t>
  </si>
  <si>
    <t>Purshottam Investofin Ltd</t>
  </si>
  <si>
    <t>INE691J01019</t>
  </si>
  <si>
    <t>SW Investments Limited</t>
  </si>
  <si>
    <t>SW1</t>
  </si>
  <si>
    <t>SW Investments Ltd</t>
  </si>
  <si>
    <t>INE221J01015</t>
  </si>
  <si>
    <t>Sharda Cropchem Limited</t>
  </si>
  <si>
    <t>SHARDACROP</t>
  </si>
  <si>
    <t>Sharda Cropchem Ltd</t>
  </si>
  <si>
    <t>INE785O01019</t>
  </si>
  <si>
    <t>K K Fincorp Limited</t>
  </si>
  <si>
    <t>KKFIN</t>
  </si>
  <si>
    <t>INE898Q01015</t>
  </si>
  <si>
    <t>Meghna Infracon Infrastructure Limited</t>
  </si>
  <si>
    <t>MIIL</t>
  </si>
  <si>
    <t>Meghna Infracon Infrastructure Ltd</t>
  </si>
  <si>
    <t>INE363M01019</t>
  </si>
  <si>
    <t>SHEMAROO ENTERTAINMENT LIMITED</t>
  </si>
  <si>
    <t>SHEMAROO</t>
  </si>
  <si>
    <t>Shemaroo Entertainment Ltd</t>
  </si>
  <si>
    <t>INE010R01023</t>
  </si>
  <si>
    <t>Ultracab (India) Limited</t>
  </si>
  <si>
    <t>ULTRACAB</t>
  </si>
  <si>
    <t>Ultracab (India) Ltd</t>
  </si>
  <si>
    <t>INE929D01016</t>
  </si>
  <si>
    <t>Rajasthan Cylinders &amp; Containers Limited</t>
  </si>
  <si>
    <t>RCCL</t>
  </si>
  <si>
    <t>Rajasthan Cylinders &amp; Containers Ltd</t>
  </si>
  <si>
    <t>INE937K01014</t>
  </si>
  <si>
    <t>Econo Trade (India) Limited</t>
  </si>
  <si>
    <t>ETIL</t>
  </si>
  <si>
    <t>Econo Trade (India) Ltd</t>
  </si>
  <si>
    <t>INE011R01013</t>
  </si>
  <si>
    <t>Atishay Limited</t>
  </si>
  <si>
    <t>ATISHAY</t>
  </si>
  <si>
    <t>Atishay Ltd</t>
  </si>
  <si>
    <t>INE475D01010</t>
  </si>
  <si>
    <t>Sangam Finserv Limited</t>
  </si>
  <si>
    <t>SANGAMFIN</t>
  </si>
  <si>
    <t>Sangam Finserv Ltd</t>
  </si>
  <si>
    <t>INE260R01016</t>
  </si>
  <si>
    <t>Dhabriya Polywood Limited</t>
  </si>
  <si>
    <t>DHABRIYA</t>
  </si>
  <si>
    <t>Dhabriya Polywood Ltd</t>
  </si>
  <si>
    <t>INE229R01011</t>
  </si>
  <si>
    <t>Aryaman Capital Markets Limited</t>
  </si>
  <si>
    <t>ARYACAPM</t>
  </si>
  <si>
    <t>Aryaman Capital Markets Ltd</t>
  </si>
  <si>
    <t>PIRAMAL PHARMA LIMITED</t>
  </si>
  <si>
    <t>PPLPHARMA</t>
  </si>
  <si>
    <t>Piramal Pharma Ltd</t>
  </si>
  <si>
    <t>INE0DK501011</t>
  </si>
  <si>
    <t>INE982Q01017</t>
  </si>
  <si>
    <t>HANMAN FIT LIMITED</t>
  </si>
  <si>
    <t>HANMAN</t>
  </si>
  <si>
    <t>Hanman Fit Ltd</t>
  </si>
  <si>
    <t>INE761Q01015</t>
  </si>
  <si>
    <t>Vibrant Global Capital Limited</t>
  </si>
  <si>
    <t>VGCL</t>
  </si>
  <si>
    <t>Vibrant Global Capital Ltd</t>
  </si>
  <si>
    <t>INE909P01012</t>
  </si>
  <si>
    <t>Starlit Power Systems Limited</t>
  </si>
  <si>
    <t>STARLIT</t>
  </si>
  <si>
    <t>Starlit Power Systems Ltd</t>
  </si>
  <si>
    <t>INE016Q01014</t>
  </si>
  <si>
    <t>CEINSYS TECH LIMITED</t>
  </si>
  <si>
    <t>CEINSYSTECH</t>
  </si>
  <si>
    <t>Ceinsys Tech Ltd</t>
  </si>
  <si>
    <t>INE516E01019</t>
  </si>
  <si>
    <t>PANABYTE TECHNOLOGIES LIMITED</t>
  </si>
  <si>
    <t>PANABYTE</t>
  </si>
  <si>
    <t>Panabyte Technologies Ltd</t>
  </si>
  <si>
    <t>INE491C01027</t>
  </si>
  <si>
    <t>Mudunuru Limited</t>
  </si>
  <si>
    <t>MUDUNURU</t>
  </si>
  <si>
    <t>Mudunuru Ltd</t>
  </si>
  <si>
    <t>INE401Q01018</t>
  </si>
  <si>
    <t>JLA Infraville Shoppers Limited</t>
  </si>
  <si>
    <t>JSHL</t>
  </si>
  <si>
    <t>JLA Infraville Shoppers Ltd</t>
  </si>
  <si>
    <t>INE176L01017</t>
  </si>
  <si>
    <t>Crane Infrastructure Limited</t>
  </si>
  <si>
    <t>CRANEINFRA</t>
  </si>
  <si>
    <t>Crane Infrastructure Ltd</t>
  </si>
  <si>
    <t>INE480D01010</t>
  </si>
  <si>
    <t>Niyogin Fintech Limited</t>
  </si>
  <si>
    <t>NIYOGIN</t>
  </si>
  <si>
    <t>Niyogin Fintech Ltd</t>
  </si>
  <si>
    <t>INE131Q01011</t>
  </si>
  <si>
    <t>ASIA CAPITAL LIMITED</t>
  </si>
  <si>
    <t>ASIACAP</t>
  </si>
  <si>
    <t>Asia Capital Ltd</t>
  </si>
  <si>
    <t>INE149Q01021</t>
  </si>
  <si>
    <t>Kalyan Capitals Limited</t>
  </si>
  <si>
    <t>KALYANCAP</t>
  </si>
  <si>
    <t>Kalyan Capitals Ltd</t>
  </si>
  <si>
    <t>INE997C01015</t>
  </si>
  <si>
    <t>Goenka Business &amp; Finance Limited</t>
  </si>
  <si>
    <t>GBFL</t>
  </si>
  <si>
    <t>Goenka Business &amp; Finance Ltd</t>
  </si>
  <si>
    <t>INE918C01029</t>
  </si>
  <si>
    <t>Gilada Finance &amp; Investments Ltd.</t>
  </si>
  <si>
    <t>GILADAFINS</t>
  </si>
  <si>
    <t>Gilada Finance &amp; Investments Ltd</t>
  </si>
  <si>
    <t>INE155R01018</t>
  </si>
  <si>
    <t>Jet Infraventure Limited</t>
  </si>
  <si>
    <t>JETINFRA</t>
  </si>
  <si>
    <t>Jet Infraventure Ltd</t>
  </si>
  <si>
    <t>INE185C01017</t>
  </si>
  <si>
    <t>Shree Ajit Pulp And Paper Ltd</t>
  </si>
  <si>
    <t>SAPPL</t>
  </si>
  <si>
    <t>INE513R01026</t>
  </si>
  <si>
    <t>Captain Pipes Limited</t>
  </si>
  <si>
    <t>CAPPIPES</t>
  </si>
  <si>
    <t>Captain Pipes Ltd</t>
  </si>
  <si>
    <t>INE891N01017</t>
  </si>
  <si>
    <t>KAIZEN AGRO INFRABUILD LIMITED</t>
  </si>
  <si>
    <t>KAIZENAGRO</t>
  </si>
  <si>
    <t>Kaizen Agro Infrabuild Ltd</t>
  </si>
  <si>
    <t>INE242Q01016</t>
  </si>
  <si>
    <t>JMJ Fintech Limited</t>
  </si>
  <si>
    <t>JMJFIN</t>
  </si>
  <si>
    <t>JMJ Fintech Ltd</t>
  </si>
  <si>
    <t>INE306R01017</t>
  </si>
  <si>
    <t>Global Health Limited</t>
  </si>
  <si>
    <t>MEDANTA</t>
  </si>
  <si>
    <t>Global Health Ltd</t>
  </si>
  <si>
    <t>INE474Q01031</t>
  </si>
  <si>
    <t>INE950M01013</t>
  </si>
  <si>
    <t>Monte Carlo Fashions Limited</t>
  </si>
  <si>
    <t>MONTECARLO</t>
  </si>
  <si>
    <t>Monte Carlo Fashions Ltd</t>
  </si>
  <si>
    <t>INE237B01018</t>
  </si>
  <si>
    <t>Jeevan Scientific Technology Limited</t>
  </si>
  <si>
    <t>JSTL</t>
  </si>
  <si>
    <t>Jeevan Scientific Technology Ltd</t>
  </si>
  <si>
    <t>INE407P01017</t>
  </si>
  <si>
    <t>Indo Cotspin Limited</t>
  </si>
  <si>
    <t>ICL</t>
  </si>
  <si>
    <t>Indo Cotspin Ltd</t>
  </si>
  <si>
    <t>INE892C01018</t>
  </si>
  <si>
    <t>Scintilla Commercial &amp; Credit  Limited</t>
  </si>
  <si>
    <t>SCC</t>
  </si>
  <si>
    <t>Scintilla Commercial &amp; Credit Ltd</t>
  </si>
  <si>
    <t>INE655P01029</t>
  </si>
  <si>
    <t>PANAFIC INDUSTRIALS LTD</t>
  </si>
  <si>
    <t>PANAFIC</t>
  </si>
  <si>
    <t>Panafic Industrials Ltd</t>
  </si>
  <si>
    <t>INE232L01018</t>
  </si>
  <si>
    <t>My Money Securities Ltd.</t>
  </si>
  <si>
    <t>MYMONEY</t>
  </si>
  <si>
    <t>My Money Securities Ltd</t>
  </si>
  <si>
    <t>INE985Q01010</t>
  </si>
  <si>
    <t>SRI AMARNATH FINANCE LIMITED</t>
  </si>
  <si>
    <t>AMARNATH</t>
  </si>
  <si>
    <t>Sri Amarnath Finance Ltd</t>
  </si>
  <si>
    <t>INE183Q01020</t>
  </si>
  <si>
    <t>Continental Securities Limited</t>
  </si>
  <si>
    <t>CSL</t>
  </si>
  <si>
    <t>Continental Securities Ltd</t>
  </si>
  <si>
    <t>INE370Q01015</t>
  </si>
  <si>
    <t>NEXUS SURGICAL AND MEDICARE LIMITED</t>
  </si>
  <si>
    <t>NEXUSSURGL</t>
  </si>
  <si>
    <t>Nexus Surgical And Medicare Ltd</t>
  </si>
  <si>
    <t>Healthy Investments Ltd.</t>
  </si>
  <si>
    <t>HEALINV</t>
  </si>
  <si>
    <t>HEALTHY INVESTMENTS LTD.</t>
  </si>
  <si>
    <t>INE243E01010</t>
  </si>
  <si>
    <t>Galada Finance Limited</t>
  </si>
  <si>
    <t>GALADAFIN</t>
  </si>
  <si>
    <t>Galada Finance Ltd</t>
  </si>
  <si>
    <t>INE030Q01015</t>
  </si>
  <si>
    <t>Emerald Finance Limited</t>
  </si>
  <si>
    <t>EMERALD</t>
  </si>
  <si>
    <t>Emerald Finance Ltd</t>
  </si>
  <si>
    <t>INE227F01010</t>
  </si>
  <si>
    <t>M. K. Exim (India) Ltd.</t>
  </si>
  <si>
    <t>MKEXIM</t>
  </si>
  <si>
    <t>M.K. Exim (India) Ltd</t>
  </si>
  <si>
    <t>Distributors</t>
  </si>
  <si>
    <t>INE613C01018</t>
  </si>
  <si>
    <t>Aarti Pharmalabs Limited</t>
  </si>
  <si>
    <t>AARTIPHARM</t>
  </si>
  <si>
    <t>Aarti Pharmalabs Ltd</t>
  </si>
  <si>
    <t>INE0LRU01027</t>
  </si>
  <si>
    <t>INE513C01010</t>
  </si>
  <si>
    <t>Octal Credit Capital Ltd.</t>
  </si>
  <si>
    <t>OCTAL</t>
  </si>
  <si>
    <t>Octal Credit Capital Ltd</t>
  </si>
  <si>
    <t>INE779Q01017</t>
  </si>
  <si>
    <t>Shreenath Investments Co. Ltd.</t>
  </si>
  <si>
    <t>SHRENTI</t>
  </si>
  <si>
    <t>SHREENATH INVESTMENTS CO.LTD.</t>
  </si>
  <si>
    <t>INE081G01019</t>
  </si>
  <si>
    <t>Kanchi Karpooram Ltd.</t>
  </si>
  <si>
    <t>KANCHI</t>
  </si>
  <si>
    <t>Kanchi Karpooram Ltd</t>
  </si>
  <si>
    <t>INE341R01014</t>
  </si>
  <si>
    <t>Dhunseri Tea &amp; Industries Ltd</t>
  </si>
  <si>
    <t>DTIL</t>
  </si>
  <si>
    <t>INE661Q01017</t>
  </si>
  <si>
    <t>Vani Commercials Limited</t>
  </si>
  <si>
    <t>VANICOM</t>
  </si>
  <si>
    <t>Vani Commercials Ltd</t>
  </si>
  <si>
    <t>INE055Q01012</t>
  </si>
  <si>
    <t>SKYLINE VENTURES INDIA  LIMITED</t>
  </si>
  <si>
    <t>SKILVEN</t>
  </si>
  <si>
    <t>Skyline Ventures India Ltd</t>
  </si>
  <si>
    <t>Modella Woollens Ltd.</t>
  </si>
  <si>
    <t>MODWOOL</t>
  </si>
  <si>
    <t>MODELLA WOOLLENS LTD.</t>
  </si>
  <si>
    <t>INE865P01016</t>
  </si>
  <si>
    <t>Raghuvansh Agrofarms Limited</t>
  </si>
  <si>
    <t>RAFL</t>
  </si>
  <si>
    <t>Raghuvansh Agrofarms Ltd</t>
  </si>
  <si>
    <t>INE029B01019</t>
  </si>
  <si>
    <t>COSYN Limited</t>
  </si>
  <si>
    <t>COSYN</t>
  </si>
  <si>
    <t>COSYN Ltd</t>
  </si>
  <si>
    <t>INE499Q01012</t>
  </si>
  <si>
    <t>SOFCOM SYSTEMS LIMITED</t>
  </si>
  <si>
    <t>SOFCOM</t>
  </si>
  <si>
    <t>Sofcom Systems Ltd</t>
  </si>
  <si>
    <t>INE223R01014</t>
  </si>
  <si>
    <t>Naturite Agro Products Limited</t>
  </si>
  <si>
    <t>NAPL</t>
  </si>
  <si>
    <t>Naturite Agro Products Ltd</t>
  </si>
  <si>
    <t>INE554R01020</t>
  </si>
  <si>
    <t>Karnavati Finance Limited</t>
  </si>
  <si>
    <t>KARNAVATI</t>
  </si>
  <si>
    <t>Karnavati Finance Ltd</t>
  </si>
  <si>
    <t>INE723C01015</t>
  </si>
  <si>
    <t>Multipurpose Trading &amp; Agencies Ltd</t>
  </si>
  <si>
    <t>ZMULTIPU</t>
  </si>
  <si>
    <t>MULTIPURPOSE TRADING &amp; AGENCIES LTD.</t>
  </si>
  <si>
    <t>Ganesh Holding Ltd.</t>
  </si>
  <si>
    <t>GANHOLD</t>
  </si>
  <si>
    <t>GANESH HOLDINGS LTD.</t>
  </si>
  <si>
    <t>INE321M01017</t>
  </si>
  <si>
    <t>Sonal Mercantile Limited</t>
  </si>
  <si>
    <t>SONAL</t>
  </si>
  <si>
    <t>Sonal Mercantile Ltd</t>
  </si>
  <si>
    <t>INE211D01027</t>
  </si>
  <si>
    <t>Abhinav Leasing &amp; Finance Limited</t>
  </si>
  <si>
    <t>ALFL</t>
  </si>
  <si>
    <t>Abhinav Leasing &amp; Finance Ltd</t>
  </si>
  <si>
    <t>INE949P01018</t>
  </si>
  <si>
    <t>GENUS PAPER &amp; BOARDS LIMITED</t>
  </si>
  <si>
    <t>GENUSPAPER</t>
  </si>
  <si>
    <t>Genus Paper &amp; Boards Ltd</t>
  </si>
  <si>
    <t>Mankind Pharma Limited</t>
  </si>
  <si>
    <t>MANKIND</t>
  </si>
  <si>
    <t>Mankind Pharma Ltd</t>
  </si>
  <si>
    <t>INE634S01028</t>
  </si>
  <si>
    <t>INE947G01011</t>
  </si>
  <si>
    <t>Mercury Laboratories Limited</t>
  </si>
  <si>
    <t>MERCURYLAB</t>
  </si>
  <si>
    <t>Mercury Laboratories Ltd</t>
  </si>
  <si>
    <t>INE858L01010</t>
  </si>
  <si>
    <t>Concord Drugs Limited</t>
  </si>
  <si>
    <t>CONCORD</t>
  </si>
  <si>
    <t>Concord Drugs Ltd</t>
  </si>
  <si>
    <t>INE945P01024</t>
  </si>
  <si>
    <t>WARDWIZARD INNOVATIONS AND MOBILITY LIMITED</t>
  </si>
  <si>
    <t>WARDINMOBI</t>
  </si>
  <si>
    <t>Wardwizard Innovations &amp; Mobility Ltd</t>
  </si>
  <si>
    <t>INE397C01026</t>
  </si>
  <si>
    <t>Shree Securities Ltd.</t>
  </si>
  <si>
    <t>SHREESEC</t>
  </si>
  <si>
    <t>Shree Securities Ltd</t>
  </si>
  <si>
    <t>Concord Biotech Limited</t>
  </si>
  <si>
    <t>CONCORDBIO</t>
  </si>
  <si>
    <t>Concord Biotech Ltd</t>
  </si>
  <si>
    <t>INE338H01029</t>
  </si>
  <si>
    <t>INE717E01013</t>
  </si>
  <si>
    <t>TALBROS ENGINEERING LIMITED</t>
  </si>
  <si>
    <t>TALBROSENG</t>
  </si>
  <si>
    <t>Talbros Engineering Ltd</t>
  </si>
  <si>
    <t>INE002E01010</t>
  </si>
  <si>
    <t>Sar  Auto Products Limited</t>
  </si>
  <si>
    <t>SAPL</t>
  </si>
  <si>
    <t>SAR Auto Products Ltd</t>
  </si>
  <si>
    <t>INE246D01015</t>
  </si>
  <si>
    <t>HEM Holdings and Trading Ltd.</t>
  </si>
  <si>
    <t>ZHEMHOLD</t>
  </si>
  <si>
    <t>HEM HOLDINGS &amp; TRADING LTD.</t>
  </si>
  <si>
    <t>INE596F01018</t>
  </si>
  <si>
    <t>Jupiter Life Line Hospitals Limited</t>
  </si>
  <si>
    <t>JLHL</t>
  </si>
  <si>
    <t>Jupiter Life Line Hospitals Ltd</t>
  </si>
  <si>
    <t>INE682M01012</t>
  </si>
  <si>
    <t>INE777O01016</t>
  </si>
  <si>
    <t>CHENNAI FERROUS INDUSTRIES LIMITED</t>
  </si>
  <si>
    <t>CHENFERRO</t>
  </si>
  <si>
    <t>Chennai Ferrous Industries Ltd</t>
  </si>
  <si>
    <t>Kovalam Inv. &amp; Trading Co.Ltd.</t>
  </si>
  <si>
    <t>ZKOVALIN</t>
  </si>
  <si>
    <t>KOVALAM INVESTMENT &amp; TRADING CO.LTD.</t>
  </si>
  <si>
    <t>INE776O01018</t>
  </si>
  <si>
    <t>GITA RENEWABLE ENERGY LIMITED</t>
  </si>
  <si>
    <t>GITARENEW</t>
  </si>
  <si>
    <t>Gita Renewable Energy Ltd</t>
  </si>
  <si>
    <t>INE396C01010</t>
  </si>
  <si>
    <t>Neil Industries Ltd.</t>
  </si>
  <si>
    <t>NEIL</t>
  </si>
  <si>
    <t>Neil Industries Ltd</t>
  </si>
  <si>
    <t>INE526R01028</t>
  </si>
  <si>
    <t>STAR HOUSING FINANCE LIMITED</t>
  </si>
  <si>
    <t>STARHFL</t>
  </si>
  <si>
    <t>Star Housing Finance Ltd</t>
  </si>
  <si>
    <t>INE213D01015</t>
  </si>
  <si>
    <t>Beekay Steel Industries Ltd.</t>
  </si>
  <si>
    <t>BEEKAY</t>
  </si>
  <si>
    <t>Beekay Steel Industries Ltd</t>
  </si>
  <si>
    <t>INE820R01017</t>
  </si>
  <si>
    <t>SSPN Finance Limited</t>
  </si>
  <si>
    <t>SSPNFIN</t>
  </si>
  <si>
    <t>SSPN Finance Ltd</t>
  </si>
  <si>
    <t>INE184Q01010</t>
  </si>
  <si>
    <t>Multiplus Holdings Ltd.</t>
  </si>
  <si>
    <t>MULTIIN</t>
  </si>
  <si>
    <t>MULTIPLUS HOLDINGS LTD.</t>
  </si>
  <si>
    <t>INE812Q01016</t>
  </si>
  <si>
    <t>Tirupati Tyres Ltd.</t>
  </si>
  <si>
    <t>TTIL</t>
  </si>
  <si>
    <t>Tirupati Tyres Ltd</t>
  </si>
  <si>
    <t>Alna Trading &amp; Exports Ltd.</t>
  </si>
  <si>
    <t>ALNATRD</t>
  </si>
  <si>
    <t>ALNA TRADING &amp; EXPORTS LTD.</t>
  </si>
  <si>
    <t>INE976R01017</t>
  </si>
  <si>
    <t>AGI Infra Limited</t>
  </si>
  <si>
    <t>AGIIL</t>
  </si>
  <si>
    <t>AGI Infra Ltd</t>
  </si>
  <si>
    <t>INE824Q01011</t>
  </si>
  <si>
    <t>Manaksia Steels Limited</t>
  </si>
  <si>
    <t>MANAKSTEEL</t>
  </si>
  <si>
    <t>Manaksia Steels Ltd</t>
  </si>
  <si>
    <t>INE859Q01017</t>
  </si>
  <si>
    <t>Manaksia Aluminium Company Ltd</t>
  </si>
  <si>
    <t>MANAKALUCO</t>
  </si>
  <si>
    <t>INE830Q01018</t>
  </si>
  <si>
    <t>Manaksia Coated Metals &amp; Industries Ltd</t>
  </si>
  <si>
    <t>MANAKCOAT</t>
  </si>
  <si>
    <t>INE172N01012</t>
  </si>
  <si>
    <t>IMAGICAAWORLD ENTERTAINMENT LIMITED</t>
  </si>
  <si>
    <t>IMAGICAA</t>
  </si>
  <si>
    <t>Imagicaaworld Entertainment Ltd</t>
  </si>
  <si>
    <t>INE066P01011</t>
  </si>
  <si>
    <t>Blue Jet Healthcare Limited</t>
  </si>
  <si>
    <t>BLUEJET</t>
  </si>
  <si>
    <t>Blue Jet Healthcare Ltd</t>
  </si>
  <si>
    <t>INE0KBH01020</t>
  </si>
  <si>
    <t>INE751R01014</t>
  </si>
  <si>
    <t>Rajputana Investment and Finance Ltd.</t>
  </si>
  <si>
    <t>RAJPUTANA</t>
  </si>
  <si>
    <t>Rajputana Investment and Finance Ltd</t>
  </si>
  <si>
    <t>INE187R01011</t>
  </si>
  <si>
    <t>Consecutive Investments &amp; Trading Company Limited</t>
  </si>
  <si>
    <t>CITL</t>
  </si>
  <si>
    <t>Consecutive Investment &amp; Trading Company Ltd</t>
  </si>
  <si>
    <t>INE197R01010</t>
  </si>
  <si>
    <t>Aananda Lakshmi Spinning Mills Limited</t>
  </si>
  <si>
    <t>AANANDALAK</t>
  </si>
  <si>
    <t>Aananda Lakshmi Spinning Mills Ltd</t>
  </si>
  <si>
    <t>VELOX INDUSTRIES LIMITED</t>
  </si>
  <si>
    <t>VELOXIND</t>
  </si>
  <si>
    <t>Velox Industries Ltd</t>
  </si>
  <si>
    <t>INE541R01019</t>
  </si>
  <si>
    <t>Filtra Consultants and Engineers Limited</t>
  </si>
  <si>
    <t>FILTRA</t>
  </si>
  <si>
    <t>Filtra Consultants and Engineers Ltd</t>
  </si>
  <si>
    <t>INE291R01011</t>
  </si>
  <si>
    <t>Athena Constructions Limited</t>
  </si>
  <si>
    <t>ATHCON</t>
  </si>
  <si>
    <t>Athena Constructions Ltd</t>
  </si>
  <si>
    <t>INE736P01019</t>
  </si>
  <si>
    <t>Northlink Fiscal And Capital Services Ltd.</t>
  </si>
  <si>
    <t>NORTHLINK</t>
  </si>
  <si>
    <t>Northlink Fiscal and Capital Services Ltd</t>
  </si>
  <si>
    <t>INE193R01019</t>
  </si>
  <si>
    <t>SHESHADRI INDUSTRIES LIMITED</t>
  </si>
  <si>
    <t>SHESHAINDS</t>
  </si>
  <si>
    <t>Sheshadri Industries Ltd</t>
  </si>
  <si>
    <t>INE137M01017</t>
  </si>
  <si>
    <t>SAB INDUSTRIES LIMITED</t>
  </si>
  <si>
    <t>SAB</t>
  </si>
  <si>
    <t>SAB Industries Ltd</t>
  </si>
  <si>
    <t>INE291E01019</t>
  </si>
  <si>
    <t>Paul Merchants Ltd.</t>
  </si>
  <si>
    <t>PML</t>
  </si>
  <si>
    <t>Paul Merchants Ltd</t>
  </si>
  <si>
    <t>INE273F01022</t>
  </si>
  <si>
    <t>Alan Scott Industries Ltd.</t>
  </si>
  <si>
    <t>ALAN SCOTT</t>
  </si>
  <si>
    <t>Alan Scott Industries Ltd</t>
  </si>
  <si>
    <t>Sarvamangal Mercantile Co. Ltd.</t>
  </si>
  <si>
    <t>ZSARVAMA</t>
  </si>
  <si>
    <t>SARVAMANGAL MERCANTILE CO.LTD.</t>
  </si>
  <si>
    <t>INE029H01016</t>
  </si>
  <si>
    <t>Sujala Trading &amp; Holdings Ltd.</t>
  </si>
  <si>
    <t>SUJALA</t>
  </si>
  <si>
    <t>Sujala Trading &amp; Holdings Ltd</t>
  </si>
  <si>
    <t>INE366I01010</t>
  </si>
  <si>
    <t>Viksit Engineering Ltd</t>
  </si>
  <si>
    <t>VIKSHEN</t>
  </si>
  <si>
    <t>VIKSIT ENGINEERING LTD.</t>
  </si>
  <si>
    <t>INE780Q01015</t>
  </si>
  <si>
    <t>Jain Marmo Industries Ltd.</t>
  </si>
  <si>
    <t>JAINMARMO</t>
  </si>
  <si>
    <t>Jain Marmo Industries Ltd</t>
  </si>
  <si>
    <t>INE578R01011</t>
  </si>
  <si>
    <t>Bangalore Fort Farms Limited</t>
  </si>
  <si>
    <t>BFFL</t>
  </si>
  <si>
    <t>Bangalore Fort Farms Ltd</t>
  </si>
  <si>
    <t>INE239L01013</t>
  </si>
  <si>
    <t>Palco Metals Limited</t>
  </si>
  <si>
    <t>PALCO</t>
  </si>
  <si>
    <t>Palco Metals Ltd</t>
  </si>
  <si>
    <t>INE334E01017</t>
  </si>
  <si>
    <t>V B INDUSTRIES LIMITED</t>
  </si>
  <si>
    <t>VBIND</t>
  </si>
  <si>
    <t>V B Industries Ltd</t>
  </si>
  <si>
    <t>INE822Q01015</t>
  </si>
  <si>
    <t>Sarvottam Finvest Limited</t>
  </si>
  <si>
    <t>SARVOTTAM</t>
  </si>
  <si>
    <t>Sarvottam Finvest Ltd</t>
  </si>
  <si>
    <t>Saptak Chem And Business Limited</t>
  </si>
  <si>
    <t>SCBL</t>
  </si>
  <si>
    <t>Saptak Chem And Business Ltd</t>
  </si>
  <si>
    <t>INE761D01021</t>
  </si>
  <si>
    <t>Wardwizard Foods and Beverages Limited</t>
  </si>
  <si>
    <t>WARDWIZFBL</t>
  </si>
  <si>
    <t>Wardwizard Foods and Beverages Ltd</t>
  </si>
  <si>
    <t>INE527H01019</t>
  </si>
  <si>
    <t>UFO Moviez India Limited</t>
  </si>
  <si>
    <t>UFO</t>
  </si>
  <si>
    <t>UFO Moviez India Ltd</t>
  </si>
  <si>
    <t>INE945O01019</t>
  </si>
  <si>
    <t>PANTH INFINITY LIMITED</t>
  </si>
  <si>
    <t>PANTH</t>
  </si>
  <si>
    <t>Panth Infinity Ltd</t>
  </si>
  <si>
    <t>INE788J01021</t>
  </si>
  <si>
    <t>Shivalik Rasayan Ltd.</t>
  </si>
  <si>
    <t>SHIVALIK</t>
  </si>
  <si>
    <t>Shivalik Rasayan Ltd</t>
  </si>
  <si>
    <t>INE682B01023</t>
  </si>
  <si>
    <t>THAKKERS GROUP LIMITED</t>
  </si>
  <si>
    <t>THAKKERS</t>
  </si>
  <si>
    <t>Thakkers Group Ltd</t>
  </si>
  <si>
    <t>INE195J01029</t>
  </si>
  <si>
    <t>Indegene Limited</t>
  </si>
  <si>
    <t>INDGN</t>
  </si>
  <si>
    <t>Indegene Ltd</t>
  </si>
  <si>
    <t>INE065X01017</t>
  </si>
  <si>
    <t>INE784R01023</t>
  </si>
  <si>
    <t>Arfin India Limited</t>
  </si>
  <si>
    <t>ARFIN</t>
  </si>
  <si>
    <t>Arfin India Ltd</t>
  </si>
  <si>
    <t>INE347L01014</t>
  </si>
  <si>
    <t>Virat Leasing Limited</t>
  </si>
  <si>
    <t>VLL</t>
  </si>
  <si>
    <t>Virat Leasing Ltd</t>
  </si>
  <si>
    <t>INE738P01015</t>
  </si>
  <si>
    <t>Helpage Finlease Ltd.</t>
  </si>
  <si>
    <t>HELPAGE</t>
  </si>
  <si>
    <t>Helpage Finlease Ltd</t>
  </si>
  <si>
    <t>INE924N01016</t>
  </si>
  <si>
    <t>Indra Industries Ltd.</t>
  </si>
  <si>
    <t>INDRAIND</t>
  </si>
  <si>
    <t>Indra Industries Ltd</t>
  </si>
  <si>
    <t>INE230I01018</t>
  </si>
  <si>
    <t>Hawa Engineers ltd.</t>
  </si>
  <si>
    <t>HAWAENG</t>
  </si>
  <si>
    <t>Hawa Engineers Ltd</t>
  </si>
  <si>
    <t>ABB India Limited</t>
  </si>
  <si>
    <t>ABB</t>
  </si>
  <si>
    <t>INE578L01014</t>
  </si>
  <si>
    <t>Adhbhut Infrastructure Ltd.</t>
  </si>
  <si>
    <t>ADHBHUTIN</t>
  </si>
  <si>
    <t>Adhbhut Infrastructure Ltd</t>
  </si>
  <si>
    <t>INE848N01017</t>
  </si>
  <si>
    <t>Decillion Finance Ltd.</t>
  </si>
  <si>
    <t>DFL</t>
  </si>
  <si>
    <t>Decillion Finance Ltd</t>
  </si>
  <si>
    <t>INE035S01010</t>
  </si>
  <si>
    <t>POCL ENTERPRISES LTD</t>
  </si>
  <si>
    <t>POEL</t>
  </si>
  <si>
    <t>POCL Enterprises Ltd</t>
  </si>
  <si>
    <t>INE829P01020</t>
  </si>
  <si>
    <t>Amba Enterprises Ltd.</t>
  </si>
  <si>
    <t>AEL</t>
  </si>
  <si>
    <t>Amba Enterprises Ltd</t>
  </si>
  <si>
    <t>INE960C01013</t>
  </si>
  <si>
    <t>Capfin India Limited</t>
  </si>
  <si>
    <t>CAPFIN</t>
  </si>
  <si>
    <t>Capfin India Ltd</t>
  </si>
  <si>
    <t>INE618R01015</t>
  </si>
  <si>
    <t>SG FINSERVE LIMITED</t>
  </si>
  <si>
    <t>SGFIN</t>
  </si>
  <si>
    <t>SG Finserve Ltd</t>
  </si>
  <si>
    <t>INE170E01023</t>
  </si>
  <si>
    <t>SATIA INDUSTRIES LIMITED</t>
  </si>
  <si>
    <t>SATIA</t>
  </si>
  <si>
    <t>Satia Industries Ltd</t>
  </si>
  <si>
    <t>INE574D01010</t>
  </si>
  <si>
    <t>GENOMIC VALLEY BIOTECH LIMITED</t>
  </si>
  <si>
    <t>GVBL</t>
  </si>
  <si>
    <t>Genomic Valley Biotech Ltd</t>
  </si>
  <si>
    <t>INE653S01028</t>
  </si>
  <si>
    <t>GARMENT MANTRA LIFESTYLE LIMITED</t>
  </si>
  <si>
    <t>GARMNTMNTR</t>
  </si>
  <si>
    <t>Garment Mantra Lifestyle Ltd</t>
  </si>
  <si>
    <t>INE606K01023</t>
  </si>
  <si>
    <t>Srestha Finvest Limited</t>
  </si>
  <si>
    <t>SRESTHA</t>
  </si>
  <si>
    <t>Srestha Finvest Ltd</t>
  </si>
  <si>
    <t>INE563C01015</t>
  </si>
  <si>
    <t>Saumya Consultants Ltd.</t>
  </si>
  <si>
    <t>SAUMYA</t>
  </si>
  <si>
    <t>Saumya Consultants Ltd</t>
  </si>
  <si>
    <t>INE150D01027</t>
  </si>
  <si>
    <t>MAURIA UDYOG LIMITED</t>
  </si>
  <si>
    <t>MUL</t>
  </si>
  <si>
    <t>Mauria Udyog Ltd</t>
  </si>
  <si>
    <t>INE540S01019</t>
  </si>
  <si>
    <t>Mishka Exim Limited</t>
  </si>
  <si>
    <t>MISHKA</t>
  </si>
  <si>
    <t>Mishka Exim Ltd</t>
  </si>
  <si>
    <t>INE885H01011</t>
  </si>
  <si>
    <t>Sportking India Ltd.</t>
  </si>
  <si>
    <t>SPORTKING</t>
  </si>
  <si>
    <t>Sportking India Ltd</t>
  </si>
  <si>
    <t>Frontier Capital Limited</t>
  </si>
  <si>
    <t>FRONTCAP</t>
  </si>
  <si>
    <t>Frontier Capital Ltd</t>
  </si>
  <si>
    <t>INE027T01023</t>
  </si>
  <si>
    <t>RUDRA GLOBAL INFRA PRODUCTS LIMITED</t>
  </si>
  <si>
    <t>RUDRA</t>
  </si>
  <si>
    <t>Rudra Global Infra Products Ltd</t>
  </si>
  <si>
    <t>INE876S01017</t>
  </si>
  <si>
    <t>Loyal Equipments Limited</t>
  </si>
  <si>
    <t>LOYAL</t>
  </si>
  <si>
    <t>Loyal Equipments Ltd</t>
  </si>
  <si>
    <t>INE480S01026</t>
  </si>
  <si>
    <t>Gala Global Products Limited</t>
  </si>
  <si>
    <t>GGPL</t>
  </si>
  <si>
    <t>Gala Global Products Ltd</t>
  </si>
  <si>
    <t>INE829R01018</t>
  </si>
  <si>
    <t>Chemiesynth (Vapi) Limited</t>
  </si>
  <si>
    <t>CHEMIESYNT</t>
  </si>
  <si>
    <t>Chemiesynth (Vapi) Ltd</t>
  </si>
  <si>
    <t>INE805R01018</t>
  </si>
  <si>
    <t>Transoceanic Properties Ltd.</t>
  </si>
  <si>
    <t>TRANOCE</t>
  </si>
  <si>
    <t>TRANSOCEANIC PROPERTIES LTD.</t>
  </si>
  <si>
    <t>INE875R01011</t>
  </si>
  <si>
    <t>Balkrishna Paper Mills Ltd</t>
  </si>
  <si>
    <t>BALKRISHNA</t>
  </si>
  <si>
    <t>INE979R01011</t>
  </si>
  <si>
    <t>Shyam Century Ferrous Limited</t>
  </si>
  <si>
    <t>SHYAMCENT</t>
  </si>
  <si>
    <t>Shyam Century Ferrous Ltd</t>
  </si>
  <si>
    <t>INE446E01019</t>
  </si>
  <si>
    <t>Surya India Limited</t>
  </si>
  <si>
    <t>SURYAINDIA</t>
  </si>
  <si>
    <t>Surya India Ltd</t>
  </si>
  <si>
    <t>INE931S01010</t>
  </si>
  <si>
    <t>BEML Ltd</t>
  </si>
  <si>
    <t>BEML</t>
  </si>
  <si>
    <t>BEML LTD.</t>
  </si>
  <si>
    <t>INE541K01014</t>
  </si>
  <si>
    <t>STAR DELTA TRANSFORMERS LIMITED</t>
  </si>
  <si>
    <t>STARDELTA</t>
  </si>
  <si>
    <t>Star Delta Transformers Ltd</t>
  </si>
  <si>
    <t>INE990S01016</t>
  </si>
  <si>
    <t>Amrapali Fincap Limited</t>
  </si>
  <si>
    <t>AMRAFIN</t>
  </si>
  <si>
    <t>Amrapali Fincap Ltd</t>
  </si>
  <si>
    <t>INE579N01018</t>
  </si>
  <si>
    <t>SAMSRITA LABS LIMITED</t>
  </si>
  <si>
    <t>SAMSRITA</t>
  </si>
  <si>
    <t>Samsrita Labs Ltd</t>
  </si>
  <si>
    <t>Bharat Electronics Ltd.</t>
  </si>
  <si>
    <t>BEL</t>
  </si>
  <si>
    <t>BHARAT ELECTRONICS LTD.</t>
  </si>
  <si>
    <t>INE484S01010</t>
  </si>
  <si>
    <t>PECOS Hotels And Pubs Limited</t>
  </si>
  <si>
    <t>PECOS</t>
  </si>
  <si>
    <t>Pecos Hotels and Pubs Ltd</t>
  </si>
  <si>
    <t>INE829S01016</t>
  </si>
  <si>
    <t>Mangalam Seeds Limited</t>
  </si>
  <si>
    <t>MSL</t>
  </si>
  <si>
    <t>Mangalam Seeds Ltd</t>
  </si>
  <si>
    <t>INE587G01015</t>
  </si>
  <si>
    <t>Kaya Limited</t>
  </si>
  <si>
    <t>KAYA</t>
  </si>
  <si>
    <t>Kaya Ltd</t>
  </si>
  <si>
    <t>Wellness</t>
  </si>
  <si>
    <t>INE184S01024</t>
  </si>
  <si>
    <t>Alstone Textiles (India) Limited</t>
  </si>
  <si>
    <t>ALSTONE</t>
  </si>
  <si>
    <t>Alstone Textiles (India) Ltd</t>
  </si>
  <si>
    <t>INE653R01012</t>
  </si>
  <si>
    <t>Symbiox Investment &amp; Trading Co. Ltd.</t>
  </si>
  <si>
    <t>SYMBIOX</t>
  </si>
  <si>
    <t>Symbiox Investment &amp; Trading Company Ltd</t>
  </si>
  <si>
    <t>INE749B01020</t>
  </si>
  <si>
    <t>Ortin Laboratories Limited</t>
  </si>
  <si>
    <t>ORTINLAB</t>
  </si>
  <si>
    <t>Ortin Laboratories Ltd</t>
  </si>
  <si>
    <t>INE897N01014</t>
  </si>
  <si>
    <t>Avi Polymers Ltd.</t>
  </si>
  <si>
    <t>AVI</t>
  </si>
  <si>
    <t>AVI Polymers Ltd</t>
  </si>
  <si>
    <t>INE898S01029</t>
  </si>
  <si>
    <t>Aurum PropTech Limited</t>
  </si>
  <si>
    <t>AURUM</t>
  </si>
  <si>
    <t>Aurum PropTech Ltd</t>
  </si>
  <si>
    <t>INE143A01010</t>
  </si>
  <si>
    <t>Oswal Greentech Limited</t>
  </si>
  <si>
    <t>OSWALGREEN</t>
  </si>
  <si>
    <t>Oswal Greentech Ltd</t>
  </si>
  <si>
    <t>INE583K01016</t>
  </si>
  <si>
    <t>Vasudhagama Enterprises Limited</t>
  </si>
  <si>
    <t>VASUDHAGAM</t>
  </si>
  <si>
    <t>Vasudhagama Enterprises Ltd</t>
  </si>
  <si>
    <t>INE671K01019</t>
  </si>
  <si>
    <t>A.K. Spintex Ltd.</t>
  </si>
  <si>
    <t>AKSPINTEX</t>
  </si>
  <si>
    <t>A.K. Spintex Ltd</t>
  </si>
  <si>
    <t>INE034S01021</t>
  </si>
  <si>
    <t>Arvind SmartSpaces Limited</t>
  </si>
  <si>
    <t>ARVSMART</t>
  </si>
  <si>
    <t>Arvind SmartSpaces Ltd</t>
  </si>
  <si>
    <t>INE211R01019</t>
  </si>
  <si>
    <t>CG Power and Industrial Solutions Limited</t>
  </si>
  <si>
    <t>CGPOWER</t>
  </si>
  <si>
    <t>CG Power and Industrial Solutions Ltd</t>
  </si>
  <si>
    <t>INE230R01035</t>
  </si>
  <si>
    <t>Rama Steel Tubes Limited</t>
  </si>
  <si>
    <t>RAMASTEEL</t>
  </si>
  <si>
    <t>Rama Steel Tubes Ltd</t>
  </si>
  <si>
    <t>INE365S01037</t>
  </si>
  <si>
    <t>THINKINK PICTUREZ LIMITED</t>
  </si>
  <si>
    <t>THINKINK</t>
  </si>
  <si>
    <t>Thinkink Picturez Ltd</t>
  </si>
  <si>
    <t>INE203T01012</t>
  </si>
  <si>
    <t>Universal Autofoundry Limited</t>
  </si>
  <si>
    <t>UNIAUTO</t>
  </si>
  <si>
    <t>Universal Autofoundry Ltd</t>
  </si>
  <si>
    <t>INE918N01018</t>
  </si>
  <si>
    <t>VETO SWITCHGEARS AND CABLES LIMITED</t>
  </si>
  <si>
    <t>VETO</t>
  </si>
  <si>
    <t>Veto Switchgears and Cables Ltd</t>
  </si>
  <si>
    <t>TRILIANCE POLYMERS LIMITED</t>
  </si>
  <si>
    <t>TRILIANCE</t>
  </si>
  <si>
    <t>Triliance Polymers Ltd</t>
  </si>
  <si>
    <t>INE712K01011</t>
  </si>
  <si>
    <t>Shree Pushkar Chemicals &amp; Fertilisers Limited</t>
  </si>
  <si>
    <t>SHREEPUSHK</t>
  </si>
  <si>
    <t>Shree Pushkar Chemicals &amp; Fertilisers Ltd</t>
  </si>
  <si>
    <t>Bharat Heavy Electricals Ltd.</t>
  </si>
  <si>
    <t>BHEL</t>
  </si>
  <si>
    <t>BHARAT HEAVY ELECTRICALS LTD.</t>
  </si>
  <si>
    <t>INE725P01012</t>
  </si>
  <si>
    <t>WAAREE TECHNOLOGIES LIMITED</t>
  </si>
  <si>
    <t>WAAREE</t>
  </si>
  <si>
    <t>Waaree Technologies Ltd</t>
  </si>
  <si>
    <t>INE764L01010</t>
  </si>
  <si>
    <t>Sadbhav Infrastructure Project Limited</t>
  </si>
  <si>
    <t>SADBHIN</t>
  </si>
  <si>
    <t>Sadbhav Infrastructure Project Ltd</t>
  </si>
  <si>
    <t>INE724G01014</t>
  </si>
  <si>
    <t>SAL AUTOMOTIVE LIMITED</t>
  </si>
  <si>
    <t>SALAUTO</t>
  </si>
  <si>
    <t>Sal Automotive Ltd</t>
  </si>
  <si>
    <t>INE914G01029</t>
  </si>
  <si>
    <t>POLYSPIN EXPORTS LIMITED</t>
  </si>
  <si>
    <t>POLYSPIN</t>
  </si>
  <si>
    <t>Polyspin Exports Ltd</t>
  </si>
  <si>
    <t>INE583R01029</t>
  </si>
  <si>
    <t>Pritika Auto Industries Limited</t>
  </si>
  <si>
    <t>PRITIKAUTO</t>
  </si>
  <si>
    <t>Pritika Auto Industries Ltd</t>
  </si>
  <si>
    <t>INE848R01018</t>
  </si>
  <si>
    <t>Soni Medicare Limited</t>
  </si>
  <si>
    <t>SML</t>
  </si>
  <si>
    <t>Soni Medicare Ltd</t>
  </si>
  <si>
    <t>INE019D01016</t>
  </si>
  <si>
    <t>Mahaveer Infoway Limited</t>
  </si>
  <si>
    <t>MINFY</t>
  </si>
  <si>
    <t>Mahaveer Infoway Ltd</t>
  </si>
  <si>
    <t>INE897B01019</t>
  </si>
  <si>
    <t>Krishna Capital And Securities Limited</t>
  </si>
  <si>
    <t>KRISHNACAP</t>
  </si>
  <si>
    <t>Krishna Capital and Securities Ltd</t>
  </si>
  <si>
    <t>INE636B01011</t>
  </si>
  <si>
    <t>Acme Resources Limited</t>
  </si>
  <si>
    <t>ACME</t>
  </si>
  <si>
    <t>Acme Resources Ltd</t>
  </si>
  <si>
    <t>INE926E01010</t>
  </si>
  <si>
    <t>Kabra Commercial Limited</t>
  </si>
  <si>
    <t>KCL</t>
  </si>
  <si>
    <t>Kabra Commercial Ltd</t>
  </si>
  <si>
    <t>Trading Coal</t>
  </si>
  <si>
    <t>INE060T01024</t>
  </si>
  <si>
    <t>Vishal Bearings Limited</t>
  </si>
  <si>
    <t>VISHALBL</t>
  </si>
  <si>
    <t>Vishal Bearings Ltd</t>
  </si>
  <si>
    <t>INE344T01014</t>
  </si>
  <si>
    <t>Bella Casa Fashion &amp; Retail Limited</t>
  </si>
  <si>
    <t>BELLACASA</t>
  </si>
  <si>
    <t>Bella Casa Fashion &amp; Retail Ltd</t>
  </si>
  <si>
    <t>INE389C01015</t>
  </si>
  <si>
    <t>MALLCOM (INDIA) LTD.</t>
  </si>
  <si>
    <t>MALLCOM</t>
  </si>
  <si>
    <t>Mallcom (India) Ltd</t>
  </si>
  <si>
    <t>INE473T01011</t>
  </si>
  <si>
    <t>Patdiam Jewellery Limited</t>
  </si>
  <si>
    <t>PJL</t>
  </si>
  <si>
    <t>Patdiam Jewellery Ltd</t>
  </si>
  <si>
    <t>INE256S01012</t>
  </si>
  <si>
    <t>Naksh Precious Metals Limited</t>
  </si>
  <si>
    <t>NAKSH</t>
  </si>
  <si>
    <t>Naksh Precious Metals Ltd</t>
  </si>
  <si>
    <t>INE836B01017</t>
  </si>
  <si>
    <t>SATIN CREDITCARE NETWORK LIMITED</t>
  </si>
  <si>
    <t>SATIN</t>
  </si>
  <si>
    <t>Satin Creditcare Network Ltd</t>
  </si>
  <si>
    <t>INE183R01010</t>
  </si>
  <si>
    <t>Decorous Investment and Trading Co. Ltd.</t>
  </si>
  <si>
    <t>DITCO</t>
  </si>
  <si>
    <t>Decorous Investment &amp; Trading Co Ltd</t>
  </si>
  <si>
    <t>INE150R01019</t>
  </si>
  <si>
    <t>Oseaspre Consultants Ltd.</t>
  </si>
  <si>
    <t>OSEASPR</t>
  </si>
  <si>
    <t>OSEASPRE CONSULTANTS LTD.</t>
  </si>
  <si>
    <t>INE854S01022</t>
  </si>
  <si>
    <t>Generic Engineering Construction and Projects Limited</t>
  </si>
  <si>
    <t>GENCON</t>
  </si>
  <si>
    <t>Generic Engineering Construction and Projects Ltd</t>
  </si>
  <si>
    <t>INE594R01018</t>
  </si>
  <si>
    <t>Kuber Udyog Limited</t>
  </si>
  <si>
    <t>KUBERJI</t>
  </si>
  <si>
    <t>Kuber Udyog Ltd</t>
  </si>
  <si>
    <t>Technojet Consultants Ltd.</t>
  </si>
  <si>
    <t>TECHCON</t>
  </si>
  <si>
    <t>TECHNOJET CONSULTANTS LTD.</t>
  </si>
  <si>
    <t>INE030T01027</t>
  </si>
  <si>
    <t>Tejnaksh Healthcare Limited</t>
  </si>
  <si>
    <t>TEJNAKSH</t>
  </si>
  <si>
    <t>Tejnaksh Healthcare Ltd</t>
  </si>
  <si>
    <t>INE661F01010</t>
  </si>
  <si>
    <t>Brilliant Portfolios Ltd.</t>
  </si>
  <si>
    <t>BRIPORT</t>
  </si>
  <si>
    <t>Brilliant Portfolios Ltd</t>
  </si>
  <si>
    <t>INE201C01012</t>
  </si>
  <si>
    <t>Richfield Financial Services Ltd.</t>
  </si>
  <si>
    <t>RFSL</t>
  </si>
  <si>
    <t>Richfield Financial Services Ltd</t>
  </si>
  <si>
    <t>INE335K01011</t>
  </si>
  <si>
    <t>Coffee Day Enterprises Limited</t>
  </si>
  <si>
    <t>COFFEEDAY</t>
  </si>
  <si>
    <t>Coffee Day Enterprises Ltd</t>
  </si>
  <si>
    <t>Electrosteel Castings Ltd.</t>
  </si>
  <si>
    <t>ELECTCAST</t>
  </si>
  <si>
    <t>ELECTROSTEEL CASTINGS LTD.</t>
  </si>
  <si>
    <t>INE520H01022</t>
  </si>
  <si>
    <t>BEARDSELL LIMITED</t>
  </si>
  <si>
    <t>BEARDSELL</t>
  </si>
  <si>
    <t>Beardsell Ltd</t>
  </si>
  <si>
    <t>INE646L01027</t>
  </si>
  <si>
    <t>Kusam Electrical Industies Ltd.</t>
  </si>
  <si>
    <t>KUSUMEL</t>
  </si>
  <si>
    <t>KUSAM ELECTRICAL INDUSTRIES LTD.</t>
  </si>
  <si>
    <t>INE099S01016</t>
  </si>
  <si>
    <t>Jumbo Finance Ltd.</t>
  </si>
  <si>
    <t>JUMBFNL</t>
  </si>
  <si>
    <t>JUMBO FINANCE LTD.</t>
  </si>
  <si>
    <t>INE500L01026</t>
  </si>
  <si>
    <t>S H Kelkar and Company Limited</t>
  </si>
  <si>
    <t>SHK</t>
  </si>
  <si>
    <t>S H Kelkar and Company Ltd</t>
  </si>
  <si>
    <t>INE761R01013</t>
  </si>
  <si>
    <t>Typhoon Financial Services Limited</t>
  </si>
  <si>
    <t>TFSL</t>
  </si>
  <si>
    <t>Typhoon Financial Services Ltd</t>
  </si>
  <si>
    <t>INE258R01010</t>
  </si>
  <si>
    <t>PANORAMA STUDIOS INTERNATIONAL LIMITED</t>
  </si>
  <si>
    <t>PANORAMA</t>
  </si>
  <si>
    <t>Panorama Studios International Ltd</t>
  </si>
  <si>
    <t>INE051N01026</t>
  </si>
  <si>
    <t>Shree Ganesh Biotech (India) Limited</t>
  </si>
  <si>
    <t>SHREEGANES</t>
  </si>
  <si>
    <t>Shree Ganesh Biotech (India) Ltd</t>
  </si>
  <si>
    <t>INE910R01016</t>
  </si>
  <si>
    <t>GTV Engineering Limited</t>
  </si>
  <si>
    <t>GTV</t>
  </si>
  <si>
    <t>GTV Engineering Ltd</t>
  </si>
  <si>
    <t>INE027S01017</t>
  </si>
  <si>
    <t>Tirupati Fin-Lease Ltd.</t>
  </si>
  <si>
    <t>TFLL</t>
  </si>
  <si>
    <t>Tirupati Finlease Ltd</t>
  </si>
  <si>
    <t>INE721C01019</t>
  </si>
  <si>
    <t>Garbi Finvest Limited</t>
  </si>
  <si>
    <t>GARBIFIN</t>
  </si>
  <si>
    <t>Garbi Finvest Ltd</t>
  </si>
  <si>
    <t>INE766D01020</t>
  </si>
  <si>
    <t>Smart Finsec Limited</t>
  </si>
  <si>
    <t>SMARTFIN</t>
  </si>
  <si>
    <t>Smart Finsec Ltd</t>
  </si>
  <si>
    <t>INE176R01014</t>
  </si>
  <si>
    <t>Rajkot Investment Trust Limited</t>
  </si>
  <si>
    <t>RAJKOTINV</t>
  </si>
  <si>
    <t>Rajkot Investment Trust Ltd</t>
  </si>
  <si>
    <t>INE805Q01028</t>
  </si>
  <si>
    <t>Adcon Capital Services Limited</t>
  </si>
  <si>
    <t>ADCON</t>
  </si>
  <si>
    <t>Adcon Capital Services Ltd</t>
  </si>
  <si>
    <t>INE641R01017</t>
  </si>
  <si>
    <t>Quint Digital Limited</t>
  </si>
  <si>
    <t>QUINT</t>
  </si>
  <si>
    <t>Quint Digital Ltd</t>
  </si>
  <si>
    <t>INE551B01012</t>
  </si>
  <si>
    <t>Uday Jewellery Industries Limited.</t>
  </si>
  <si>
    <t>UDAYJEW</t>
  </si>
  <si>
    <t>Uday Jewellery Industries Ltd</t>
  </si>
  <si>
    <t>INE364T01012</t>
  </si>
  <si>
    <t>Navigant Corporate Advisors Limited</t>
  </si>
  <si>
    <t>NAVIGANT</t>
  </si>
  <si>
    <t>Navigant Corporate Advisors Ltd</t>
  </si>
  <si>
    <t>INE343C01012</t>
  </si>
  <si>
    <t>Grovy India Limited</t>
  </si>
  <si>
    <t>GROVY</t>
  </si>
  <si>
    <t>Grovy India Ltd</t>
  </si>
  <si>
    <t>Esab India Ltd.</t>
  </si>
  <si>
    <t>ESABINDIA</t>
  </si>
  <si>
    <t>ESAB INDIA LTD.</t>
  </si>
  <si>
    <t>EPL LIMITED</t>
  </si>
  <si>
    <t>EPL</t>
  </si>
  <si>
    <t>EPL Ltd</t>
  </si>
  <si>
    <t>RAJVI LOGITRADE LIMITED</t>
  </si>
  <si>
    <t>RAJVI</t>
  </si>
  <si>
    <t>Rajvi Logitrade Ltd</t>
  </si>
  <si>
    <t>INE146E01015</t>
  </si>
  <si>
    <t>Creative Castings Limited</t>
  </si>
  <si>
    <t>CREATIVE</t>
  </si>
  <si>
    <t>Creative Castings Ltd</t>
  </si>
  <si>
    <t>INE430R01015</t>
  </si>
  <si>
    <t>Aayush Food And Herbs Limited</t>
  </si>
  <si>
    <t>AAYUSH</t>
  </si>
  <si>
    <t>Aayush Food and Herbs Ltd</t>
  </si>
  <si>
    <t>INE669R01018</t>
  </si>
  <si>
    <t>Millennium Online Solutions (India) Ltd</t>
  </si>
  <si>
    <t>MILLENNIUM</t>
  </si>
  <si>
    <t>Millennium Online Solutions ( India ) Ltd</t>
  </si>
  <si>
    <t>INE150G01020</t>
  </si>
  <si>
    <t>LUX Industries Limited</t>
  </si>
  <si>
    <t>LUXIND</t>
  </si>
  <si>
    <t>Lux Industries Ltd</t>
  </si>
  <si>
    <t>INE834E01016</t>
  </si>
  <si>
    <t>Valley Magnesite Company Limited</t>
  </si>
  <si>
    <t>VALLEY</t>
  </si>
  <si>
    <t>Valley Magnesite Company Ltd</t>
  </si>
  <si>
    <t>INE281P01016</t>
  </si>
  <si>
    <t>Abhishek Infraventures Limited</t>
  </si>
  <si>
    <t>ABHIINFRA</t>
  </si>
  <si>
    <t>Abhishek Infraventures Ltd</t>
  </si>
  <si>
    <t>INE217S01014</t>
  </si>
  <si>
    <t>Apoorva Leasing Finance &amp; Investment Company Limited</t>
  </si>
  <si>
    <t>APOORVA</t>
  </si>
  <si>
    <t>Apoorva Leasing Finance and Investment Company Ltd</t>
  </si>
  <si>
    <t>Sanchay Finvest Ltd</t>
  </si>
  <si>
    <t>SANCF</t>
  </si>
  <si>
    <t>SANCHAY FINVEST LTD.</t>
  </si>
  <si>
    <t>Finolex Cables Ltd.</t>
  </si>
  <si>
    <t>FINCABLES</t>
  </si>
  <si>
    <t>FINOLEX CABLES LTD.</t>
  </si>
  <si>
    <t>INE108T01013</t>
  </si>
  <si>
    <t>F MEC INTERNATIONAL FINANCIAL SERVICES LIMITED</t>
  </si>
  <si>
    <t>FMEC</t>
  </si>
  <si>
    <t>F Mec International Financial Services Ltd</t>
  </si>
  <si>
    <t>INE005G01026</t>
  </si>
  <si>
    <t>Deep Diamond India Limited</t>
  </si>
  <si>
    <t>DDIL</t>
  </si>
  <si>
    <t>Deep Diamond India Ltd</t>
  </si>
  <si>
    <t>INE994N01019</t>
  </si>
  <si>
    <t>Abhijit Trading Co. Ltd.</t>
  </si>
  <si>
    <t>ABHIJIT</t>
  </si>
  <si>
    <t>Abhijit Trading Company Ltd</t>
  </si>
  <si>
    <t>Regency Trust Ltd.</t>
  </si>
  <si>
    <t>REGTRUS</t>
  </si>
  <si>
    <t>REGENCY TRUST LTD.</t>
  </si>
  <si>
    <t>INE750R01016</t>
  </si>
  <si>
    <t>AARNAV FASHIONS LIMITED</t>
  </si>
  <si>
    <t>AARNAV</t>
  </si>
  <si>
    <t>Aarnav Fashions Ltd</t>
  </si>
  <si>
    <t>INE974F01025</t>
  </si>
  <si>
    <t>Sunshine Capital Ltd.</t>
  </si>
  <si>
    <t>SCL</t>
  </si>
  <si>
    <t>Sunshine Capital Ltd</t>
  </si>
  <si>
    <t>INE104S01022</t>
  </si>
  <si>
    <t>Nilkanth Engineering Ltd.</t>
  </si>
  <si>
    <t>ZNILKENG</t>
  </si>
  <si>
    <t>NILKANTH ENGINEERING LTD.</t>
  </si>
  <si>
    <t>INE728Q01014</t>
  </si>
  <si>
    <t>Shivansh Finserv Limited</t>
  </si>
  <si>
    <t>SHIVA</t>
  </si>
  <si>
    <t>Shivansh Finserve Ltd</t>
  </si>
  <si>
    <t>INE094S01041</t>
  </si>
  <si>
    <t>Mishtann Foods Limited</t>
  </si>
  <si>
    <t>MISHTANN</t>
  </si>
  <si>
    <t>Mishtann Foods Ltd</t>
  </si>
  <si>
    <t>INE681Q01015</t>
  </si>
  <si>
    <t>Delta Industrial Resources Limited</t>
  </si>
  <si>
    <t>DELTA</t>
  </si>
  <si>
    <t>Delta Industrial Resources Ltd</t>
  </si>
  <si>
    <t>INE727C01016</t>
  </si>
  <si>
    <t>CREDENT GLOBAL FINANCE LIMITED</t>
  </si>
  <si>
    <t>CGFL</t>
  </si>
  <si>
    <t>Credent Global Finance Ltd</t>
  </si>
  <si>
    <t>INE079C01012</t>
  </si>
  <si>
    <t>Kotia Enterprises Limited</t>
  </si>
  <si>
    <t>KEL</t>
  </si>
  <si>
    <t>Kotia Enterprises Ltd</t>
  </si>
  <si>
    <t>INE373T01039</t>
  </si>
  <si>
    <t>Blue Cloud Softech Solutions Limited</t>
  </si>
  <si>
    <t>BLUECLOUDS</t>
  </si>
  <si>
    <t>Blue Cloud Softech Solutions Ltd</t>
  </si>
  <si>
    <t>INE534E01020</t>
  </si>
  <si>
    <t>KANORIA ENERGY AND INFRASTRUCTURE LIMITED</t>
  </si>
  <si>
    <t>KEIL</t>
  </si>
  <si>
    <t>Kanoria Energy &amp; Infrastructure Ltd</t>
  </si>
  <si>
    <t>INE368E01023</t>
  </si>
  <si>
    <t>BCL Enterprises Limited</t>
  </si>
  <si>
    <t>BCLENTERPR</t>
  </si>
  <si>
    <t>BCL Enterprises Ltd</t>
  </si>
  <si>
    <t>INE484I01029</t>
  </si>
  <si>
    <t>Precision Camshafts Limited</t>
  </si>
  <si>
    <t>PRECAM</t>
  </si>
  <si>
    <t>Precision Camshafts Ltd</t>
  </si>
  <si>
    <t>Sobhagya Merchantile Ltd.</t>
  </si>
  <si>
    <t>SOBME</t>
  </si>
  <si>
    <t>SOBHAGYA MERCHANTILE LTD.</t>
  </si>
  <si>
    <t>INE564S01019</t>
  </si>
  <si>
    <t>Vidli Restaurants Limited</t>
  </si>
  <si>
    <t>VIDLI</t>
  </si>
  <si>
    <t>Vidli Restaurants Ltd</t>
  </si>
  <si>
    <t>INE052T01013</t>
  </si>
  <si>
    <t>BEST AGROLIFE LIMITED</t>
  </si>
  <si>
    <t>BESTAGRO</t>
  </si>
  <si>
    <t>Best Agrolife Ltd</t>
  </si>
  <si>
    <t>INE023R01018</t>
  </si>
  <si>
    <t>ACE MEN ENGG WORKS LIMITED</t>
  </si>
  <si>
    <t>ACEMEN</t>
  </si>
  <si>
    <t>Ace Men Engg Works Ltd</t>
  </si>
  <si>
    <t>INE948Q01018</t>
  </si>
  <si>
    <t>BFL Asset Finvest Limited</t>
  </si>
  <si>
    <t>BFLAFL</t>
  </si>
  <si>
    <t>BFL Asset Finvest Ltd</t>
  </si>
  <si>
    <t>INE684D01025</t>
  </si>
  <si>
    <t>RGF Capital Markets Limited</t>
  </si>
  <si>
    <t>RGF</t>
  </si>
  <si>
    <t>RGF Capital Markets Ltd</t>
  </si>
  <si>
    <t>INE792P01020</t>
  </si>
  <si>
    <t>Radhagobind Commercial Limited</t>
  </si>
  <si>
    <t>RCL</t>
  </si>
  <si>
    <t>Radhagobind Commercial Ltd</t>
  </si>
  <si>
    <t>INE306L01010</t>
  </si>
  <si>
    <t>Quick Heal Technologies Limited</t>
  </si>
  <si>
    <t>QUICKHEAL</t>
  </si>
  <si>
    <t>Quick Heal Technologies Ltd</t>
  </si>
  <si>
    <t>INE332Q01015</t>
  </si>
  <si>
    <t>Kapil Raj Finance Ltd.</t>
  </si>
  <si>
    <t>KAPILRAJ</t>
  </si>
  <si>
    <t>Kapil Raj Finance Ltd</t>
  </si>
  <si>
    <t>INE615T01017</t>
  </si>
  <si>
    <t>Ganga Pharmaceuticals Limited</t>
  </si>
  <si>
    <t>GANGAPHARM</t>
  </si>
  <si>
    <t>Ganga Pharmaceuticals Ltd</t>
  </si>
  <si>
    <t>INE874E01012</t>
  </si>
  <si>
    <t>dynamic Archistructures Limited</t>
  </si>
  <si>
    <t>DAL</t>
  </si>
  <si>
    <t>Dynamic Archistructures Ltd</t>
  </si>
  <si>
    <t>INE622Q01019</t>
  </si>
  <si>
    <t>LUCENT INDUSTRIES LIMITED</t>
  </si>
  <si>
    <t>LUCENT</t>
  </si>
  <si>
    <t>Lucent Industries Ltd</t>
  </si>
  <si>
    <t>INE429R01017</t>
  </si>
  <si>
    <t>Shivkamal Impex Limited</t>
  </si>
  <si>
    <t>SHIVKAMAL</t>
  </si>
  <si>
    <t>Shivkamal Impex Ltd</t>
  </si>
  <si>
    <t>INE127T01021</t>
  </si>
  <si>
    <t>K.P. Energy Limited</t>
  </si>
  <si>
    <t>KPEL</t>
  </si>
  <si>
    <t>K.P. Energy Ltd</t>
  </si>
  <si>
    <t>INE064T01018</t>
  </si>
  <si>
    <t>INTERACTIVE FINANCIAL SERVICES LIMITED</t>
  </si>
  <si>
    <t>IFINSER</t>
  </si>
  <si>
    <t>Interactive Financial Services Ltd</t>
  </si>
  <si>
    <t>INE966Q01010</t>
  </si>
  <si>
    <t>HILIKS TECHNOLOGIES LIMITED</t>
  </si>
  <si>
    <t>HILIKS</t>
  </si>
  <si>
    <t>Hiliks Technologies Ltd</t>
  </si>
  <si>
    <t>INE314T01025</t>
  </si>
  <si>
    <t>Gokul Agro Resources Ltd</t>
  </si>
  <si>
    <t>GOKULAGRO</t>
  </si>
  <si>
    <t>INE194R01017</t>
  </si>
  <si>
    <t>Fredun Pharmaceuticals Limited</t>
  </si>
  <si>
    <t>FREDUN</t>
  </si>
  <si>
    <t>Fredun Pharmaceuticals Ltd</t>
  </si>
  <si>
    <t>INE748T01016</t>
  </si>
  <si>
    <t>Simbhaoli Sugars Ltd</t>
  </si>
  <si>
    <t>SIMBHALS</t>
  </si>
  <si>
    <t>INE773T01014</t>
  </si>
  <si>
    <t>Relicab Cable Manufacturing Limited</t>
  </si>
  <si>
    <t>RELICAB</t>
  </si>
  <si>
    <t>Relicab Cable Manufacturing Ltd</t>
  </si>
  <si>
    <t>INE427T01017</t>
  </si>
  <si>
    <t>Vantage Knowledge Academy Limited</t>
  </si>
  <si>
    <t>VKAL</t>
  </si>
  <si>
    <t>Vantage Knowledge Academy Ltd</t>
  </si>
  <si>
    <t>INE250S01015</t>
  </si>
  <si>
    <t>MODERN ENGINEERING AND PROJECTS LIMITED</t>
  </si>
  <si>
    <t>MEAPL</t>
  </si>
  <si>
    <t>Modern Engineering And Projects Ltd</t>
  </si>
  <si>
    <t>INE216Q01010</t>
  </si>
  <si>
    <t>Mega Nirman &amp; Industries Limited</t>
  </si>
  <si>
    <t>MNIL</t>
  </si>
  <si>
    <t>Mega Nirman and Industries Ltd</t>
  </si>
  <si>
    <t>INE830S01014</t>
  </si>
  <si>
    <t>Darjeeling Ropeway Company Limited</t>
  </si>
  <si>
    <t>DARJEELING</t>
  </si>
  <si>
    <t>Darjeeling Ropeway Company Ltd</t>
  </si>
  <si>
    <t>INE178T01024</t>
  </si>
  <si>
    <t>Advik Capital Limited</t>
  </si>
  <si>
    <t>ADVIKCA</t>
  </si>
  <si>
    <t>Advik Capital Ltd</t>
  </si>
  <si>
    <t>INE865T01018</t>
  </si>
  <si>
    <t>Pudumjee Paper Products Limited</t>
  </si>
  <si>
    <t>PDMJEPAPER</t>
  </si>
  <si>
    <t>Pudumjee Paper Products Ltd</t>
  </si>
  <si>
    <t>Hindustan Construction Co. Ltd.</t>
  </si>
  <si>
    <t>HCC</t>
  </si>
  <si>
    <t>HINDUSTAN CONSTRUCTION CO.LTD.</t>
  </si>
  <si>
    <t>INE030U01025</t>
  </si>
  <si>
    <t>Khemani Distributors &amp; Marketing Limited</t>
  </si>
  <si>
    <t>KDML</t>
  </si>
  <si>
    <t>Khemani Distributors &amp; Marketing Ltd</t>
  </si>
  <si>
    <t>INE173U01015</t>
  </si>
  <si>
    <t>Umiya Tubes Limited</t>
  </si>
  <si>
    <t>UMIYA</t>
  </si>
  <si>
    <t>Umiya Tubes Ltd</t>
  </si>
  <si>
    <t>INE316L01019</t>
  </si>
  <si>
    <t>Bharat Wire Ropes Limited</t>
  </si>
  <si>
    <t>BHARATWIRE</t>
  </si>
  <si>
    <t>Bharat Wire Ropes Ltd</t>
  </si>
  <si>
    <t>INE043U01010</t>
  </si>
  <si>
    <t>CHD Chemicals Limited</t>
  </si>
  <si>
    <t>CHDCHEM</t>
  </si>
  <si>
    <t>CHD Chemicals Ltd</t>
  </si>
  <si>
    <t>HMT Limited</t>
  </si>
  <si>
    <t>HMT</t>
  </si>
  <si>
    <t>HMT LTD.</t>
  </si>
  <si>
    <t>Inertia Steel Limited</t>
  </si>
  <si>
    <t>INERTIAST</t>
  </si>
  <si>
    <t>INERTIA STEEL LTD.</t>
  </si>
  <si>
    <t>INE967S01014</t>
  </si>
  <si>
    <t>Mudra Financial Services Ltd.</t>
  </si>
  <si>
    <t>MUDRA</t>
  </si>
  <si>
    <t>Mudra Financial Services Ltd</t>
  </si>
  <si>
    <t>PH Trading Ltd.</t>
  </si>
  <si>
    <t>PHTRADING</t>
  </si>
  <si>
    <t>PH TRADING LTD.</t>
  </si>
  <si>
    <t>INE574R01028</t>
  </si>
  <si>
    <t>Superior Finlease Limited</t>
  </si>
  <si>
    <t>SUPERIOR</t>
  </si>
  <si>
    <t>Superior Finlease Ltd</t>
  </si>
  <si>
    <t>INE912T01018</t>
  </si>
  <si>
    <t>RAGHAV PRODUCTIVITY ENHANCERS LIMITED</t>
  </si>
  <si>
    <t>RPEL</t>
  </si>
  <si>
    <t>Raghav Productivity Enhancers Ltd</t>
  </si>
  <si>
    <t>INE399S01010</t>
  </si>
  <si>
    <t>Franklin Leasing and Finance Limited</t>
  </si>
  <si>
    <t>FRANKLIN</t>
  </si>
  <si>
    <t>Franklin Leasing and Finance Ltd</t>
  </si>
  <si>
    <t>Ventura Guaranty Ltd.</t>
  </si>
  <si>
    <t>SHYAM</t>
  </si>
  <si>
    <t>VENTURA GUARANTY LTD.</t>
  </si>
  <si>
    <t>INE395U01014</t>
  </si>
  <si>
    <t>NINtec Systems Limited</t>
  </si>
  <si>
    <t>NINSYS</t>
  </si>
  <si>
    <t>NINtec Systems Ltd</t>
  </si>
  <si>
    <t>INE115S01010</t>
  </si>
  <si>
    <t>Halder Venture Limited</t>
  </si>
  <si>
    <t>HALDER</t>
  </si>
  <si>
    <t>Halder Venture Ltd</t>
  </si>
  <si>
    <t>INE594H01019</t>
  </si>
  <si>
    <t>Thyrocare Technologies Limited</t>
  </si>
  <si>
    <t>THYROCARE</t>
  </si>
  <si>
    <t>Thyrocare Technologies Ltd</t>
  </si>
  <si>
    <t>INE411U01027</t>
  </si>
  <si>
    <t>Bajaj Healthcare Limited</t>
  </si>
  <si>
    <t>BAJAJHCARE</t>
  </si>
  <si>
    <t>Bajaj Healthcare Ltd</t>
  </si>
  <si>
    <t>INE616F01022</t>
  </si>
  <si>
    <t>RSD Finance Limited</t>
  </si>
  <si>
    <t>RSDFIN</t>
  </si>
  <si>
    <t>RSD Finance Ltd</t>
  </si>
  <si>
    <t>Ingersoll-Rand (India) Ltd.</t>
  </si>
  <si>
    <t>INGERRAND</t>
  </si>
  <si>
    <t>INGERSOLL-RAND (INDIA) LTD.</t>
  </si>
  <si>
    <t>Kirloskar Brothers Ltd.</t>
  </si>
  <si>
    <t>KIRLOSBROS</t>
  </si>
  <si>
    <t>KIRLOSKAR BROTHERS LTD.-$</t>
  </si>
  <si>
    <t>INE671T01028</t>
  </si>
  <si>
    <t>Darshan Orna Limited</t>
  </si>
  <si>
    <t>DARSHANORNA</t>
  </si>
  <si>
    <t>Darshan Orna Ltd</t>
  </si>
  <si>
    <t>INE883N01014</t>
  </si>
  <si>
    <t>Parag Milk Foods Limited</t>
  </si>
  <si>
    <t>PARAGMILK</t>
  </si>
  <si>
    <t>Parag Milk Foods Ltd</t>
  </si>
  <si>
    <t>INE631R01026</t>
  </si>
  <si>
    <t>Madhav Infra Projects Limited</t>
  </si>
  <si>
    <t>MADHAVIPL</t>
  </si>
  <si>
    <t>Madhav Infra Projects Ltd</t>
  </si>
  <si>
    <t>INE454M01024</t>
  </si>
  <si>
    <t>NAGARJUNA FERTILIZERS AND CHEMICALS LTD.</t>
  </si>
  <si>
    <t>NAGAFERT</t>
  </si>
  <si>
    <t>Nagarjuna Fertilizers and Chemicals Ltd</t>
  </si>
  <si>
    <t>INE440T01028</t>
  </si>
  <si>
    <t>Shanti Educational Initiatives Limited</t>
  </si>
  <si>
    <t>SEIL</t>
  </si>
  <si>
    <t>Shanti Educational Initiatives Ltd</t>
  </si>
  <si>
    <t>Sanmitra Commercial Ltd.</t>
  </si>
  <si>
    <t>ZSANMCOM</t>
  </si>
  <si>
    <t>SANMITRA COMMERCIAL LTD.</t>
  </si>
  <si>
    <t>INE858Q01019</t>
  </si>
  <si>
    <t>WARDWIZARD HEALTHCARE LIMITED</t>
  </si>
  <si>
    <t>WARDHEALTH</t>
  </si>
  <si>
    <t>Wardwizard Healthcare Ltd</t>
  </si>
  <si>
    <t>INE571U01010</t>
  </si>
  <si>
    <t>Yash Chemex Limited</t>
  </si>
  <si>
    <t>YASHCHEM</t>
  </si>
  <si>
    <t>Yash Chemex Ltd</t>
  </si>
  <si>
    <t>INE217E01014</t>
  </si>
  <si>
    <t>Bazel International Limited</t>
  </si>
  <si>
    <t>BAZELINTER</t>
  </si>
  <si>
    <t>Bazel International Ltd</t>
  </si>
  <si>
    <t>INE919T01013</t>
  </si>
  <si>
    <t>JINDAL LEASEFIN LIMITED</t>
  </si>
  <si>
    <t>JLL</t>
  </si>
  <si>
    <t>Jindal Leasefin Ltd</t>
  </si>
  <si>
    <t>VISHVPRABHA VENTURES LIMITED</t>
  </si>
  <si>
    <t>VISVEN</t>
  </si>
  <si>
    <t>Vishvprabha Ventures Ltd</t>
  </si>
  <si>
    <t>Kirloskar Industries Ltd</t>
  </si>
  <si>
    <t>KIRLOSIND</t>
  </si>
  <si>
    <t>INE819S01025</t>
  </si>
  <si>
    <t>Zeal Aqua Limited</t>
  </si>
  <si>
    <t>ZEAL</t>
  </si>
  <si>
    <t>Zeal Aqua Ltd</t>
  </si>
  <si>
    <t>INE615P01015</t>
  </si>
  <si>
    <t>Twin Roses Trades &amp; Agencies Ltd.</t>
  </si>
  <si>
    <t>TWIROST</t>
  </si>
  <si>
    <t>TWIN ROSES TRADES &amp; AGENCIES LTD.</t>
  </si>
  <si>
    <t>INE731U01028</t>
  </si>
  <si>
    <t>DIGJAM LIMITED</t>
  </si>
  <si>
    <t>DIGJAMLMTD</t>
  </si>
  <si>
    <t>Digjam Ltd</t>
  </si>
  <si>
    <t>INE799B01017</t>
  </si>
  <si>
    <t>HINDUSTHAN URBAN INFRASTRUCTURE LIMITED</t>
  </si>
  <si>
    <t>HUIL</t>
  </si>
  <si>
    <t>Hindusthan Urban Infrastructure Ltd</t>
  </si>
  <si>
    <t>INE120V01014</t>
  </si>
  <si>
    <t>Titaanium Ten Enterprise Limited</t>
  </si>
  <si>
    <t>TITAANIUM</t>
  </si>
  <si>
    <t>Titaanium Ten Enterprise Ltd</t>
  </si>
  <si>
    <t>INE073V01015</t>
  </si>
  <si>
    <t>Commercial Syn Bags Limited</t>
  </si>
  <si>
    <t>COMSYN</t>
  </si>
  <si>
    <t>Commercial Syn Bags Ltd</t>
  </si>
  <si>
    <t>M LAKHAMSI INDUSTRIES LIMITED</t>
  </si>
  <si>
    <t>MLINDLTD</t>
  </si>
  <si>
    <t>M Lakhamsi Industries Ltd</t>
  </si>
  <si>
    <t>INE093R01011</t>
  </si>
  <si>
    <t>KSB LIMITED</t>
  </si>
  <si>
    <t>KSB</t>
  </si>
  <si>
    <t>KSB Ltd</t>
  </si>
  <si>
    <t>INE552U01010</t>
  </si>
  <si>
    <t>Kwality Pharmaceuticals Limited</t>
  </si>
  <si>
    <t>KPL</t>
  </si>
  <si>
    <t>Kwality Pharmaceuticals Ltd</t>
  </si>
  <si>
    <t>INE214T01019</t>
  </si>
  <si>
    <t>Lakshmi Machine Works Ltd.</t>
  </si>
  <si>
    <t>LAXMIMACH</t>
  </si>
  <si>
    <t>LAKSHMI MACHINE WORKS LTD.</t>
  </si>
  <si>
    <t>Terraform Realstate Limited</t>
  </si>
  <si>
    <t>TERRAREAL</t>
  </si>
  <si>
    <t>INE837H01020</t>
  </si>
  <si>
    <t>Advanced Enzyme Technologies Limited</t>
  </si>
  <si>
    <t>ADVENZYMES</t>
  </si>
  <si>
    <t>Advanced Enzyme Technologies Ltd</t>
  </si>
  <si>
    <t>INE213U01019</t>
  </si>
  <si>
    <t>Ladam Affortable Housing Limited</t>
  </si>
  <si>
    <t>LAHL</t>
  </si>
  <si>
    <t>Ladam Affordable Housing Ltd</t>
  </si>
  <si>
    <t>INE917M01012</t>
  </si>
  <si>
    <t>Maharashtra Seamless Ltd.</t>
  </si>
  <si>
    <t>MAHSEAMLES</t>
  </si>
  <si>
    <t>MAHARASHTRA SEAMLESS LTD.</t>
  </si>
  <si>
    <t>INE212I01016</t>
  </si>
  <si>
    <t>S.P. Apparels Limited</t>
  </si>
  <si>
    <t>SPAL</t>
  </si>
  <si>
    <t>S.P. Apparels Ltd</t>
  </si>
  <si>
    <t>INE412U01025</t>
  </si>
  <si>
    <t>Bigbloc Construction Limited</t>
  </si>
  <si>
    <t>BIGBLOC</t>
  </si>
  <si>
    <t>Bigbloc Construction Ltd</t>
  </si>
  <si>
    <t>INE222U01010</t>
  </si>
  <si>
    <t>Golden Crest Education &amp; Services Limited</t>
  </si>
  <si>
    <t>GOLDENCREST</t>
  </si>
  <si>
    <t>Golden Crest Education &amp; Services Ltd</t>
  </si>
  <si>
    <t>INE925Q01024</t>
  </si>
  <si>
    <t>ECS Biztech Limited</t>
  </si>
  <si>
    <t>ECS</t>
  </si>
  <si>
    <t>ECS Biztech Ltd</t>
  </si>
  <si>
    <t>NCC Limited</t>
  </si>
  <si>
    <t>NCC</t>
  </si>
  <si>
    <t>INE345U01019</t>
  </si>
  <si>
    <t>AMS POLYMERS LIMITED</t>
  </si>
  <si>
    <t>AMS</t>
  </si>
  <si>
    <t>AMS Polymers Ltd</t>
  </si>
  <si>
    <t>INE191V01015</t>
  </si>
  <si>
    <t>Shiva Granito Export Limited</t>
  </si>
  <si>
    <t>SHIVAEXPO</t>
  </si>
  <si>
    <t>Shiva Granito Export Ltd</t>
  </si>
  <si>
    <t>Surya Roshni Ltd.</t>
  </si>
  <si>
    <t>SURYAROSNI</t>
  </si>
  <si>
    <t>SURYA ROSHNI LTD.</t>
  </si>
  <si>
    <t>INE317V01016</t>
  </si>
  <si>
    <t>Mitsu Chem Plast Limited</t>
  </si>
  <si>
    <t>MITSU</t>
  </si>
  <si>
    <t>Mitsu Chem Plast Ltd</t>
  </si>
  <si>
    <t>INE537U01029</t>
  </si>
  <si>
    <t>Sprayking Limited</t>
  </si>
  <si>
    <t>SPRAYKING</t>
  </si>
  <si>
    <t>Sprayking Ltd</t>
  </si>
  <si>
    <t>INE715T01031</t>
  </si>
  <si>
    <t>Dhatre Udyog Limited</t>
  </si>
  <si>
    <t>DHATRE</t>
  </si>
  <si>
    <t>Dhatre Udyog Ltd</t>
  </si>
  <si>
    <t>INE860T01019</t>
  </si>
  <si>
    <t>Sab Events &amp; Governance Now Media Limited</t>
  </si>
  <si>
    <t>SABEVENTS</t>
  </si>
  <si>
    <t>SAB Events &amp; Governance Now Media Ltd</t>
  </si>
  <si>
    <t>INE367U01013</t>
  </si>
  <si>
    <t>Riddhi Steel and Tube Limited</t>
  </si>
  <si>
    <t>RSTL</t>
  </si>
  <si>
    <t>Riddhi Steel and Tube Ltd</t>
  </si>
  <si>
    <t>INE871L01013</t>
  </si>
  <si>
    <t>TV VISION LIMITED</t>
  </si>
  <si>
    <t>TVVISION</t>
  </si>
  <si>
    <t>TV Vision Ltd</t>
  </si>
  <si>
    <t>INE890S01026</t>
  </si>
  <si>
    <t>Visco Trade Associates Ltd</t>
  </si>
  <si>
    <t>VISCO</t>
  </si>
  <si>
    <t>INE864T01011</t>
  </si>
  <si>
    <t>TIAAN CONSUMER LIMITED</t>
  </si>
  <si>
    <t>TIAANC</t>
  </si>
  <si>
    <t>Tiaan Consumer Ltd</t>
  </si>
  <si>
    <t>INE010V01017</t>
  </si>
  <si>
    <t>Jindal Saw Ltd.</t>
  </si>
  <si>
    <t>JINDALSAW</t>
  </si>
  <si>
    <t>JINDAL SAW LTD.</t>
  </si>
  <si>
    <t>INE934S01014</t>
  </si>
  <si>
    <t>G N A Axles Limited</t>
  </si>
  <si>
    <t>GNA</t>
  </si>
  <si>
    <t>G N A Axles Ltd</t>
  </si>
  <si>
    <t>INE583V01021</t>
  </si>
  <si>
    <t>Radhika Jeweltech Limited</t>
  </si>
  <si>
    <t>RADHIKAJWE</t>
  </si>
  <si>
    <t>Radhika Jeweltech Ltd</t>
  </si>
  <si>
    <t>INE400R01018</t>
  </si>
  <si>
    <t>Bentley Commercial Enterprises Ltd.</t>
  </si>
  <si>
    <t>BENTCOM</t>
  </si>
  <si>
    <t>BENTLEY COMMERCIAL ENTERPRISES LTD.</t>
  </si>
  <si>
    <t>Thermax Ltd.</t>
  </si>
  <si>
    <t>THERMAX</t>
  </si>
  <si>
    <t>THERMAX LTD.</t>
  </si>
  <si>
    <t>INE818R01011</t>
  </si>
  <si>
    <t>ISHAAN INFRASTRUCTURE AND SHELTERS LIMITED</t>
  </si>
  <si>
    <t>IISL</t>
  </si>
  <si>
    <t>Ishaan Infrastructures and Shelters Ltd</t>
  </si>
  <si>
    <t>INE202R01026</t>
  </si>
  <si>
    <t>ARC Finance Limited</t>
  </si>
  <si>
    <t>ARCFIN</t>
  </si>
  <si>
    <t>ARC Finance Ltd</t>
  </si>
  <si>
    <t>INE495S01016</t>
  </si>
  <si>
    <t>HPL Electric &amp; Power Limited</t>
  </si>
  <si>
    <t>HPL</t>
  </si>
  <si>
    <t>HPL Electric &amp; Power Ltd</t>
  </si>
  <si>
    <t>INE184B01012</t>
  </si>
  <si>
    <t>Sagarsoft (India) Limited</t>
  </si>
  <si>
    <t>SAGARSOFT</t>
  </si>
  <si>
    <t>Sagarsoft (India) Ltd</t>
  </si>
  <si>
    <t>Classic Electricals Ltd.</t>
  </si>
  <si>
    <t>CLASELE</t>
  </si>
  <si>
    <t>CLASSIC ELECTRICALS LTD.</t>
  </si>
  <si>
    <t>INE565V01010</t>
  </si>
  <si>
    <t>Valiant Organics Limited</t>
  </si>
  <si>
    <t>VALIANTORG</t>
  </si>
  <si>
    <t>Valiant Organics Ltd</t>
  </si>
  <si>
    <t>INE427V01013</t>
  </si>
  <si>
    <t>ADITYA CONSUMER MARKETING LIMITED</t>
  </si>
  <si>
    <t>ACML</t>
  </si>
  <si>
    <t>Aditya Consumer Marketing Ltd</t>
  </si>
  <si>
    <t>INE700V01021</t>
  </si>
  <si>
    <t>Shashijit Infraprojects Limited</t>
  </si>
  <si>
    <t>SHASHIJIT</t>
  </si>
  <si>
    <t>Shashijit Infraprojects Ltd</t>
  </si>
  <si>
    <t>INE564V01013</t>
  </si>
  <si>
    <t>Bindal Exports Limited</t>
  </si>
  <si>
    <t>BINDALEXPO</t>
  </si>
  <si>
    <t>Bindal Exports Ltd</t>
  </si>
  <si>
    <t>INE942P01013</t>
  </si>
  <si>
    <t>Diksat Transworld Limited</t>
  </si>
  <si>
    <t>DIKSAT</t>
  </si>
  <si>
    <t>Diksat Transworld Ltd</t>
  </si>
  <si>
    <t>SKF India Ltd.</t>
  </si>
  <si>
    <t>SKFINDIA</t>
  </si>
  <si>
    <t>SKF India Ltd</t>
  </si>
  <si>
    <t>INE905R01016</t>
  </si>
  <si>
    <t>Purple Entertainment Limited</t>
  </si>
  <si>
    <t>PURPLE</t>
  </si>
  <si>
    <t>Purple Entertainment Ltd</t>
  </si>
  <si>
    <t>INE268T01015</t>
  </si>
  <si>
    <t>Supra Pacific Financial Services Limited</t>
  </si>
  <si>
    <t>SUPRAPFSL</t>
  </si>
  <si>
    <t>Supra Pacific Financial Services Ltd</t>
  </si>
  <si>
    <t>Ashok Leyland Ltd.</t>
  </si>
  <si>
    <t>ASHOKLEY</t>
  </si>
  <si>
    <t>ASHOK LEYLAND LTD.</t>
  </si>
  <si>
    <t>INE298B01010</t>
  </si>
  <si>
    <t>Southern Infosys Limited</t>
  </si>
  <si>
    <t>SOUTHERNIN</t>
  </si>
  <si>
    <t>Southern Infosys Ltd</t>
  </si>
  <si>
    <t>INE964R01013</t>
  </si>
  <si>
    <t>REGENCY FINCORP LIMITED</t>
  </si>
  <si>
    <t>REGENCY</t>
  </si>
  <si>
    <t>Regency Fincorp Ltd</t>
  </si>
  <si>
    <t>Cummins India Ltd.</t>
  </si>
  <si>
    <t>CUMMINSIND</t>
  </si>
  <si>
    <t>CUMMINS INDIA LTD.</t>
  </si>
  <si>
    <t>INE894E01028</t>
  </si>
  <si>
    <t>Salem Erode Investments Ltd.</t>
  </si>
  <si>
    <t>SALEM</t>
  </si>
  <si>
    <t>Salem Erode Investments Ltd</t>
  </si>
  <si>
    <t>INE789R01022</t>
  </si>
  <si>
    <t>Nivi Trading Ltd.</t>
  </si>
  <si>
    <t>ZNIVITRD</t>
  </si>
  <si>
    <t>NIVI TRADING LTD.</t>
  </si>
  <si>
    <t>INE341H01023</t>
  </si>
  <si>
    <t>LKP Securities Limited</t>
  </si>
  <si>
    <t>LKPSEC</t>
  </si>
  <si>
    <t>LKP Securities Ltd</t>
  </si>
  <si>
    <t>INE186R01013</t>
  </si>
  <si>
    <t>OSIAJEE TEXFAB LIMITED</t>
  </si>
  <si>
    <t>OSIAJEE</t>
  </si>
  <si>
    <t>Osiajee Texfab Ltd</t>
  </si>
  <si>
    <t>INE850R01014</t>
  </si>
  <si>
    <t>Corporate Merchant Bankers Limited</t>
  </si>
  <si>
    <t>CMBL</t>
  </si>
  <si>
    <t>Corporate Merchant Bankers Ltd</t>
  </si>
  <si>
    <t>Escorts Kubota Limited</t>
  </si>
  <si>
    <t>ESCORTS</t>
  </si>
  <si>
    <t>Escorts Kubota Ltd</t>
  </si>
  <si>
    <t>INE666Q01016</t>
  </si>
  <si>
    <t>EIKO LIFESCIENCES LIMITED</t>
  </si>
  <si>
    <t>EIKO</t>
  </si>
  <si>
    <t>Eiko Lifesciences Ltd</t>
  </si>
  <si>
    <t>Larsen &amp; Toubro Limited</t>
  </si>
  <si>
    <t>LT</t>
  </si>
  <si>
    <t>LARSEN &amp; TOUBRO LTD.</t>
  </si>
  <si>
    <t>INE759V01019</t>
  </si>
  <si>
    <t>Heads UP Ventures Limited</t>
  </si>
  <si>
    <t>HEADSUP</t>
  </si>
  <si>
    <t>Heads UP Ventures Ltd</t>
  </si>
  <si>
    <t>Bajaj Global Ltd</t>
  </si>
  <si>
    <t>BAJGLOB</t>
  </si>
  <si>
    <t>BAJAJ GLOBAL LTD.</t>
  </si>
  <si>
    <t>INE508R01018</t>
  </si>
  <si>
    <t>Tashi India Ltd.</t>
  </si>
  <si>
    <t>TASHIND</t>
  </si>
  <si>
    <t>TASHI INDIA LTD.</t>
  </si>
  <si>
    <t>Siemens Ltd.</t>
  </si>
  <si>
    <t>SIEMENS</t>
  </si>
  <si>
    <t>SIEMENS LTD.</t>
  </si>
  <si>
    <t>INE835U01019</t>
  </si>
  <si>
    <t>Autoriders International Ltd</t>
  </si>
  <si>
    <t>AUTOINT</t>
  </si>
  <si>
    <t>AUTORIDERS INTERNATIONAL LTD.</t>
  </si>
  <si>
    <t>INE607V01028</t>
  </si>
  <si>
    <t>VEERAM SECURITIES LIMITED</t>
  </si>
  <si>
    <t>VSL</t>
  </si>
  <si>
    <t>Veeram Securities Ltd</t>
  </si>
  <si>
    <t>INE245H01018</t>
  </si>
  <si>
    <t>MARG TECHNO PROJECTS LIMITED</t>
  </si>
  <si>
    <t>MTPL</t>
  </si>
  <si>
    <t>Marg Techno Projects Ltd</t>
  </si>
  <si>
    <t>INE118R01024</t>
  </si>
  <si>
    <t>Chambal Breweries &amp; Distilleries Li</t>
  </si>
  <si>
    <t>CHMBBRW</t>
  </si>
  <si>
    <t>CHAMBAL BREWERIES &amp; DISTILLERIES LTD.</t>
  </si>
  <si>
    <t>INE318U01016</t>
  </si>
  <si>
    <t>Mansoon Trading Co. Ltd.</t>
  </si>
  <si>
    <t>ZMANSOON</t>
  </si>
  <si>
    <t>MANSOON TRADING CO.LTD.</t>
  </si>
  <si>
    <t>INE615R01029</t>
  </si>
  <si>
    <t>TruCap Finance Limited</t>
  </si>
  <si>
    <t>TRU</t>
  </si>
  <si>
    <t>TruCap Finance Ltd</t>
  </si>
  <si>
    <t>INE459U01018</t>
  </si>
  <si>
    <t>SUPER FINE KNITTERS LIMITED</t>
  </si>
  <si>
    <t>SKL</t>
  </si>
  <si>
    <t>Super Fine Knitters Ltd</t>
  </si>
  <si>
    <t>INE923R01019</t>
  </si>
  <si>
    <t>CES Limited</t>
  </si>
  <si>
    <t>CESL</t>
  </si>
  <si>
    <t>GARWARE HI-TECH FILMS LIMITED</t>
  </si>
  <si>
    <t>GRWRHITECH</t>
  </si>
  <si>
    <t>Garware Hi-Tech Films Ltd</t>
  </si>
  <si>
    <t>INE181U01018</t>
  </si>
  <si>
    <t>Classic Filaments Limited</t>
  </si>
  <si>
    <t>CFL</t>
  </si>
  <si>
    <t>Classic Filaments Ltd</t>
  </si>
  <si>
    <t>INE863T01013</t>
  </si>
  <si>
    <t>JITF INFRALOGISTICS LIMITED</t>
  </si>
  <si>
    <t>JITFINFRA</t>
  </si>
  <si>
    <t>JITF Infralogistics Ltd</t>
  </si>
  <si>
    <t>Water Supply &amp; Management</t>
  </si>
  <si>
    <t>INE249U01013</t>
  </si>
  <si>
    <t>Sueryaa Knitwear Limited</t>
  </si>
  <si>
    <t>SUERYAAKNI</t>
  </si>
  <si>
    <t>Sueryaa Knitwear Ltd</t>
  </si>
  <si>
    <t>INE978V01015</t>
  </si>
  <si>
    <t>Tanvi Foods (India) Limited</t>
  </si>
  <si>
    <t>TANVI</t>
  </si>
  <si>
    <t>Tanvi Foods (India) Ltd</t>
  </si>
  <si>
    <t>INE655V01019</t>
  </si>
  <si>
    <t>RMC SWITCHGEARS LIMITED</t>
  </si>
  <si>
    <t>RMC</t>
  </si>
  <si>
    <t>RMC Switchgears Ltd</t>
  </si>
  <si>
    <t>INE240T01014</t>
  </si>
  <si>
    <t>Parmax Pharma Limited</t>
  </si>
  <si>
    <t>PARMAX</t>
  </si>
  <si>
    <t>Parmax Pharma Ltd</t>
  </si>
  <si>
    <t>INE715Q01029</t>
  </si>
  <si>
    <t>LEADING LEASING FINANCE AND INVESTMENT CO. LIMITED</t>
  </si>
  <si>
    <t>LLFICL</t>
  </si>
  <si>
    <t>Leading Leasing Finance And Investment Company Ltd</t>
  </si>
  <si>
    <t>Magnanimous Trade &amp; Finance Ltd.</t>
  </si>
  <si>
    <t>MAGANTR</t>
  </si>
  <si>
    <t>MAGNANIMOUS TRADE &amp; FINANCE LTD.</t>
  </si>
  <si>
    <t>INE919I01024</t>
  </si>
  <si>
    <t>Music Broadcast Limited</t>
  </si>
  <si>
    <t>RADIOCITY</t>
  </si>
  <si>
    <t>Music Broadcast Ltd</t>
  </si>
  <si>
    <t>Finolex Industries Ltd.</t>
  </si>
  <si>
    <t>FINPIPE</t>
  </si>
  <si>
    <t>FINOLEX INDUSTRIES LTD.</t>
  </si>
  <si>
    <t>Mercury Trade Links Ltd.</t>
  </si>
  <si>
    <t>MERCTRD</t>
  </si>
  <si>
    <t>MERCURY TRADE LINKS LTD.</t>
  </si>
  <si>
    <t>INE989S01042</t>
  </si>
  <si>
    <t>Ontic Finserve Limited</t>
  </si>
  <si>
    <t>ONTIC</t>
  </si>
  <si>
    <t>Ontic Finserve Ltd</t>
  </si>
  <si>
    <t>INE017W01010</t>
  </si>
  <si>
    <t>Sarthak Metals Limited</t>
  </si>
  <si>
    <t>SMLT</t>
  </si>
  <si>
    <t>Sarthak Metals Ltd</t>
  </si>
  <si>
    <t>INE298W01016</t>
  </si>
  <si>
    <t>Chemcrux Enterprises Limited</t>
  </si>
  <si>
    <t>CHEMCRUX</t>
  </si>
  <si>
    <t>Chemcrux Enterprises Ltd</t>
  </si>
  <si>
    <t>INE784W01015</t>
  </si>
  <si>
    <t>Manomay Tex India Limited</t>
  </si>
  <si>
    <t>MANOMAY</t>
  </si>
  <si>
    <t>Manomay Tex India Ltd</t>
  </si>
  <si>
    <t>Nirav Commercials Ltd.</t>
  </si>
  <si>
    <t>NIRAVCOM</t>
  </si>
  <si>
    <t>NIRAV COMMERCIALS LTD.</t>
  </si>
  <si>
    <t>INE800W01019</t>
  </si>
  <si>
    <t>Manas Properties Limited</t>
  </si>
  <si>
    <t>MANAS</t>
  </si>
  <si>
    <t>Manas Properties Ltd</t>
  </si>
  <si>
    <t>INE201M01029</t>
  </si>
  <si>
    <t>CL Educate Limited</t>
  </si>
  <si>
    <t>CLEDUCATE</t>
  </si>
  <si>
    <t>CL Educate Ltd</t>
  </si>
  <si>
    <t>INE442V01012</t>
  </si>
  <si>
    <t>PRIME FRESH LIMITED</t>
  </si>
  <si>
    <t>PRIMEFRESH</t>
  </si>
  <si>
    <t>Prime Fresh Ltd</t>
  </si>
  <si>
    <t>INE208U01019</t>
  </si>
  <si>
    <t>Octaware Technologies Limited</t>
  </si>
  <si>
    <t>OCTAWARE</t>
  </si>
  <si>
    <t>Octaware Technologies Ltd</t>
  </si>
  <si>
    <t>INE274V01019</t>
  </si>
  <si>
    <t>Shankara Building Products Limited</t>
  </si>
  <si>
    <t>SHANKARA</t>
  </si>
  <si>
    <t>Shankara Building Products Ltd</t>
  </si>
  <si>
    <t>INE953W01016</t>
  </si>
  <si>
    <t>Escorp Asset Management Limited</t>
  </si>
  <si>
    <t>ESCORP</t>
  </si>
  <si>
    <t>Escorp Asset Management Ltd</t>
  </si>
  <si>
    <t>INE808R01012</t>
  </si>
  <si>
    <t>PARMESHWARI SILK MILLS LIMITED</t>
  </si>
  <si>
    <t>PARMSILK</t>
  </si>
  <si>
    <t>Parmeshwari Silk Mills Ltd</t>
  </si>
  <si>
    <t>INE870V01014</t>
  </si>
  <si>
    <t>KMS Medisurgi Limited</t>
  </si>
  <si>
    <t>KMSMEDI</t>
  </si>
  <si>
    <t>KMS Medisurgi Ltd</t>
  </si>
  <si>
    <t>INE949C01016</t>
  </si>
  <si>
    <t>Classic Leasing &amp; Finance Ltd.</t>
  </si>
  <si>
    <t>CLFL</t>
  </si>
  <si>
    <t>Classic Leasing &amp; Finance Ltd</t>
  </si>
  <si>
    <t>INE594W01034</t>
  </si>
  <si>
    <t>STARLINEPS ENTERPRISES LIMITED</t>
  </si>
  <si>
    <t>STARLENT</t>
  </si>
  <si>
    <t>Starlineps Enterprises Ltd</t>
  </si>
  <si>
    <t>INE807K01035</t>
  </si>
  <si>
    <t>S Chand And Company Limited</t>
  </si>
  <si>
    <t>SCHAND</t>
  </si>
  <si>
    <t>S Chand and Company Ltd</t>
  </si>
  <si>
    <t>INE453S01015</t>
  </si>
  <si>
    <t>KANUNGO FINANCIERS LIMITED</t>
  </si>
  <si>
    <t>KANUNGO</t>
  </si>
  <si>
    <t>Kanungo Financiers Ltd</t>
  </si>
  <si>
    <t>INE343X01018</t>
  </si>
  <si>
    <t>Meera Industries Limited</t>
  </si>
  <si>
    <t>MEERA</t>
  </si>
  <si>
    <t>Meera Industries Ltd</t>
  </si>
  <si>
    <t>BOROSIL RENEWABLES LIMITED</t>
  </si>
  <si>
    <t>BORORENEW</t>
  </si>
  <si>
    <t>Borosil Renewables Ltd</t>
  </si>
  <si>
    <t>INE488V01015</t>
  </si>
  <si>
    <t>PSP Projects Limited</t>
  </si>
  <si>
    <t>PSPPROJECT</t>
  </si>
  <si>
    <t>PSP Projects Ltd</t>
  </si>
  <si>
    <t>INE986W01016</t>
  </si>
  <si>
    <t>Bhakti Gems And Jewellery Limited</t>
  </si>
  <si>
    <t>BGJL</t>
  </si>
  <si>
    <t>Bhakti Gems and Jewellery Ltd</t>
  </si>
  <si>
    <t>INE796W01019</t>
  </si>
  <si>
    <t>Yug Decor Limited</t>
  </si>
  <si>
    <t>YUG</t>
  </si>
  <si>
    <t>Yug Decor Ltd</t>
  </si>
  <si>
    <t>White Hall Commercial Co.Ltd.</t>
  </si>
  <si>
    <t>WHITHAL</t>
  </si>
  <si>
    <t>WHITE HALL COMMERCIAL CO.LTD.</t>
  </si>
  <si>
    <t>Bharat Bijlee Ltd.</t>
  </si>
  <si>
    <t>BBL</t>
  </si>
  <si>
    <t>BHARAT BIJLEE LTD.-$</t>
  </si>
  <si>
    <t>INE325X01015</t>
  </si>
  <si>
    <t>Riddhi Corporate Services Limited</t>
  </si>
  <si>
    <t>RIDDHICORP</t>
  </si>
  <si>
    <t>Riddhi Corporate Services Ltd</t>
  </si>
  <si>
    <t>INE010J01012</t>
  </si>
  <si>
    <t>GMM Pfaudler Ltd.</t>
  </si>
  <si>
    <t>GMMPFAUDLR</t>
  </si>
  <si>
    <t>GMM PFAUDLER LTD.</t>
  </si>
  <si>
    <t>Elecon Engineering Co.Ltd.</t>
  </si>
  <si>
    <t>ELECON</t>
  </si>
  <si>
    <t>ELECON ENGINEERING CO.LTD.</t>
  </si>
  <si>
    <t>INE869I01013</t>
  </si>
  <si>
    <t>GTPL Hathway Limited</t>
  </si>
  <si>
    <t>GTPL</t>
  </si>
  <si>
    <t>GTPL Hathway Ltd</t>
  </si>
  <si>
    <t>Kennametal India Limtied</t>
  </si>
  <si>
    <t>KENNAMET</t>
  </si>
  <si>
    <t>KENNAMETAL INDIA LTD.-$</t>
  </si>
  <si>
    <t>Asutosh Enterprise Ltd.</t>
  </si>
  <si>
    <t>ASUTENT</t>
  </si>
  <si>
    <t>ASUTOSH ENTERPRISES LTD.</t>
  </si>
  <si>
    <t>INE694X01030</t>
  </si>
  <si>
    <t>G G Engineering Limited</t>
  </si>
  <si>
    <t>GGENG</t>
  </si>
  <si>
    <t>G G Engineering Ltd</t>
  </si>
  <si>
    <t>INE413X01035</t>
  </si>
  <si>
    <t>7NR Retail Limited</t>
  </si>
  <si>
    <t>7NR</t>
  </si>
  <si>
    <t>7NR Retail Ltd</t>
  </si>
  <si>
    <t>INE170V01027</t>
  </si>
  <si>
    <t>Salasar Techno Engineering Limited</t>
  </si>
  <si>
    <t>SALASAR</t>
  </si>
  <si>
    <t>Salasar Techno Engineering Ltd</t>
  </si>
  <si>
    <t>INE335W01016</t>
  </si>
  <si>
    <t>Ganges Securities Ltd.</t>
  </si>
  <si>
    <t>GANGESSECU</t>
  </si>
  <si>
    <t>Ganges Securities Ltd</t>
  </si>
  <si>
    <t>INE471W01019</t>
  </si>
  <si>
    <t>Palash Securities Limited</t>
  </si>
  <si>
    <t>PALASHSECU</t>
  </si>
  <si>
    <t>Palash Securities Ltd</t>
  </si>
  <si>
    <t>INE349W01017</t>
  </si>
  <si>
    <t>AVADH SUGAR &amp; ENERGY LIMITED</t>
  </si>
  <si>
    <t>AVADHSUGAR</t>
  </si>
  <si>
    <t>Avadh Sugar &amp; Energy Ltd</t>
  </si>
  <si>
    <t>INE347W01011</t>
  </si>
  <si>
    <t>Magadh Sugar &amp; Energy Limited</t>
  </si>
  <si>
    <t>MAGADSUGAR</t>
  </si>
  <si>
    <t>Magadh Sugar &amp; Energy Ltd</t>
  </si>
  <si>
    <t>INE943X01015</t>
  </si>
  <si>
    <t>Jigar Cables Limited</t>
  </si>
  <si>
    <t>JIGAR</t>
  </si>
  <si>
    <t>Jigar Cables Ltd</t>
  </si>
  <si>
    <t>INE931X01010</t>
  </si>
  <si>
    <t>Captain Technocast Limited</t>
  </si>
  <si>
    <t>CTCL</t>
  </si>
  <si>
    <t>Captain Technocast Ltd</t>
  </si>
  <si>
    <t>INE632W01016</t>
  </si>
  <si>
    <t>GlobalSpace Technologies Limited</t>
  </si>
  <si>
    <t>GSTL</t>
  </si>
  <si>
    <t>Globalspace Technologies Ltd</t>
  </si>
  <si>
    <t>INE285J01028</t>
  </si>
  <si>
    <t>Punctual Trading Ltd.</t>
  </si>
  <si>
    <t>PUNCTRD</t>
  </si>
  <si>
    <t>PUNCTUAL TRADING LTD.</t>
  </si>
  <si>
    <t>INE704P01025</t>
  </si>
  <si>
    <t>Grindwell Norton Ltd.</t>
  </si>
  <si>
    <t>GRINDWELL</t>
  </si>
  <si>
    <t>GRINDWELL NORTON LTD.-$</t>
  </si>
  <si>
    <t>INE320X01016</t>
  </si>
  <si>
    <t>SMS Lifesciences India Ltd</t>
  </si>
  <si>
    <t>SMSLIFE</t>
  </si>
  <si>
    <t>Graphite India Ltd.</t>
  </si>
  <si>
    <t>GRAPHITE</t>
  </si>
  <si>
    <t>GRAPHITE INDIA LTD.</t>
  </si>
  <si>
    <t>INE344X01016</t>
  </si>
  <si>
    <t>CHOTHANI FOODS LIMITED</t>
  </si>
  <si>
    <t>CHOTHANI</t>
  </si>
  <si>
    <t>Chothani Foods Ltd</t>
  </si>
  <si>
    <t>INE172E01011</t>
  </si>
  <si>
    <t>Smruthi Organics Limited</t>
  </si>
  <si>
    <t>SMRUTHIORG</t>
  </si>
  <si>
    <t>Smruthi Organics Ltd</t>
  </si>
  <si>
    <t>ITD Cementation India Ltd</t>
  </si>
  <si>
    <t>ITDCEM</t>
  </si>
  <si>
    <t>ITD CEMENTATION INDIA LTD.</t>
  </si>
  <si>
    <t>INE346W01013</t>
  </si>
  <si>
    <t>Apex Frozen Foods Limited</t>
  </si>
  <si>
    <t>APEX</t>
  </si>
  <si>
    <t>Apex Frozen Foods Ltd</t>
  </si>
  <si>
    <t>INE145Y01015</t>
  </si>
  <si>
    <t>Shish Industries Limited</t>
  </si>
  <si>
    <t>SHISHIND</t>
  </si>
  <si>
    <t>Shish Industries Ltd</t>
  </si>
  <si>
    <t>INE236W01016</t>
  </si>
  <si>
    <t>ANG Lifesciences India Limited</t>
  </si>
  <si>
    <t>ANG</t>
  </si>
  <si>
    <t>ANG Lifesciences India Ltd</t>
  </si>
  <si>
    <t>INE185U01035</t>
  </si>
  <si>
    <t>Varun Mercantile Ltd.</t>
  </si>
  <si>
    <t>VARUNME</t>
  </si>
  <si>
    <t>VARUN MERCANTILE LTD.</t>
  </si>
  <si>
    <t>HEG Ltd.</t>
  </si>
  <si>
    <t>HEG</t>
  </si>
  <si>
    <t>HEG LTD.</t>
  </si>
  <si>
    <t>INE727S01012</t>
  </si>
  <si>
    <t>Bharat Road Network Limited</t>
  </si>
  <si>
    <t>BRNL</t>
  </si>
  <si>
    <t>Bharat Road Network Ltd</t>
  </si>
  <si>
    <t>INE385W01011</t>
  </si>
  <si>
    <t>Dishman Carbogen Amcis Limited</t>
  </si>
  <si>
    <t>DCAL</t>
  </si>
  <si>
    <t>Dishman Carbogen Amcis Ltd</t>
  </si>
  <si>
    <t>INE670X01014</t>
  </si>
  <si>
    <t>Lasa Supergenerics Limited</t>
  </si>
  <si>
    <t>LASA</t>
  </si>
  <si>
    <t>Lasa Supergenerics Ltd</t>
  </si>
  <si>
    <t>INE438C01010</t>
  </si>
  <si>
    <t>Vinayak Vanijya Ltd.</t>
  </si>
  <si>
    <t>VINVANI</t>
  </si>
  <si>
    <t>VINAYAK VANIJYA LTD.</t>
  </si>
  <si>
    <t>INE866R01028</t>
  </si>
  <si>
    <t>Matrimony.com Limited</t>
  </si>
  <si>
    <t>MATRIMONY</t>
  </si>
  <si>
    <t>Matrimony.com Ltd</t>
  </si>
  <si>
    <t>INE217K01011</t>
  </si>
  <si>
    <t>Reliance Home Finance Limited</t>
  </si>
  <si>
    <t>RHFL</t>
  </si>
  <si>
    <t>Reliance Home Finance Ltd</t>
  </si>
  <si>
    <t>INE264T01014</t>
  </si>
  <si>
    <t>Capacit'e Infraprojects Limited</t>
  </si>
  <si>
    <t>CAPACITE</t>
  </si>
  <si>
    <t>Capacite Infraprojects Ltd</t>
  </si>
  <si>
    <t>INE146Y01013</t>
  </si>
  <si>
    <t>Sagar Diamonds Limited</t>
  </si>
  <si>
    <t>SAGAR</t>
  </si>
  <si>
    <t>Sagar Diamonds Ltd</t>
  </si>
  <si>
    <t>Supreme Industries Ltd.</t>
  </si>
  <si>
    <t>SUPREMEIND</t>
  </si>
  <si>
    <t>SUPREME INDUSTRIES LTD.</t>
  </si>
  <si>
    <t>Sita Enterprises LTD.</t>
  </si>
  <si>
    <t>SITAENT</t>
  </si>
  <si>
    <t>SITA ENTERPRISES LTD.</t>
  </si>
  <si>
    <t>INE777X01017</t>
  </si>
  <si>
    <t>AKM CREATIONS LIMITED</t>
  </si>
  <si>
    <t>AKM</t>
  </si>
  <si>
    <t>AKM Creations Ltd</t>
  </si>
  <si>
    <t>Jai Corp Limited</t>
  </si>
  <si>
    <t>JAICORPLTD</t>
  </si>
  <si>
    <t>JAI CORP LTD.</t>
  </si>
  <si>
    <t>INE393P01035</t>
  </si>
  <si>
    <t>Prataap Snacks Limited</t>
  </si>
  <si>
    <t>DIAMONDYD</t>
  </si>
  <si>
    <t>Prataap Snacks Ltd</t>
  </si>
  <si>
    <t>SG MART LIMITED</t>
  </si>
  <si>
    <t>SGMART</t>
  </si>
  <si>
    <t>SG Mart Ltd</t>
  </si>
  <si>
    <t>INE071Y01013</t>
  </si>
  <si>
    <t>Trident Texofab Limited</t>
  </si>
  <si>
    <t>TTFL</t>
  </si>
  <si>
    <t>Trident Texofab Ltd</t>
  </si>
  <si>
    <t>INE973X01012</t>
  </si>
  <si>
    <t>Poojawestern Metaliks Limited</t>
  </si>
  <si>
    <t>POOJA</t>
  </si>
  <si>
    <t>Poojawestern Metaliks Ltd</t>
  </si>
  <si>
    <t>INE327G01032</t>
  </si>
  <si>
    <t>Sayaji Industries Limited</t>
  </si>
  <si>
    <t>SAYAJIIND</t>
  </si>
  <si>
    <t>Sayaji Industries Ltd</t>
  </si>
  <si>
    <t>INE695X01011</t>
  </si>
  <si>
    <t>Vanta Bioscience Limited</t>
  </si>
  <si>
    <t>VANTABIO</t>
  </si>
  <si>
    <t>Vanta Bioscience Ltd</t>
  </si>
  <si>
    <t>Pulsar International Limited</t>
  </si>
  <si>
    <t>PULSRIN</t>
  </si>
  <si>
    <t>PULSAR INTERNATIONAL LTD.</t>
  </si>
  <si>
    <t>INE864K01010</t>
  </si>
  <si>
    <t>IRIS Business Services Limited</t>
  </si>
  <si>
    <t>IRIS</t>
  </si>
  <si>
    <t>IRIS Business Services Ltd</t>
  </si>
  <si>
    <t>INE414Y01015</t>
  </si>
  <si>
    <t>Shree Ganesh Remedies Limited</t>
  </si>
  <si>
    <t>SGRL</t>
  </si>
  <si>
    <t>Shree Ganesh Remedies Ltd</t>
  </si>
  <si>
    <t>ASTAL LABORATORIES LIMITED</t>
  </si>
  <si>
    <t>ASTALLTD</t>
  </si>
  <si>
    <t>Astal Laboratories Ltd</t>
  </si>
  <si>
    <t>Carborundum Universal Ltd.</t>
  </si>
  <si>
    <t>CARBORUNIV</t>
  </si>
  <si>
    <t>CARBORUNDUM UNIVERSAL LTD.</t>
  </si>
  <si>
    <t>Usha Martin Ltd.</t>
  </si>
  <si>
    <t>USHAMART</t>
  </si>
  <si>
    <t>USHA MARTIN LTD.</t>
  </si>
  <si>
    <t>Honeywell Automation India Ltd.</t>
  </si>
  <si>
    <t>HONAUT</t>
  </si>
  <si>
    <t>HONEYWELL AUTOMATION INDIA LTD.</t>
  </si>
  <si>
    <t>KEI Industries Ltd.</t>
  </si>
  <si>
    <t>KEI</t>
  </si>
  <si>
    <t>KEI INDUSTRIES LTD.</t>
  </si>
  <si>
    <t>Regent Enterprises Limited</t>
  </si>
  <si>
    <t>REGENTRP</t>
  </si>
  <si>
    <t>Regent Enterprises Ltd</t>
  </si>
  <si>
    <t>INE501Y01019</t>
  </si>
  <si>
    <t>SHEETAL COOL PRODUCTS LIMITED</t>
  </si>
  <si>
    <t>SCPL</t>
  </si>
  <si>
    <t>Sheetal Cool Products Ltd</t>
  </si>
  <si>
    <t>Ratnamani Metals &amp; Tubes Ltd</t>
  </si>
  <si>
    <t>RATNAMANI</t>
  </si>
  <si>
    <t>RATNAMANI METALS &amp; TUBES LTD.-$</t>
  </si>
  <si>
    <t>Vesuvius India Ltd.</t>
  </si>
  <si>
    <t>VESUVIUS</t>
  </si>
  <si>
    <t>VESUVIUS INDIA LTD.</t>
  </si>
  <si>
    <t>Jeet Machine Tools Ltd.</t>
  </si>
  <si>
    <t>ZJEETMAC</t>
  </si>
  <si>
    <t>JEET MACHINE TOOLS LTD.</t>
  </si>
  <si>
    <t>Elgi Equipments Ltd.</t>
  </si>
  <si>
    <t>ELGIEQUIP</t>
  </si>
  <si>
    <t>ELGI EQUIPMENTS LTD.</t>
  </si>
  <si>
    <t>INE133Y01011</t>
  </si>
  <si>
    <t>IFGL Refractories Limited</t>
  </si>
  <si>
    <t>IFGLEXPOR</t>
  </si>
  <si>
    <t>IFGL Refractories Ltd</t>
  </si>
  <si>
    <t>INE834I01025</t>
  </si>
  <si>
    <t>Khadim India Limited</t>
  </si>
  <si>
    <t>KHADIM</t>
  </si>
  <si>
    <t>Khadim India Ltd</t>
  </si>
  <si>
    <t>INE618L01018</t>
  </si>
  <si>
    <t>5paisa Capital Limited</t>
  </si>
  <si>
    <t>5PAISA</t>
  </si>
  <si>
    <t>5paisa Capital Ltd</t>
  </si>
  <si>
    <t>Timken India Ltd</t>
  </si>
  <si>
    <t>TIMKEN</t>
  </si>
  <si>
    <t>TIMKEN INDIA LTD.</t>
  </si>
  <si>
    <t>INE204Y01010</t>
  </si>
  <si>
    <t>Sanghvi Brands Limited</t>
  </si>
  <si>
    <t>SBRANDS</t>
  </si>
  <si>
    <t>Sanghvi Brands Ltd</t>
  </si>
  <si>
    <t>Ramgopal Polytex Ltd</t>
  </si>
  <si>
    <t>RAMGOPOLY</t>
  </si>
  <si>
    <t>RAMGOPAL POLYTEX LTD.</t>
  </si>
  <si>
    <t>INE500C01017</t>
  </si>
  <si>
    <t>Aspira Pathlab &amp; Diagnostics Limited</t>
  </si>
  <si>
    <t>ASPIRA</t>
  </si>
  <si>
    <t>Aspira Pathlab &amp; Diagnostics Ltd</t>
  </si>
  <si>
    <t>INE016M01021</t>
  </si>
  <si>
    <t>Diligent Media Corporation Limited</t>
  </si>
  <si>
    <t>DNAMEDIA</t>
  </si>
  <si>
    <t>Diligent Media Corporation Ltd</t>
  </si>
  <si>
    <t>INE600Y01019</t>
  </si>
  <si>
    <t>Dynamic Cables Limited</t>
  </si>
  <si>
    <t>DYCL</t>
  </si>
  <si>
    <t>Dynamic Cables Ltd</t>
  </si>
  <si>
    <t>INE821Y01011</t>
  </si>
  <si>
    <t>Ratnabhumi Developers Limited</t>
  </si>
  <si>
    <t>RATNABHUMI</t>
  </si>
  <si>
    <t>Ratnabhumi Developers Ltd</t>
  </si>
  <si>
    <t>INE597J01018</t>
  </si>
  <si>
    <t>Shalby Limited</t>
  </si>
  <si>
    <t>SHALBY</t>
  </si>
  <si>
    <t>Shalby Ltd</t>
  </si>
  <si>
    <t>TTL ENTERPRISES LIMITED</t>
  </si>
  <si>
    <t>TTLEL</t>
  </si>
  <si>
    <t>TTL Enterprises Ltd</t>
  </si>
  <si>
    <t>Yarn Syndicate Ltd.</t>
  </si>
  <si>
    <t>YARNSYN</t>
  </si>
  <si>
    <t>YARN SYNDICATE LTD.</t>
  </si>
  <si>
    <t>Garware Synthetics Ltd.</t>
  </si>
  <si>
    <t>GARWSYN</t>
  </si>
  <si>
    <t>GARWARE SYNTHETICS LTD.</t>
  </si>
  <si>
    <t>INE994R01028</t>
  </si>
  <si>
    <t>SADHNA BROADCAST LTD</t>
  </si>
  <si>
    <t>SADHNA</t>
  </si>
  <si>
    <t>Sadhna Broadcast Ltd</t>
  </si>
  <si>
    <t>INE646X01014</t>
  </si>
  <si>
    <t>Astron Paper &amp; Board Mill Limited</t>
  </si>
  <si>
    <t>ASTRON</t>
  </si>
  <si>
    <t>Astron Paper &amp; Board Mill Ltd</t>
  </si>
  <si>
    <t>INE371F01016</t>
  </si>
  <si>
    <t>Oswal Yarns Ltd.</t>
  </si>
  <si>
    <t>OSWAYRN</t>
  </si>
  <si>
    <t>OSWAL YARNS LTD.</t>
  </si>
  <si>
    <t>International Data Managements Ltd.</t>
  </si>
  <si>
    <t>IDM</t>
  </si>
  <si>
    <t>INTERNATIONAL DATA MANAGEMENT LTD.</t>
  </si>
  <si>
    <t>INE841Y01019</t>
  </si>
  <si>
    <t>Jhandewalas Foods Limited</t>
  </si>
  <si>
    <t>JFL</t>
  </si>
  <si>
    <t>Jhandewalas Foods Ltd</t>
  </si>
  <si>
    <t>INE454F01010</t>
  </si>
  <si>
    <t>7SEAS ENTERTAINMENT LIMITED</t>
  </si>
  <si>
    <t>7SEASL</t>
  </si>
  <si>
    <t>7Seas Entertainment Ltd</t>
  </si>
  <si>
    <t>INE713T01028</t>
  </si>
  <si>
    <t>Apollo Micro Systems Limited</t>
  </si>
  <si>
    <t>APOLLO</t>
  </si>
  <si>
    <t>Apollo Micro Systems Ltd</t>
  </si>
  <si>
    <t>INE619B01017</t>
  </si>
  <si>
    <t>Diamond Power Infrastructure Limited</t>
  </si>
  <si>
    <t>DIACABS</t>
  </si>
  <si>
    <t>Diamond Power Infrastructure Limited-$</t>
  </si>
  <si>
    <t>INE546Y01022</t>
  </si>
  <si>
    <t>Praxis Home Retail Limited</t>
  </si>
  <si>
    <t>PRAXIS</t>
  </si>
  <si>
    <t>Praxis Home Retail Ltd</t>
  </si>
  <si>
    <t>Praj Industries Ltd.</t>
  </si>
  <si>
    <t>PRAJIND</t>
  </si>
  <si>
    <t>PRAJ INDUSTRIES LTD.</t>
  </si>
  <si>
    <t>Pervasive Commodities Limited</t>
  </si>
  <si>
    <t>PERVASIVE</t>
  </si>
  <si>
    <t>Pervasive Commodities Ltd</t>
  </si>
  <si>
    <t>INE115G01015</t>
  </si>
  <si>
    <t>TIRUPATI FOAM LIMITED</t>
  </si>
  <si>
    <t>TIRUFOAM</t>
  </si>
  <si>
    <t>Tirupati Foam Ltd</t>
  </si>
  <si>
    <t>KISAAN PARIVAR INDUSTRIES LIMITED</t>
  </si>
  <si>
    <t>KISAAN</t>
  </si>
  <si>
    <t>Kisaan Parivar Industries Ltd</t>
  </si>
  <si>
    <t>INE760Y01011</t>
  </si>
  <si>
    <t>Ashoka Metcast Limited</t>
  </si>
  <si>
    <t>ASHOKAMET</t>
  </si>
  <si>
    <t>Ashoka Metcast Ltd</t>
  </si>
  <si>
    <t>GE T&amp;D India Limited</t>
  </si>
  <si>
    <t>GET&amp;D</t>
  </si>
  <si>
    <t>GE T&amp;D India Ltd</t>
  </si>
  <si>
    <t>INE063Z01017</t>
  </si>
  <si>
    <t>Gautam Gems Limited</t>
  </si>
  <si>
    <t>GGL</t>
  </si>
  <si>
    <t>Gautam Gems Ltd</t>
  </si>
  <si>
    <t>INE630Y01024</t>
  </si>
  <si>
    <t>MEDICO REMEDIES LIMITED</t>
  </si>
  <si>
    <t>MEDICO</t>
  </si>
  <si>
    <t>Medico Remedies Ltd</t>
  </si>
  <si>
    <t>INE578V01013</t>
  </si>
  <si>
    <t>Gujarat Hy-Spin Limited</t>
  </si>
  <si>
    <t>GUJHYSPIN</t>
  </si>
  <si>
    <t>Gujarat Hy-Spin Ltd</t>
  </si>
  <si>
    <t>INE740X01023</t>
  </si>
  <si>
    <t>LORENZINI APPARELS LIMITED</t>
  </si>
  <si>
    <t>LAL</t>
  </si>
  <si>
    <t>Lorenzini Apparels Ltd</t>
  </si>
  <si>
    <t>INE923Y01023</t>
  </si>
  <si>
    <t>Kenvi Jewels Limited</t>
  </si>
  <si>
    <t>KENVI</t>
  </si>
  <si>
    <t>Kenvi Jewels Ltd</t>
  </si>
  <si>
    <t>INE586E01020</t>
  </si>
  <si>
    <t>The Indian Wood Products Co. Ltd.</t>
  </si>
  <si>
    <t>IWP</t>
  </si>
  <si>
    <t>The Indian Wood Products Company Ltd</t>
  </si>
  <si>
    <t>INE773Y01014</t>
  </si>
  <si>
    <t>Tasty Dairy Specialities Limited</t>
  </si>
  <si>
    <t>TDSL</t>
  </si>
  <si>
    <t>Tasty Dairy Specialities Ltd</t>
  </si>
  <si>
    <t>INE341Z01025</t>
  </si>
  <si>
    <t>Bhatia Communications &amp; Retail (India) Limited</t>
  </si>
  <si>
    <t>BHATIA</t>
  </si>
  <si>
    <t>Bhatia Communications &amp; Retail (India) Ltd</t>
  </si>
  <si>
    <t>INE644Y01017</t>
  </si>
  <si>
    <t>Shiva Mills Limited</t>
  </si>
  <si>
    <t>SHIVAMILLS</t>
  </si>
  <si>
    <t>Shiva Mills Ltd</t>
  </si>
  <si>
    <t>KALPATARU PROJECTS INTERNATIONAL LIMITED</t>
  </si>
  <si>
    <t>KPIL</t>
  </si>
  <si>
    <t>Kalpataru Projects International Ltd</t>
  </si>
  <si>
    <t>DATIWARE MARITIME INFRA LIMITED</t>
  </si>
  <si>
    <t>DATIWARE</t>
  </si>
  <si>
    <t>Datiware Maritime Infra Ltd</t>
  </si>
  <si>
    <t>INE398L01017</t>
  </si>
  <si>
    <t>KANCO TEA &amp; INDUSTRIES LIMITED</t>
  </si>
  <si>
    <t>KANCOTEA</t>
  </si>
  <si>
    <t>Kanco Tea &amp; Industries Ltd</t>
  </si>
  <si>
    <t>INE339Z01011</t>
  </si>
  <si>
    <t>Angel Fibers Limited</t>
  </si>
  <si>
    <t>ANGEL</t>
  </si>
  <si>
    <t>Angel Fibers Ltd</t>
  </si>
  <si>
    <t>INE926X01010</t>
  </si>
  <si>
    <t>Genus Power Infrastructures Ltd</t>
  </si>
  <si>
    <t>GENUSPOWER</t>
  </si>
  <si>
    <t>GENUS POWER INFRASTRUCTURES LTD.-$</t>
  </si>
  <si>
    <t>INE464Z01017</t>
  </si>
  <si>
    <t>Inflame Appliances Limited</t>
  </si>
  <si>
    <t>INFLAME</t>
  </si>
  <si>
    <t>Inflame Appliances Ltd</t>
  </si>
  <si>
    <t>INE365Y01019</t>
  </si>
  <si>
    <t>Bharat Parenterals Limited</t>
  </si>
  <si>
    <t>BPLPHARMA</t>
  </si>
  <si>
    <t>Bharat Parenterals Ltd</t>
  </si>
  <si>
    <t>INE452Z01012</t>
  </si>
  <si>
    <t>Shreeshay Engineers Limited</t>
  </si>
  <si>
    <t>SHREESHAY</t>
  </si>
  <si>
    <t>Shreeshay Engineers Ltd</t>
  </si>
  <si>
    <t>INE758W01019</t>
  </si>
  <si>
    <t>APEX CAPITAL AND FINANCE LIMITED</t>
  </si>
  <si>
    <t>ACFL</t>
  </si>
  <si>
    <t>Apex Capital And Finance Ltd</t>
  </si>
  <si>
    <t>INE171Z01026</t>
  </si>
  <si>
    <t>Patel Engineering Ltd</t>
  </si>
  <si>
    <t>PATELENG</t>
  </si>
  <si>
    <t>PATEL ENGINEERING LTD.-$</t>
  </si>
  <si>
    <t>INE380Z01015</t>
  </si>
  <si>
    <t>Active Clothing Co  Limited</t>
  </si>
  <si>
    <t>ACTIVE</t>
  </si>
  <si>
    <t>Active Clothing Co Ltd</t>
  </si>
  <si>
    <t>NMS RESOURCES GLOBAL LIMITED</t>
  </si>
  <si>
    <t>NMSRESRC</t>
  </si>
  <si>
    <t>NMS Resources Global Ltd</t>
  </si>
  <si>
    <t>Shakti Pumps (India) Ltd.</t>
  </si>
  <si>
    <t>SHAKTIPUMP</t>
  </si>
  <si>
    <t>SHAKTI PUMPS (INDIA) LTD.-$</t>
  </si>
  <si>
    <t>INE066F01020</t>
  </si>
  <si>
    <t>Welspun Corp Limited</t>
  </si>
  <si>
    <t>WELCORP</t>
  </si>
  <si>
    <t>INE278R01034</t>
  </si>
  <si>
    <t>KBC GLOBAL LIMITED</t>
  </si>
  <si>
    <t>KBCGLOBAL</t>
  </si>
  <si>
    <t>KBC Global Ltd</t>
  </si>
  <si>
    <t>INE278H01035</t>
  </si>
  <si>
    <t>Sandhar Technologies Limited</t>
  </si>
  <si>
    <t>SANDHAR</t>
  </si>
  <si>
    <t>Sandhar Technologies Ltd</t>
  </si>
  <si>
    <t>INE616Z01012</t>
  </si>
  <si>
    <t>YASHO INDUSTRIES LIMITED</t>
  </si>
  <si>
    <t>YASHO</t>
  </si>
  <si>
    <t>Yasho Industries Ltd</t>
  </si>
  <si>
    <t>INE495Z01011</t>
  </si>
  <si>
    <t>Benara Bearings and Pistons Limited</t>
  </si>
  <si>
    <t>BENARA</t>
  </si>
  <si>
    <t>Benara Bearings and Pistons Ltd</t>
  </si>
  <si>
    <t>Engineers India Ltd.</t>
  </si>
  <si>
    <t>ENGINERSIN</t>
  </si>
  <si>
    <t>ENGINEERS INDIA LTD.</t>
  </si>
  <si>
    <t>INE099Z01011</t>
  </si>
  <si>
    <t>Apar Industries Ltd</t>
  </si>
  <si>
    <t>APARINDS</t>
  </si>
  <si>
    <t>APAR INDUSTRIES LTD.</t>
  </si>
  <si>
    <t>Otco International Ltd</t>
  </si>
  <si>
    <t>OTCO</t>
  </si>
  <si>
    <t>OTCO INTERNATIONAL LTD.</t>
  </si>
  <si>
    <t>AVI PRODUCTS INDIA LIMITED</t>
  </si>
  <si>
    <t>APIL</t>
  </si>
  <si>
    <t>Avi Products India Ltd</t>
  </si>
  <si>
    <t>INE459Z01017</t>
  </si>
  <si>
    <t>Taylormade Renewables Limited</t>
  </si>
  <si>
    <t>TRL</t>
  </si>
  <si>
    <t>Taylormade Renewables Ltd</t>
  </si>
  <si>
    <t>Astra Microwave Products Ltd.</t>
  </si>
  <si>
    <t>ASTRAMICRO</t>
  </si>
  <si>
    <t>ASTRA MICROWAVE PRODUCTS LTD.</t>
  </si>
  <si>
    <t>INE783X01023</t>
  </si>
  <si>
    <t>Chemfab Alkalis Ltd</t>
  </si>
  <si>
    <t>CHEMFAB</t>
  </si>
  <si>
    <t>INE626Z01029</t>
  </si>
  <si>
    <t>HARDWYN INDIA LIMITED</t>
  </si>
  <si>
    <t>HARDWYN</t>
  </si>
  <si>
    <t>Hardwyn India Ltd</t>
  </si>
  <si>
    <t>INE871Z01013</t>
  </si>
  <si>
    <t>DR LALCHANDANI LABS LIMITED</t>
  </si>
  <si>
    <t>DLCL</t>
  </si>
  <si>
    <t>Dr Lalchandani Labs Ltd</t>
  </si>
  <si>
    <t>Welspun Enterprises Limited</t>
  </si>
  <si>
    <t>WELENT</t>
  </si>
  <si>
    <t>Welspun Enterprises Ltd</t>
  </si>
  <si>
    <t>Norris Medicines Ltd.</t>
  </si>
  <si>
    <t>NORRIS</t>
  </si>
  <si>
    <t>NORRIS MEDICINES LTD.</t>
  </si>
  <si>
    <t>INE256Z01025</t>
  </si>
  <si>
    <t>Akshar Spintex Limited</t>
  </si>
  <si>
    <t>AKSHAR</t>
  </si>
  <si>
    <t>Akshar Spintex Ltd</t>
  </si>
  <si>
    <t>INE250Z01010</t>
  </si>
  <si>
    <t>Indo US Bio-Tech Limited</t>
  </si>
  <si>
    <t>INDOUS</t>
  </si>
  <si>
    <t>Indo Us Bio-Tech Ltd</t>
  </si>
  <si>
    <t>INE896L01010</t>
  </si>
  <si>
    <t>IndoStar Capital Finance Limited</t>
  </si>
  <si>
    <t>INDOSTAR</t>
  </si>
  <si>
    <t>Indostar Capital Finance Ltd</t>
  </si>
  <si>
    <t>INE424Z01011</t>
  </si>
  <si>
    <t>Milestone Furniture Limited</t>
  </si>
  <si>
    <t>MILEFUR</t>
  </si>
  <si>
    <t>Milestone Furniture Ltd</t>
  </si>
  <si>
    <t>INE556Z01010</t>
  </si>
  <si>
    <t>U. H. ZAVERI LIMITED</t>
  </si>
  <si>
    <t>UHZAVERI</t>
  </si>
  <si>
    <t>U. H. Zaveri Ltd</t>
  </si>
  <si>
    <t>INE295Z01015</t>
  </si>
  <si>
    <t>Parvati Sweetners and Power Ltd.</t>
  </si>
  <si>
    <t>PARVATI</t>
  </si>
  <si>
    <t>Parvati Sweetners and Power Ltd</t>
  </si>
  <si>
    <t>INE00EM01016</t>
  </si>
  <si>
    <t>Megastar Foods Limited</t>
  </si>
  <si>
    <t>MEGASTAR</t>
  </si>
  <si>
    <t>Megastar Foods Ltd</t>
  </si>
  <si>
    <t>INE870Z01015</t>
  </si>
  <si>
    <t>Innovators Facade Systems Limited</t>
  </si>
  <si>
    <t>INNOVATORS</t>
  </si>
  <si>
    <t>Innovators Facade Systems Ltd</t>
  </si>
  <si>
    <t>INE926R01012</t>
  </si>
  <si>
    <t>UNIFINZ CAPITAL INDIA LIMITED</t>
  </si>
  <si>
    <t>UCIL</t>
  </si>
  <si>
    <t>Unifinz Capital India Ltd</t>
  </si>
  <si>
    <t>INE518E01015</t>
  </si>
  <si>
    <t>ZIM Laboratories Limited</t>
  </si>
  <si>
    <t>ZIMLAB</t>
  </si>
  <si>
    <t>Zim Laboratories Ltd</t>
  </si>
  <si>
    <t>INE692Z01013</t>
  </si>
  <si>
    <t>Affordable Robotic &amp; Automation Limited</t>
  </si>
  <si>
    <t>AFFORDABLE</t>
  </si>
  <si>
    <t>Affordable Robotic &amp; Automation Ltd</t>
  </si>
  <si>
    <t>INE325C01035</t>
  </si>
  <si>
    <t>Dollar Industries Limited</t>
  </si>
  <si>
    <t>DOLLAR</t>
  </si>
  <si>
    <t>Dollar Industries Ltd</t>
  </si>
  <si>
    <t>INE236Y01012</t>
  </si>
  <si>
    <t>NAKODA GROUP OF INDUSTRIES LIMITED</t>
  </si>
  <si>
    <t>NGIL</t>
  </si>
  <si>
    <t>Nakoda Group of Industries Ltd</t>
  </si>
  <si>
    <t>Revati Organics Ltd.</t>
  </si>
  <si>
    <t>REVAORG</t>
  </si>
  <si>
    <t>REVATI ORGANICS LTD.</t>
  </si>
  <si>
    <t>INE799N01012</t>
  </si>
  <si>
    <t>Waa Solar Limited</t>
  </si>
  <si>
    <t>WAA</t>
  </si>
  <si>
    <t>Waa Solar Ltd</t>
  </si>
  <si>
    <t>INE364U01010</t>
  </si>
  <si>
    <t>SUZLON ENERGY LTD.</t>
  </si>
  <si>
    <t>SUZLON</t>
  </si>
  <si>
    <t>INE250G01010</t>
  </si>
  <si>
    <t>Unick Fix-A- Form and Printers Limited</t>
  </si>
  <si>
    <t>UNICK</t>
  </si>
  <si>
    <t>Unick Fix-A-Form And Printers Ltd</t>
  </si>
  <si>
    <t>INE624Z01016</t>
  </si>
  <si>
    <t>SOLARA ACTIVE PHARMA SCIENCES LIMITED</t>
  </si>
  <si>
    <t>SOLARA</t>
  </si>
  <si>
    <t>Solara Active Pharma Sciences Ltd</t>
  </si>
  <si>
    <t>INE320J01015</t>
  </si>
  <si>
    <t>AIA Engineering Ltd.</t>
  </si>
  <si>
    <t>AIAENG</t>
  </si>
  <si>
    <t>AIA ENGINEERING LTD.</t>
  </si>
  <si>
    <t>KEC International Ltd.</t>
  </si>
  <si>
    <t>KEC</t>
  </si>
  <si>
    <t>KEC INTERNATIONAL LTD.</t>
  </si>
  <si>
    <t>GALLANTT ISPAT LIMITED</t>
  </si>
  <si>
    <t>GALLANTT</t>
  </si>
  <si>
    <t>Gallantt Ispat Ltd</t>
  </si>
  <si>
    <t>INE685Z01033</t>
  </si>
  <si>
    <t>Rajnish Wellness Limited</t>
  </si>
  <si>
    <t>RAJNISH</t>
  </si>
  <si>
    <t>Rajnish Wellness Ltd</t>
  </si>
  <si>
    <t>INE268X01017</t>
  </si>
  <si>
    <t>Sophia Traexpo Limited</t>
  </si>
  <si>
    <t>STRAEXPO</t>
  </si>
  <si>
    <t>Sophia Traexpo Ltd</t>
  </si>
  <si>
    <t>INE960Z01014</t>
  </si>
  <si>
    <t>Raw Edge Industrial Solutions Limited</t>
  </si>
  <si>
    <t>RAWEDGE</t>
  </si>
  <si>
    <t>Raw Edge Industrial Solutions Ltd</t>
  </si>
  <si>
    <t>INE778U01029</t>
  </si>
  <si>
    <t>TCNS Clothing Co. Limited</t>
  </si>
  <si>
    <t>TCNSBRANDS</t>
  </si>
  <si>
    <t>TCNS Clothing Co. Ltd</t>
  </si>
  <si>
    <t>INE00SY01011</t>
  </si>
  <si>
    <t>Supershakti Metaliks Limited</t>
  </si>
  <si>
    <t>SUPERSHAKT</t>
  </si>
  <si>
    <t>Supershakti Metaliks Ltd</t>
  </si>
  <si>
    <t>Priya Limited.</t>
  </si>
  <si>
    <t>PRIYALT</t>
  </si>
  <si>
    <t>PRIYA LTD.-$</t>
  </si>
  <si>
    <t>INE00WY01013</t>
  </si>
  <si>
    <t>RACONTEUR GLOBAL RESOURCES LIMITED</t>
  </si>
  <si>
    <t>RACONTEUR</t>
  </si>
  <si>
    <t>Raconteur Global Resources Ltd</t>
  </si>
  <si>
    <t>GODAWARI POWER AND ISPAT LTD.</t>
  </si>
  <si>
    <t>GPIL</t>
  </si>
  <si>
    <t>GODAWARI POWER &amp; ISPAT LTD.</t>
  </si>
  <si>
    <t>INE299W01022</t>
  </si>
  <si>
    <t>Vivanta Industries Limited</t>
  </si>
  <si>
    <t>VIVANTA</t>
  </si>
  <si>
    <t>Vivanta Industries Ltd</t>
  </si>
  <si>
    <t>Hemo Organic Limited</t>
  </si>
  <si>
    <t>HEMORGANIC</t>
  </si>
  <si>
    <t>VOLTAMP TRANSFORMERS LIMITED</t>
  </si>
  <si>
    <t>VOLTAMP</t>
  </si>
  <si>
    <t>VOLTAMP TRANSFORMERS LTD.</t>
  </si>
  <si>
    <t>INE572Z01017</t>
  </si>
  <si>
    <t>AMIN TANNERY LIMITED</t>
  </si>
  <si>
    <t>AMINTAN</t>
  </si>
  <si>
    <t>Amin Tannery Ltd</t>
  </si>
  <si>
    <t>INE00IY01012</t>
  </si>
  <si>
    <t>Deep Polymers Limited</t>
  </si>
  <si>
    <t>DEEP</t>
  </si>
  <si>
    <t>Deep Polymers Ltd</t>
  </si>
  <si>
    <t>INE266S01011</t>
  </si>
  <si>
    <t>Sungold Media and Entertainment Limited</t>
  </si>
  <si>
    <t>SMEL</t>
  </si>
  <si>
    <t>Sungold Media and Entertainment Ltd</t>
  </si>
  <si>
    <t>INE01B501018</t>
  </si>
  <si>
    <t>Add-Shop E-Retail Limited</t>
  </si>
  <si>
    <t>ASRL</t>
  </si>
  <si>
    <t>Add-Shop ERetail Ltd</t>
  </si>
  <si>
    <t>INE797Z01010</t>
  </si>
  <si>
    <t>Space Incubatrics Technologies Limited</t>
  </si>
  <si>
    <t>SPACEINCUBA</t>
  </si>
  <si>
    <t>Space Incubatrics Technologies Ltd</t>
  </si>
  <si>
    <t>INE00QT01015</t>
  </si>
  <si>
    <t>Synergy Green Industries Limited</t>
  </si>
  <si>
    <t>SGIL</t>
  </si>
  <si>
    <t>Synergy Green Industries Ltd</t>
  </si>
  <si>
    <t>INE01A501019</t>
  </si>
  <si>
    <t>Ranjeet Mechatronics Limited</t>
  </si>
  <si>
    <t>RANJEET</t>
  </si>
  <si>
    <t>Ranjeet Mechatronics Ltd</t>
  </si>
  <si>
    <t>INE962Y01021</t>
  </si>
  <si>
    <t>Action Construction Equipments Ltd.</t>
  </si>
  <si>
    <t>ACE</t>
  </si>
  <si>
    <t>ACTION CONSTRUCTION EQUIPMENT LTD.</t>
  </si>
  <si>
    <t>INE01IU01018</t>
  </si>
  <si>
    <t>SKY GOLD LIMITED</t>
  </si>
  <si>
    <t>SKYGOLD</t>
  </si>
  <si>
    <t>Sky Gold Ltd</t>
  </si>
  <si>
    <t>INE004Z01011</t>
  </si>
  <si>
    <t>Mac Hotels Limited</t>
  </si>
  <si>
    <t>MACH</t>
  </si>
  <si>
    <t>Mac Hotels Ltd</t>
  </si>
  <si>
    <t>INE00VM01036</t>
  </si>
  <si>
    <t>Manorama Industries Limited</t>
  </si>
  <si>
    <t>MANORAMA</t>
  </si>
  <si>
    <t>Manorama Industries Ltd</t>
  </si>
  <si>
    <t>Parker Agro Chem Export Ltd.</t>
  </si>
  <si>
    <t>PARKERAC</t>
  </si>
  <si>
    <t>PARKER AGROCHEM EXPORTS LTD.-$</t>
  </si>
  <si>
    <t>Technocraft Industries (India) Ltd.</t>
  </si>
  <si>
    <t>TIIL</t>
  </si>
  <si>
    <t>TECHNOCRAFT INDUSTRIES (INDIA) LTD.</t>
  </si>
  <si>
    <t>INE382Z01011</t>
  </si>
  <si>
    <t>Ahluwalia Contracts (India) Ltd</t>
  </si>
  <si>
    <t>AHLUCONT</t>
  </si>
  <si>
    <t>AHLUWALIA CONTRACTS (INDIA) LTD.</t>
  </si>
  <si>
    <t>INE911Z01017</t>
  </si>
  <si>
    <t>A-1 Acid Limited</t>
  </si>
  <si>
    <t>AAL</t>
  </si>
  <si>
    <t>A-1 Acid Ltd</t>
  </si>
  <si>
    <t>INE666Y01010</t>
  </si>
  <si>
    <t>Dolfin Rubbers Limited</t>
  </si>
  <si>
    <t>DOLFIN</t>
  </si>
  <si>
    <t>Dolfin Rubbers Ltd</t>
  </si>
  <si>
    <t>INE01J501010</t>
  </si>
  <si>
    <t>Shubham Polyspin Limited</t>
  </si>
  <si>
    <t>SHUBHAM</t>
  </si>
  <si>
    <t>Shubham Polyspin Ltd</t>
  </si>
  <si>
    <t>INE642Z01026</t>
  </si>
  <si>
    <t>AKI India Limited</t>
  </si>
  <si>
    <t>AKI</t>
  </si>
  <si>
    <t>AKI India Ltd</t>
  </si>
  <si>
    <t>Bijoy Hans Ltd</t>
  </si>
  <si>
    <t>BIJHANS</t>
  </si>
  <si>
    <t>BIJOY HANS LTD.</t>
  </si>
  <si>
    <t>INE00Q901014</t>
  </si>
  <si>
    <t>S. M. Gold Limited</t>
  </si>
  <si>
    <t>SMGOLD</t>
  </si>
  <si>
    <t>S. M. Gold Ltd</t>
  </si>
  <si>
    <t>INE647Z01017</t>
  </si>
  <si>
    <t>VIVID MERCANTILE LIMITED</t>
  </si>
  <si>
    <t>VIVIDM</t>
  </si>
  <si>
    <t>Vivid Mercantile Ltd</t>
  </si>
  <si>
    <t>INE00SW01015</t>
  </si>
  <si>
    <t>BCPL Railway Infrastructure Limited</t>
  </si>
  <si>
    <t>BCPL</t>
  </si>
  <si>
    <t>BCPL Railway Infrastructure Ltd</t>
  </si>
  <si>
    <t>ASTRAL LIMITED</t>
  </si>
  <si>
    <t>ASTRAL</t>
  </si>
  <si>
    <t>Astral Ltd</t>
  </si>
  <si>
    <t>INE398C01016</t>
  </si>
  <si>
    <t>The Phosphate Company Limited</t>
  </si>
  <si>
    <t>PHOSPHATE</t>
  </si>
  <si>
    <t>The Phosphate Company Ltd</t>
  </si>
  <si>
    <t>INE285K01026</t>
  </si>
  <si>
    <t>Time Technoplast Limited</t>
  </si>
  <si>
    <t>TIMETECHNO</t>
  </si>
  <si>
    <t>TIME TECHNOPLAST LTD.</t>
  </si>
  <si>
    <t>Ambitious Plastomac Ltd.</t>
  </si>
  <si>
    <t>AMBIT</t>
  </si>
  <si>
    <t>AMBITIOUS PLASTOMAC COMPANY LTD.</t>
  </si>
  <si>
    <t>INE951Z01013</t>
  </si>
  <si>
    <t>Shree Krishna Infrastructure Limited</t>
  </si>
  <si>
    <t>SKIFL</t>
  </si>
  <si>
    <t>Shree Krishna Infrastructure Ltd</t>
  </si>
  <si>
    <t>Mahasagar Travels Ltd.</t>
  </si>
  <si>
    <t>MHSGRMS</t>
  </si>
  <si>
    <t>MAHASAGAR TRAVELS LTD.</t>
  </si>
  <si>
    <t>INE016X01010</t>
  </si>
  <si>
    <t>Aryan Share &amp; Stock Brokers Ltd.</t>
  </si>
  <si>
    <t>ARYAN</t>
  </si>
  <si>
    <t>Aryan Share and Stock Brokers Ltd</t>
  </si>
  <si>
    <t>INE139E01028</t>
  </si>
  <si>
    <t>NIVAKA FASHIONS LIMITED</t>
  </si>
  <si>
    <t>NIVAKA</t>
  </si>
  <si>
    <t>Nivaka Fashions Ltd</t>
  </si>
  <si>
    <t>Transformers and Rectifiers (India) Limited</t>
  </si>
  <si>
    <t>TRIL</t>
  </si>
  <si>
    <t>TRANSFORMERS AND RECTIFIERS (INDIA) LTD.</t>
  </si>
  <si>
    <t>INE00S901012</t>
  </si>
  <si>
    <t>Nila Spaces Ltd</t>
  </si>
  <si>
    <t>NILASPACES</t>
  </si>
  <si>
    <t>INE01NE01012</t>
  </si>
  <si>
    <t>Shankar Lal Rampal Dye-Chem Limited</t>
  </si>
  <si>
    <t>SRD</t>
  </si>
  <si>
    <t>Shankar Lal Rampal Dye-Chem Ltd</t>
  </si>
  <si>
    <t>INE00CA01015</t>
  </si>
  <si>
    <t>Trejhara Solutions Limited</t>
  </si>
  <si>
    <t>TREJHARA</t>
  </si>
  <si>
    <t>Trejhara Solutions Ltd</t>
  </si>
  <si>
    <t>INE452W01019</t>
  </si>
  <si>
    <t>Deccan Health Care Limited</t>
  </si>
  <si>
    <t>DECCAN</t>
  </si>
  <si>
    <t>Deccan Health Care Ltd</t>
  </si>
  <si>
    <t>INE02EZ01022</t>
  </si>
  <si>
    <t>Axita Cotton Limited</t>
  </si>
  <si>
    <t>AXITA</t>
  </si>
  <si>
    <t>Axita Cotton Ltd</t>
  </si>
  <si>
    <t>INE542W01017</t>
  </si>
  <si>
    <t>J. Kumar Infraprojects Limited</t>
  </si>
  <si>
    <t>JKIL</t>
  </si>
  <si>
    <t>J.KUMAR INFRAPROJECTS LTD.</t>
  </si>
  <si>
    <t>INE302R01024</t>
  </si>
  <si>
    <t>Hi-Klass Trading and Investment Limited</t>
  </si>
  <si>
    <t>HIKLASS</t>
  </si>
  <si>
    <t>Hi-Klass Trading and Investment Ltd</t>
  </si>
  <si>
    <t>Siddheswari Garments Ltd.</t>
  </si>
  <si>
    <t>SIDDHEGA</t>
  </si>
  <si>
    <t>SIDDHESWARI GARMENTS LTD.</t>
  </si>
  <si>
    <t>INE020801028</t>
  </si>
  <si>
    <t>Spencer's Retail Limited</t>
  </si>
  <si>
    <t>SPENCERS</t>
  </si>
  <si>
    <t>Spencers Retail Ltd</t>
  </si>
  <si>
    <t>INE350Z01018</t>
  </si>
  <si>
    <t>Gloster Ltd</t>
  </si>
  <si>
    <t>GLOSTERLTD</t>
  </si>
  <si>
    <t>INE01P501012</t>
  </si>
  <si>
    <t>Xelpmoc Design and Tech Limited</t>
  </si>
  <si>
    <t>XELPMOC</t>
  </si>
  <si>
    <t>Xelpmoc Design and Tech Ltd</t>
  </si>
  <si>
    <t>INE726X01014</t>
  </si>
  <si>
    <t>SPA Capital Services Limited</t>
  </si>
  <si>
    <t>SPACAPS</t>
  </si>
  <si>
    <t>SPA Capital Services Ltd</t>
  </si>
  <si>
    <t>INE512R01010</t>
  </si>
  <si>
    <t>Aar Shyam India Investment Company Limited</t>
  </si>
  <si>
    <t>AARSHYAM</t>
  </si>
  <si>
    <t>Aar Shyam India Investment Company Ltd</t>
  </si>
  <si>
    <t>Harmony Capital Services Ltd.</t>
  </si>
  <si>
    <t>HRMNYCP</t>
  </si>
  <si>
    <t>HARMONY CAPITAL SERVICES LTD.</t>
  </si>
  <si>
    <t>KNR Constructions Limited</t>
  </si>
  <si>
    <t>KNRCON</t>
  </si>
  <si>
    <t>KNR CONSTRUCTIONS LTD.</t>
  </si>
  <si>
    <t>INE02AR01019</t>
  </si>
  <si>
    <t>Anmol India Limited</t>
  </si>
  <si>
    <t>ANMOL</t>
  </si>
  <si>
    <t>Anmol India Ltd</t>
  </si>
  <si>
    <t>INE793Z01027</t>
  </si>
  <si>
    <t>Garodia Chemicals Ltd.</t>
  </si>
  <si>
    <t>GARODCH</t>
  </si>
  <si>
    <t>GARODIA CHEMICALS LTD.</t>
  </si>
  <si>
    <t>INE911T01010</t>
  </si>
  <si>
    <t>Kranti Industries Limited</t>
  </si>
  <si>
    <t>KRANTI</t>
  </si>
  <si>
    <t>Kranti Industries Ltd</t>
  </si>
  <si>
    <t>INE294Z01018</t>
  </si>
  <si>
    <t>The Anup Engineering Ltd</t>
  </si>
  <si>
    <t>ANUP</t>
  </si>
  <si>
    <t>INE03CM01014</t>
  </si>
  <si>
    <t>Inter State Oil Carrier Ltd</t>
  </si>
  <si>
    <t>INTSTOIL</t>
  </si>
  <si>
    <t>INTER STATE OIL CARRIER LTD.</t>
  </si>
  <si>
    <t>TITAGARH RAIL SYSTEMS LIMITED</t>
  </si>
  <si>
    <t>TITAGARH</t>
  </si>
  <si>
    <t>Titagarh Rail Systems Ltd</t>
  </si>
  <si>
    <t>Railway Wagons</t>
  </si>
  <si>
    <t>S.P.Capital Financing Ltd.</t>
  </si>
  <si>
    <t>SPCAPIT</t>
  </si>
  <si>
    <t>SP CAPITAL FINANCING LTD.</t>
  </si>
  <si>
    <t>INE043R01016</t>
  </si>
  <si>
    <t>Jyot International Marketing Limited</t>
  </si>
  <si>
    <t>JYOTIN</t>
  </si>
  <si>
    <t>Jyot International Marketing Ltd</t>
  </si>
  <si>
    <t>INE05FR01029</t>
  </si>
  <si>
    <t>Ashapuri Gold Ornament Limited</t>
  </si>
  <si>
    <t>AGOL</t>
  </si>
  <si>
    <t>Ashapuri Gold Ornament Ltd</t>
  </si>
  <si>
    <t>INE01C001018</t>
  </si>
  <si>
    <t>Aartech Solonics Limited</t>
  </si>
  <si>
    <t>AARTECH</t>
  </si>
  <si>
    <t>Aartech Solonics Ltd</t>
  </si>
  <si>
    <t>INE02PC01019</t>
  </si>
  <si>
    <t>Humming Bird Education Limited</t>
  </si>
  <si>
    <t>HBEL</t>
  </si>
  <si>
    <t>Humming Bird Education Ltd</t>
  </si>
  <si>
    <t>INE255X01014</t>
  </si>
  <si>
    <t>STRATMONT INDUSTRIES LIMITED</t>
  </si>
  <si>
    <t>STRATMONT</t>
  </si>
  <si>
    <t>Stratmont Industries Ltd</t>
  </si>
  <si>
    <t>INE03WT01017</t>
  </si>
  <si>
    <t>Roopshri Resorts Limited</t>
  </si>
  <si>
    <t>ROOPSHRI</t>
  </si>
  <si>
    <t>Roopshri Resorts Ltd</t>
  </si>
  <si>
    <t>INE01GZ01011</t>
  </si>
  <si>
    <t>Ekam Leasing &amp; Finance Co. Ltd.</t>
  </si>
  <si>
    <t>EKAMLEA</t>
  </si>
  <si>
    <t>EKAM LEASING &amp; FINANCE CO.LTD.</t>
  </si>
  <si>
    <t>Shree Ganesh Elastoplast Ltd</t>
  </si>
  <si>
    <t>SHGANEL</t>
  </si>
  <si>
    <t>SHREE GANESH ELASTOPLAST LTD.</t>
  </si>
  <si>
    <t>INE415G01027</t>
  </si>
  <si>
    <t>ISGEC Heavy Engineering Limited</t>
  </si>
  <si>
    <t>ISGEC</t>
  </si>
  <si>
    <t>ISGEC Heavy Engineering Ltd</t>
  </si>
  <si>
    <t>MAN INFRACONSTRUCTION LIMITED</t>
  </si>
  <si>
    <t>MANINFRA</t>
  </si>
  <si>
    <t>MAN INFRACONSTRUCTION LTD.</t>
  </si>
  <si>
    <t>INE04I401011</t>
  </si>
  <si>
    <t>Ashoka Buildcon Limited</t>
  </si>
  <si>
    <t>ASHOKA</t>
  </si>
  <si>
    <t>ASHOKA BUILDCON LTD.</t>
  </si>
  <si>
    <t>INE455K01017</t>
  </si>
  <si>
    <t>JUPITER WAGONS LIMITED</t>
  </si>
  <si>
    <t>JWL</t>
  </si>
  <si>
    <t>Jupiter Wagons Ltd</t>
  </si>
  <si>
    <t>INE06LG01010</t>
  </si>
  <si>
    <t>V R FILMS &amp; STUDIOS LIMITED</t>
  </si>
  <si>
    <t>VRFILMS</t>
  </si>
  <si>
    <t>V R Films &amp; Studios Ltd</t>
  </si>
  <si>
    <t>S.I.Capital And Financial Services</t>
  </si>
  <si>
    <t>SICAPIT</t>
  </si>
  <si>
    <t>SI CAPITAL &amp; FINANCIAL SERVICES LTD.</t>
  </si>
  <si>
    <t>INE136S01016</t>
  </si>
  <si>
    <t>Neogen Chemicals Limited</t>
  </si>
  <si>
    <t>NEOGEN</t>
  </si>
  <si>
    <t>Neogen Chemicals Ltd</t>
  </si>
  <si>
    <t>INE05QJ01015</t>
  </si>
  <si>
    <t>G. K. P. Printing &amp; Packaging Limited</t>
  </si>
  <si>
    <t>GKP</t>
  </si>
  <si>
    <t>G. K. P. Printing &amp; Packaging Ltd</t>
  </si>
  <si>
    <t>R.R.Securities Ltd.</t>
  </si>
  <si>
    <t>RRSECUR</t>
  </si>
  <si>
    <t>R.R.SECURITIES LTD.</t>
  </si>
  <si>
    <t>Euro Asia Exports Ltd.</t>
  </si>
  <si>
    <t>EUROASIA</t>
  </si>
  <si>
    <t>EURO ASIA EXPORTS LTD.</t>
  </si>
  <si>
    <t>INE374E01021</t>
  </si>
  <si>
    <t>BMW INDUSTRIES LIMITED</t>
  </si>
  <si>
    <t>BMW</t>
  </si>
  <si>
    <t>BMW Industries Ltd</t>
  </si>
  <si>
    <t>INE757T01025</t>
  </si>
  <si>
    <t>Artemis Electricals and Projects Limited</t>
  </si>
  <si>
    <t>AEPL</t>
  </si>
  <si>
    <t>Artemis Electricals and Projects Ltd</t>
  </si>
  <si>
    <t>INE05BN01019</t>
  </si>
  <si>
    <t>Cian Healthcare Limited</t>
  </si>
  <si>
    <t>CHCL</t>
  </si>
  <si>
    <t>Cian Healthcare Ltd</t>
  </si>
  <si>
    <t>INE413F01016</t>
  </si>
  <si>
    <t>Dhanashree Electronics Limited</t>
  </si>
  <si>
    <t>DEL</t>
  </si>
  <si>
    <t>Dhanashree Electronics Ltd</t>
  </si>
  <si>
    <t>INE01K301012</t>
  </si>
  <si>
    <t>Harish Textile Engineers Limited</t>
  </si>
  <si>
    <t>HARISH</t>
  </si>
  <si>
    <t>Harish Textile Engineers Ltd</t>
  </si>
  <si>
    <t>INE050001010</t>
  </si>
  <si>
    <t>Prakash Pipes Limited</t>
  </si>
  <si>
    <t>PPL</t>
  </si>
  <si>
    <t>Prakash Pipes Ltd</t>
  </si>
  <si>
    <t>INE03JI01017</t>
  </si>
  <si>
    <t>Digicontent Limited</t>
  </si>
  <si>
    <t>DGCONTENT</t>
  </si>
  <si>
    <t>Digicontent Ltd</t>
  </si>
  <si>
    <t>Arihants Securities ltd.</t>
  </si>
  <si>
    <t>ARISE</t>
  </si>
  <si>
    <t>ARIHANT'S SECURITIES LTD.</t>
  </si>
  <si>
    <t>INE02GA01012</t>
  </si>
  <si>
    <t>Anand Rayons Limited</t>
  </si>
  <si>
    <t>ARL</t>
  </si>
  <si>
    <t>Anand Rayons Ltd</t>
  </si>
  <si>
    <t>INE060601023</t>
  </si>
  <si>
    <t>Murae Organisor Limited</t>
  </si>
  <si>
    <t>MURAE</t>
  </si>
  <si>
    <t>Murae Organisor Ltd</t>
  </si>
  <si>
    <t>INE04AK01028</t>
  </si>
  <si>
    <t>SBC EXPORTS LIMITED</t>
  </si>
  <si>
    <t>SBC</t>
  </si>
  <si>
    <t>SBC Exports Ltd</t>
  </si>
  <si>
    <t>Kirloskar Oil Engines Limited</t>
  </si>
  <si>
    <t>KIRLOSENG</t>
  </si>
  <si>
    <t>KIRLOSKAR OIL ENGINES LTD.</t>
  </si>
  <si>
    <t>INE056001014</t>
  </si>
  <si>
    <t>City Pulse Multiplex Limited</t>
  </si>
  <si>
    <t>CPML</t>
  </si>
  <si>
    <t>City Pulse Multiplex Ltd</t>
  </si>
  <si>
    <t>INE04ST01013</t>
  </si>
  <si>
    <t>SK International Export Limited</t>
  </si>
  <si>
    <t>SKIEL</t>
  </si>
  <si>
    <t>SK International Export Ltd</t>
  </si>
  <si>
    <t>INE08KP01019</t>
  </si>
  <si>
    <t>DCM NOUVELLE LIMITED</t>
  </si>
  <si>
    <t>DCMNVL</t>
  </si>
  <si>
    <t>DCM Nouvelle Ltd</t>
  </si>
  <si>
    <t>INE00WC01027</t>
  </si>
  <si>
    <t>Texmaco Rail &amp; Engineering Limited</t>
  </si>
  <si>
    <t>TEXRAIL</t>
  </si>
  <si>
    <t>TEXMACO RAIL &amp; ENGINEERING LTD.</t>
  </si>
  <si>
    <t>TRADEWELL HOLDINGS LIMITED</t>
  </si>
  <si>
    <t>TRADEWELL</t>
  </si>
  <si>
    <t>Tradewell Holdings Ltd</t>
  </si>
  <si>
    <t>Zen Technologies Ltd.</t>
  </si>
  <si>
    <t>ZENTEC</t>
  </si>
  <si>
    <t>ZEN TECHNOLOGIES LTD.</t>
  </si>
  <si>
    <t>INE00M201021</t>
  </si>
  <si>
    <t>TD Power Systems Ltd</t>
  </si>
  <si>
    <t>TDPOWERSYS</t>
  </si>
  <si>
    <t>T D POWER SYSTEMS LTD.</t>
  </si>
  <si>
    <t>INE08E401029</t>
  </si>
  <si>
    <t>Alphalogic Techsys Limited</t>
  </si>
  <si>
    <t>ALPHALOGIC</t>
  </si>
  <si>
    <t>Alphalogic Techsys Ltd</t>
  </si>
  <si>
    <t>INE08JY01013</t>
  </si>
  <si>
    <t>Novateor Research Laboratories Limited</t>
  </si>
  <si>
    <t>NOVATEOR</t>
  </si>
  <si>
    <t>Novateor Research Laboratories Ltd</t>
  </si>
  <si>
    <t>INE466L01038</t>
  </si>
  <si>
    <t>360 ONE WAM LIMITED</t>
  </si>
  <si>
    <t>360ONE</t>
  </si>
  <si>
    <t>360 ONE WAM LTD</t>
  </si>
  <si>
    <t>Triveni Turbine Limited</t>
  </si>
  <si>
    <t>TRITURBINE</t>
  </si>
  <si>
    <t>TRIVENI TURBINE LTD.</t>
  </si>
  <si>
    <t>INE08KJ01020</t>
  </si>
  <si>
    <t>MUFIN GREEN FINANCE LIMITED</t>
  </si>
  <si>
    <t>MUFIN</t>
  </si>
  <si>
    <t>Mufin Green Finance Ltd</t>
  </si>
  <si>
    <t>INE957W01025</t>
  </si>
  <si>
    <t>Misquita Engineering Limited</t>
  </si>
  <si>
    <t>MISQUITA</t>
  </si>
  <si>
    <t>Misquita Engineering Ltd</t>
  </si>
  <si>
    <t>INE906Y01028</t>
  </si>
  <si>
    <t>Galactico Corporate Services Limited</t>
  </si>
  <si>
    <t>GALACTICO</t>
  </si>
  <si>
    <t>Galactico Corporate Services Ltd</t>
  </si>
  <si>
    <t>Vikalp Securities Ltd.</t>
  </si>
  <si>
    <t>VIKALPS</t>
  </si>
  <si>
    <t>VIKALP SECURITIES LTD.</t>
  </si>
  <si>
    <t>APL Apollo Tubes Limited</t>
  </si>
  <si>
    <t>APLAPOLLO</t>
  </si>
  <si>
    <t>APL APOLLO TUBES LTD.</t>
  </si>
  <si>
    <t>RHI MAGNESITA INDIA LIMITED</t>
  </si>
  <si>
    <t>RHIM</t>
  </si>
  <si>
    <t>Rhi Magnesita India Ltd</t>
  </si>
  <si>
    <t>INE492Z01018</t>
  </si>
  <si>
    <t>GOBLIN INDIA LIMITED</t>
  </si>
  <si>
    <t>GOBLIN</t>
  </si>
  <si>
    <t>Goblin India Ltd</t>
  </si>
  <si>
    <t>INE06H201014</t>
  </si>
  <si>
    <t>Gensol Engineering Limited</t>
  </si>
  <si>
    <t>GENSOL</t>
  </si>
  <si>
    <t>Gensol Engineering Ltd</t>
  </si>
  <si>
    <t>INE430N01022</t>
  </si>
  <si>
    <t>Vishwaraj Sugar Industries Limited</t>
  </si>
  <si>
    <t>VISHWARAJ</t>
  </si>
  <si>
    <t>Vishwaraj Sugar Industries Ltd</t>
  </si>
  <si>
    <t>INE08ZM01014</t>
  </si>
  <si>
    <t>Greenpanel Industries Limited</t>
  </si>
  <si>
    <t>GREENPANEL</t>
  </si>
  <si>
    <t>Greenpanel Industries Ltd</t>
  </si>
  <si>
    <t>INE052001026</t>
  </si>
  <si>
    <t>Shahlon Silk Industries Limited</t>
  </si>
  <si>
    <t>SHAHLON</t>
  </si>
  <si>
    <t>Shahlon Silk Industries Ltd</t>
  </si>
  <si>
    <t>INE444X01014</t>
  </si>
  <si>
    <t>MOUNT HOUSING AND INFRASTRUCTURE LIMITED</t>
  </si>
  <si>
    <t>MOUNT</t>
  </si>
  <si>
    <t>Mount Housing and Infrastructure Ltd</t>
  </si>
  <si>
    <t>INE490Z01012</t>
  </si>
  <si>
    <t>Anuroop Packaging Limited</t>
  </si>
  <si>
    <t>ANUROOP</t>
  </si>
  <si>
    <t>Anuroop Packaging Ltd</t>
  </si>
  <si>
    <t>INE317W01022</t>
  </si>
  <si>
    <t>COLAB CLOUD PLATFORMS LIMITED</t>
  </si>
  <si>
    <t>COLABCLOUD</t>
  </si>
  <si>
    <t>Colab Cloud Platforms Ltd</t>
  </si>
  <si>
    <t>SCHNEIDER ELECTRIC INFRASTRUCTURE LIMITED</t>
  </si>
  <si>
    <t>SCHNEIDER</t>
  </si>
  <si>
    <t>SCHNEIDER ELECTRIC INFRASTRUCTURE LTD.</t>
  </si>
  <si>
    <t>NBCC (India) Limited</t>
  </si>
  <si>
    <t>NBCC</t>
  </si>
  <si>
    <t>NBCC (India) Ltd</t>
  </si>
  <si>
    <t>INE05AN01011</t>
  </si>
  <si>
    <t>Hindware Home Innovation Limited</t>
  </si>
  <si>
    <t>HINDWAREAP</t>
  </si>
  <si>
    <t>Hindware Home Innovation Ltd</t>
  </si>
  <si>
    <t>INE771C01014</t>
  </si>
  <si>
    <t>Easun Capital Markets Limited</t>
  </si>
  <si>
    <t>EASUN</t>
  </si>
  <si>
    <t>Easun Capital Markets Ltd</t>
  </si>
  <si>
    <t>INE689W01016</t>
  </si>
  <si>
    <t>PTC Industries Ltd.</t>
  </si>
  <si>
    <t>PTCIL</t>
  </si>
  <si>
    <t>PTC Industries Ltd</t>
  </si>
  <si>
    <t>INE165G01010</t>
  </si>
  <si>
    <t>Assam Entrade Limited</t>
  </si>
  <si>
    <t>ASSAMENT</t>
  </si>
  <si>
    <t>Assam Entrade Ltd</t>
  </si>
  <si>
    <t>INE063601012</t>
  </si>
  <si>
    <t>Gian Life Care Limited</t>
  </si>
  <si>
    <t>GIANLIFE</t>
  </si>
  <si>
    <t>Gian Life Care Ltd</t>
  </si>
  <si>
    <t>INE025R01021</t>
  </si>
  <si>
    <t>Artemis Medicare Services Limited</t>
  </si>
  <si>
    <t>ARTEMISMED</t>
  </si>
  <si>
    <t>Artemis Medicare Services Ltd</t>
  </si>
  <si>
    <t>Inox Wind Limited</t>
  </si>
  <si>
    <t>INOXWIND</t>
  </si>
  <si>
    <t>Inox Wind Ltd</t>
  </si>
  <si>
    <t>INE04OV01018</t>
  </si>
  <si>
    <t>Janus Corporation Limited</t>
  </si>
  <si>
    <t>JANUSCORP</t>
  </si>
  <si>
    <t>Janus Corporation Ltd</t>
  </si>
  <si>
    <t>INE128G01018</t>
  </si>
  <si>
    <t>Vardhan Capital &amp; Finance Limited</t>
  </si>
  <si>
    <t>VARDHANCFL</t>
  </si>
  <si>
    <t>Vardhan Capital &amp; Finance Ltd</t>
  </si>
  <si>
    <t>INE03V001013</t>
  </si>
  <si>
    <t>UNIVERSUS PHOTO IMAGINGS LIMITED</t>
  </si>
  <si>
    <t>UNIVPHOTO</t>
  </si>
  <si>
    <t>Universus Photo Imagings Ltd</t>
  </si>
  <si>
    <t>INE07QQ01016</t>
  </si>
  <si>
    <t>Chandra Bhagat Pharma Limited</t>
  </si>
  <si>
    <t>CBPL</t>
  </si>
  <si>
    <t>Chandra Bhagat Pharma Ltd</t>
  </si>
  <si>
    <t>INE117S01016</t>
  </si>
  <si>
    <t>Octavius Plantations Limited</t>
  </si>
  <si>
    <t>OCTAVIUSPL</t>
  </si>
  <si>
    <t>Octavius Plantations Ltd</t>
  </si>
  <si>
    <t>PNC Infratech Limited</t>
  </si>
  <si>
    <t>PNCINFRA</t>
  </si>
  <si>
    <t>PNC Infratech Ltd</t>
  </si>
  <si>
    <t>INE0C4I01011</t>
  </si>
  <si>
    <t>SM Auto Stamping Limited</t>
  </si>
  <si>
    <t>SMAUTO</t>
  </si>
  <si>
    <t>SM Auto Stamping Ltd</t>
  </si>
  <si>
    <t>Power Mech Projects Limited</t>
  </si>
  <si>
    <t>POWERMECH</t>
  </si>
  <si>
    <t>Power Mech Projects Ltd</t>
  </si>
  <si>
    <t>INE0BDU01028</t>
  </si>
  <si>
    <t>RO Jewels Limited</t>
  </si>
  <si>
    <t>ROJL</t>
  </si>
  <si>
    <t>RO Jewels Ltd</t>
  </si>
  <si>
    <t>INE0CQB01010</t>
  </si>
  <si>
    <t>Cospower Engineering Limited</t>
  </si>
  <si>
    <t>COSPOWER</t>
  </si>
  <si>
    <t>Cospower Engineering Ltd</t>
  </si>
  <si>
    <t>INE07Y701011</t>
  </si>
  <si>
    <t>LLOYDS ENGINEERING WORKS LIMITED</t>
  </si>
  <si>
    <t>LLOYDSENGG</t>
  </si>
  <si>
    <t>Lloyds Engineering Works Ltd</t>
  </si>
  <si>
    <t>LWS Knitwear Ltd</t>
  </si>
  <si>
    <t>LWSKNIT</t>
  </si>
  <si>
    <t>LWS KNITWEAR LTD.</t>
  </si>
  <si>
    <t>INE06MM01016</t>
  </si>
  <si>
    <t>Natural Biocon (India) Limited</t>
  </si>
  <si>
    <t>NATURAL</t>
  </si>
  <si>
    <t>Natural Biocon (India) Ltd</t>
  </si>
  <si>
    <t>INE745R01016</t>
  </si>
  <si>
    <t>REGIS INDUSTRIES LIMITED</t>
  </si>
  <si>
    <t>REGIS</t>
  </si>
  <si>
    <t>Regis Industries Ltd</t>
  </si>
  <si>
    <t>INE0CRS01012</t>
  </si>
  <si>
    <t>Billwin Industries Limited</t>
  </si>
  <si>
    <t>BILLWIN</t>
  </si>
  <si>
    <t>Billwin Industries Ltd</t>
  </si>
  <si>
    <t>INE09EO01013</t>
  </si>
  <si>
    <t>Aarti Surfactants Limited</t>
  </si>
  <si>
    <t>AARTISURF</t>
  </si>
  <si>
    <t>Aarti Surfactants Ltd</t>
  </si>
  <si>
    <t>INE0B9A01018</t>
  </si>
  <si>
    <t>BONLON INDUSTRIES LIMITED</t>
  </si>
  <si>
    <t>BONLON</t>
  </si>
  <si>
    <t>Bonlon Industries Ltd</t>
  </si>
  <si>
    <t>INE02PY01013</t>
  </si>
  <si>
    <t>Borosil Limited</t>
  </si>
  <si>
    <t>BOROLTD</t>
  </si>
  <si>
    <t>Borosil Ltd</t>
  </si>
  <si>
    <t>INE02A801020</t>
  </si>
  <si>
    <t>ROSSARI BIOTECH LIMITED</t>
  </si>
  <si>
    <t>ROSSARI</t>
  </si>
  <si>
    <t>Rossari Biotech Ltd</t>
  </si>
  <si>
    <t>INE07OG01012</t>
  </si>
  <si>
    <t>NDR Auto Components Limited</t>
  </si>
  <si>
    <t>NDRAUTO</t>
  </si>
  <si>
    <t>NDR Auto Components Ltd</t>
  </si>
  <si>
    <t>INE05ST01028</t>
  </si>
  <si>
    <t>SURATWWALA BUSINESS GROUP LIMITED</t>
  </si>
  <si>
    <t>SBGLP</t>
  </si>
  <si>
    <t>Suratwwala Business Group Ltd</t>
  </si>
  <si>
    <t>Dilip Buildcon Limited</t>
  </si>
  <si>
    <t>DBL</t>
  </si>
  <si>
    <t>Dilip Buildcon Ltd</t>
  </si>
  <si>
    <t>INE0CG601016</t>
  </si>
  <si>
    <t>Max India Limited</t>
  </si>
  <si>
    <t>MAXIND</t>
  </si>
  <si>
    <t>Max India Ltd</t>
  </si>
  <si>
    <t>INE419U01012</t>
  </si>
  <si>
    <t>Cochin Shipyard Limited</t>
  </si>
  <si>
    <t>COCHINSHIP</t>
  </si>
  <si>
    <t>Cochin Shipyard Ltd</t>
  </si>
  <si>
    <t>INE450U01017</t>
  </si>
  <si>
    <t>H.G. Infra Engineering Limited</t>
  </si>
  <si>
    <t>HGINFRA</t>
  </si>
  <si>
    <t>H.G. Infra Engineering Ltd</t>
  </si>
  <si>
    <t>INE412J01010</t>
  </si>
  <si>
    <t>Samrat Forgings Limited</t>
  </si>
  <si>
    <t>SAMRATFORG</t>
  </si>
  <si>
    <t>Samrat Forgings Ltd</t>
  </si>
  <si>
    <t>INE0ALI01010</t>
  </si>
  <si>
    <t>Advait Infratech Limited</t>
  </si>
  <si>
    <t>ADVAIT</t>
  </si>
  <si>
    <t>Advait Infratech Ltd</t>
  </si>
  <si>
    <t>INE0CHO01012</t>
  </si>
  <si>
    <t>Archidply Decor Limited</t>
  </si>
  <si>
    <t>ADL</t>
  </si>
  <si>
    <t>Archidply Decor Ltd</t>
  </si>
  <si>
    <t>Bharat Dynamics Limited</t>
  </si>
  <si>
    <t>BDL</t>
  </si>
  <si>
    <t>Bharat Dynamics Ltd</t>
  </si>
  <si>
    <t>INE03YM01018</t>
  </si>
  <si>
    <t>Chemcon Speciality Chemicals Limited</t>
  </si>
  <si>
    <t>CHEMCON</t>
  </si>
  <si>
    <t>Chemcon Speciality Chemicals Ltd</t>
  </si>
  <si>
    <t>INE0BTM01013</t>
  </si>
  <si>
    <t>Secmark Consultancy Limited</t>
  </si>
  <si>
    <t>SECMARK</t>
  </si>
  <si>
    <t>SecMark Consultancy Ltd</t>
  </si>
  <si>
    <t>Hindustan Aeronautics Limited</t>
  </si>
  <si>
    <t>HAL</t>
  </si>
  <si>
    <t>Hindustan Aeronautics Ltd</t>
  </si>
  <si>
    <t>INE09KD01013</t>
  </si>
  <si>
    <t>Atam Valves Limited</t>
  </si>
  <si>
    <t>ATAM</t>
  </si>
  <si>
    <t>Atam Valves Ltd</t>
  </si>
  <si>
    <t>INE249Z01012</t>
  </si>
  <si>
    <t>Mishra Dhatu Nigam Limited</t>
  </si>
  <si>
    <t>MIDHANI</t>
  </si>
  <si>
    <t>Mishra Dhatu Nigam Ltd</t>
  </si>
  <si>
    <t>RITES Limited</t>
  </si>
  <si>
    <t>RITES</t>
  </si>
  <si>
    <t>RITES Ltd</t>
  </si>
  <si>
    <t>INE0E2801015</t>
  </si>
  <si>
    <t>G M Polyplast Limited</t>
  </si>
  <si>
    <t>GMPL</t>
  </si>
  <si>
    <t>G M Polyplast Ltd</t>
  </si>
  <si>
    <t>INE060901027</t>
  </si>
  <si>
    <t>Likhitha Infrastructure Limited</t>
  </si>
  <si>
    <t>LIKHITHA</t>
  </si>
  <si>
    <t>Likhitha Infrastructure Ltd</t>
  </si>
  <si>
    <t>INE244W01010</t>
  </si>
  <si>
    <t>Veer Global Infraconstruction Limited</t>
  </si>
  <si>
    <t>VGIL</t>
  </si>
  <si>
    <t>Veer Global Infraconstruction Ltd</t>
  </si>
  <si>
    <t>INE0AJG01018</t>
  </si>
  <si>
    <t>Nouveau Global Ventures Limited</t>
  </si>
  <si>
    <t>NOUVEAU</t>
  </si>
  <si>
    <t>NOUVEAU GLOBAL VENTURES LTD.</t>
  </si>
  <si>
    <t>IRCON International Ltd</t>
  </si>
  <si>
    <t>IRCON</t>
  </si>
  <si>
    <t>INE0BLY01023</t>
  </si>
  <si>
    <t>Shine Fashions (India) Limited</t>
  </si>
  <si>
    <t>SHINEFASH</t>
  </si>
  <si>
    <t>Shine Fashions (India) Ltd</t>
  </si>
  <si>
    <t>Garden Reach Shipbuilders &amp; Engineers Limited</t>
  </si>
  <si>
    <t>GRSE</t>
  </si>
  <si>
    <t>Garden Reach Shipbuilders &amp; Engineers Ltd</t>
  </si>
  <si>
    <t>INE07T201019</t>
  </si>
  <si>
    <t>Restaurant Brands Asia Limited</t>
  </si>
  <si>
    <t>RBA</t>
  </si>
  <si>
    <t>Restaurant Brands Asia Ltd</t>
  </si>
  <si>
    <t>Techno Electric &amp; Engineering Company Limited</t>
  </si>
  <si>
    <t>TECHNOE</t>
  </si>
  <si>
    <t>Techno Electric &amp; Engineering Company Ltd</t>
  </si>
  <si>
    <t>INE09E501017</t>
  </si>
  <si>
    <t>Ravinder Heights Limited</t>
  </si>
  <si>
    <t>RVHL</t>
  </si>
  <si>
    <t>Ravinder Heights Ltd</t>
  </si>
  <si>
    <t>INE0DNW01011</t>
  </si>
  <si>
    <t>Fairchem Organics Limited</t>
  </si>
  <si>
    <t>FAIRCHEMOR</t>
  </si>
  <si>
    <t>Fairchem Organics Ltd</t>
  </si>
  <si>
    <t>Rail Vikas Nigam Limited</t>
  </si>
  <si>
    <t>RVNL</t>
  </si>
  <si>
    <t>Rail Vikas Nigam Ltd</t>
  </si>
  <si>
    <t>INE01BK01022</t>
  </si>
  <si>
    <t>Antony Waste Handling Cell Limited</t>
  </si>
  <si>
    <t>AWHCL</t>
  </si>
  <si>
    <t>Antony Waste Handling Cell Ltd</t>
  </si>
  <si>
    <t>INE018S01016</t>
  </si>
  <si>
    <t>RITA FINANCE AND LEASING LIMITED</t>
  </si>
  <si>
    <t>RFLL</t>
  </si>
  <si>
    <t>Rita Finance and Leasing Ltd</t>
  </si>
  <si>
    <t>Polycab India Limited</t>
  </si>
  <si>
    <t>POLYCAB</t>
  </si>
  <si>
    <t>Polycab India Ltd</t>
  </si>
  <si>
    <t>STERLING AND WILSON RENEWABLE ENERGY LIMITED</t>
  </si>
  <si>
    <t>SWSOLAR</t>
  </si>
  <si>
    <t>Sterling and Wilson Renewable Energy Ltd</t>
  </si>
  <si>
    <t>Prince Pipes and Fittings Limited</t>
  </si>
  <si>
    <t>PRINCEPIPE</t>
  </si>
  <si>
    <t>Prince Pipes and Fittings Ltd</t>
  </si>
  <si>
    <t>INE00IN01015</t>
  </si>
  <si>
    <t>STOVE KRAFT LIMITED</t>
  </si>
  <si>
    <t>STOVEKRAFT</t>
  </si>
  <si>
    <t>Stove Kraft Ltd</t>
  </si>
  <si>
    <t>INE0D7801012</t>
  </si>
  <si>
    <t>MRP Agro Limited</t>
  </si>
  <si>
    <t>MRP</t>
  </si>
  <si>
    <t>MRP Agro Ltd</t>
  </si>
  <si>
    <t>INE103C01036</t>
  </si>
  <si>
    <t>SMC Global Securities Limited</t>
  </si>
  <si>
    <t>SMCGLOBAL</t>
  </si>
  <si>
    <t>SMC Global Securities Ltd</t>
  </si>
  <si>
    <t>INE0DSF01015</t>
  </si>
  <si>
    <t>Nureca Limited</t>
  </si>
  <si>
    <t>NURECA</t>
  </si>
  <si>
    <t>Nureca Ltd</t>
  </si>
  <si>
    <t>INE0DD101019</t>
  </si>
  <si>
    <t>HITACHI ENERGY INDIA LIMITED</t>
  </si>
  <si>
    <t>POWERINDIA</t>
  </si>
  <si>
    <t>Hitachi Energy India Ltd</t>
  </si>
  <si>
    <t>INE694N01015</t>
  </si>
  <si>
    <t>Heranba Industries Limited</t>
  </si>
  <si>
    <t>HERANBA</t>
  </si>
  <si>
    <t>Heranba Industries Ltd</t>
  </si>
  <si>
    <t>INE179G01029</t>
  </si>
  <si>
    <t>Davangere Sugar Company Limited</t>
  </si>
  <si>
    <t>DAVANGERE</t>
  </si>
  <si>
    <t>Davangere Sugar Company Ltd</t>
  </si>
  <si>
    <t>INE03RS01027</t>
  </si>
  <si>
    <t>DRC Systems India Limited</t>
  </si>
  <si>
    <t>DRCSYSTEMS</t>
  </si>
  <si>
    <t>DRC Systems India Ltd</t>
  </si>
  <si>
    <t>INE864I01014</t>
  </si>
  <si>
    <t>Mazagon Dock Shipbuilders Limited</t>
  </si>
  <si>
    <t>MAZDOCK</t>
  </si>
  <si>
    <t>Mazagon Dock Shipbuilders Ltd</t>
  </si>
  <si>
    <t>MTAR Technologies Limited</t>
  </si>
  <si>
    <t>MTARTECH</t>
  </si>
  <si>
    <t>MTAR Technologies Ltd</t>
  </si>
  <si>
    <t>Inox Wind Energy Limited</t>
  </si>
  <si>
    <t>IWEL</t>
  </si>
  <si>
    <t>Inox Wind Energy Ltd</t>
  </si>
  <si>
    <t>INE0FLR01028</t>
  </si>
  <si>
    <t>Shukra Bullions Limited</t>
  </si>
  <si>
    <t>SKRABUL</t>
  </si>
  <si>
    <t>SHUKRA BULLIONS LTD.</t>
  </si>
  <si>
    <t>INE0EMB01015</t>
  </si>
  <si>
    <t>SUUMAYA CORPORATION LIMITED</t>
  </si>
  <si>
    <t>SUUMAYA</t>
  </si>
  <si>
    <t>Suumaya Corporation Ltd</t>
  </si>
  <si>
    <t>Shyam Metalics and Energy Limited</t>
  </si>
  <si>
    <t>SHYAMMETL</t>
  </si>
  <si>
    <t>Shyam Metalics and Energy Ltd</t>
  </si>
  <si>
    <t>INE810G01011</t>
  </si>
  <si>
    <t>G R Infraprojects Limited</t>
  </si>
  <si>
    <t>GRINFRA</t>
  </si>
  <si>
    <t>G R Infraprojects Ltd</t>
  </si>
  <si>
    <t>INE201P01022</t>
  </si>
  <si>
    <t>Paras Defence and Space Technologies Limited</t>
  </si>
  <si>
    <t>PARAS</t>
  </si>
  <si>
    <t>Paras Defence and Space Technologies Ltd</t>
  </si>
  <si>
    <t>INE045601015</t>
  </si>
  <si>
    <t>Tega Industries Limited</t>
  </si>
  <si>
    <t>TEGA</t>
  </si>
  <si>
    <t>Tega Industries Ltd</t>
  </si>
  <si>
    <t>INE011K01018</t>
  </si>
  <si>
    <t>INE428Q01011</t>
  </si>
  <si>
    <t>Suryoday Small Finance Bank Limited</t>
  </si>
  <si>
    <t>SURYODAY</t>
  </si>
  <si>
    <t>Suryoday Small Finance Bank Ltd</t>
  </si>
  <si>
    <t>Data Patterns (India) Limited</t>
  </si>
  <si>
    <t>DATAPATTNS</t>
  </si>
  <si>
    <t>Data Patterns (India) Ltd</t>
  </si>
  <si>
    <t>INE0IX101010</t>
  </si>
  <si>
    <t>INE018401013</t>
  </si>
  <si>
    <t>Suvidhaa Infoserve Limited</t>
  </si>
  <si>
    <t>SUVIDHAA</t>
  </si>
  <si>
    <t>Suvidhaa Infoserve Ltd</t>
  </si>
  <si>
    <t>INE382M01027</t>
  </si>
  <si>
    <t>BARBEQUE-NATION HOSPITALITY LIMITED</t>
  </si>
  <si>
    <t>BARBEQUE</t>
  </si>
  <si>
    <t>Barbeque-Nation Hospitality Ltd</t>
  </si>
  <si>
    <t>Jyothi Infraventures Ltd.</t>
  </si>
  <si>
    <t>JYOTHI</t>
  </si>
  <si>
    <t>JYOTHI INFRAVENTURES LTD.</t>
  </si>
  <si>
    <t>INE0CQ101015</t>
  </si>
  <si>
    <t>Rajeshwari Cans Limited</t>
  </si>
  <si>
    <t>RCAN</t>
  </si>
  <si>
    <t>Rajeshwari Cans Ltd</t>
  </si>
  <si>
    <t>INE0D9X01018</t>
  </si>
  <si>
    <t>Jetmall Spices and Masala Limited</t>
  </si>
  <si>
    <t>JETMALL</t>
  </si>
  <si>
    <t>Jetmall Spices and Masala Ltd</t>
  </si>
  <si>
    <t>Syrma SGS Technology Limited</t>
  </si>
  <si>
    <t>SYRMA</t>
  </si>
  <si>
    <t>Syrma SGS Technology Ltd</t>
  </si>
  <si>
    <t>INE0DYJ01015</t>
  </si>
  <si>
    <t>INE0FHS01024</t>
  </si>
  <si>
    <t>Deep Industries Limited</t>
  </si>
  <si>
    <t>DEEPINDS</t>
  </si>
  <si>
    <t>Deep Industries Ltd</t>
  </si>
  <si>
    <t>KAYNES TECHNOLOGY INDIA LIMITED</t>
  </si>
  <si>
    <t>KAYNES</t>
  </si>
  <si>
    <t>Kaynes Technology India Ltd</t>
  </si>
  <si>
    <t>INE918Z01012</t>
  </si>
  <si>
    <t>INE505Y01010</t>
  </si>
  <si>
    <t>Vineet Laboratories Limited</t>
  </si>
  <si>
    <t>VINEETLAB</t>
  </si>
  <si>
    <t>Vineet Laboratories Ltd</t>
  </si>
  <si>
    <t>Cyient DLM Limited</t>
  </si>
  <si>
    <t>CYIENTDLM</t>
  </si>
  <si>
    <t>Cyient DLM Ltd</t>
  </si>
  <si>
    <t>INE055S01018</t>
  </si>
  <si>
    <t>R R KABEL LIMITED</t>
  </si>
  <si>
    <t>RRKABEL</t>
  </si>
  <si>
    <t>R R Kabel Ltd</t>
  </si>
  <si>
    <t>INE777K01022</t>
  </si>
  <si>
    <t>INE0DB001013</t>
  </si>
  <si>
    <t>Devine Impex Limited</t>
  </si>
  <si>
    <t>DEVINE</t>
  </si>
  <si>
    <t>DEVINE IMPEX LTD.</t>
  </si>
  <si>
    <t>INOX India Limited</t>
  </si>
  <si>
    <t>INOXINDIA</t>
  </si>
  <si>
    <t>INOX India Ltd</t>
  </si>
  <si>
    <t>INE616N01034</t>
  </si>
  <si>
    <t>Happy Forgings Limited</t>
  </si>
  <si>
    <t>HAPPYFORGE</t>
  </si>
  <si>
    <t>Happy Forgings Ltd</t>
  </si>
  <si>
    <t>INE330T01021</t>
  </si>
  <si>
    <t>INE0H8J01015</t>
  </si>
  <si>
    <t>Adeshwar Meditex Limited</t>
  </si>
  <si>
    <t>ADESHWAR</t>
  </si>
  <si>
    <t>Adeshwar Meditex Ltd</t>
  </si>
  <si>
    <t>INE0B6101012</t>
  </si>
  <si>
    <t>Times Green Energy (India) Limited</t>
  </si>
  <si>
    <t>TIMESGREEN</t>
  </si>
  <si>
    <t>Times Green Energy (India) Ltd</t>
  </si>
  <si>
    <t>INE0D6701023</t>
  </si>
  <si>
    <t>India Pesticides Limited</t>
  </si>
  <si>
    <t>IPL</t>
  </si>
  <si>
    <t>India Pesticides Ltd</t>
  </si>
  <si>
    <t>INE0DXR01010</t>
  </si>
  <si>
    <t>Focus Business Solution Limited</t>
  </si>
  <si>
    <t>FOCUS</t>
  </si>
  <si>
    <t>Focus Business Solution Ltd</t>
  </si>
  <si>
    <t>Azad Engineering Limited</t>
  </si>
  <si>
    <t>AZAD</t>
  </si>
  <si>
    <t>Azad Engineering Ltd</t>
  </si>
  <si>
    <t>INE02IJ01035</t>
  </si>
  <si>
    <t>Jyoti CNC Automation Limited</t>
  </si>
  <si>
    <t>JYOTICNC</t>
  </si>
  <si>
    <t>Jyoti CNC Automation Ltd</t>
  </si>
  <si>
    <t>INE980O01024</t>
  </si>
  <si>
    <t>INE0C5901014</t>
  </si>
  <si>
    <t>VSD Confin ltd.</t>
  </si>
  <si>
    <t>VSDCONF</t>
  </si>
  <si>
    <t>VSD CONFIN LTD.</t>
  </si>
  <si>
    <t>EXICOM TELE-SYSTEMS LIMITED</t>
  </si>
  <si>
    <t>EXICOM</t>
  </si>
  <si>
    <t>Exicom Tele-Systems Ltd</t>
  </si>
  <si>
    <t>INE777F01014</t>
  </si>
  <si>
    <t>INE0GK401011</t>
  </si>
  <si>
    <t>Tatva Chintan Pharma Chem Limited</t>
  </si>
  <si>
    <t>TATVA</t>
  </si>
  <si>
    <t>Tatva Chintan Pharma Chem Ltd</t>
  </si>
  <si>
    <t>JISLDVREQS</t>
  </si>
  <si>
    <t>IN9175A01010</t>
  </si>
  <si>
    <t>INE199P01028</t>
  </si>
  <si>
    <t>Gretex Corporate Services Limited</t>
  </si>
  <si>
    <t>GCSL</t>
  </si>
  <si>
    <t>Gretex Corporate Services Ltd</t>
  </si>
  <si>
    <t>Infosys Ltd</t>
  </si>
  <si>
    <t>INFY</t>
  </si>
  <si>
    <t>INFOSYS LTD.</t>
  </si>
  <si>
    <t>INE0GFE01018</t>
  </si>
  <si>
    <t>Exxaro Tiles Limited</t>
  </si>
  <si>
    <t>EXXARO</t>
  </si>
  <si>
    <t>Exxaro Tiles Ltd</t>
  </si>
  <si>
    <t>INE08LI01020</t>
  </si>
  <si>
    <t>Krsnaa Diagnostics Limited</t>
  </si>
  <si>
    <t>KRSNAA</t>
  </si>
  <si>
    <t>Krsnaa Diagnostics Ltd</t>
  </si>
  <si>
    <t>INE0H5O01029</t>
  </si>
  <si>
    <t>Windlas Biotech Limited</t>
  </si>
  <si>
    <t>WINDLAS</t>
  </si>
  <si>
    <t>Windlas Biotech Ltd</t>
  </si>
  <si>
    <t>Tata Elxsi Ltd</t>
  </si>
  <si>
    <t>TATAELXSI</t>
  </si>
  <si>
    <t>TATA ELXSI LTD.</t>
  </si>
  <si>
    <t>INE0CT101020</t>
  </si>
  <si>
    <t>Meghmani Organics Limited</t>
  </si>
  <si>
    <t>MOL</t>
  </si>
  <si>
    <t>Meghmani Organics Ltd</t>
  </si>
  <si>
    <t>BLACK BOX LIMITED</t>
  </si>
  <si>
    <t>BBOX</t>
  </si>
  <si>
    <t>Black Box Ltd</t>
  </si>
  <si>
    <t>INE290S01011</t>
  </si>
  <si>
    <t>CarTrade Tech Limited</t>
  </si>
  <si>
    <t>CARTRADE</t>
  </si>
  <si>
    <t>CarTrade Tech Ltd</t>
  </si>
  <si>
    <t>Zensar Technologies Ltd.</t>
  </si>
  <si>
    <t>ZENSARTECH</t>
  </si>
  <si>
    <t>ZENSAR TECHNOLOGIES LTD.</t>
  </si>
  <si>
    <t>Wipro  Ltd.</t>
  </si>
  <si>
    <t>WIPRO</t>
  </si>
  <si>
    <t>WIPRO LTD.</t>
  </si>
  <si>
    <t>Mastek Limited</t>
  </si>
  <si>
    <t>MASTEK</t>
  </si>
  <si>
    <t>MASTEK LTD.</t>
  </si>
  <si>
    <t>INE647W01014</t>
  </si>
  <si>
    <t>SHARPLINE BROADCAST LIMITED</t>
  </si>
  <si>
    <t>SHARPLINE</t>
  </si>
  <si>
    <t>Sharpline Broadcast Ltd</t>
  </si>
  <si>
    <t>INE0EAX01014</t>
  </si>
  <si>
    <t>Aashka Hospitals Limited</t>
  </si>
  <si>
    <t>AASHKA</t>
  </si>
  <si>
    <t>Aashka Hospitals Ltd</t>
  </si>
  <si>
    <t>Mphasis Limited</t>
  </si>
  <si>
    <t>MPHASIS</t>
  </si>
  <si>
    <t>MPHASIS LTD.</t>
  </si>
  <si>
    <t>Cyient Limited</t>
  </si>
  <si>
    <t>CYIENT</t>
  </si>
  <si>
    <t>INE0DTJ01015</t>
  </si>
  <si>
    <t>SVA India Ltd</t>
  </si>
  <si>
    <t>SVAINDIA</t>
  </si>
  <si>
    <t>SVA INDIA LTD.</t>
  </si>
  <si>
    <t>Sonata Software Ltd.</t>
  </si>
  <si>
    <t>SONATSOFTW</t>
  </si>
  <si>
    <t>SONATA SOFTWARE LTD.</t>
  </si>
  <si>
    <t>INE0GAO01018</t>
  </si>
  <si>
    <t>Prevest Denpro Limited</t>
  </si>
  <si>
    <t>PREVEST</t>
  </si>
  <si>
    <t>Prevest Denpro Ltd</t>
  </si>
  <si>
    <t>INE0FW001016</t>
  </si>
  <si>
    <t>Markolines Pavement Technologies Limited</t>
  </si>
  <si>
    <t>MARKOLINES</t>
  </si>
  <si>
    <t>Markolines Pavement Technologies Ltd</t>
  </si>
  <si>
    <t>INE0DLM01024</t>
  </si>
  <si>
    <t>SBL Infratech Limited</t>
  </si>
  <si>
    <t>SBLI</t>
  </si>
  <si>
    <t>SBL Infratech Ltd</t>
  </si>
  <si>
    <t>HCL Technologies Ltd</t>
  </si>
  <si>
    <t>HCLTECH</t>
  </si>
  <si>
    <t>HCL TECHNOLOGIES LTD.</t>
  </si>
  <si>
    <t>Hindustan Appliances Ltd</t>
  </si>
  <si>
    <t>HINDAPL</t>
  </si>
  <si>
    <t>HINDUSTAN APPLIANCES LTD.</t>
  </si>
  <si>
    <t>INE0HLJ01013</t>
  </si>
  <si>
    <t>Shri Venkatesh Refineries Limited</t>
  </si>
  <si>
    <t>SVRL</t>
  </si>
  <si>
    <t>Shri Venkatesh Refineries Ltd</t>
  </si>
  <si>
    <t>BIRLASOFT LIMITED</t>
  </si>
  <si>
    <t>BSOFT</t>
  </si>
  <si>
    <t>Birlasoft Ltd</t>
  </si>
  <si>
    <t>INE0I2F01015</t>
  </si>
  <si>
    <t>Promax Power Limited</t>
  </si>
  <si>
    <t>PROMAX</t>
  </si>
  <si>
    <t>Promax Power Ltd</t>
  </si>
  <si>
    <t>INE0GD201014</t>
  </si>
  <si>
    <t>Samor Reality Limited</t>
  </si>
  <si>
    <t>SAMOR</t>
  </si>
  <si>
    <t>Samor Reality Ltd</t>
  </si>
  <si>
    <t>INE0CWK01019</t>
  </si>
  <si>
    <t>Adishakti Loha and Ispat Limited</t>
  </si>
  <si>
    <t>ADISHAKTI</t>
  </si>
  <si>
    <t>Adishakti Loha and Ispat Ltd</t>
  </si>
  <si>
    <t>MOSCHIP TECHNOLOGIES LIMITED</t>
  </si>
  <si>
    <t>MOSCHIP</t>
  </si>
  <si>
    <t>Moschip Technologies Ltd</t>
  </si>
  <si>
    <t>INE02NC01014</t>
  </si>
  <si>
    <t>Fino Payments Bank Limited</t>
  </si>
  <si>
    <t>FINOPB</t>
  </si>
  <si>
    <t>Fino Payments Bank Ltd</t>
  </si>
  <si>
    <t>INE284S01014</t>
  </si>
  <si>
    <t>S.J.S. Enterprises Limited</t>
  </si>
  <si>
    <t>SJS</t>
  </si>
  <si>
    <t>S.J.S. Enterprises Ltd</t>
  </si>
  <si>
    <t>INE0D0K01022</t>
  </si>
  <si>
    <t>Sigachi Industries Limited</t>
  </si>
  <si>
    <t>SIGACHI</t>
  </si>
  <si>
    <t>Sigachi Industries Ltd</t>
  </si>
  <si>
    <t>Oracle Financial Services Software Limited</t>
  </si>
  <si>
    <t>OFSS</t>
  </si>
  <si>
    <t>ORACLE FINANCIAL SERVICES SOFTWARE LTD.</t>
  </si>
  <si>
    <t>INE07GA01011</t>
  </si>
  <si>
    <t>Suyog Gurbaxani Funicular Ropeways Limited</t>
  </si>
  <si>
    <t>SGFRL</t>
  </si>
  <si>
    <t>Suyog Gurbaxani Funicular Ropeways Ltd</t>
  </si>
  <si>
    <t>Tata Consultancy Services Ltd.</t>
  </si>
  <si>
    <t>TCS</t>
  </si>
  <si>
    <t>TATA CONSULTANCY SERVICES LTD.</t>
  </si>
  <si>
    <t>COFORGE LIMITED</t>
  </si>
  <si>
    <t>COFORGE</t>
  </si>
  <si>
    <t>Coforge Ltd</t>
  </si>
  <si>
    <t>INE0I7C01011</t>
  </si>
  <si>
    <t>Aurionpro Solutions Ltd.</t>
  </si>
  <si>
    <t>AURIONPRO</t>
  </si>
  <si>
    <t>AURIONPRO SOLUTIONS LTD.</t>
  </si>
  <si>
    <t>INE144Z01023</t>
  </si>
  <si>
    <t>Tarsons Products Limited</t>
  </si>
  <si>
    <t>TARSONS</t>
  </si>
  <si>
    <t>Tarsons Products Ltd</t>
  </si>
  <si>
    <t>INE0JFE01012</t>
  </si>
  <si>
    <t>Omnipotent Industries Limited</t>
  </si>
  <si>
    <t>OMNIPOTENT</t>
  </si>
  <si>
    <t>Omnipotent Industries Ltd</t>
  </si>
  <si>
    <t>R Systems International Limited</t>
  </si>
  <si>
    <t>RSYSTEMS</t>
  </si>
  <si>
    <t>Shree Vatsaa Finance &amp; Leasing Ltd.</t>
  </si>
  <si>
    <t>SHVFL</t>
  </si>
  <si>
    <t>SHREEVATSAA FINANCE &amp; LEASING LTD.</t>
  </si>
  <si>
    <t>INE106T01025</t>
  </si>
  <si>
    <t>HI-TECH PIPES LIMITED</t>
  </si>
  <si>
    <t>HITECH</t>
  </si>
  <si>
    <t>Hi-Tech Pipes Ltd</t>
  </si>
  <si>
    <t>Tech Mahindra Limited</t>
  </si>
  <si>
    <t>TECHM</t>
  </si>
  <si>
    <t>TECH MAHINDRA LTD.</t>
  </si>
  <si>
    <t>TANLA PLATFORMS LIMITED</t>
  </si>
  <si>
    <t>TANLA</t>
  </si>
  <si>
    <t>Tanla Platforms Ltd</t>
  </si>
  <si>
    <t>Persistent Systems Limited</t>
  </si>
  <si>
    <t>PERSISTENT</t>
  </si>
  <si>
    <t>PERSISTENT SYSTEMS LTD.</t>
  </si>
  <si>
    <t>INE761Y01019</t>
  </si>
  <si>
    <t>Zodiac Energy Limited</t>
  </si>
  <si>
    <t>ZODIAC</t>
  </si>
  <si>
    <t>Zodiac Energy Ltd</t>
  </si>
  <si>
    <t>INE0CLI01024</t>
  </si>
  <si>
    <t>INTELLECT DESIGN ARENA LIMITED</t>
  </si>
  <si>
    <t>INTELLECT</t>
  </si>
  <si>
    <t>Intellect Design Arena Ltd</t>
  </si>
  <si>
    <t>INE217L01019</t>
  </si>
  <si>
    <t>Shriram Properties Limited</t>
  </si>
  <si>
    <t>SHRIRAMPPS</t>
  </si>
  <si>
    <t>Shriram Properties Ltd</t>
  </si>
  <si>
    <t>Shri Kalyan Holdings Ltd.</t>
  </si>
  <si>
    <t>SHKALYN</t>
  </si>
  <si>
    <t>SHRI KALYAN HOLDINGS LTD.</t>
  </si>
  <si>
    <t>INE0BV301023</t>
  </si>
  <si>
    <t>MAGELLANIC CLOUD LIMITED</t>
  </si>
  <si>
    <t>MCLOUD</t>
  </si>
  <si>
    <t>Magellanic Cloud Ltd</t>
  </si>
  <si>
    <t>LTIMindtree Limited</t>
  </si>
  <si>
    <t>LTIM</t>
  </si>
  <si>
    <t>LTIMindtree Ltd</t>
  </si>
  <si>
    <t>L&amp;T Technology Services Limited</t>
  </si>
  <si>
    <t>LTTS</t>
  </si>
  <si>
    <t>L&amp;T Technology Services Ltd</t>
  </si>
  <si>
    <t>Newgen Software Technologies Limited</t>
  </si>
  <si>
    <t>NEWGEN</t>
  </si>
  <si>
    <t>Newgen Software Technologies Ltd</t>
  </si>
  <si>
    <t>INE0GSL01024</t>
  </si>
  <si>
    <t>HP Adhesives Limited</t>
  </si>
  <si>
    <t>HPAL</t>
  </si>
  <si>
    <t>HP Adhesives Ltd</t>
  </si>
  <si>
    <t>INE07RO01027</t>
  </si>
  <si>
    <t>Supriya Lifescience Limited</t>
  </si>
  <si>
    <t>SUPRIYA</t>
  </si>
  <si>
    <t>Supriya Lifescience Ltd</t>
  </si>
  <si>
    <t>INE0JJS01014</t>
  </si>
  <si>
    <t>CLARA INDUSTRIES LIMITED</t>
  </si>
  <si>
    <t>CLARA</t>
  </si>
  <si>
    <t>Clara Industries Ltd</t>
  </si>
  <si>
    <t>INE0ILD01014</t>
  </si>
  <si>
    <t>Brandbucket Media &amp; Technology Limited</t>
  </si>
  <si>
    <t>BRANDBUCKT</t>
  </si>
  <si>
    <t>Brandbucket Media &amp; Technology Ltd</t>
  </si>
  <si>
    <t>INE925R01014</t>
  </si>
  <si>
    <t>Sicagen India Limited</t>
  </si>
  <si>
    <t>SICAGEN</t>
  </si>
  <si>
    <t>SICAGEN INDIA LTD.</t>
  </si>
  <si>
    <t>INE977Y01011</t>
  </si>
  <si>
    <t>Brand Concepts Limited</t>
  </si>
  <si>
    <t>BCONCEPTS</t>
  </si>
  <si>
    <t>Brand Concepts Ltd</t>
  </si>
  <si>
    <t>INE0DRT01018</t>
  </si>
  <si>
    <t>Fabino Life Sciences Limited</t>
  </si>
  <si>
    <t>FABINO</t>
  </si>
  <si>
    <t>Fabino Life Sciences Ltd</t>
  </si>
  <si>
    <t>INE02WG01016</t>
  </si>
  <si>
    <t>WONDER ELECTRICALS LIMITED</t>
  </si>
  <si>
    <t>WEL</t>
  </si>
  <si>
    <t>Wonder Electricals Ltd</t>
  </si>
  <si>
    <t>INE583L01014</t>
  </si>
  <si>
    <t>AGS TRANSACT TECHNOLOGIES LIMITED</t>
  </si>
  <si>
    <t>AGSTRA</t>
  </si>
  <si>
    <t>AGS Transact Technologies Ltd</t>
  </si>
  <si>
    <t>INE0KA601012</t>
  </si>
  <si>
    <t>ALKOSIGN LIMITED</t>
  </si>
  <si>
    <t>ALKOSIGN</t>
  </si>
  <si>
    <t>Alkosign Ltd</t>
  </si>
  <si>
    <t>KPIT Technologies Ltd</t>
  </si>
  <si>
    <t>KPITTECH</t>
  </si>
  <si>
    <t>INE0KAF01018</t>
  </si>
  <si>
    <t>Quality RO Industries Limited</t>
  </si>
  <si>
    <t>QRIL</t>
  </si>
  <si>
    <t>Quality RO Industries Ltd</t>
  </si>
  <si>
    <t>Karnimata Cold Storage Limited</t>
  </si>
  <si>
    <t>KCSL</t>
  </si>
  <si>
    <t>Karnimata Cold Storage Ltd</t>
  </si>
  <si>
    <t>INE060X01026</t>
  </si>
  <si>
    <t>DEV INFORMATION TECHNOLOGY LIMITED</t>
  </si>
  <si>
    <t>DEVIT</t>
  </si>
  <si>
    <t>Dev Information Technology Ltd</t>
  </si>
  <si>
    <t>Affle (India) Limited</t>
  </si>
  <si>
    <t>AFFLE</t>
  </si>
  <si>
    <t>Affle (India) Ltd</t>
  </si>
  <si>
    <t>INE0JSJ01014</t>
  </si>
  <si>
    <t>Maruti Interior Products Limited</t>
  </si>
  <si>
    <t>SPITZE</t>
  </si>
  <si>
    <t>Maruti Interior Products Ltd</t>
  </si>
  <si>
    <t>INE728Z01015</t>
  </si>
  <si>
    <t>SoftTech Engineers Limited</t>
  </si>
  <si>
    <t>SOFTTECH</t>
  </si>
  <si>
    <t>Softtech Engineers Ltd</t>
  </si>
  <si>
    <t>INE0KCM01010</t>
  </si>
  <si>
    <t>Ekennis Software Service Limited</t>
  </si>
  <si>
    <t>EKENNIS</t>
  </si>
  <si>
    <t>Ekennis Software Service Ltd</t>
  </si>
  <si>
    <t>Happiest Minds Technologies Limited</t>
  </si>
  <si>
    <t>HAPPSTMNDS</t>
  </si>
  <si>
    <t>Happiest Minds Technologies Ltd</t>
  </si>
  <si>
    <t>INE079J01017</t>
  </si>
  <si>
    <t>Adarsh Mercantile Limited</t>
  </si>
  <si>
    <t>ADARSH</t>
  </si>
  <si>
    <t>Adarsh Mercantile Ltd</t>
  </si>
  <si>
    <t>INE0CU601026</t>
  </si>
  <si>
    <t>Latent View Analytics Limited</t>
  </si>
  <si>
    <t>LATENTVIEW</t>
  </si>
  <si>
    <t>Latent View Analytics Ltd</t>
  </si>
  <si>
    <t>INE0KQ001017</t>
  </si>
  <si>
    <t>Bhatia Colour Chem Limited</t>
  </si>
  <si>
    <t>BCCL</t>
  </si>
  <si>
    <t>Bhatia Colour Chem Ltd</t>
  </si>
  <si>
    <t>RateGain Travel Technologies Limited</t>
  </si>
  <si>
    <t>RATEGAIN</t>
  </si>
  <si>
    <t>RateGain Travel Technologies Ltd</t>
  </si>
  <si>
    <t>INE0K1401012</t>
  </si>
  <si>
    <t>Achyut Healthcare Limited</t>
  </si>
  <si>
    <t>ACHYUT</t>
  </si>
  <si>
    <t>Achyut Healthcare Ltd</t>
  </si>
  <si>
    <t>INE0JVD01011</t>
  </si>
  <si>
    <t>HIND COMMERCE LIMITED</t>
  </si>
  <si>
    <t>HCLTD</t>
  </si>
  <si>
    <t>Hind Commerce Ltd</t>
  </si>
  <si>
    <t>INE652Z01017</t>
  </si>
  <si>
    <t>Avro India Limited</t>
  </si>
  <si>
    <t>AVROIND</t>
  </si>
  <si>
    <t>Avro India Ltd</t>
  </si>
  <si>
    <t>Sirohia &amp; Sons Limited</t>
  </si>
  <si>
    <t>SIROHIA</t>
  </si>
  <si>
    <t>Sirohia &amp; Sons Ltd</t>
  </si>
  <si>
    <t>INE0IQ001011</t>
  </si>
  <si>
    <t>Veranda Learning Solutions Limited</t>
  </si>
  <si>
    <t>VERANDA</t>
  </si>
  <si>
    <t>Veranda Learning Solutions Ltd</t>
  </si>
  <si>
    <t>Mihika Industries Ltd.</t>
  </si>
  <si>
    <t>MIHIKA</t>
  </si>
  <si>
    <t>Mihika Industries Ltd</t>
  </si>
  <si>
    <t>Abhishek Finlease limited</t>
  </si>
  <si>
    <t>ABHIFIN</t>
  </si>
  <si>
    <t>Abhishek Finlease Ltd</t>
  </si>
  <si>
    <t>INE00EV01017</t>
  </si>
  <si>
    <t>Hariom Pipe Industries Limited</t>
  </si>
  <si>
    <t>HARIOMPIPE</t>
  </si>
  <si>
    <t>Hariom Pipe Industries Ltd</t>
  </si>
  <si>
    <t>INE0KSN01014</t>
  </si>
  <si>
    <t>Eighty Jewellers Limited</t>
  </si>
  <si>
    <t>EIGHTY</t>
  </si>
  <si>
    <t>Eighty Jewellers Ltd</t>
  </si>
  <si>
    <t>INE0JMN01019</t>
  </si>
  <si>
    <t>Shashwat Furnishing Solutions Limited</t>
  </si>
  <si>
    <t>SFSL</t>
  </si>
  <si>
    <t>Shashwat Furnishing Solutions Ltd</t>
  </si>
  <si>
    <t>INE0J2K01014</t>
  </si>
  <si>
    <t>Global Longlife Hospital and Research Limited</t>
  </si>
  <si>
    <t>GLHRL</t>
  </si>
  <si>
    <t>Global Longlife Hospital and Research Ltd</t>
  </si>
  <si>
    <t>INE0L3H01014</t>
  </si>
  <si>
    <t>Fone4 Communications (India) Limited</t>
  </si>
  <si>
    <t>FONE4</t>
  </si>
  <si>
    <t>Fone4 Communications (India) Ltd</t>
  </si>
  <si>
    <t>INE0E5R01017</t>
  </si>
  <si>
    <t>Nanavati Ventures Limited</t>
  </si>
  <si>
    <t>NVENTURES</t>
  </si>
  <si>
    <t>Nanavati Ventures Ltd</t>
  </si>
  <si>
    <t>C.E. Info Systems Limited</t>
  </si>
  <si>
    <t>MAPMYINDIA</t>
  </si>
  <si>
    <t>C.E. Info Systems Ltd</t>
  </si>
  <si>
    <t>eMudhra Limited</t>
  </si>
  <si>
    <t>EMUDHRA</t>
  </si>
  <si>
    <t>eMudhra Ltd</t>
  </si>
  <si>
    <t>INE01QM01018</t>
  </si>
  <si>
    <t>INE625X01018</t>
  </si>
  <si>
    <t>Silver Touch Technologies Limited</t>
  </si>
  <si>
    <t>SILVERTUC</t>
  </si>
  <si>
    <t>Silver Touch Technologies Ltd</t>
  </si>
  <si>
    <t>NETWEB TECHNOLOGIES INDIA LIMITED</t>
  </si>
  <si>
    <t>NETWEB</t>
  </si>
  <si>
    <t>Netweb Technologies India Ltd</t>
  </si>
  <si>
    <t>INE0NT901020</t>
  </si>
  <si>
    <t>Tata Technologies Limited</t>
  </si>
  <si>
    <t>TATATECH</t>
  </si>
  <si>
    <t>Tata Technologies Ltd</t>
  </si>
  <si>
    <t>INE142M01025</t>
  </si>
  <si>
    <t>INE0JA001018</t>
  </si>
  <si>
    <t>Venus Pipes &amp; Tubes Limited</t>
  </si>
  <si>
    <t>VENUSPIPES</t>
  </si>
  <si>
    <t>Venus Pipes &amp; Tubes Ltd</t>
  </si>
  <si>
    <t>INE148O01028</t>
  </si>
  <si>
    <t>JAYATMA ENTERPRISES LIMITED</t>
  </si>
  <si>
    <t>JAYATMA</t>
  </si>
  <si>
    <t>Jayatma Enterprises Ltd</t>
  </si>
  <si>
    <t>Adani Ports and Special Economic Zone Ltd</t>
  </si>
  <si>
    <t>ADANIPORTS</t>
  </si>
  <si>
    <t>ADANI PORTS AND SPECIAL ECONOMIC ZONE LTD.</t>
  </si>
  <si>
    <t>INE05CY01014</t>
  </si>
  <si>
    <t>Tierra Agrotech Limited</t>
  </si>
  <si>
    <t>TIERRA</t>
  </si>
  <si>
    <t>Tierra Agrotech Ltd</t>
  </si>
  <si>
    <t>InterGlobe Aviation Limited</t>
  </si>
  <si>
    <t>INDIGO</t>
  </si>
  <si>
    <t>InterGlobe Aviation Ltd</t>
  </si>
  <si>
    <t>JSW Infrastructure Limited</t>
  </si>
  <si>
    <t>JSWINFRA</t>
  </si>
  <si>
    <t>JSW Infrastructure Ltd</t>
  </si>
  <si>
    <t>INE880J01026</t>
  </si>
  <si>
    <t>Container Corporation Of India Ltd.</t>
  </si>
  <si>
    <t>CONCOR</t>
  </si>
  <si>
    <t>CONTAINER CORPORATION OF INDIA LTD.</t>
  </si>
  <si>
    <t>Fraser And Company Limited</t>
  </si>
  <si>
    <t>FRASER</t>
  </si>
  <si>
    <t>Fraser and Company Ltd</t>
  </si>
  <si>
    <t>INE0KXN01014</t>
  </si>
  <si>
    <t>Silver Pearl Hospitality &amp; Luxury Spaces Limited</t>
  </si>
  <si>
    <t>SILVERPRL</t>
  </si>
  <si>
    <t>Silver Pearl Hospitality &amp; Luxury Spaces Ltd</t>
  </si>
  <si>
    <t>INE0IXR01019</t>
  </si>
  <si>
    <t>Scarnose International Limited</t>
  </si>
  <si>
    <t>SCARNOSE</t>
  </si>
  <si>
    <t>Scarnose International Ltd</t>
  </si>
  <si>
    <t>INE0K6L01010</t>
  </si>
  <si>
    <t>Goel Food Products Limited</t>
  </si>
  <si>
    <t>GOEL</t>
  </si>
  <si>
    <t>Goel Food Products Ltd</t>
  </si>
  <si>
    <t>INE0L0L01012</t>
  </si>
  <si>
    <t>MODIâ€™S NAVNIRMAN LIMITED</t>
  </si>
  <si>
    <t>MODIS</t>
  </si>
  <si>
    <t>Modis Navnirman Ltd</t>
  </si>
  <si>
    <t>INE0GTX01019</t>
  </si>
  <si>
    <t>Pearl Green Clubs and Resorts Limited</t>
  </si>
  <si>
    <t>PGCRL</t>
  </si>
  <si>
    <t>Pearl Green Clubs and Resorts Ltd</t>
  </si>
  <si>
    <t>INE0KHQ01010</t>
  </si>
  <si>
    <t>SAILANI TOURS N TRAVELS LIMITED</t>
  </si>
  <si>
    <t>SAILANI</t>
  </si>
  <si>
    <t>Sailani Tours N Travels Ltd</t>
  </si>
  <si>
    <t>INE0L1C01019</t>
  </si>
  <si>
    <t>KESAR INDIA LIMITED</t>
  </si>
  <si>
    <t>KESAR</t>
  </si>
  <si>
    <t>Kesar India Ltd</t>
  </si>
  <si>
    <t>INE0IZQ01016</t>
  </si>
  <si>
    <t>B-RIGHT REALESTATE LIMITED</t>
  </si>
  <si>
    <t>BRRL</t>
  </si>
  <si>
    <t>B-Right Realestate Ltd</t>
  </si>
  <si>
    <t>INE0KR801019</t>
  </si>
  <si>
    <t>JAYANT INFRATECH LIMITED</t>
  </si>
  <si>
    <t>JAYANT</t>
  </si>
  <si>
    <t>Jayant Infratech Ltd</t>
  </si>
  <si>
    <t>INE0ID001024</t>
  </si>
  <si>
    <t>Veerkrupa Jewellers Limited</t>
  </si>
  <si>
    <t>VEERKRUPA</t>
  </si>
  <si>
    <t>Veerkrupa Jewellers Ltd</t>
  </si>
  <si>
    <t>INE0L3501015</t>
  </si>
  <si>
    <t>HEALTHY LIFE AGRITEC LIMITED</t>
  </si>
  <si>
    <t>HEALTHYLIFE</t>
  </si>
  <si>
    <t>Healthy Life Agritec Ltd</t>
  </si>
  <si>
    <t>INE0HR601026</t>
  </si>
  <si>
    <t>DDEV PLASTIKS INDUSTRIES LIMITED</t>
  </si>
  <si>
    <t>DDEVPLASTIK</t>
  </si>
  <si>
    <t>Ddev Plastiks Industries Ltd</t>
  </si>
  <si>
    <t>GMR AIRPORTS INFRASTRUCTURE LIMITED</t>
  </si>
  <si>
    <t>GMRINFRA</t>
  </si>
  <si>
    <t>GMR Airports Infrastructure Ltd</t>
  </si>
  <si>
    <t>INE0M3901015</t>
  </si>
  <si>
    <t>Olatech Solutions Limited</t>
  </si>
  <si>
    <t>OLATECH</t>
  </si>
  <si>
    <t>Olatech Solutions Ltd</t>
  </si>
  <si>
    <t>INE0JNB01012</t>
  </si>
  <si>
    <t>NATURO INDIABULL LIMITED</t>
  </si>
  <si>
    <t>NATURO</t>
  </si>
  <si>
    <t>Naturo Indiabull Ltd</t>
  </si>
  <si>
    <t>INE0KKN01029</t>
  </si>
  <si>
    <t>Rhetan TMT Limited</t>
  </si>
  <si>
    <t>RHETAN</t>
  </si>
  <si>
    <t>Rhetan TMT Ltd</t>
  </si>
  <si>
    <t>Integrated Capital Services Ltd</t>
  </si>
  <si>
    <t>ICSL</t>
  </si>
  <si>
    <t>INE0I3401014</t>
  </si>
  <si>
    <t>Dhampur Bio Organics Limited</t>
  </si>
  <si>
    <t>DBOL</t>
  </si>
  <si>
    <t>Dhampur Bio Organics Ltd</t>
  </si>
  <si>
    <t>INE0MC401013</t>
  </si>
  <si>
    <t>DIPNA PHARMACHEM LIMITED</t>
  </si>
  <si>
    <t>DPL</t>
  </si>
  <si>
    <t>Dipna Pharmachem Ltd</t>
  </si>
  <si>
    <t>INE0D2I01014</t>
  </si>
  <si>
    <t>EP BIOCOMPOSITES LIMITED</t>
  </si>
  <si>
    <t>EPBIO</t>
  </si>
  <si>
    <t>EP Biocomposites Ltd</t>
  </si>
  <si>
    <t>Delhivery Limited</t>
  </si>
  <si>
    <t>DELHIVERY</t>
  </si>
  <si>
    <t>Delhivery Ltd</t>
  </si>
  <si>
    <t>INE0I0T01010</t>
  </si>
  <si>
    <t>Virtuoso Optoelectronics Limited</t>
  </si>
  <si>
    <t>VOEPL</t>
  </si>
  <si>
    <t>Virtuoso Optoelectronics Ltd</t>
  </si>
  <si>
    <t>INE0LU301014</t>
  </si>
  <si>
    <t>SHANTIDOOT INFRA SERVICES LIMITED</t>
  </si>
  <si>
    <t>SISL</t>
  </si>
  <si>
    <t>Shantidoot Infra Services Ltd</t>
  </si>
  <si>
    <t>INE0D6I01015</t>
  </si>
  <si>
    <t>Ksolves India Limited</t>
  </si>
  <si>
    <t>KSOLVES</t>
  </si>
  <si>
    <t>Ksolves India Ltd</t>
  </si>
  <si>
    <t>INE0JUS01029</t>
  </si>
  <si>
    <t>Harsha Engineers International Limited</t>
  </si>
  <si>
    <t>HARSHA</t>
  </si>
  <si>
    <t>Harsha Engineers International Ltd</t>
  </si>
  <si>
    <t>INE0M8901010</t>
  </si>
  <si>
    <t>CONTAINE TECHNOLOGIES LIMITED</t>
  </si>
  <si>
    <t>CONTAINE</t>
  </si>
  <si>
    <t>Containe Technologies Ltd</t>
  </si>
  <si>
    <t>INE0KQQ01011</t>
  </si>
  <si>
    <t>MAFIA TRENDS LIMITED</t>
  </si>
  <si>
    <t>MAFIA</t>
  </si>
  <si>
    <t>Mafia Trends Ltd</t>
  </si>
  <si>
    <t>INE0LQS01015</t>
  </si>
  <si>
    <t>Tips Films Limited</t>
  </si>
  <si>
    <t>TIPSFILMS</t>
  </si>
  <si>
    <t>Tips Films Ltd</t>
  </si>
  <si>
    <t>Jyotirgamya Enterprises Limited</t>
  </si>
  <si>
    <t>JEL</t>
  </si>
  <si>
    <t>Jyotirgamya Enterprises Ltd</t>
  </si>
  <si>
    <t>INE0MKA01014</t>
  </si>
  <si>
    <t>Trident Lifeline Limited</t>
  </si>
  <si>
    <t>TLL</t>
  </si>
  <si>
    <t>Trident Lifeline Ltd</t>
  </si>
  <si>
    <t>INE0MKO01015</t>
  </si>
  <si>
    <t>REETECH INTERNATIONAL CARGO AND COURIER LIMITED</t>
  </si>
  <si>
    <t>REETECH</t>
  </si>
  <si>
    <t>Reetech International Cargo and Courier Ltd</t>
  </si>
  <si>
    <t>Swagtam Trading &amp; Services Limited</t>
  </si>
  <si>
    <t>SWAGTAM</t>
  </si>
  <si>
    <t>Swagtam Trading &amp; Services Ltd</t>
  </si>
  <si>
    <t>INE0N0J01014</t>
  </si>
  <si>
    <t>Concord Control Systems Limited</t>
  </si>
  <si>
    <t>CNCRD</t>
  </si>
  <si>
    <t>Concord Control Systems Ltd</t>
  </si>
  <si>
    <t>INE0LGX01016</t>
  </si>
  <si>
    <t>Blue Dart Express Ltd.</t>
  </si>
  <si>
    <t>BLUEDART</t>
  </si>
  <si>
    <t>BLUE DART EXPRESS LTD.</t>
  </si>
  <si>
    <t>IGC Industries Limited</t>
  </si>
  <si>
    <t>IGCIL</t>
  </si>
  <si>
    <t>IGC Industries Ltd</t>
  </si>
  <si>
    <t>INE0MSK01016</t>
  </si>
  <si>
    <t>STEELMAN TELECOM LIMITED</t>
  </si>
  <si>
    <t>STML</t>
  </si>
  <si>
    <t>Steelman Telecom Ltd</t>
  </si>
  <si>
    <t>INE0NC801013</t>
  </si>
  <si>
    <t>VEDANT ASSET LIMITED</t>
  </si>
  <si>
    <t>VEDANTASSET</t>
  </si>
  <si>
    <t>Vedant Asset Ltd</t>
  </si>
  <si>
    <t>INE0KY201021</t>
  </si>
  <si>
    <t>MAAGH ADVERTISING AND MARKETING SERVICES LIMITED</t>
  </si>
  <si>
    <t>MAAGHADV</t>
  </si>
  <si>
    <t>Maagh Advertising and Marketing Services Ltd</t>
  </si>
  <si>
    <t>ELITECON INTERNATIONAL LIMITED</t>
  </si>
  <si>
    <t>ELITECON</t>
  </si>
  <si>
    <t>Elitecon International Ltd</t>
  </si>
  <si>
    <t>Great Eastern Shipping Co. Ltd.</t>
  </si>
  <si>
    <t>GESHIP</t>
  </si>
  <si>
    <t>GREAT EASTERN SHIPPING CO.LTD.</t>
  </si>
  <si>
    <t>Redington Limited</t>
  </si>
  <si>
    <t>REDINGTON</t>
  </si>
  <si>
    <t>Redington Ltd</t>
  </si>
  <si>
    <t>INE0A1101019</t>
  </si>
  <si>
    <t>Dc Infotech and Communication Limited</t>
  </si>
  <si>
    <t>DCI</t>
  </si>
  <si>
    <t>Dc Infotech and Communication Ltd</t>
  </si>
  <si>
    <t>INE0N1L01018</t>
  </si>
  <si>
    <t>PACE E-COMMERCE VENTURES LIMITED</t>
  </si>
  <si>
    <t>PACE</t>
  </si>
  <si>
    <t>Pace E-Commerce Ventures Ltd</t>
  </si>
  <si>
    <t>SHARANAM INFRAPROJECT AND TRADING LIMITED</t>
  </si>
  <si>
    <t>SIPTL</t>
  </si>
  <si>
    <t>Sharanam Infraproject and Trading Ltd</t>
  </si>
  <si>
    <t>INE117Z01011</t>
  </si>
  <si>
    <t>Narmada Agrobase Limited</t>
  </si>
  <si>
    <t>NARMADA</t>
  </si>
  <si>
    <t>Narmada Agrobase Ltd</t>
  </si>
  <si>
    <t>INE344S01016</t>
  </si>
  <si>
    <t>InfoBeans Technologies Limited</t>
  </si>
  <si>
    <t>INFOBEAN</t>
  </si>
  <si>
    <t>Infobeans Technologies Ltd</t>
  </si>
  <si>
    <t>INE05X901010</t>
  </si>
  <si>
    <t>HINDPRAKASH INDUSTRIES LIMITED</t>
  </si>
  <si>
    <t>HPIL</t>
  </si>
  <si>
    <t>Hindprakash Industries Ltd</t>
  </si>
  <si>
    <t>INE0KL801015</t>
  </si>
  <si>
    <t>DCX Systems Limited</t>
  </si>
  <si>
    <t>DCXINDIA</t>
  </si>
  <si>
    <t>DCX Systems Ltd</t>
  </si>
  <si>
    <t>INE975Z01012</t>
  </si>
  <si>
    <t>DAPS ADVERTISING LIMITED</t>
  </si>
  <si>
    <t>DAPS</t>
  </si>
  <si>
    <t>DAPS Advertising Ltd</t>
  </si>
  <si>
    <t>INE139R01012</t>
  </si>
  <si>
    <t>Fusion Micro Finance Limited</t>
  </si>
  <si>
    <t>FUSION</t>
  </si>
  <si>
    <t>Fusion Micro Finance Ltd</t>
  </si>
  <si>
    <t>Firstsource Solutions Ltd.</t>
  </si>
  <si>
    <t>FSL</t>
  </si>
  <si>
    <t>FIRSTSOURCE SOLUTIONS LTD.</t>
  </si>
  <si>
    <t>MMTC Ltd.</t>
  </si>
  <si>
    <t>MMTC</t>
  </si>
  <si>
    <t>MMTC LTD.</t>
  </si>
  <si>
    <t>INE0MXP01015</t>
  </si>
  <si>
    <t>Technopack Polymers Limited</t>
  </si>
  <si>
    <t>TECHNOPACK</t>
  </si>
  <si>
    <t>Technopack Polymers Ltd</t>
  </si>
  <si>
    <t>Shipping Corporation Of India Ltd</t>
  </si>
  <si>
    <t>SCI</t>
  </si>
  <si>
    <t>SHIPPING CORPORATION OF INDIA LTD.</t>
  </si>
  <si>
    <t>eClerx Services Limited</t>
  </si>
  <si>
    <t>ECLERX</t>
  </si>
  <si>
    <t>ECLERX SERVICES LTD.</t>
  </si>
  <si>
    <t>Gujarat Pipavav Port Limited</t>
  </si>
  <si>
    <t>GPPL</t>
  </si>
  <si>
    <t>GUJARAT PIPAVAV PORT LTD.</t>
  </si>
  <si>
    <t>INE510W01014</t>
  </si>
  <si>
    <t>Quess Corp Limited</t>
  </si>
  <si>
    <t>QUESS</t>
  </si>
  <si>
    <t>Quess Corp Ltd</t>
  </si>
  <si>
    <t>INE01EE01011</t>
  </si>
  <si>
    <t>B&amp;B Triplewall Containers Limited</t>
  </si>
  <si>
    <t>BBTCL</t>
  </si>
  <si>
    <t>B&amp;B Triplewall Containers Ltd</t>
  </si>
  <si>
    <t>TVS Supply Chain Solutions Limited</t>
  </si>
  <si>
    <t>TVSSCS</t>
  </si>
  <si>
    <t>TVS Supply Chain Solutions Ltd</t>
  </si>
  <si>
    <t>INE395N01027</t>
  </si>
  <si>
    <t>INE01KI01027</t>
  </si>
  <si>
    <t>VINNY OVERSEAS LIMITED</t>
  </si>
  <si>
    <t>VINNY</t>
  </si>
  <si>
    <t>Vinny Overseas Ltd</t>
  </si>
  <si>
    <t>Medico Intercontinental Limited</t>
  </si>
  <si>
    <t>MIL</t>
  </si>
  <si>
    <t>Medico Intercontinental Ltd</t>
  </si>
  <si>
    <t>INE0N6V01016</t>
  </si>
  <si>
    <t>AMBO AGRITEC LIMITED</t>
  </si>
  <si>
    <t>AMBOAGRI</t>
  </si>
  <si>
    <t>Ambo Agritec Ltd</t>
  </si>
  <si>
    <t>INE792Z01011</t>
  </si>
  <si>
    <t>Sirca Paints India Limited</t>
  </si>
  <si>
    <t>SIRCA</t>
  </si>
  <si>
    <t>Sirca Paints India Ltd</t>
  </si>
  <si>
    <t>INE00OQ01016</t>
  </si>
  <si>
    <t>Dharmaj Crop Guard Limited</t>
  </si>
  <si>
    <t>DHARMAJ</t>
  </si>
  <si>
    <t>Dharmaj Crop Guard Ltd</t>
  </si>
  <si>
    <t>INE324X01026</t>
  </si>
  <si>
    <t>Sarveshwar Foods Limited</t>
  </si>
  <si>
    <t>SARVESHWAR</t>
  </si>
  <si>
    <t>Sarveshwar Foods Ltd</t>
  </si>
  <si>
    <t>INE244O01017</t>
  </si>
  <si>
    <t>Uniparts India Limited</t>
  </si>
  <si>
    <t>UNIPARTS</t>
  </si>
  <si>
    <t>Uniparts India Ltd</t>
  </si>
  <si>
    <t>INE0NT601018</t>
  </si>
  <si>
    <t>PNGS GARGI FASHION JEWELLERY LIMITED</t>
  </si>
  <si>
    <t>GARGI</t>
  </si>
  <si>
    <t>PNGS Gargi Fashion Jewellery Ltd</t>
  </si>
  <si>
    <t>INE142Q01026</t>
  </si>
  <si>
    <t>Sula Vineyards Limited</t>
  </si>
  <si>
    <t>SULA</t>
  </si>
  <si>
    <t>Sula Vineyards Ltd</t>
  </si>
  <si>
    <t>INE00ZE01026</t>
  </si>
  <si>
    <t>Abans Holdings Limited</t>
  </si>
  <si>
    <t>AHL</t>
  </si>
  <si>
    <t>Abans Holdings Ltd</t>
  </si>
  <si>
    <t>Sabrimala Industries India Limited</t>
  </si>
  <si>
    <t>SIIL</t>
  </si>
  <si>
    <t>Sabrimala Industries India Ltd</t>
  </si>
  <si>
    <t>INE559R01029</t>
  </si>
  <si>
    <t>LANDMARK CARS LIMITED</t>
  </si>
  <si>
    <t>LANDMARK</t>
  </si>
  <si>
    <t>Landmark Cars Ltd</t>
  </si>
  <si>
    <t>Franklin Industries Limited</t>
  </si>
  <si>
    <t>FRANKLININD</t>
  </si>
  <si>
    <t>Franklin Industries Ltd</t>
  </si>
  <si>
    <t>CMS Info Systems Limited</t>
  </si>
  <si>
    <t>CMSINFO</t>
  </si>
  <si>
    <t>CMS Info Systems Ltd</t>
  </si>
  <si>
    <t>INE050401020</t>
  </si>
  <si>
    <t>Elin Electronics Limited</t>
  </si>
  <si>
    <t>ELIN</t>
  </si>
  <si>
    <t>Elin Electronics Ltd</t>
  </si>
  <si>
    <t>Shashank Traders Limited</t>
  </si>
  <si>
    <t>SHASHANK</t>
  </si>
  <si>
    <t>Shashank Traders Ltd</t>
  </si>
  <si>
    <t>INE09BN01011</t>
  </si>
  <si>
    <t>Aveer Foods Limited</t>
  </si>
  <si>
    <t>AVEER</t>
  </si>
  <si>
    <t>Aveer Foods Ltd</t>
  </si>
  <si>
    <t>INE035801013</t>
  </si>
  <si>
    <t>Sah Polymers Limited</t>
  </si>
  <si>
    <t>SAH</t>
  </si>
  <si>
    <t>Sah Polymers Ltd</t>
  </si>
  <si>
    <t>INE0MFT01014</t>
  </si>
  <si>
    <t>Rex Sealing and Packing Industries Limited</t>
  </si>
  <si>
    <t>REXSEAL</t>
  </si>
  <si>
    <t>Rex Sealing and Packing Industries Ltd</t>
  </si>
  <si>
    <t>INE0MID01012</t>
  </si>
  <si>
    <t>SVS VENTURES LIMITED</t>
  </si>
  <si>
    <t>SVS</t>
  </si>
  <si>
    <t>SVS Ventures Ltd</t>
  </si>
  <si>
    <t>INE0BSU01018</t>
  </si>
  <si>
    <t>LOGICA INFOWAY LIMITED</t>
  </si>
  <si>
    <t>LOGICA</t>
  </si>
  <si>
    <t>Logica Infoway Ltd</t>
  </si>
  <si>
    <t>INE0BTI01037</t>
  </si>
  <si>
    <t>Kamdhenu Ventures Limited</t>
  </si>
  <si>
    <t>KAMOPAINTS</t>
  </si>
  <si>
    <t>Kamdhenu Ventures Ltd</t>
  </si>
  <si>
    <t>Transport Corporation of India Ltd</t>
  </si>
  <si>
    <t>TCI</t>
  </si>
  <si>
    <t>TRANSPORT CORPORATION OF INDIA LTD.</t>
  </si>
  <si>
    <t>INE0M9Q01011</t>
  </si>
  <si>
    <t>DHARNI CAPITAL SERVICES LIMITED</t>
  </si>
  <si>
    <t>DHARNI</t>
  </si>
  <si>
    <t>Dharni Capital Services Ltd</t>
  </si>
  <si>
    <t>NEW LIGHT APPARELS LIMTED</t>
  </si>
  <si>
    <t>NEWLIGHT</t>
  </si>
  <si>
    <t>New Light Apparels Ltd</t>
  </si>
  <si>
    <t>INE0O4V01010</t>
  </si>
  <si>
    <t>Earthstahl &amp; Alloys Limited</t>
  </si>
  <si>
    <t>EARTH</t>
  </si>
  <si>
    <t>Earthstahl &amp; Alloys Ltd</t>
  </si>
  <si>
    <t>INE094B01013</t>
  </si>
  <si>
    <t>Ashika Credit Capital Ltd.</t>
  </si>
  <si>
    <t>ASHIKA</t>
  </si>
  <si>
    <t>Ashika Credit Capital Ltd</t>
  </si>
  <si>
    <t>INE0EEJ01023</t>
  </si>
  <si>
    <t>BODHI TREE MULTIMEDIA LIMITED</t>
  </si>
  <si>
    <t>BTML</t>
  </si>
  <si>
    <t>Bodhi Tree Multimedia Ltd</t>
  </si>
  <si>
    <t>INE0NNS01018</t>
  </si>
  <si>
    <t>NMDC Steel Limited</t>
  </si>
  <si>
    <t>NSLNISP</t>
  </si>
  <si>
    <t>NMDC Steel Ltd</t>
  </si>
  <si>
    <t>INE0KN201016</t>
  </si>
  <si>
    <t>INDONG TEA COMPANY LIMITED</t>
  </si>
  <si>
    <t>INDONG</t>
  </si>
  <si>
    <t>Indong Tea Company Ltd</t>
  </si>
  <si>
    <t>INE0O4601016</t>
  </si>
  <si>
    <t>Sealmatic India Limited</t>
  </si>
  <si>
    <t>SEALMATIC</t>
  </si>
  <si>
    <t>Sealmatic India Ltd</t>
  </si>
  <si>
    <t>INE0OLH01013</t>
  </si>
  <si>
    <t>Macfos Limited</t>
  </si>
  <si>
    <t>ROBU</t>
  </si>
  <si>
    <t>Macfos Ltd</t>
  </si>
  <si>
    <t>INE0NPA01011</t>
  </si>
  <si>
    <t>Patron Exim Limited</t>
  </si>
  <si>
    <t>PATRON</t>
  </si>
  <si>
    <t>Patron Exim Ltd</t>
  </si>
  <si>
    <t>INE0JZS01010</t>
  </si>
  <si>
    <t>S.V.J.ENTERPRISES LIMITED</t>
  </si>
  <si>
    <t>SVJ</t>
  </si>
  <si>
    <t>S. V. J. ENTERPRISES Ltd</t>
  </si>
  <si>
    <t>INE0G1V01016</t>
  </si>
  <si>
    <t>AMANAYA VENTURES LIMITED</t>
  </si>
  <si>
    <t>AMANAYA</t>
  </si>
  <si>
    <t>Amanaya Ventures Ltd</t>
  </si>
  <si>
    <t>INE0NYN01016</t>
  </si>
  <si>
    <t>RESGEN LIMITED</t>
  </si>
  <si>
    <t>RESGEN</t>
  </si>
  <si>
    <t>Resgen Ltd</t>
  </si>
  <si>
    <t>SHANGAR DECOR LIMITED</t>
  </si>
  <si>
    <t>SHANGAR</t>
  </si>
  <si>
    <t>Shangar Decor Ltd</t>
  </si>
  <si>
    <t>INE645W01026</t>
  </si>
  <si>
    <t>AIRAN LIMITED</t>
  </si>
  <si>
    <t>AIRAN</t>
  </si>
  <si>
    <t>Airan Ltd</t>
  </si>
  <si>
    <t>INE753U01022</t>
  </si>
  <si>
    <t>DIVGI TORQTRANSFER SYSTEMS LIMITED</t>
  </si>
  <si>
    <t>DIVGIITTS</t>
  </si>
  <si>
    <t>DIVGI TORQTRANSFER SYSTEMS Ltd</t>
  </si>
  <si>
    <t>INE0OKG01017</t>
  </si>
  <si>
    <t>Prospect Commodities Limited</t>
  </si>
  <si>
    <t>PCL</t>
  </si>
  <si>
    <t>Prospect Commodities Ltd</t>
  </si>
  <si>
    <t>INE00TV01015</t>
  </si>
  <si>
    <t>SUDARSHAN PHARMA INDUSTRIES LIMITED</t>
  </si>
  <si>
    <t>SUDARSHAN</t>
  </si>
  <si>
    <t>Sudarshan Pharma Industries Ltd</t>
  </si>
  <si>
    <t>INE0JSX01015</t>
  </si>
  <si>
    <t>Global Surfaces Limited</t>
  </si>
  <si>
    <t>GSLSU</t>
  </si>
  <si>
    <t>Global Surfaces Ltd</t>
  </si>
  <si>
    <t>INE0NLJ01011</t>
  </si>
  <si>
    <t>LABELKRAFT TECHNOLOGIES LIMITED</t>
  </si>
  <si>
    <t>LABELKRAFT</t>
  </si>
  <si>
    <t>Labelkraft Technologies Ltd</t>
  </si>
  <si>
    <t>INE0OMI01019</t>
  </si>
  <si>
    <t>Bright Outdoor Media Limited</t>
  </si>
  <si>
    <t>BRIGHT</t>
  </si>
  <si>
    <t>Bright Outdoor Media Ltd</t>
  </si>
  <si>
    <t>INE0LKQ01012</t>
  </si>
  <si>
    <t>Command Polymers Limited</t>
  </si>
  <si>
    <t>COMMAND</t>
  </si>
  <si>
    <t>Command Polymers Ltd</t>
  </si>
  <si>
    <t>INE0NIJ01017</t>
  </si>
  <si>
    <t>Dev Labtech Venture Limited</t>
  </si>
  <si>
    <t>DEVLAB</t>
  </si>
  <si>
    <t>Dev Labtech Venture Ltd</t>
  </si>
  <si>
    <t>INE825B01010</t>
  </si>
  <si>
    <t>J.A. Finance Limited</t>
  </si>
  <si>
    <t>JAFINANCE</t>
  </si>
  <si>
    <t>J.A. Finance Ltd</t>
  </si>
  <si>
    <t>INE0N0Y01013</t>
  </si>
  <si>
    <t>Udayshivakumar infra Limited</t>
  </si>
  <si>
    <t>USK</t>
  </si>
  <si>
    <t>Udayshivakumar Infra Ltd</t>
  </si>
  <si>
    <t>INE0O1T01010</t>
  </si>
  <si>
    <t>Maiden Forgings Limited</t>
  </si>
  <si>
    <t>MAIDEN</t>
  </si>
  <si>
    <t>Maiden Forgings Ltd</t>
  </si>
  <si>
    <t>INE0O8901016</t>
  </si>
  <si>
    <t>Exhicon Events Media Solutions Limited</t>
  </si>
  <si>
    <t>EXHICON</t>
  </si>
  <si>
    <t>Exhicon Events Media Solutions Ltd</t>
  </si>
  <si>
    <t>INE0LCL01028</t>
  </si>
  <si>
    <t>Avalon Technologies Limited</t>
  </si>
  <si>
    <t>AVALON</t>
  </si>
  <si>
    <t>Avalon Technologies Ltd</t>
  </si>
  <si>
    <t>INE0P7001013</t>
  </si>
  <si>
    <t>Sancode Technologies Limited</t>
  </si>
  <si>
    <t>SANCODE</t>
  </si>
  <si>
    <t>Sancode Technologies Ltd</t>
  </si>
  <si>
    <t>INE0N7W01012</t>
  </si>
  <si>
    <t>BEML Land Assets Limited</t>
  </si>
  <si>
    <t>BLAL</t>
  </si>
  <si>
    <t>BEML Land Assets Ltd</t>
  </si>
  <si>
    <t>INE508K01013</t>
  </si>
  <si>
    <t>ROBUST HOTELS LIMITED</t>
  </si>
  <si>
    <t>RHL</t>
  </si>
  <si>
    <t>Robust Hotels Ltd</t>
  </si>
  <si>
    <t>INE0NTC01019</t>
  </si>
  <si>
    <t>Retina Paints Limited</t>
  </si>
  <si>
    <t>RETINA</t>
  </si>
  <si>
    <t>Retina Paints Ltd</t>
  </si>
  <si>
    <t>SIS LIMITED</t>
  </si>
  <si>
    <t>SIS</t>
  </si>
  <si>
    <t>SIS Ltd</t>
  </si>
  <si>
    <t>INE0LDI01022</t>
  </si>
  <si>
    <t>INNOKAIZ INDIA LIMITED</t>
  </si>
  <si>
    <t>INNOKAIZ</t>
  </si>
  <si>
    <t>Innokaiz India Ltd</t>
  </si>
  <si>
    <t>Flora Corporation Limited</t>
  </si>
  <si>
    <t>FLORACORP</t>
  </si>
  <si>
    <t>Flora Corporation Ltd</t>
  </si>
  <si>
    <t>INE0ALR01029</t>
  </si>
  <si>
    <t>Atal Realtech Limited</t>
  </si>
  <si>
    <t>ATALREAL</t>
  </si>
  <si>
    <t>Atal Realtech Ltd</t>
  </si>
  <si>
    <t>INE557Z01018</t>
  </si>
  <si>
    <t>Power &amp; Instrumentation (Gujarat) Limited</t>
  </si>
  <si>
    <t>PIGL</t>
  </si>
  <si>
    <t>Power and Instrumentation (Gujarat) Ltd</t>
  </si>
  <si>
    <t>INE210F01016</t>
  </si>
  <si>
    <t>Swati Projects Limited</t>
  </si>
  <si>
    <t>SWATIPRO</t>
  </si>
  <si>
    <t>Swati Projects Ltd</t>
  </si>
  <si>
    <t>INE07S101020</t>
  </si>
  <si>
    <t>Pavna Industries Limited</t>
  </si>
  <si>
    <t>PAVNAIND</t>
  </si>
  <si>
    <t>Pavna Industries Ltd</t>
  </si>
  <si>
    <t>INE0GYI01028</t>
  </si>
  <si>
    <t>Hemant Surgical Industries Limited</t>
  </si>
  <si>
    <t>HSIL</t>
  </si>
  <si>
    <t>Hemant Surgical Industries Ltd</t>
  </si>
  <si>
    <t>INE0A0S01010</t>
  </si>
  <si>
    <t>SIGMA SOLVE LIMITED</t>
  </si>
  <si>
    <t>SIGMA</t>
  </si>
  <si>
    <t>Sigma Solve Ltd</t>
  </si>
  <si>
    <t>INE0PA801013</t>
  </si>
  <si>
    <t>GHCL Textiles Limited</t>
  </si>
  <si>
    <t>GHCLTEXTIL</t>
  </si>
  <si>
    <t>GHCL Textiles Ltd</t>
  </si>
  <si>
    <t>INE964W01021</t>
  </si>
  <si>
    <t>M.K.Proteins Limited</t>
  </si>
  <si>
    <t>MKPL</t>
  </si>
  <si>
    <t>M. K. Proteins Ltd</t>
  </si>
  <si>
    <t>INE0NJ001013</t>
  </si>
  <si>
    <t>CFF FLUID CONTROL LIMITED</t>
  </si>
  <si>
    <t>CFF</t>
  </si>
  <si>
    <t>CFF Fluid Control Ltd</t>
  </si>
  <si>
    <t>INE0NXA01015</t>
  </si>
  <si>
    <t>Comrade Appliances Limited</t>
  </si>
  <si>
    <t>COMRADE</t>
  </si>
  <si>
    <t>Comrade Appliances Ltd</t>
  </si>
  <si>
    <t>INE0LOJ01019</t>
  </si>
  <si>
    <t>IKIO Lighting Limited</t>
  </si>
  <si>
    <t>IKIO</t>
  </si>
  <si>
    <t>IKIO Lighting Ltd</t>
  </si>
  <si>
    <t>INE0N5O01013</t>
  </si>
  <si>
    <t>Sonalis Consumer Products Limited</t>
  </si>
  <si>
    <t>SONALIS</t>
  </si>
  <si>
    <t>Sonalis Consumer Products Ltd</t>
  </si>
  <si>
    <t>INE0OJ401014</t>
  </si>
  <si>
    <t>Bizotic Commercial Limited</t>
  </si>
  <si>
    <t>BIZOTIC</t>
  </si>
  <si>
    <t>Bizotic Commercial Ltd</t>
  </si>
  <si>
    <t>INE04Z101016</t>
  </si>
  <si>
    <t>Asian Warehousing Limited</t>
  </si>
  <si>
    <t>ASIAN</t>
  </si>
  <si>
    <t>Asian Warehousing Ltd</t>
  </si>
  <si>
    <t>Food Storage Facilities</t>
  </si>
  <si>
    <t>INE0ORA01015</t>
  </si>
  <si>
    <t>Cosmic CRF Limited</t>
  </si>
  <si>
    <t>COSMICCRF</t>
  </si>
  <si>
    <t>Cosmic CRF Ltd</t>
  </si>
  <si>
    <t>INE0ECP01024</t>
  </si>
  <si>
    <t>HMA Agro Industries Limited</t>
  </si>
  <si>
    <t>HMAAGRO</t>
  </si>
  <si>
    <t>HMA Agro Industries Ltd</t>
  </si>
  <si>
    <t>INE568Z01015</t>
  </si>
  <si>
    <t>URAVI T AND WEDGE LAMPS LIMITED</t>
  </si>
  <si>
    <t>URAVI</t>
  </si>
  <si>
    <t>Uravi T And Wedge Lamps Ltd</t>
  </si>
  <si>
    <t>INE0Q0M01015</t>
  </si>
  <si>
    <t>VEEFIN SOLUTIONS LIMITED</t>
  </si>
  <si>
    <t>VEEFIN</t>
  </si>
  <si>
    <t>Veefin Solutions Ltd</t>
  </si>
  <si>
    <t>INE349Y01013</t>
  </si>
  <si>
    <t>IDEAFORGE TECHNOLOGY LIMITED</t>
  </si>
  <si>
    <t>IDEAFORGE</t>
  </si>
  <si>
    <t>Ideaforge Technology Ltd</t>
  </si>
  <si>
    <t>Nesco Ltd</t>
  </si>
  <si>
    <t>NESCO</t>
  </si>
  <si>
    <t>NESCO LTD.</t>
  </si>
  <si>
    <t>INE01BT01015</t>
  </si>
  <si>
    <t>Machhar Industries Limited</t>
  </si>
  <si>
    <t>MACIND</t>
  </si>
  <si>
    <t>Machhar Industries Ltd</t>
  </si>
  <si>
    <t>MSTC Limited</t>
  </si>
  <si>
    <t>MSTCLTD</t>
  </si>
  <si>
    <t>MSTC Ltd</t>
  </si>
  <si>
    <t>INE0NZF01019</t>
  </si>
  <si>
    <t>ALPHALOGIC INDUSTRIES LIMITED</t>
  </si>
  <si>
    <t>ALPHAIND</t>
  </si>
  <si>
    <t>Alphalogic Industries Ltd</t>
  </si>
  <si>
    <t>INE0POP01017</t>
  </si>
  <si>
    <t>ACCELERATEBS INDIA LIMITED</t>
  </si>
  <si>
    <t>ACCELERATE</t>
  </si>
  <si>
    <t>Acceleratebs India Ltd</t>
  </si>
  <si>
    <t>INE0P3N01018</t>
  </si>
  <si>
    <t>Kaka Industries Limited</t>
  </si>
  <si>
    <t>KAKA</t>
  </si>
  <si>
    <t>Kaka Industries Ltd</t>
  </si>
  <si>
    <t>Allcargo Logistics Ltd</t>
  </si>
  <si>
    <t>ALLCARGO</t>
  </si>
  <si>
    <t>ALLCARGO LOGISTICS LTD.</t>
  </si>
  <si>
    <t>INE0NEV01011</t>
  </si>
  <si>
    <t>AHASOLAR TECHNOLOGIES LIMITED</t>
  </si>
  <si>
    <t>AHASOLAR</t>
  </si>
  <si>
    <t>Ahasolar Technologies Ltd</t>
  </si>
  <si>
    <t>Hemisphere Properties India Limited</t>
  </si>
  <si>
    <t>HEMIPROP</t>
  </si>
  <si>
    <t>Hemisphere Properties India Ltd</t>
  </si>
  <si>
    <t>INE0DN001027</t>
  </si>
  <si>
    <t>ASARFI HOSPITAL LIMITED</t>
  </si>
  <si>
    <t>ASARFI</t>
  </si>
  <si>
    <t>Asarfi Hospital Ltd</t>
  </si>
  <si>
    <t>VRL Logistics Limited</t>
  </si>
  <si>
    <t>VRLLOG</t>
  </si>
  <si>
    <t>VRL Logistics Ltd</t>
  </si>
  <si>
    <t>INE0JO301016</t>
  </si>
  <si>
    <t>YATHARTH HOSPITAL &amp; TRAUMA CARE SERVICES LIMITED</t>
  </si>
  <si>
    <t>YATHARTH</t>
  </si>
  <si>
    <t>Yatharth Hospital &amp; Trauma Care Services Ltd</t>
  </si>
  <si>
    <t>INE0LYO01018</t>
  </si>
  <si>
    <t>Innovatus Entertainment Networks Limited</t>
  </si>
  <si>
    <t>INNOVATUS</t>
  </si>
  <si>
    <t>Innovatus Entertainment Networks Ltd</t>
  </si>
  <si>
    <t>Gateway Distriparks Limited</t>
  </si>
  <si>
    <t>GATEWAY</t>
  </si>
  <si>
    <t>Gateway Distriparks Ltd</t>
  </si>
  <si>
    <t>INE0OWC01011</t>
  </si>
  <si>
    <t>Khazanchi Jewellers Limited</t>
  </si>
  <si>
    <t>KHAZANCHI</t>
  </si>
  <si>
    <t>Khazanchi Jewellers Ltd</t>
  </si>
  <si>
    <t>Raideep Industries Limited</t>
  </si>
  <si>
    <t>RAIDEEPIND</t>
  </si>
  <si>
    <t>Raideep Industries Ltd</t>
  </si>
  <si>
    <t>KCD INDUSTRIES INDIA LIMITED</t>
  </si>
  <si>
    <t>KCDGROUP</t>
  </si>
  <si>
    <t>KCD Industries India Ltd</t>
  </si>
  <si>
    <t>HFCL LIMITED</t>
  </si>
  <si>
    <t>HFCL</t>
  </si>
  <si>
    <t>HFCL Ltd</t>
  </si>
  <si>
    <t>INE03HW01020</t>
  </si>
  <si>
    <t>VL E-Governance &amp; IT Solutions Limited</t>
  </si>
  <si>
    <t>VLEGOV</t>
  </si>
  <si>
    <t>VL E-Governance &amp; IT Solutions Ltd</t>
  </si>
  <si>
    <t>Tata Communications Limited</t>
  </si>
  <si>
    <t>TATACOMM</t>
  </si>
  <si>
    <t>TATA COMMUNICATIONS LTD.</t>
  </si>
  <si>
    <t>ITI Limited (Indian Teleph.Ind.Ltd)</t>
  </si>
  <si>
    <t>ITI</t>
  </si>
  <si>
    <t>ITI LTD.</t>
  </si>
  <si>
    <t>INE864X01013</t>
  </si>
  <si>
    <t>D.P. WIRES LIMITED</t>
  </si>
  <si>
    <t>DPWIRES</t>
  </si>
  <si>
    <t>D.P. Wires Ltd</t>
  </si>
  <si>
    <t>INE013V01011</t>
  </si>
  <si>
    <t>SHELTER PHARMA LIMITED</t>
  </si>
  <si>
    <t>SHELTER</t>
  </si>
  <si>
    <t>Shelter Pharma Ltd</t>
  </si>
  <si>
    <t>PRO CLB GLOBAL LIMITED</t>
  </si>
  <si>
    <t>PROCLB</t>
  </si>
  <si>
    <t>Pro Clb Global Ltd</t>
  </si>
  <si>
    <t>INE0MIS01010</t>
  </si>
  <si>
    <t>Pyramid Technoplast Limited</t>
  </si>
  <si>
    <t>PYRAMID</t>
  </si>
  <si>
    <t>Pyramid Technoplast Ltd</t>
  </si>
  <si>
    <t>INE0OJZ01019</t>
  </si>
  <si>
    <t>Shoora Designs Limited</t>
  </si>
  <si>
    <t>SHOORA</t>
  </si>
  <si>
    <t>Shoora Designs Ltd</t>
  </si>
  <si>
    <t>INE0Q8P01011</t>
  </si>
  <si>
    <t>Tata Teleservices (Maharashtra) Ltd.</t>
  </si>
  <si>
    <t>TTML</t>
  </si>
  <si>
    <t>TATA TELESERVICES (MAHARASHTRA) LTD.</t>
  </si>
  <si>
    <t>INE024001021</t>
  </si>
  <si>
    <t>Aeroflex Industries Limited</t>
  </si>
  <si>
    <t>AEROFLEX</t>
  </si>
  <si>
    <t>Aeroflex Industries Ltd</t>
  </si>
  <si>
    <t>INE0AE001013</t>
  </si>
  <si>
    <t>VISHNU PRAKASH R PUNGLIA LIMITED</t>
  </si>
  <si>
    <t>VPRPL</t>
  </si>
  <si>
    <t>Vishnu Prakash R Punglia Ltd</t>
  </si>
  <si>
    <t>INE489B01023</t>
  </si>
  <si>
    <t>Shradha AI Technologies Limited</t>
  </si>
  <si>
    <t>SHRAAITECH</t>
  </si>
  <si>
    <t>Shradha AI Technologies Ltd</t>
  </si>
  <si>
    <t>INE0N2P01017</t>
  </si>
  <si>
    <t>Rishabh Instruments Limited</t>
  </si>
  <si>
    <t>RISHABH</t>
  </si>
  <si>
    <t>Rishabh Instruments Ltd</t>
  </si>
  <si>
    <t>INE05CZ01011</t>
  </si>
  <si>
    <t>Ratnaveer Precision Engineering Limited</t>
  </si>
  <si>
    <t>RATNAVEER</t>
  </si>
  <si>
    <t>Ratnaveer Precision Engineering Ltd</t>
  </si>
  <si>
    <t>INE04T901017</t>
  </si>
  <si>
    <t>Kahan Packaging Limited</t>
  </si>
  <si>
    <t>KAHAN</t>
  </si>
  <si>
    <t>Kahan Packaging Ltd</t>
  </si>
  <si>
    <t>Sterlite Technologies Limited.</t>
  </si>
  <si>
    <t>STLTECH</t>
  </si>
  <si>
    <t>STERLITE TECHNOLOGIES LTD.</t>
  </si>
  <si>
    <t>Bharti Airtel  Ltd.</t>
  </si>
  <si>
    <t>BHARTIARTL</t>
  </si>
  <si>
    <t>BHARTI AIRTEL LTD.</t>
  </si>
  <si>
    <t>INE0OYE01013</t>
  </si>
  <si>
    <t>Meson Valves India Limited</t>
  </si>
  <si>
    <t>MESON</t>
  </si>
  <si>
    <t>Meson Valves India Ltd</t>
  </si>
  <si>
    <t>INE0OV601013</t>
  </si>
  <si>
    <t>EMS LIMITED</t>
  </si>
  <si>
    <t>EMSLIMITED</t>
  </si>
  <si>
    <t>EMS Ltd</t>
  </si>
  <si>
    <t>INE08U801020</t>
  </si>
  <si>
    <t>Samhi Hotels Limited</t>
  </si>
  <si>
    <t>SAMHI</t>
  </si>
  <si>
    <t>Samhi Hotels Ltd</t>
  </si>
  <si>
    <t>INE07K301024</t>
  </si>
  <si>
    <t>ZAGGLE PREPAID OCEAN SERVICES LIMITED</t>
  </si>
  <si>
    <t>ZAGGLE</t>
  </si>
  <si>
    <t>Zaggle Prepaid Ocean Services Ltd</t>
  </si>
  <si>
    <t>INE980Y01015</t>
  </si>
  <si>
    <t>South West Pinnacle Exploration Limited</t>
  </si>
  <si>
    <t>SOUTHWEST</t>
  </si>
  <si>
    <t>South West Pinnacle Exploration Ltd</t>
  </si>
  <si>
    <t>VODAFONE IDEA LIMITED</t>
  </si>
  <si>
    <t>IDEA</t>
  </si>
  <si>
    <t>Vodafone Idea Ltd</t>
  </si>
  <si>
    <t>INE438K01021</t>
  </si>
  <si>
    <t>Sai Silks (Kalamandir) Limited</t>
  </si>
  <si>
    <t>KALAMANDIR</t>
  </si>
  <si>
    <t>Sai Silks (Kalamandir) Ltd</t>
  </si>
  <si>
    <t>INDUS TOWERS LIMITED</t>
  </si>
  <si>
    <t>INDUSTOWER</t>
  </si>
  <si>
    <t>Indus Towers Ltd</t>
  </si>
  <si>
    <t>Chandrima Mercantiles limited</t>
  </si>
  <si>
    <t>CHANDRIMA</t>
  </si>
  <si>
    <t>Chandrima Mercantiles Ltd</t>
  </si>
  <si>
    <t>INE0JR601024</t>
  </si>
  <si>
    <t>YATRA ONLINE LIMITED</t>
  </si>
  <si>
    <t>YATRA</t>
  </si>
  <si>
    <t>Yatra Online Ltd</t>
  </si>
  <si>
    <t>INE372M01010</t>
  </si>
  <si>
    <t>ARCL Organics Ltd</t>
  </si>
  <si>
    <t>ARCL</t>
  </si>
  <si>
    <t>Jonjua Overseas Limited</t>
  </si>
  <si>
    <t>JONJUA</t>
  </si>
  <si>
    <t>Jonjua Overseas Ltd</t>
  </si>
  <si>
    <t>INE0KNT01012</t>
  </si>
  <si>
    <t>MANOJ VAIBHAV GEMS 'N' JEWELLERS LIMITED</t>
  </si>
  <si>
    <t>MVGJL</t>
  </si>
  <si>
    <t>Manoj Vaibhav Gems N Jewellers Ltd</t>
  </si>
  <si>
    <t>Gleam Fabmat Limited</t>
  </si>
  <si>
    <t>GLEAM</t>
  </si>
  <si>
    <t>Gleam Fabmat Ltd</t>
  </si>
  <si>
    <t>INE0MIO01019</t>
  </si>
  <si>
    <t>ORGANIC RECYCLING SYSTEMS LIMITED</t>
  </si>
  <si>
    <t>ORGANICREC</t>
  </si>
  <si>
    <t>Organic Recycling Systems Ltd</t>
  </si>
  <si>
    <t>INE0JWS01017</t>
  </si>
  <si>
    <t>Valiant Laboratories Limited</t>
  </si>
  <si>
    <t>VALIANTLAB</t>
  </si>
  <si>
    <t>Valiant Laboratories Ltd</t>
  </si>
  <si>
    <t>INE0M7501019</t>
  </si>
  <si>
    <t>CITY CROPS AGRO LIMITED</t>
  </si>
  <si>
    <t>CCAL</t>
  </si>
  <si>
    <t>City Crops Agro Ltd</t>
  </si>
  <si>
    <t>INE0Q1S01010</t>
  </si>
  <si>
    <t>Sunita Tools Limited</t>
  </si>
  <si>
    <t>SUNITATOOL</t>
  </si>
  <si>
    <t>Sunita Tools Ltd</t>
  </si>
  <si>
    <t>INE0PA601017</t>
  </si>
  <si>
    <t>Vivaa Tradecom Limited</t>
  </si>
  <si>
    <t>VIVAA</t>
  </si>
  <si>
    <t>Vivaa Tradecom Ltd</t>
  </si>
  <si>
    <t>INE0INJ01017</t>
  </si>
  <si>
    <t>Plaza Wires Limited</t>
  </si>
  <si>
    <t>PLAZACABLE</t>
  </si>
  <si>
    <t>Plaza Wires Ltd</t>
  </si>
  <si>
    <t>INE07U701015</t>
  </si>
  <si>
    <t>IRM ENERGY LIMITED</t>
  </si>
  <si>
    <t>IRMENERGY</t>
  </si>
  <si>
    <t>IRM Energy Ltd</t>
  </si>
  <si>
    <t>Tejas Networks Limited</t>
  </si>
  <si>
    <t>TEJASNET</t>
  </si>
  <si>
    <t>Tejas Networks Ltd</t>
  </si>
  <si>
    <t>Route Mobile Limited</t>
  </si>
  <si>
    <t>ROUTE</t>
  </si>
  <si>
    <t>Route Mobile Ltd</t>
  </si>
  <si>
    <t>Chandni Machines Limited</t>
  </si>
  <si>
    <t>CHANDNIMACH</t>
  </si>
  <si>
    <t>Chandni Machines Ltd</t>
  </si>
  <si>
    <t>RailTel Corporation of India Limited</t>
  </si>
  <si>
    <t>RAILTEL</t>
  </si>
  <si>
    <t>RailTel Corporation of India Ltd</t>
  </si>
  <si>
    <t>INE0OH401016</t>
  </si>
  <si>
    <t>KK Shah Hospitals Limited</t>
  </si>
  <si>
    <t>KKSHL</t>
  </si>
  <si>
    <t>KK Shah Hospitals Ltd</t>
  </si>
  <si>
    <t>Bondada Engineering Limited</t>
  </si>
  <si>
    <t>BONDADA</t>
  </si>
  <si>
    <t>Bondada Engineering Ltd</t>
  </si>
  <si>
    <t>INE0QI101019</t>
  </si>
  <si>
    <t>Mish Designs Limited</t>
  </si>
  <si>
    <t>MISHDESIGN</t>
  </si>
  <si>
    <t>Mish Designs Ltd</t>
  </si>
  <si>
    <t>INE818W01011</t>
  </si>
  <si>
    <t>ESAF Small Finance Bank Ltd</t>
  </si>
  <si>
    <t>ESAFSFB</t>
  </si>
  <si>
    <t>INE004A01022</t>
  </si>
  <si>
    <t>Protean eGov Technologies Limited</t>
  </si>
  <si>
    <t>PROTEAN</t>
  </si>
  <si>
    <t>Protean eGov Technologies Ltd</t>
  </si>
  <si>
    <t>Bharti Hexacom Limited</t>
  </si>
  <si>
    <t>BHARTIHEXA</t>
  </si>
  <si>
    <t>Bharti Hexacom Ltd</t>
  </si>
  <si>
    <t>INE343G01021</t>
  </si>
  <si>
    <t>INE0N6U01018</t>
  </si>
  <si>
    <t>Kalyani Cast-Tech Limited</t>
  </si>
  <si>
    <t>KALYANI</t>
  </si>
  <si>
    <t>Kalyani Cast-Tech Ltd</t>
  </si>
  <si>
    <t>INE0PP401015</t>
  </si>
  <si>
    <t>Arrowhead Seperation Engineering Limited</t>
  </si>
  <si>
    <t>ARROWHEAD</t>
  </si>
  <si>
    <t>Arrowhead Seperation Engineering Ltd</t>
  </si>
  <si>
    <t>CESC Limited</t>
  </si>
  <si>
    <t>CESC</t>
  </si>
  <si>
    <t>CESC LTD.</t>
  </si>
  <si>
    <t>Integrated Power Utilities</t>
  </si>
  <si>
    <t>INE007N01010</t>
  </si>
  <si>
    <t>Fedbank Financial Services Limited</t>
  </si>
  <si>
    <t>FEDFINA</t>
  </si>
  <si>
    <t>Fedbank Financial Services Ltd</t>
  </si>
  <si>
    <t>Ion Exchange (India) Ltd</t>
  </si>
  <si>
    <t>IONEXCHANG</t>
  </si>
  <si>
    <t>ION EXCHANGE (INDIA) LTD.-$</t>
  </si>
  <si>
    <t>INE717W01049</t>
  </si>
  <si>
    <t>Gandhar Oil Refinery (India) Limited</t>
  </si>
  <si>
    <t>GANDHAR</t>
  </si>
  <si>
    <t>Gandhar Oil Refinery (India) Ltd</t>
  </si>
  <si>
    <t>INE00Y201027</t>
  </si>
  <si>
    <t>Flair Writing Industries Limited</t>
  </si>
  <si>
    <t>FLAIR</t>
  </si>
  <si>
    <t>Flair Writing Industries Ltd</t>
  </si>
  <si>
    <t>INE0RDR01012</t>
  </si>
  <si>
    <t>Swashthik Plascon Limited</t>
  </si>
  <si>
    <t>SPL</t>
  </si>
  <si>
    <t>Swashthik Plascon Ltd</t>
  </si>
  <si>
    <t>INE0RDM01013</t>
  </si>
  <si>
    <t>DEEPAK CHEMTEX LIMITED</t>
  </si>
  <si>
    <t>DEEPAKCHEM</t>
  </si>
  <si>
    <t>Deepak Chemtex Ltd</t>
  </si>
  <si>
    <t>INE0P9J01013</t>
  </si>
  <si>
    <t>Amic Forging Limited</t>
  </si>
  <si>
    <t>AMIC</t>
  </si>
  <si>
    <t>Amic Forging Ltd</t>
  </si>
  <si>
    <t>INE0KQN01018</t>
  </si>
  <si>
    <t>Bajel Projects Limited</t>
  </si>
  <si>
    <t>BAJEL</t>
  </si>
  <si>
    <t>Bajel Projects Ltd</t>
  </si>
  <si>
    <t>Reliance Infrastructure Ltd</t>
  </si>
  <si>
    <t>RELINFRA</t>
  </si>
  <si>
    <t>RELIANCE INFRASTRUCTURE LTD.</t>
  </si>
  <si>
    <t>Tata Power Co. Ltd</t>
  </si>
  <si>
    <t>TATAPOWER</t>
  </si>
  <si>
    <t>TATA POWER CO.LTD.</t>
  </si>
  <si>
    <t>NAVA LIMITED</t>
  </si>
  <si>
    <t>NAVA</t>
  </si>
  <si>
    <t>Nava Ltd</t>
  </si>
  <si>
    <t>INE0QSK01017</t>
  </si>
  <si>
    <t>Siyaram Recycling Industries Limited</t>
  </si>
  <si>
    <t>SIYARAM</t>
  </si>
  <si>
    <t>Siyaram Recycling Industries Ltd</t>
  </si>
  <si>
    <t>INE0Q2Z01013</t>
  </si>
  <si>
    <t>Benchmark Computer Solutions Limited</t>
  </si>
  <si>
    <t>BENCHMARK</t>
  </si>
  <si>
    <t>Benchmark Computer Solutions Ltd</t>
  </si>
  <si>
    <t>INE0FRK01012</t>
  </si>
  <si>
    <t>Motisons Jewellers Limited</t>
  </si>
  <si>
    <t>MOTISONS</t>
  </si>
  <si>
    <t>Motisons Jewellers Ltd</t>
  </si>
  <si>
    <t>INE843S01025</t>
  </si>
  <si>
    <t>Suraj Estate Developers Limited</t>
  </si>
  <si>
    <t>SURAJEST</t>
  </si>
  <si>
    <t>Suraj Estate Developers Ltd</t>
  </si>
  <si>
    <t>INE046W01019</t>
  </si>
  <si>
    <t>Muthoot Microfin Limited</t>
  </si>
  <si>
    <t>MUTHOOTMF</t>
  </si>
  <si>
    <t>Muthoot Microfin Ltd</t>
  </si>
  <si>
    <t>Navoday Enterprises Limited</t>
  </si>
  <si>
    <t>NAVODAYENT</t>
  </si>
  <si>
    <t>Navoday Enterprises Ltd</t>
  </si>
  <si>
    <t>NLC India Limited</t>
  </si>
  <si>
    <t>NLCINDIA</t>
  </si>
  <si>
    <t>NLC India Ltd</t>
  </si>
  <si>
    <t>INE220Q01020</t>
  </si>
  <si>
    <t>Credo Brands Marketing Limited</t>
  </si>
  <si>
    <t>MUFTI</t>
  </si>
  <si>
    <t>Credo Brands Marketing Ltd</t>
  </si>
  <si>
    <t>INE0QZQ01019</t>
  </si>
  <si>
    <t>SHANTI SPINTEX LIMITED</t>
  </si>
  <si>
    <t>SHANTIDENM</t>
  </si>
  <si>
    <t>Shanti Spintex Ltd</t>
  </si>
  <si>
    <t>INE0PEQ01016</t>
  </si>
  <si>
    <t>RBZ Jewellers Limited</t>
  </si>
  <si>
    <t>RBZJEWEL</t>
  </si>
  <si>
    <t>RBZ Jewellers Ltd</t>
  </si>
  <si>
    <t>PTC India Ltd</t>
  </si>
  <si>
    <t>PTC</t>
  </si>
  <si>
    <t>PTC INDIA LTD.</t>
  </si>
  <si>
    <t>Power Trading</t>
  </si>
  <si>
    <t>INE0Q3R01026</t>
  </si>
  <si>
    <t>SUNDARAM-CLAYTON LIMITED</t>
  </si>
  <si>
    <t>SUNCLAY</t>
  </si>
  <si>
    <t>Sundaram-Clayton Ltd</t>
  </si>
  <si>
    <t>INE0DUT01020</t>
  </si>
  <si>
    <t>INNOVA CAPTAB LIMITED</t>
  </si>
  <si>
    <t>INNOVACAP</t>
  </si>
  <si>
    <t>Innova Captab Ltd</t>
  </si>
  <si>
    <t>INE0QFT01015</t>
  </si>
  <si>
    <t>AIK Pipes and Polymers Limited</t>
  </si>
  <si>
    <t>AIKPIPES</t>
  </si>
  <si>
    <t>AIK Pipes and Polymers Ltd</t>
  </si>
  <si>
    <t>INE0A6N01026</t>
  </si>
  <si>
    <t>Manoj Ceramic Limited</t>
  </si>
  <si>
    <t>MCPL</t>
  </si>
  <si>
    <t>Manoj Ceramic Ltd</t>
  </si>
  <si>
    <t>INE0RNZ01014</t>
  </si>
  <si>
    <t>Shri Balaji Valve Components Limited</t>
  </si>
  <si>
    <t>SBVCL</t>
  </si>
  <si>
    <t>Shri Balaji Valve Components Ltd</t>
  </si>
  <si>
    <t>INE0PSC01024</t>
  </si>
  <si>
    <t>DIGIDRIVE DISTRIBUTORS LIMITED</t>
  </si>
  <si>
    <t>DIGIDRIVE</t>
  </si>
  <si>
    <t>Digidrive Distributors Ltd</t>
  </si>
  <si>
    <t>INE0MGS01014</t>
  </si>
  <si>
    <t>Sayaji Hotels (Indore) Limited</t>
  </si>
  <si>
    <t>SHILINDORE</t>
  </si>
  <si>
    <t>Sayaji Hotels (Indore) Ltd</t>
  </si>
  <si>
    <t>NTPC Limited</t>
  </si>
  <si>
    <t>NTPC</t>
  </si>
  <si>
    <t>NTPC LTD.</t>
  </si>
  <si>
    <t>INE0GEN01012</t>
  </si>
  <si>
    <t>New Swan Multitech Limited</t>
  </si>
  <si>
    <t>SWANAGRO</t>
  </si>
  <si>
    <t>New Swan Multitech Ltd</t>
  </si>
  <si>
    <t>INE0QIS01011</t>
  </si>
  <si>
    <t>Shree Marutinandan Tubes Limited</t>
  </si>
  <si>
    <t>SHREE</t>
  </si>
  <si>
    <t>Shree Marutinandan Tubes Ltd</t>
  </si>
  <si>
    <t>INE456Z01021</t>
  </si>
  <si>
    <t>Medi Assist Healthcare Services Limited</t>
  </si>
  <si>
    <t>MEDIASSIST</t>
  </si>
  <si>
    <t>Medi Assist Healthcare Services Ltd</t>
  </si>
  <si>
    <t>Insurance Distributors</t>
  </si>
  <si>
    <t>INE07G501017</t>
  </si>
  <si>
    <t>Sayaji Hotels (Pune) Limited</t>
  </si>
  <si>
    <t>SHPLPUNE</t>
  </si>
  <si>
    <t>Sayaji Hotels (Pune) Ltd</t>
  </si>
  <si>
    <t>INE0Q1R01012</t>
  </si>
  <si>
    <t>AA Plus Tradelink Limited</t>
  </si>
  <si>
    <t>AAPLUSTRAD</t>
  </si>
  <si>
    <t>AA Plus Tradelink Ltd</t>
  </si>
  <si>
    <t>INE0PYT01018</t>
  </si>
  <si>
    <t>Euphoria Infotech (India) Limited</t>
  </si>
  <si>
    <t>EUPHORIAIT</t>
  </si>
  <si>
    <t>Euphoria Infotech (India) Ltd</t>
  </si>
  <si>
    <t>INE0G5901015</t>
  </si>
  <si>
    <t>EPACK Durable Limited</t>
  </si>
  <si>
    <t>EPACK</t>
  </si>
  <si>
    <t>EPACK Durable Ltd</t>
  </si>
  <si>
    <t>INE02H701025</t>
  </si>
  <si>
    <t>Nova Agritech Limited</t>
  </si>
  <si>
    <t>NOVAAGRI</t>
  </si>
  <si>
    <t>Nova Agritech Ltd</t>
  </si>
  <si>
    <t>INE0Q6L01014</t>
  </si>
  <si>
    <t>Brisk Technovision Limited</t>
  </si>
  <si>
    <t>BRISK</t>
  </si>
  <si>
    <t>Brisk Technovision Ltd</t>
  </si>
  <si>
    <t>INE0OLZ01015</t>
  </si>
  <si>
    <t>HARSHDEEP HORTICO LIMITED</t>
  </si>
  <si>
    <t>HARSHDEEP</t>
  </si>
  <si>
    <t>Harshdeep Hortico Ltd</t>
  </si>
  <si>
    <t>INE0R5Z01015</t>
  </si>
  <si>
    <t>Mayank Cattle Food Limited</t>
  </si>
  <si>
    <t>MCFL</t>
  </si>
  <si>
    <t>Mayank Cattle Food Ltd</t>
  </si>
  <si>
    <t>INE0NLT01010</t>
  </si>
  <si>
    <t>BLS E-Services Limited</t>
  </si>
  <si>
    <t>BLSE</t>
  </si>
  <si>
    <t>BLS E-Services Ltd</t>
  </si>
  <si>
    <t>INE0QZF01012</t>
  </si>
  <si>
    <t>Gabriel Pet Straps Limited</t>
  </si>
  <si>
    <t>GPSL</t>
  </si>
  <si>
    <t>Gabriel Pet Straps Ltd</t>
  </si>
  <si>
    <t>INE988S01028</t>
  </si>
  <si>
    <t>Apeejay Surrendra Park Hotels Limited</t>
  </si>
  <si>
    <t>PARKHOTELS</t>
  </si>
  <si>
    <t>Apeejay Surrendra Park Hotels Ltd</t>
  </si>
  <si>
    <t>INE0QXV01014</t>
  </si>
  <si>
    <t>JASCH GAUGING TECHNOLOGIES LIMITED</t>
  </si>
  <si>
    <t>JGTL</t>
  </si>
  <si>
    <t>Jasch Gauging Technologies Ltd</t>
  </si>
  <si>
    <t>INE0KGZ01021</t>
  </si>
  <si>
    <t>Signpost India Limited</t>
  </si>
  <si>
    <t>SIGNPOST</t>
  </si>
  <si>
    <t>Signpost India Ltd</t>
  </si>
  <si>
    <t>Jaiprakash Power Ventures Limited</t>
  </si>
  <si>
    <t>JPPOWER</t>
  </si>
  <si>
    <t>INE0J1F01024</t>
  </si>
  <si>
    <t>Rashi Peripherals Limited</t>
  </si>
  <si>
    <t>RPTECH</t>
  </si>
  <si>
    <t>Rashi Peripherals Ltd</t>
  </si>
  <si>
    <t>INE646H01017</t>
  </si>
  <si>
    <t>Capital Small Finance Bank Ltd</t>
  </si>
  <si>
    <t>CAPITALSFB</t>
  </si>
  <si>
    <t>INE0OYK01010</t>
  </si>
  <si>
    <t>Rudra Gas Enterprise Limited</t>
  </si>
  <si>
    <t>RUDRAGAS</t>
  </si>
  <si>
    <t>Rudra Gas Enterprise Ltd</t>
  </si>
  <si>
    <t>INE010601016</t>
  </si>
  <si>
    <t>Entero Healthcare Solutions Limited</t>
  </si>
  <si>
    <t>ENTERO</t>
  </si>
  <si>
    <t>Entero Healthcare Solutions Ltd</t>
  </si>
  <si>
    <t>INE0QTF01015</t>
  </si>
  <si>
    <t>VIBHOR STEEL TUBES LIMITED</t>
  </si>
  <si>
    <t>VSTL</t>
  </si>
  <si>
    <t>Vibhor Steel Tubes Ltd</t>
  </si>
  <si>
    <t>TORRENT POWER LIMITED</t>
  </si>
  <si>
    <t>TORNTPOWER</t>
  </si>
  <si>
    <t>TORRENT POWER LTD.</t>
  </si>
  <si>
    <t>INE486R01017</t>
  </si>
  <si>
    <t>GPT Healthcare Limited</t>
  </si>
  <si>
    <t>GPTHEALTH</t>
  </si>
  <si>
    <t>GPT Healthcare Ltd</t>
  </si>
  <si>
    <t>POWER GRID CORPORATION OF INDIA LIMITED</t>
  </si>
  <si>
    <t>POWERGRID</t>
  </si>
  <si>
    <t>POWER GRID CORPORATION OF INDIA LTD.</t>
  </si>
  <si>
    <t>Power - Transmission</t>
  </si>
  <si>
    <t>INE0PT501018</t>
  </si>
  <si>
    <t>Platinum Industries Limited</t>
  </si>
  <si>
    <t>PLATIND</t>
  </si>
  <si>
    <t>Platinum Industries Ltd</t>
  </si>
  <si>
    <t>INE0CG401037</t>
  </si>
  <si>
    <t>Mukka Proteins Limited</t>
  </si>
  <si>
    <t>MUKKA</t>
  </si>
  <si>
    <t>Mukka Proteins Ltd</t>
  </si>
  <si>
    <t>INE0NQ801033</t>
  </si>
  <si>
    <t>R K Swamy Limited</t>
  </si>
  <si>
    <t>RKSWAMY</t>
  </si>
  <si>
    <t>R K Swamy Ltd</t>
  </si>
  <si>
    <t>INE0MB501011</t>
  </si>
  <si>
    <t>J.G.Chemicals Limited</t>
  </si>
  <si>
    <t>JGCHEM</t>
  </si>
  <si>
    <t>J.G.Chemicals Ltd</t>
  </si>
  <si>
    <t>INE0M8R01011</t>
  </si>
  <si>
    <t>KOURA FINE DIAMOND JEWELRY LIMITED</t>
  </si>
  <si>
    <t>KOURA</t>
  </si>
  <si>
    <t>Koura Fine Diamond Jewelry Ltd</t>
  </si>
  <si>
    <t>INE0L9R01028</t>
  </si>
  <si>
    <t>Gopal Snacks Limited</t>
  </si>
  <si>
    <t>GOPAL</t>
  </si>
  <si>
    <t>Gopal Snacks Ltd</t>
  </si>
  <si>
    <t>INE510U01018</t>
  </si>
  <si>
    <t>Pune E - Stock Broking Limited</t>
  </si>
  <si>
    <t>PESB</t>
  </si>
  <si>
    <t>Pune E - Stock Broking Ltd</t>
  </si>
  <si>
    <t>INE0PB301013</t>
  </si>
  <si>
    <t>Shipping Corporation of India Land and Assets Limited</t>
  </si>
  <si>
    <t>SCILAL</t>
  </si>
  <si>
    <t>Shipping Corporation of India Land and Assets Ltd</t>
  </si>
  <si>
    <t>INE0QQG01019</t>
  </si>
  <si>
    <t>Royal Sense Limited</t>
  </si>
  <si>
    <t>ROYAL</t>
  </si>
  <si>
    <t>Royal Sense Ltd</t>
  </si>
  <si>
    <t>INE772T01024</t>
  </si>
  <si>
    <t>Popular Vehicles and Services Limited</t>
  </si>
  <si>
    <t>PVSL</t>
  </si>
  <si>
    <t>Popular Vehicles and Services Ltd</t>
  </si>
  <si>
    <t>PlatinumOne Business Services Limited</t>
  </si>
  <si>
    <t>POBS</t>
  </si>
  <si>
    <t>PlatinumOne Business Services Ltd</t>
  </si>
  <si>
    <t>INE0QVH01025</t>
  </si>
  <si>
    <t>KP GREEN ENGINEERING LIMITED</t>
  </si>
  <si>
    <t>KPGEL</t>
  </si>
  <si>
    <t>KP Green Engineering Ltd</t>
  </si>
  <si>
    <t>INE0AH901011</t>
  </si>
  <si>
    <t>CHATHA FOODS LIMITED</t>
  </si>
  <si>
    <t>CHATHA</t>
  </si>
  <si>
    <t>Chatha Foods Ltd</t>
  </si>
  <si>
    <t>Evoq Remedies Limited</t>
  </si>
  <si>
    <t>EVOQ</t>
  </si>
  <si>
    <t>Evoq Remedies Ltd</t>
  </si>
  <si>
    <t>INE0OMZ01013</t>
  </si>
  <si>
    <t>Vruddhi Engineering Works Limited</t>
  </si>
  <si>
    <t>VRUDDHI</t>
  </si>
  <si>
    <t>Vruddhi Engineering Works Ltd</t>
  </si>
  <si>
    <t>INE0R6Z01013</t>
  </si>
  <si>
    <t>SRM CONTRACTORS LIMITED</t>
  </si>
  <si>
    <t>SRM</t>
  </si>
  <si>
    <t>SRM Contractors Ltd</t>
  </si>
  <si>
    <t>INE0MSS01019</t>
  </si>
  <si>
    <t>Jay Kailash Namkeen Limited</t>
  </si>
  <si>
    <t>JAYKAILASH</t>
  </si>
  <si>
    <t>Jay Kailash Namkeen Ltd</t>
  </si>
  <si>
    <t>INE266Y01019</t>
  </si>
  <si>
    <t>D P ABHUSHAN LIMITED</t>
  </si>
  <si>
    <t>DPABHUSHAN</t>
  </si>
  <si>
    <t>D.P. Abhushan Ltd</t>
  </si>
  <si>
    <t>Reliance Power Limited</t>
  </si>
  <si>
    <t>RPOWER</t>
  </si>
  <si>
    <t>RELIANCE POWER LTD.</t>
  </si>
  <si>
    <t>INE0S0701019</t>
  </si>
  <si>
    <t>Greenhitech Ventures Limited</t>
  </si>
  <si>
    <t>GVL</t>
  </si>
  <si>
    <t>Greenhitech Ventures Ltd</t>
  </si>
  <si>
    <t>INE0Q9W01015</t>
  </si>
  <si>
    <t>Faalcon Concepts Limited</t>
  </si>
  <si>
    <t>FAALCON</t>
  </si>
  <si>
    <t>Faalcon Concepts Ltd</t>
  </si>
  <si>
    <t>INE0SGR01013</t>
  </si>
  <si>
    <t>SHIVAM CHEMICALS LIMITED</t>
  </si>
  <si>
    <t>SHIVAM</t>
  </si>
  <si>
    <t>Shivam Chemicals Ltd</t>
  </si>
  <si>
    <t>INE0SDC01012</t>
  </si>
  <si>
    <t>EMMFORCE AUTOTECH LIMITED</t>
  </si>
  <si>
    <t>EMMFORCE</t>
  </si>
  <si>
    <t>Emmforce Autotech Ltd</t>
  </si>
  <si>
    <t>INE0OAF01028</t>
  </si>
  <si>
    <t>JNK India Limited</t>
  </si>
  <si>
    <t>JNKINDIA</t>
  </si>
  <si>
    <t>JNK India Ltd</t>
  </si>
  <si>
    <t>INE0R6801013</t>
  </si>
  <si>
    <t>VARYAA CREATIONS LIMITED</t>
  </si>
  <si>
    <t>VARYAA</t>
  </si>
  <si>
    <t>Varyaa Creations Ltd</t>
  </si>
  <si>
    <t>INE0QSB01016</t>
  </si>
  <si>
    <t>Amkay Products Limited</t>
  </si>
  <si>
    <t>AMKAY</t>
  </si>
  <si>
    <t>Amkay Products Ltd</t>
  </si>
  <si>
    <t>INE0QXT01018</t>
  </si>
  <si>
    <t>Sai Swami Metals and Alloys Limited</t>
  </si>
  <si>
    <t>SAI</t>
  </si>
  <si>
    <t>Sai Swami Metals and Alloys Ltd</t>
  </si>
  <si>
    <t>INE0RGM01016</t>
  </si>
  <si>
    <t>Storage Technologies and Automation Limited</t>
  </si>
  <si>
    <t>STAL</t>
  </si>
  <si>
    <t>Storage Technologies and Automation Ltd</t>
  </si>
  <si>
    <t>Adani Power Limited</t>
  </si>
  <si>
    <t>ADANIPOWER</t>
  </si>
  <si>
    <t>ADANI POWER LTD.</t>
  </si>
  <si>
    <t>INE0QOQ01013</t>
  </si>
  <si>
    <t>Finelistings Technologies Limited</t>
  </si>
  <si>
    <t>FTL</t>
  </si>
  <si>
    <t>Finelistings Technologies Ltd</t>
  </si>
  <si>
    <t>NHPC Limited</t>
  </si>
  <si>
    <t>NHPC</t>
  </si>
  <si>
    <t>NHPC LTD.</t>
  </si>
  <si>
    <t>INE0SMU01015</t>
  </si>
  <si>
    <t>TGIF AGRIBUSINESS LIMITED</t>
  </si>
  <si>
    <t>TGIF</t>
  </si>
  <si>
    <t>TGIF Agribusiness Ltd</t>
  </si>
  <si>
    <t>RattanIndia Power Limited</t>
  </si>
  <si>
    <t>RTNPOWER</t>
  </si>
  <si>
    <t>INE0SCB01016</t>
  </si>
  <si>
    <t>Aztec Fluids &amp; Machinery Limited</t>
  </si>
  <si>
    <t>AZTEC</t>
  </si>
  <si>
    <t>Aztec Fluids &amp; Machinery Ltd</t>
  </si>
  <si>
    <t>INE0R4W01015</t>
  </si>
  <si>
    <t>PIOTEX INDUSTRIES LIMITED</t>
  </si>
  <si>
    <t>PIOTEX</t>
  </si>
  <si>
    <t>Piotex Industries Ltd</t>
  </si>
  <si>
    <t>JSW Energy Limited</t>
  </si>
  <si>
    <t>JSWENERGY</t>
  </si>
  <si>
    <t>JSW Energy Ltd</t>
  </si>
  <si>
    <t>Qualitek Labs Limited</t>
  </si>
  <si>
    <t>QLL</t>
  </si>
  <si>
    <t>Qualitek Labs Ltd</t>
  </si>
  <si>
    <t>INE0RIQ01013</t>
  </si>
  <si>
    <t>Associated Coaters Limited</t>
  </si>
  <si>
    <t>ASSOCIATED</t>
  </si>
  <si>
    <t>Associated Coaters Ltd</t>
  </si>
  <si>
    <t>INE02L001032</t>
  </si>
  <si>
    <t>Borosil Scientific Limited</t>
  </si>
  <si>
    <t>BOROSCI</t>
  </si>
  <si>
    <t>Borosil Scientific Ltd</t>
  </si>
  <si>
    <t>INE257C01014</t>
  </si>
  <si>
    <t>ADTECH SYSTEMS LIMITED</t>
  </si>
  <si>
    <t>ADTECH</t>
  </si>
  <si>
    <t>Adtech Systems Ltd</t>
  </si>
  <si>
    <t>INE0TT901016</t>
  </si>
  <si>
    <t>Forbes Precision Tools and Machine Parts Limited</t>
  </si>
  <si>
    <t>TOTEM</t>
  </si>
  <si>
    <t>Forbes Precision Tools and Machine Parts Ltd</t>
  </si>
  <si>
    <t>INE0ATZ01017</t>
  </si>
  <si>
    <t>KRONOX LAB SCIENCES LIMITED</t>
  </si>
  <si>
    <t>KRONOX</t>
  </si>
  <si>
    <t>Kronox Lab Sciences Ltd</t>
  </si>
  <si>
    <t>INE0QZ901011</t>
  </si>
  <si>
    <t>Magenta Lifecare Limited</t>
  </si>
  <si>
    <t>MAGENTA</t>
  </si>
  <si>
    <t>Magenta Lifecare Ltd</t>
  </si>
  <si>
    <t>INE0QUV01010</t>
  </si>
  <si>
    <t>SATTRIX INFORMATION SECURITY LIMITED</t>
  </si>
  <si>
    <t>SATTRIX</t>
  </si>
  <si>
    <t>Sattrix Information Security Ltd</t>
  </si>
  <si>
    <t>INE0R7D01018</t>
  </si>
  <si>
    <t>3C IT Solutions and Telecoms (India) Limited</t>
  </si>
  <si>
    <t>3CIT</t>
  </si>
  <si>
    <t>3C IT Solutions and Telecoms (India) Ltd</t>
  </si>
  <si>
    <t>INE0CYK01015</t>
  </si>
  <si>
    <t>Purple Finance Limited</t>
  </si>
  <si>
    <t>PURPLEFIN</t>
  </si>
  <si>
    <t>Purple Finance Ltd</t>
  </si>
  <si>
    <t>INE0HV901016</t>
  </si>
  <si>
    <t>Le Travenues Technology Limited</t>
  </si>
  <si>
    <t>IXIGO</t>
  </si>
  <si>
    <t>Le Travenues Technology Ltd</t>
  </si>
  <si>
    <t>INE0S0I01011</t>
  </si>
  <si>
    <t>United Cotfab Limited</t>
  </si>
  <si>
    <t>COTFAB</t>
  </si>
  <si>
    <t>United Cotfab Ltd</t>
  </si>
  <si>
    <t>INE03DD01011</t>
  </si>
  <si>
    <t>JHS SVENDGAARD RETAIL VENTURES LIMITED</t>
  </si>
  <si>
    <t>RETAIL</t>
  </si>
  <si>
    <t>JHS Svendgaard Retail Ventures Ltd</t>
  </si>
  <si>
    <t>INE841L01016</t>
  </si>
  <si>
    <t>DEE DEVELOPMENT ENGINEERS LIMITED</t>
  </si>
  <si>
    <t>DEEDEV</t>
  </si>
  <si>
    <t>Dee Development Engineers Ltd</t>
  </si>
  <si>
    <t>INE0RUJ01013</t>
  </si>
  <si>
    <t>GEM Enviro Management Limited</t>
  </si>
  <si>
    <t>GEMENVIRO</t>
  </si>
  <si>
    <t>GEM Enviro Management Ltd</t>
  </si>
  <si>
    <t>INE916Y01019</t>
  </si>
  <si>
    <t>Akme Fintrade (India) Limited</t>
  </si>
  <si>
    <t>AFIL</t>
  </si>
  <si>
    <t>Akme Fintrade (India) Ltd</t>
  </si>
  <si>
    <t>INE0S6R01027</t>
  </si>
  <si>
    <t>DINDIGUL FARM PRODUCT LIMITED</t>
  </si>
  <si>
    <t>DFPL</t>
  </si>
  <si>
    <t>Dindigul Farm Product Ltd</t>
  </si>
  <si>
    <t>INF346A01034</t>
  </si>
  <si>
    <t>ICICI Prudential Mutual Fund</t>
  </si>
  <si>
    <t>SENSEXIETF</t>
  </si>
  <si>
    <t>ICICI Prudential S&amp;P BSE Sensex ETF</t>
  </si>
  <si>
    <t>SJVN LIMITED</t>
  </si>
  <si>
    <t>SJVN</t>
  </si>
  <si>
    <t>SJVN Ltd</t>
  </si>
  <si>
    <t>IN9623B01058</t>
  </si>
  <si>
    <t>FELDVR</t>
  </si>
  <si>
    <t>Future Enterprises Ltd_DVR</t>
  </si>
  <si>
    <t>VA Tech Wabag Limited</t>
  </si>
  <si>
    <t>WABAG</t>
  </si>
  <si>
    <t>VA TECH WABAG LTD.</t>
  </si>
  <si>
    <t>INE224E01036</t>
  </si>
  <si>
    <t>GATECHDVR</t>
  </si>
  <si>
    <t>WAAREE RENEWABLE TECHNOLOGIES LIMITED</t>
  </si>
  <si>
    <t>WAAREERTL</t>
  </si>
  <si>
    <t>Waaree Renewable Technologies Ltd</t>
  </si>
  <si>
    <t>INE484C01030</t>
  </si>
  <si>
    <t>Tide Water Oil (India) Ltd.</t>
  </si>
  <si>
    <t>TIDEWATER</t>
  </si>
  <si>
    <t>TIDE WATER OIL (INDIA) LTD.</t>
  </si>
  <si>
    <t>INE098F01031</t>
  </si>
  <si>
    <t>Amrutanjan Health Care Limited</t>
  </si>
  <si>
    <t>AMRUTANJAN</t>
  </si>
  <si>
    <t>AMRUTANJAN HEALTH CARE LTD.-$</t>
  </si>
  <si>
    <t>INE445C01015</t>
  </si>
  <si>
    <t>Xpro India Ltd.</t>
  </si>
  <si>
    <t>XPROINDIA</t>
  </si>
  <si>
    <t>XPRO INDIA LTD.</t>
  </si>
  <si>
    <t>INE598C01011</t>
  </si>
  <si>
    <t>Hisar Metal Industries Ltd.</t>
  </si>
  <si>
    <t>HISARMETAL</t>
  </si>
  <si>
    <t>HISAR METAL INDUSTRIES LTD.-$</t>
  </si>
  <si>
    <t>INE838B01013</t>
  </si>
  <si>
    <t>Bharat Rasayan Limited</t>
  </si>
  <si>
    <t>BHARATRAS</t>
  </si>
  <si>
    <t>BHARAT RASAYAN LTD.</t>
  </si>
  <si>
    <t>Adani Energy Solutions Limited</t>
  </si>
  <si>
    <t>ADANIENSOL</t>
  </si>
  <si>
    <t>Adani Energy Solutions Ltd</t>
  </si>
  <si>
    <t>Power Distribution</t>
  </si>
  <si>
    <t>INE424C01010</t>
  </si>
  <si>
    <t>Ginni Filaments Ltd.</t>
  </si>
  <si>
    <t>GINNIFILA</t>
  </si>
  <si>
    <t>GINNI FILAMENTS LTD.</t>
  </si>
  <si>
    <t>INE147A01011</t>
  </si>
  <si>
    <t>Southern Petrochemical Industries Corporation Limited</t>
  </si>
  <si>
    <t>SPIC</t>
  </si>
  <si>
    <t>SOUTHERN PETROCHEMICALS LTD.</t>
  </si>
  <si>
    <t>INE244A01016</t>
  </si>
  <si>
    <t>De Nora India Limited</t>
  </si>
  <si>
    <t>DENORA</t>
  </si>
  <si>
    <t>DE NORA INDIA LTD.</t>
  </si>
  <si>
    <t>INE641C01019</t>
  </si>
  <si>
    <t>KAVERI TELECOM PRODUCTS LTD.</t>
  </si>
  <si>
    <t>KAVVERITEL</t>
  </si>
  <si>
    <t>KAVVERI TELECOM PRODUCTS LTD.-$</t>
  </si>
  <si>
    <t>INE667G01023</t>
  </si>
  <si>
    <t>Saksoft Limited</t>
  </si>
  <si>
    <t>SAKSOFT</t>
  </si>
  <si>
    <t>SAKSOFT LTD.</t>
  </si>
  <si>
    <t>INE498E01010</t>
  </si>
  <si>
    <t>Salona Cotspin Ltd.</t>
  </si>
  <si>
    <t>SALONA</t>
  </si>
  <si>
    <t>SALONA COTSPIN LTD.</t>
  </si>
  <si>
    <t>INE217G01035</t>
  </si>
  <si>
    <t>EQUIPPP SOCIAL IMPACT TECHNOLOGIES LIMITED</t>
  </si>
  <si>
    <t>EQUIPPP</t>
  </si>
  <si>
    <t>Equippp Social Impact Technologies Ltd</t>
  </si>
  <si>
    <t>INE715B01021</t>
  </si>
  <si>
    <t>The Andhra Sugars Ltd.</t>
  </si>
  <si>
    <t>ANDHRSUGAR</t>
  </si>
  <si>
    <t>ANDHRA SUGARS LTD.</t>
  </si>
  <si>
    <t>INE547E01014</t>
  </si>
  <si>
    <t>INDIA MOTOR PARTS &amp; ACCESSORIES LTD</t>
  </si>
  <si>
    <t>IMPAL</t>
  </si>
  <si>
    <t>INDIA MOTOR PARTS &amp; ACCESSORIES LTD.</t>
  </si>
  <si>
    <t>Trading - Auto Components</t>
  </si>
  <si>
    <t>INE805C01028</t>
  </si>
  <si>
    <t>K.C.P. LTD</t>
  </si>
  <si>
    <t>KCP</t>
  </si>
  <si>
    <t>K.C.P.LTD.</t>
  </si>
  <si>
    <t>INE731C01018</t>
  </si>
  <si>
    <t>Khaitan (India) Ltd.</t>
  </si>
  <si>
    <t>KHAITANLTD</t>
  </si>
  <si>
    <t>KHAITAN (INDIA) LTD.</t>
  </si>
  <si>
    <t>INE874F01027</t>
  </si>
  <si>
    <t>RADAAN MEDIAWORKS (I) LIMITED</t>
  </si>
  <si>
    <t>RADAAN</t>
  </si>
  <si>
    <t>RADAAN MEDIAWORKS (I) LTD.</t>
  </si>
  <si>
    <t>Adani Green Energy Limited</t>
  </si>
  <si>
    <t>ADANIGREEN</t>
  </si>
  <si>
    <t>Adani Green Energy Ltd</t>
  </si>
  <si>
    <t>INE073D01013</t>
  </si>
  <si>
    <t>SUNDARAM BRAKE LININGS LTD</t>
  </si>
  <si>
    <t>SUNDRMBRAK</t>
  </si>
  <si>
    <t>SUNDARAM BRAKE LININGS LTD.</t>
  </si>
  <si>
    <t>INE715A01015</t>
  </si>
  <si>
    <t>WHEELS INDIA LTD</t>
  </si>
  <si>
    <t>WHEELS</t>
  </si>
  <si>
    <t>WHEELS INDIA LTD.</t>
  </si>
  <si>
    <t>INE112F01022</t>
  </si>
  <si>
    <t>Lambodhara Textiles Ltd.</t>
  </si>
  <si>
    <t>LAMBODHARA</t>
  </si>
  <si>
    <t>LAMBODHARA TEXTILES LTD.-$</t>
  </si>
  <si>
    <t>INE683C01011</t>
  </si>
  <si>
    <t>Maithan Alloys Limited</t>
  </si>
  <si>
    <t>MAITHANALL</t>
  </si>
  <si>
    <t>MAITHAN ALLOYS LTD.</t>
  </si>
  <si>
    <t>INE725E01024</t>
  </si>
  <si>
    <t>Orissa Minerals Development Company Limited</t>
  </si>
  <si>
    <t>ORISSAMINE</t>
  </si>
  <si>
    <t>ORISSA MINERALS DEVELOPMENT COMPANY LTD.</t>
  </si>
  <si>
    <t>INF204KB14I2</t>
  </si>
  <si>
    <t>Reliance Mutual Fund-Permitted</t>
  </si>
  <si>
    <t>NIFTYBEES</t>
  </si>
  <si>
    <t>Nippon India ETF Nifty 50 BeES</t>
  </si>
  <si>
    <t>INF732E01045</t>
  </si>
  <si>
    <t>JUNIORBEES</t>
  </si>
  <si>
    <t>Nippon India ETF Nifty Next 50 Junior BeES</t>
  </si>
  <si>
    <t>INF204KB15I9</t>
  </si>
  <si>
    <t>BANKBEES</t>
  </si>
  <si>
    <t>Nippon India ETF Nifty Bank BeES</t>
  </si>
  <si>
    <t>INF373I01023</t>
  </si>
  <si>
    <t>Kotak Mahindra Mutual Fund - Permitted</t>
  </si>
  <si>
    <t>PSUBANK</t>
  </si>
  <si>
    <t>Kotak Nifty PSU Bank ETF</t>
  </si>
  <si>
    <t>INF204KB16I7</t>
  </si>
  <si>
    <t>PSUBNKBEES</t>
  </si>
  <si>
    <t>Nippon India ETF Nifty PSU Bank BeES</t>
  </si>
  <si>
    <t>INF732E01128</t>
  </si>
  <si>
    <t>SHARIABEES</t>
  </si>
  <si>
    <t>Nippon India ETF Nifty 50 Shariah BeES</t>
  </si>
  <si>
    <t>INF082J01028</t>
  </si>
  <si>
    <t>Quantum Asset Management Co. Pvt. Ltd.</t>
  </si>
  <si>
    <t>QNIFTY</t>
  </si>
  <si>
    <t>Quantum Nifty 50 ETF</t>
  </si>
  <si>
    <t>INF247L01536</t>
  </si>
  <si>
    <t>Motilal Oswal Mutual Fund-Permitted</t>
  </si>
  <si>
    <t>MOM50</t>
  </si>
  <si>
    <t>Motilal Oswal MOSt Shares M50 ETF</t>
  </si>
  <si>
    <t>INE414A01015</t>
  </si>
  <si>
    <t>Madras Fertilizers Ltd</t>
  </si>
  <si>
    <t>MADRASFERT</t>
  </si>
  <si>
    <t>KPI Green Energy Limited</t>
  </si>
  <si>
    <t>KPIGREEN</t>
  </si>
  <si>
    <t>KPI Green Energy Ltd</t>
  </si>
  <si>
    <t>INE032Z01020</t>
  </si>
  <si>
    <t>BSHSL</t>
  </si>
  <si>
    <t>Bombay Super Hyb</t>
  </si>
  <si>
    <t>GMR Power and Urban Infra Limited</t>
  </si>
  <si>
    <t>GMRP&amp;UI</t>
  </si>
  <si>
    <t>GMR Power and Urban Infra Ltd</t>
  </si>
  <si>
    <t>INE0C8K23012</t>
  </si>
  <si>
    <t>IRBIT</t>
  </si>
  <si>
    <t>IRB Infra. Trust</t>
  </si>
  <si>
    <t>INE039O01011</t>
  </si>
  <si>
    <t>JASH</t>
  </si>
  <si>
    <t>Jash Engineering</t>
  </si>
  <si>
    <t>INE900L01010</t>
  </si>
  <si>
    <t>MBAPL</t>
  </si>
  <si>
    <t>M B Agro Prod.</t>
  </si>
  <si>
    <t>INE0Q7Q23015</t>
  </si>
  <si>
    <t>NDRINVIT</t>
  </si>
  <si>
    <t>NDR INVIT Trust</t>
  </si>
  <si>
    <t>INE0OUT01019</t>
  </si>
  <si>
    <t>ORIANA</t>
  </si>
  <si>
    <t>Oriana Power Ltd</t>
  </si>
  <si>
    <t>INSOLATION ENERGY LIMITED</t>
  </si>
  <si>
    <t>INA</t>
  </si>
  <si>
    <t>Insolation Energy Ltd</t>
  </si>
  <si>
    <t>INE01EO01010</t>
  </si>
  <si>
    <t>SPECTRUM</t>
  </si>
  <si>
    <t>Spectrum Electr.</t>
  </si>
  <si>
    <t>INOX GREEN ENERGY SERVICES LIMITED</t>
  </si>
  <si>
    <t>INOXGREEN</t>
  </si>
  <si>
    <t>Inox Green Energy Services Ltd</t>
  </si>
  <si>
    <t>INE121N01019</t>
  </si>
  <si>
    <t>THEJO</t>
  </si>
  <si>
    <t>Thejo Engg.</t>
  </si>
  <si>
    <t>INE188Y01015</t>
  </si>
  <si>
    <t>VERTOZ</t>
  </si>
  <si>
    <t>Vertoz Advertis.</t>
  </si>
  <si>
    <t>COUNTA of Issuer Name</t>
  </si>
  <si>
    <t>Commodities Total</t>
  </si>
  <si>
    <t>Purvang</t>
  </si>
  <si>
    <t>Darshil</t>
  </si>
  <si>
    <t>-</t>
  </si>
  <si>
    <t>Auto Components Total</t>
  </si>
  <si>
    <t>Raman</t>
  </si>
  <si>
    <t>Automobiles Total</t>
  </si>
  <si>
    <t>Automobile and Auto Components Total</t>
  </si>
  <si>
    <t>Consumer Durables Total</t>
  </si>
  <si>
    <t>Consumer Services Total</t>
  </si>
  <si>
    <t>Media, Entertainment &amp; Publication Total</t>
  </si>
  <si>
    <t>Realty Total</t>
  </si>
  <si>
    <t>Textiles Total</t>
  </si>
  <si>
    <t>Consumer Discretionary Total</t>
  </si>
  <si>
    <t>Diversified Total</t>
  </si>
  <si>
    <t xml:space="preserve">- </t>
  </si>
  <si>
    <t>Energy Total</t>
  </si>
  <si>
    <t>Fast Moving Consumer Goods Total</t>
  </si>
  <si>
    <t>Financial Services Total</t>
  </si>
  <si>
    <t>Healthcare Total</t>
  </si>
  <si>
    <t>Industrials Total</t>
  </si>
  <si>
    <t>Information Technology Total</t>
  </si>
  <si>
    <t>Services Total</t>
  </si>
  <si>
    <t>Telecom - Equipment &amp; Accessories Total</t>
  </si>
  <si>
    <t>Telecom - Services Total</t>
  </si>
  <si>
    <t>Telecommunication Total</t>
  </si>
  <si>
    <t>Utilities Total</t>
  </si>
  <si>
    <t>Grand Total</t>
  </si>
  <si>
    <t>Symbol</t>
  </si>
  <si>
    <t>Thematic Indices</t>
  </si>
  <si>
    <t>Agriculture</t>
  </si>
  <si>
    <t>EV &amp; New Age Automotive</t>
  </si>
  <si>
    <t>Home Interior</t>
  </si>
  <si>
    <t>House Building</t>
  </si>
  <si>
    <t>India Consumption</t>
  </si>
  <si>
    <t>India Defence</t>
  </si>
  <si>
    <t>India Digital</t>
  </si>
  <si>
    <t>India Manufacturing</t>
  </si>
  <si>
    <t>Infrastructure</t>
  </si>
  <si>
    <t>Investments</t>
  </si>
  <si>
    <t>Mining</t>
  </si>
  <si>
    <t>MNC</t>
  </si>
  <si>
    <t>Mobility</t>
  </si>
  <si>
    <t>NBFC</t>
  </si>
  <si>
    <t>Non-Cyclical Consumer</t>
  </si>
  <si>
    <t>Oil &amp; Gas</t>
  </si>
  <si>
    <t>Pharma</t>
  </si>
  <si>
    <t>Power Infra</t>
  </si>
  <si>
    <t>PSE</t>
  </si>
  <si>
    <t>PSU Bank</t>
  </si>
  <si>
    <t>Pvt Bank</t>
  </si>
  <si>
    <t>Services Sector</t>
  </si>
  <si>
    <t>Transportation &amp; Logistics</t>
  </si>
  <si>
    <t>Fashion</t>
  </si>
  <si>
    <t>New Sectore</t>
  </si>
  <si>
    <t>Final Sectore</t>
  </si>
  <si>
    <t>No of Group</t>
  </si>
  <si>
    <t xml:space="preserve"> </t>
  </si>
  <si>
    <t>Misc.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</si>
</sst>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rgb="FFFFFFFF"/>
      <name val="Arial"/>
      <scheme val="minor"/>
    </font>
    <font>
      <b/>
      <sz val="11.0"/>
      <color theme="1"/>
      <name val="Calibri"/>
    </font>
    <font>
      <b/>
      <color theme="1"/>
      <name val="Arial"/>
    </font>
    <font>
      <sz val="11.0"/>
      <color theme="1"/>
      <name val="Calibri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64" xfId="0" applyFont="1" applyNumberFormat="1"/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horizontal="center"/>
    </xf>
    <xf borderId="0" fillId="0" fontId="3" numFmtId="0" xfId="0" applyAlignment="1" applyFont="1">
      <alignment vertical="bottom"/>
    </xf>
    <xf borderId="1" fillId="0" fontId="4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center" readingOrder="0"/>
    </xf>
    <xf borderId="3" fillId="0" fontId="4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5" fillId="0" fontId="2" numFmtId="164" xfId="0" applyAlignment="1" applyBorder="1" applyFont="1" applyNumberFormat="1">
      <alignment readingOrder="0"/>
    </xf>
    <xf borderId="6" fillId="0" fontId="2" numFmtId="0" xfId="0" applyAlignment="1" applyBorder="1" applyFont="1">
      <alignment readingOrder="0"/>
    </xf>
    <xf borderId="5" fillId="0" fontId="2" numFmtId="0" xfId="0" applyBorder="1" applyFont="1"/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0" fontId="7" numFmtId="0" xfId="0" applyAlignment="1" applyFont="1">
      <alignment vertical="bottom"/>
    </xf>
    <xf borderId="0" fillId="0" fontId="7" numFmtId="164" xfId="0" applyAlignment="1" applyFont="1" applyNumberFormat="1">
      <alignment vertical="bottom"/>
    </xf>
    <xf borderId="0" fillId="0" fontId="2" numFmtId="10" xfId="0" applyFont="1" applyNumberFormat="1"/>
    <xf borderId="0" fillId="2" fontId="8" numFmtId="0" xfId="0" applyFill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3" pivot="0" name="Detail45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4173" sheet="Sector Classification"/>
  </cacheSource>
  <cacheFields>
    <cacheField name="ISIN No" numFmtId="0">
      <sharedItems>
        <s v="INE117A01022"/>
        <s v="INE208C01025"/>
        <s v="INE885A01032"/>
        <s v="INE432A01017"/>
        <s v="INE714B01016"/>
        <s v="INE436A01026"/>
        <s v="INE096A01010"/>
        <s v="INE957C01019"/>
        <s v="INE032A01023"/>
        <s v="INE363A01022"/>
        <s v="INE100A01010"/>
        <s v="INE447A01015"/>
        <s v="INE193E01025"/>
        <s v="INE306A01021"/>
        <s v="INE451A01017"/>
        <s v="INE296A01024"/>
        <s v="INE119A01028"/>
        <s v="INE213C01025"/>
        <s v="INE055A01016"/>
        <s v="INE459A01010"/>
        <s v="INE373A01013"/>
        <s v="INE176A01028"/>
        <s v="INE258A01016"/>
        <s v="INE263A01024"/>
        <s v="INE922A01025"/>
        <s v="INE819C01011"/>
        <s v="INE071A01013"/>
        <s v="INE800A01015"/>
        <s v="INE472A01039"/>
        <s v="INE131C01011"/>
        <s v="INE418C01012"/>
        <s v="INE110A01019"/>
        <s v="INE959C01023"/>
        <s v="INE281A01026"/>
        <s v="INE486A01021"/>
        <s v="INE085A01013"/>
        <s v="INE302A01020"/>
        <s v="INE059A01026"/>
        <s v="INE303A01010"/>
        <s v="INE007A01025"/>
        <s v="INE067A01029"/>
        <s v="INE016A01026"/>
        <s v="INE495A01022"/>
        <s v="INE034A01011"/>
        <s v="INE257A01026"/>
        <s v="INE094A01015"/>
        <s v="INE039A01010"/>
        <s v="INE153A01019"/>
        <s v="INE103A01014"/>
        <s v="INE178A01016"/>
        <s v="INE062A01020"/>
        <s v="INE114A01011"/>
        <s v="INE280A01028"/>
        <s v="INE008A01015"/>
        <s v="INE500A01029"/>
        <s v="INE041A01016"/>
        <s v="INE591D01014"/>
        <s v="INE280B01018"/>
        <s v="INE089A01023"/>
        <s v="INE126A01031"/>
        <s v="INE199A01012"/>
        <s v="INE086A01029"/>
        <s v="INE284A01012"/>
        <s v="INE255A01020"/>
        <s v="INE778B01029"/>
        <s v="INE512A01016"/>
        <s v="INE160F01013"/>
        <s v="INE235A01022"/>
        <s v="INE515A01019"/>
        <s v="INE516A01017"/>
        <s v="INE519A01011"/>
        <s v="INE973A01010"/>
        <s v="INE388A01029"/>
        <s v="INE085D01033"/>
        <s v="INE043A01012"/>
        <s v="INE260B01028"/>
        <s v="INE233A01035"/>
        <s v="INE531A01024"/>
        <s v="INE300A01016"/>
        <s v="INE533A01012"/>
        <s v="INE537A01013"/>
        <s v="INE539A01019"/>
        <s v="INE538A01037"/>
        <s v="INE540A01017"/>
        <s v="INE236A01020"/>
        <s v="INE040A01034"/>
        <s v="INE158A01026"/>
        <s v="INE548A01028"/>
        <s v="INE019C01026"/>
        <s v="INE549A01026"/>
        <s v="INE345A01011"/>
        <s v="INE415A01038"/>
        <s v="INE267A01025"/>
        <s v="INE353A01023"/>
        <s v="INE262A01018"/>
        <s v="INE962B01011"/>
        <s v="INE102A01024"/>
        <s v="INE204A01010"/>
        <s v="INE560A01015"/>
        <s v="INE333C01013"/>
        <s v="INE680B01019"/>
        <s v="INE156A01020"/>
        <s v="INE009A01021"/>
        <s v="INE177A01018"/>
        <s v="INE262B01016"/>
        <s v="INE570A01022"/>
        <s v="INE209A01019"/>
        <s v="INE175A01038"/>
        <s v="INE711C01028"/>
        <s v="INE197D01010"/>
        <s v="INE019A01038"/>
        <s v="INE864B01027"/>
        <s v="INE217B01036"/>
        <s v="INE437B01014"/>
        <s v="INE907A01026"/>
        <s v="INE252C01015"/>
        <s v="INE716A01013"/>
        <s v="INE104A01012"/>
        <s v="INE266B01017"/>
        <s v="INE732A01036"/>
        <s v="INE250A01039"/>
        <s v="INE884B01025"/>
        <s v="INE601C01013"/>
        <s v="INE237A01028"/>
        <s v="INE073A01019"/>
        <s v="INE999A01015"/>
        <s v="INE337A01034"/>
        <s v="INE849A01020"/>
        <s v="INE269B01029"/>
        <s v="INE115A01026"/>
        <s v="INE326A01037"/>
        <s v="INE933A01014"/>
        <s v="INE331A01037"/>
        <s v="INE965B01022"/>
        <s v="INE270B01035"/>
        <s v="INE271B01025"/>
        <s v="INE288A01013"/>
        <s v="INE201B01022"/>
        <s v="INE201A01024"/>
        <s v="INE461A01024"/>
        <s v="INE180A01020"/>
        <s v="INE401C01018"/>
        <s v="INE831A01028"/>
        <s v="INE485A01015"/>
        <s v="INE794W01014"/>
        <s v="INE846D01012"/>
        <s v="INE285B01017"/>
        <s v="INE083A01026"/>
        <s v="INE883A01011"/>
        <s v="INE578A01017"/>
        <s v="INE868B01028"/>
        <s v="INE205A01025"/>
        <s v="INE290A01027"/>
        <s v="INE585A01020"/>
        <s v="INE047A01021"/>
        <s v="INE140A01024"/>
        <s v="INE161A01038"/>
        <s v="INE903A01025"/>
        <s v="INE910A01012"/>
        <s v="INE213A01029"/>
        <s v="INE591A01010"/>
        <s v="INE750A01020"/>
        <s v="INE142A01012"/>
        <s v="INE557C01017"/>
        <s v="INE167E01037"/>
        <s v="INE002A01018"/>
        <s v="INE600A01035"/>
        <s v="INE301A01014"/>
        <s v="INE318A01026"/>
        <s v="INE751B01018"/>
        <s v="INE340A01012"/>
        <s v="INE335A01020"/>
        <s v="INE032B01021"/>
        <s v="INE010A01011"/>
        <s v="INE855B01025"/>
        <s v="INE024D01016"/>
        <s v="INE606A01024"/>
        <s v="INE609A01010"/>
        <s v="INE611A01016"/>
        <s v="INE562B01019"/>
        <s v="INE613A01020"/>
        <s v="INE278B01020"/>
        <s v="INE425E01013"/>
        <s v="INE350D01015"/>
        <s v="INE731F01037"/>
        <s v="INE642C01025"/>
        <s v="INE619A01035"/>
        <s v="INE924A01013"/>
        <s v="INE324A01024"/>
        <s v="INE786A01032"/>
        <s v="INE070A01015"/>
        <s v="INE970C01012"/>
        <s v="INE036A01016"/>
        <s v="INE245A01021"/>
        <s v="INE937A01023"/>
        <s v="INE387A01021"/>
        <s v="INE947A01014"/>
        <s v="INE663A01033"/>
        <s v="INE277A01016"/>
        <s v="INE670A01012"/>
        <s v="INE012A01025"/>
        <s v="INE152A01029"/>
        <s v="INE338A01024"/>
        <s v="INE332A01027"/>
        <s v="INE064A01026"/>
        <s v="INE932C01012"/>
        <s v="INE685A01028"/>
        <s v="INE578C01021"/>
        <s v="INE019B01010"/>
        <s v="INE079A01024"/>
        <s v="INE184E01024"/>
        <s v="INE037A01022"/>
        <s v="INE701A01023"/>
        <s v="INE038A01020"/>
        <s v="INE976A01021"/>
        <s v="INE048A01011"/>
        <s v="INE844C01027"/>
        <s v="INE818B01023"/>
        <s v="INE601A01017"/>
        <s v="INE179A01014"/>
        <s v="INE304A01026"/>
        <s v="INE676A01027"/>
        <s v="INE139B01016"/>
        <s v="INE544A01019"/>
        <s v="INE171A01029"/>
        <s v="INE081A01020"/>
        <s v="INE640A01023"/>
        <s v="INE208A01029"/>
        <s v="INE298A01020"/>
        <s v="INE151A01013"/>
        <s v="INE358A01014"/>
        <s v="INE118A01012"/>
        <s v="INE465A01025"/>
        <s v="INE042A01014"/>
        <s v="INE253A01025"/>
        <s v="INE018A01030"/>
        <s v="INE101A01026"/>
        <s v="INE323A01026"/>
        <s v="INE342A01018"/>
        <s v="INE029A01011"/>
        <s v="INE003A01024"/>
        <s v="INE155A01022"/>
        <s v="INE226A01021"/>
        <s v="INE017A01032"/>
        <s v="INE501A01019"/>
        <s v="INE369A01029"/>
        <s v="INE291A01017"/>
        <s v="INE159A01016"/>
        <s v="INE113A01013"/>
        <s v="INE234A01025"/>
        <s v="INE058A01010"/>
        <s v="INE182A01018"/>
        <s v="INE026A01025"/>
        <s v="INE030A01027"/>
        <s v="INE133A01011"/>
        <s v="INE163A01018"/>
        <s v="INE092A01019"/>
        <s v="INE148A01019"/>
        <s v="INE217A01012"/>
        <s v="INE239A01024"/>
        <s v="INE192A01025"/>
        <s v="INE021A01026"/>
        <s v="INE216A01030"/>
        <s v="INE259A01022"/>
        <s v="INE230A01023"/>
        <s v="INE053A01029"/>
        <s v="INE172A01027"/>
        <s v="INE154A01025"/>
        <s v="INE438A01022"/>
        <s v="INE482A01020"/>
        <s v="INE832A01018"/>
        <s v="INE183A01024"/>
        <s v="INE371U01015"/>
        <s v="INE598F01014"/>
        <s v="INE644U01015"/>
        <s v="INE422D01012"/>
        <s v="INE660C01027"/>
        <s v="INE911B01018"/>
        <s v="INE567L01017"/>
        <s v="INE825M01017"/>
        <s v="INE886A01014"/>
        <s v="INE620D01011"/>
        <s v="INE672A01018"/>
        <s v="INE998D01011"/>
        <s v="INE286N01028"/>
        <s v="INE861B01023"/>
        <s v="INE154M01012"/>
        <s v="INE695D01021"/>
        <s v="INE094R01019"/>
        <s v="INE855A01019"/>
        <s v="INE314H01012"/>
        <s v="INE151G01028"/>
        <s v="INE050A01025"/>
        <s v="INE691K01017"/>
        <s v="INE224A01026"/>
        <s v="INE003F01015"/>
        <s v="INE02ZA01012"/>
        <s v="INE492N01022"/>
        <s v="INE134R01013"/>
        <s v="INE131H01028"/>
        <s v="INE377E01016"/>
        <s v="INE490A01015"/>
        <s v="INE446C01013"/>
        <s v="INE443A01030"/>
        <s v="INE229C01021"/>
        <s v="INE07BK01011"/>
        <s v="INE583C01021"/>
        <s v="INE347A01017"/>
        <s v="INE732C01016"/>
        <s v="INE626A01014"/>
        <s v="INE232A01011"/>
        <s v="INE666D01022"/>
        <s v="INE347D01011"/>
        <s v="INE094C01011"/>
        <s v="INE416N01013"/>
        <s v="INE435A01028"/>
        <s v="INE787D01026"/>
        <s v="INE592A01026"/>
        <s v="INE906D01014"/>
        <s v="INE927A01040"/>
        <s v="INE630A01024"/>
        <s v="INE777A01023"/>
        <s v="INE464D01014"/>
        <s v="INE498A01018"/>
        <s v="INE837X01027"/>
        <s v="INE518A01013"/>
        <s v="INE950C01014"/>
        <s v="INE706D01018"/>
        <s v="INE462D01026"/>
        <s v="INE498G01015"/>
        <s v="INE087A01019"/>
        <s v="INE938C01019"/>
        <s v="INE825A01020"/>
        <s v="INE138A01028"/>
        <s v="INE909B01020"/>
        <s v="INE211B01039"/>
        <s v="INE182D01020"/>
        <s v="INE491N01016"/>
        <s v="INE750D01016"/>
        <s v="INE301D01026"/>
        <s v="INE167H01014"/>
        <s v="INE665A01038"/>
        <s v="INE203D01016"/>
        <s v="INE404N01019"/>
        <s v="INE406N01014"/>
        <s v="INE733N01011"/>
        <s v="INE315N01017"/>
        <s v="INE314N01028"/>
        <s v="INE945J01027"/>
        <s v="INE255E01030"/>
        <s v="INE948K01011"/>
        <s v="INE026L01022"/>
        <s v="INE509J01013"/>
        <s v="INE130N01010"/>
        <s v="INE786K01023"/>
        <s v="INE927X01018"/>
        <s v="INE828I01019"/>
        <s v="INE160N01017"/>
        <s v="INE475V01012"/>
        <s v="INE629D01020"/>
        <s v="INE380D01012"/>
        <s v="INE170C01019"/>
        <s v="INE204C01024"/>
        <s v="INE647A01010"/>
        <s v="INE076B01028"/>
        <s v="INE243N01029"/>
        <s v="INE796C01011"/>
        <s v="INE07MC01015"/>
        <s v="INE464A01036"/>
        <s v="INE579B01039"/>
        <s v="INE064H01021"/>
        <s v="INE835D01023"/>
        <s v="INE567A01028"/>
        <s v="INE520A01027"/>
        <s v="INE511D01012"/>
        <s v="INE581L01018"/>
        <s v="INE813G01015"/>
        <s v="INE716F01012"/>
        <s v="INE795A01017"/>
        <s v="INE045B01015"/>
        <s v="INE418E01018"/>
        <s v="INE783E01023"/>
        <s v="INE502C01039"/>
        <s v="INE279A01012"/>
        <s v="INE100D01014"/>
        <s v="INE872E01016"/>
        <s v="INE284C01018"/>
        <s v="INE064R01012"/>
        <s v="INE393A01011"/>
        <s v="INE180M01033"/>
        <s v="INE206N01018"/>
        <s v="INE713N01013"/>
        <s v="INE507F01023"/>
        <s v="INE017P01014"/>
        <s v="INE07LK01010"/>
        <s v="INE927M01029"/>
        <s v="INE459E01012"/>
        <s v="INE812K01027"/>
        <s v="INE952M01019"/>
        <s v="INE537L01010"/>
        <s v="INE932M01011"/>
        <s v="INE361D01012"/>
        <s v="INE385C01021"/>
        <s v="INE106G01014"/>
        <s v="INE089T01023"/>
        <s v="INE566M01017"/>
        <s v="INE323C01030"/>
        <s v="INE155E01016"/>
        <s v="INE123E01014"/>
        <s v="INE375D01012"/>
        <s v="INE569C01020"/>
        <s v="INE166R01015"/>
        <s v="INE336C01016"/>
        <s v="INE340F01011"/>
        <s v="INE149K01016"/>
        <s v="INE755D01015"/>
        <s v="INE895C01011"/>
        <s v="INE149A01033"/>
        <s v="INE380G01015"/>
        <s v="INE187U01015"/>
        <s v="INE449A01011"/>
        <s v="INE0NY101012"/>
        <s v="INE451C01013"/>
        <s v="INE878E01021"/>
        <s v="INE461Y01016"/>
        <s v="INE187D01029"/>
        <s v="INE116C01012"/>
        <s v="INE294B01019"/>
        <s v="INE806C01018"/>
        <s v="INE066A01021"/>
        <s v="INE280F01019"/>
        <s v="INE782D01027"/>
        <s v="INE232E01013"/>
        <s v="INE221B01012"/>
        <s v="INE631D01026"/>
        <s v="INE541A01023"/>
        <s v="INE811A01020"/>
        <s v="INE637D01015"/>
        <s v="INE731D01024"/>
        <s v="INE718M01022"/>
        <s v="INE867A01022"/>
        <s v="INE098E01018"/>
        <s v="INE811D01024"/>
        <s v="INE317F01035"/>
        <s v="INE984B01023"/>
        <s v="INE617A01013"/>
        <s v="INE435C01024"/>
        <s v="INE274C01019"/>
        <s v="INE953M01033"/>
        <s v="INE809Q01012"/>
        <s v="INE688D01026"/>
        <s v="INE203N01015"/>
        <s v="INE721U01011"/>
        <s v="INE272E01027"/>
        <s v="INE966A01022"/>
        <s v="INE274F01020"/>
        <s v="INE256A01028"/>
        <s v="INE735U01011"/>
        <s v="INE308E01029"/>
        <s v="INE886E01016"/>
        <s v="INE178E01026"/>
        <s v="INE469A01019"/>
        <s v="INE614R01014"/>
        <s v="INE561C01019"/>
        <s v="INE856A01017"/>
        <s v="INE501N01020"/>
        <s v="INE205B01023"/>
        <s v="INE498D01012"/>
        <s v="INE266D01021"/>
        <s v="INE705G01021"/>
        <s v="INE524A01029"/>
        <s v="INE688E01024"/>
        <s v="INE598D01027"/>
        <s v="INE559A01017"/>
        <s v="INE638A01035"/>
        <s v="INE403C01014"/>
        <s v="INE529A01010"/>
        <s v="INE636D01033"/>
        <s v="INE513A01022"/>
        <s v="INE860N01012"/>
        <s v="INE384A01010"/>
        <s v="INE775R01013"/>
        <s v="INE568F01017"/>
        <s v="INE058D01030"/>
        <s v="INE545L01039"/>
        <s v="INE391D01019"/>
        <s v="INE765D01014"/>
        <s v="INE717A01029"/>
        <s v="INE724D01011"/>
        <s v="INE440G01017"/>
        <s v="INE618D01015"/>
        <s v="INE603A01013"/>
        <s v="INE219D01012"/>
        <s v="INE821R01015"/>
        <s v="INE968D01022"/>
        <s v="INE536A01023"/>
        <s v="INE651C01018"/>
        <s v="INE441L01015"/>
        <s v="INE727B01026"/>
        <s v="INE07I701011"/>
        <s v="INE820M01018"/>
        <s v="INE383L01019"/>
        <s v="INE512D01028"/>
        <s v="INE370E01029"/>
        <s v="INE073I01012"/>
        <s v="INE122V01010"/>
        <s v="INE070K01014"/>
        <s v="INE092P01017"/>
        <s v="INE668L01013"/>
        <s v="INE879E01037"/>
        <s v="INE403B01016"/>
        <s v="INE978L01016"/>
        <s v="INE643K01018"/>
        <s v="INE965V01012"/>
        <s v="INE416D01022"/>
        <s v="INE189B01011"/>
        <s v="INE426A01027"/>
        <s v="INE275D01022"/>
        <s v="INE489G01022"/>
        <s v="INE737D01021"/>
        <s v="INE462A01022"/>
        <s v="INE320M01019"/>
        <s v="INE492A01029"/>
        <s v="INE169A01031"/>
        <s v="INE288B01029"/>
        <s v="INE505A01010"/>
        <s v="INE225B01021"/>
        <s v="INE077F01035"/>
        <s v="INE693E01016"/>
        <s v="INE138C01024"/>
        <s v="INE881E01017"/>
        <s v="INE060E01018"/>
        <s v="INE265B01019"/>
        <s v="INE468C01017"/>
        <s v="INE321D01016"/>
        <s v="INE602A01031"/>
        <s v="INE841D01013"/>
        <s v="INE752B01024"/>
        <s v="INE277B01014"/>
        <s v="INE218N01021"/>
        <s v="INE888C01040"/>
        <s v="INE659A01023"/>
        <s v="INE014B01011"/>
        <s v="INE405A01021"/>
        <s v="INE687A01016"/>
        <s v="INE351A01035"/>
        <s v="INE741A01011"/>
        <s v="INE150B01039"/>
        <s v="INE400A01014"/>
        <s v="INE203A01020"/>
        <s v="INE607A01022"/>
        <s v="INE639B01015"/>
        <s v="INE636P01011"/>
        <s v="INE942C01045"/>
        <s v="INE467X01015"/>
        <s v="INE987A01010"/>
        <s v="INE423K01015"/>
        <s v="INE572A01036"/>
        <s v="INE684U01011"/>
        <s v="INE374C01017"/>
        <s v="INE046E01025"/>
        <s v="INE472D01017"/>
        <s v="INE574A01016"/>
        <s v="INE133B01019"/>
        <s v="INE133E01013"/>
        <s v="INE044N01021"/>
        <s v="INE615A01025"/>
        <s v="INE623A01011"/>
        <s v="INE711A01022"/>
        <s v="INE076C01018"/>
        <s v="INE991B01010"/>
        <s v="INE470N01010"/>
        <s v="INE075D01018"/>
        <s v="INE625B01014"/>
        <s v="INE544C01023"/>
        <s v="INE480C01038"/>
        <s v="INE557D01015"/>
        <s v="INE073G01016"/>
        <s v="INE04VT01017"/>
        <s v="INE495D01018"/>
        <s v="INE976E01023"/>
        <s v="INE043C01018"/>
        <s v="INE014E01015"/>
        <s v="INE286E01019"/>
        <s v="INE588G01013"/>
        <s v="INE339F01021"/>
        <s v="INE131O01024"/>
        <s v="INE075A01022"/>
        <s v="INE247F01018"/>
        <s v="INE435G01025"/>
        <s v="INE910C01018"/>
        <s v="INE284B01028"/>
        <s v="INE891G01011"/>
        <s v="INE694E01014"/>
        <s v="INE123C01018"/>
        <s v="INE048B01027"/>
        <s v="INE745B01028"/>
        <s v="INE357P01014"/>
        <s v="INE296D01010"/>
        <s v="INE322A01010"/>
        <s v="INE469D01013"/>
        <s v="INE880B01015"/>
        <s v="INE607B01012"/>
        <s v="INE435D01014"/>
        <s v="INE757C01021"/>
        <s v="INE746D01014"/>
        <s v="INE372I01018"/>
        <s v="INE694A01020"/>
        <s v="INE054A01027"/>
        <s v="INE296C01020"/>
        <s v="INE724A01017"/>
        <s v="INE798E01013"/>
        <s v="INE704G01024"/>
        <s v="INE845A01010"/>
        <s v="INE130F01016"/>
        <s v="INE02BV01019"/>
        <s v="INE621C01011"/>
        <s v="INE455H01013"/>
        <s v="INE651D01016"/>
        <s v="INE143I01013"/>
        <s v="INE726D01016"/>
        <s v="INE990E01016"/>
        <s v="INE657D01021"/>
        <s v="INE489D01011"/>
        <s v="INE979B01015"/>
        <s v="INE712A01012"/>
        <s v="INE788M01017"/>
        <s v="INE553F01035"/>
        <s v="INE605D01012"/>
        <s v="INE684B01029"/>
        <s v="INE757A01017"/>
        <s v="INE437A01024"/>
        <s v="INE861H01020"/>
        <s v="INE641A01013"/>
        <s v="INE295A01018"/>
        <s v="INE791H01011"/>
        <s v="INE331L01026"/>
        <s v="INE193B01039"/>
        <s v="INE013E01017"/>
        <s v="INE734I01027"/>
        <s v="INE549B01016"/>
        <s v="INE753D01010"/>
        <s v="INE668Y01016"/>
        <s v="INE673M01029"/>
        <s v="INE977E01013"/>
        <s v="INE060A01024"/>
        <s v="INE511J01027"/>
        <s v="INE086E01021"/>
        <s v="INE074J01018"/>
        <s v="INE218C01016"/>
        <s v="INE190F01028"/>
        <s v="INE413B01023"/>
        <s v="INE117F01013"/>
        <s v="INE763D01019"/>
        <s v="INE040F01033"/>
        <s v="INE778N01016"/>
        <s v="INE572G01025"/>
        <s v="INE300B01022"/>
        <s v="INE521L01030"/>
        <s v="INE392A01021"/>
        <s v="INE525B01016"/>
        <s v="INE742B01025"/>
        <s v="INE107J01016"/>
        <s v="INE137I01015"/>
        <s v="INE802D01023"/>
        <s v="INE159E01026"/>
        <s v="INE034D01049"/>
        <s v="INE421C01016"/>
        <s v="INE367E01033"/>
        <s v="INE664D01019"/>
        <s v="INE026I01010"/>
        <s v="INE01TL01014"/>
        <s v="INE145E01017"/>
        <s v="INE463A01038"/>
        <s v="INE479A01018"/>
        <s v="INE371A01025"/>
        <s v="INE686A01026"/>
        <s v="INE515H01014"/>
        <s v="INE214F01026"/>
        <s v="INE276A01018"/>
        <s v="INE925D01014"/>
        <s v="INE426D01013"/>
        <s v="INE722D01015"/>
        <s v="INE545A01016"/>
        <s v="INE310C01029"/>
        <s v="INE083O01019"/>
        <s v="INE557A01011"/>
        <s v="INE061A01014"/>
        <s v="INE575C01027"/>
        <s v="INE364A01020"/>
        <s v="INE972A01020"/>
        <s v="INE370A01019"/>
        <s v="INE880P01015"/>
        <s v="INE275B01026"/>
        <s v="INE940N01012"/>
        <s v="INE712Z01019"/>
        <s v="INE02C301011"/>
        <s v="INE849C01026"/>
        <s v="INE896E01023"/>
        <s v="INE832D01020"/>
        <s v="INE532U01012"/>
        <s v="INE881P01013"/>
        <s v="INE195A01028"/>
        <s v="INE077P01034"/>
        <s v="INE726E01014"/>
        <s v="INE710A01016"/>
        <s v="INE804A01025"/>
        <s v="INE856D01011"/>
        <s v="INE457N01025"/>
        <s v="INE946K01023"/>
        <s v="INE679T01013"/>
        <s v="INE742C01031"/>
        <s v="INE175Q01018"/>
        <s v="INE122N01017"/>
        <s v="INE302E01014"/>
        <s v="INE407F01018"/>
        <s v="INE065D01027"/>
        <s v="INE047E01031"/>
        <s v="INE747V01014"/>
        <s v="INE705C01020"/>
        <s v="INE848D01018"/>
        <s v="INE527B01020"/>
        <s v="INE609B01018"/>
        <s v="INE344D01018"/>
        <s v="INE549D01012"/>
        <s v="INE096I01021"/>
        <s v="INE635I01018"/>
        <s v="INE381N01019"/>
        <s v="INE570N01025"/>
        <s v="INE613B01010"/>
        <s v="INE477A01020"/>
        <s v="INE910G01027"/>
        <s v="INE050B01023"/>
        <s v="INE721A01013"/>
        <s v="INE121A01024"/>
        <s v="INE910D01024"/>
        <s v="INE771Z01015"/>
        <s v="INE088P01015"/>
        <s v="INE709A01018"/>
        <s v="INE429D01017"/>
        <s v="INE556D01017"/>
        <s v="INE240B01012"/>
        <s v="INE661M01016"/>
        <s v="INE410E01015"/>
        <s v="INE472C01027"/>
        <s v="INE559D01011"/>
        <s v="INE051B01021"/>
        <s v="INE034B01019"/>
        <s v="INE706F01021"/>
        <s v="INE899D01011"/>
        <s v="INE191N01012"/>
        <s v="INE841B01017"/>
        <s v="INE488C01015"/>
        <s v="INE900A01013"/>
        <s v="INE707C01018"/>
        <s v="INE697C01011"/>
        <s v="INE380K01017"/>
        <s v="INE882C01035"/>
        <s v="INE376A01032"/>
        <s v="INE135C01012"/>
        <s v="INE026C01013"/>
        <s v="INE777C01011"/>
        <s v="INE367A01015"/>
        <s v="INE903D01011"/>
        <s v="INE732K01027"/>
        <s v="INE289C01025"/>
        <s v="INE654D01010"/>
        <s v="INE754C01010"/>
        <s v="INE425F01028"/>
        <s v="INE323B01024"/>
        <s v="INE212B01011"/>
        <s v="INE216B01012"/>
        <s v="INE420B01036"/>
        <s v="INE569B01022"/>
        <s v="INE891B01012"/>
        <s v="INE229D01011"/>
        <s v="INE417D01012"/>
        <s v="INE699B01027"/>
        <s v="INE919M01026"/>
        <s v="INE113B01029"/>
        <s v="INE309D01011"/>
        <s v="INE027D01019"/>
        <s v="INE443D01018"/>
        <s v="INE099G01011"/>
        <s v="INE289B01019"/>
        <s v="INE963B01019"/>
        <s v="INE759C01019"/>
        <s v="INE953B01010"/>
        <s v="INE625D01028"/>
        <s v="INE290E01011"/>
        <s v="INE717D01023"/>
        <s v="INE452B01013"/>
        <s v="INE875B01015"/>
        <s v="INE020D01022"/>
        <s v="INE946H01037"/>
        <s v="INE006C01015"/>
        <s v="INE527C01010"/>
        <s v="INE241B01010"/>
        <s v="INE239B01014"/>
        <s v="INE583D01011"/>
        <s v="INE861D01011"/>
        <s v="INE195I01013"/>
        <s v="INE094E01017"/>
        <s v="INE518D01025"/>
        <s v="INE819K01014"/>
        <s v="INE296G01013"/>
        <s v="INE677D01029"/>
        <s v="INE582V01015"/>
        <s v="INE886D01026"/>
        <s v="INE754D01018"/>
        <s v="INE135H01029"/>
        <s v="INE967G01019"/>
        <s v="INE837E01019"/>
        <s v="INE767M01011"/>
        <s v="INE603D01017"/>
        <s v="INE393H01016"/>
        <s v="INE887D01016"/>
        <s v="INE510H01015"/>
        <s v="INE195E01020"/>
        <s v="INE139J01019"/>
        <s v="INE896J01014"/>
        <s v="INE048E01013"/>
        <s v="INE762D01011"/>
        <s v="INE738D01011"/>
        <s v="INE945F01025"/>
        <s v="INE628A01036"/>
        <s v="INE425H01016"/>
        <s v="INE234B01023"/>
        <s v="INE092G01024"/>
        <s v="INE750G01019"/>
        <s v="INE331E01013"/>
        <s v="INE276H01013"/>
        <s v="INE649C01012"/>
        <s v="INE436U01016"/>
        <s v="INE529F01035"/>
        <s v="INE956V01011"/>
        <s v="INE758A01072"/>
        <s v="INE808W01012"/>
        <s v="INE123V01018"/>
        <s v="INE650K01021"/>
        <s v="INE365O01010"/>
        <s v="INE685D01022"/>
        <s v="INE805D01034"/>
        <s v="INE496M01017"/>
        <s v="INE02BR01017"/>
        <s v="INE730E01016"/>
        <s v="INE177E01010"/>
        <s v="INE379J01029"/>
        <s v="INE070D01027"/>
        <s v="INE552F01011"/>
        <s v="INE894A01026"/>
        <s v="INE895A01023"/>
        <s v="INE553H01015"/>
        <s v="INE200D01020"/>
        <s v="INE552H01017"/>
        <s v="INE340U01010"/>
        <s v="INE497M01015"/>
        <s v="INE458B01036"/>
        <s v="INE408F01016"/>
        <s v="INE417N01011"/>
        <s v="INE776V01013"/>
        <s v="INE385F01024"/>
        <s v="INE396F01013"/>
        <s v="INE068C01015"/>
        <s v="INE745A01012"/>
        <s v="INE495M01019"/>
        <s v="INE664N01018"/>
        <s v="INE716D01033"/>
        <s v="INE992I01013"/>
        <s v="INE037B01012"/>
        <s v="INE017I01027"/>
        <s v="INE523W01017"/>
        <s v="INE728J01019"/>
        <s v="INE319T01016"/>
        <s v="INE242B01018"/>
        <s v="INE416X01012"/>
        <s v="INE508W01018"/>
        <s v="INE412D01013"/>
        <s v="INE993I01011"/>
        <s v="INE162L01017"/>
        <s v="INE07LH01016"/>
        <s v="INE564J01026"/>
        <s v="INE281B01032"/>
        <s v="INE07NX01019"/>
        <s v="INE080I01025"/>
        <s v="INE765L01017"/>
        <s v="INE661K01010"/>
        <s v="INE977F01010"/>
        <s v="INE876A01015"/>
        <s v="INE590B01010"/>
        <s v="INE435E01020"/>
        <s v="INE721V01019"/>
        <s v="INE442U01014"/>
        <s v="INE132V01019"/>
        <s v="INE668D01028"/>
        <s v="INE091C01017"/>
        <s v="INE807F01027"/>
        <s v="INE655A01013"/>
        <s v="INE058B01018"/>
        <s v="INE080B01012"/>
        <s v="INE581D01015"/>
        <s v="INE871C01038"/>
        <s v="INE077B01018"/>
        <s v="INE579D01019"/>
        <s v="INE183U01022"/>
        <s v="INE348N01034"/>
        <s v="INE681C01015"/>
        <s v="INE423A01024"/>
        <s v="INE307N01014"/>
        <s v="INE772B01014"/>
        <s v="INE474E01029"/>
        <s v="INE629C01014"/>
        <s v="INE769D01016"/>
        <s v="INE231G01010"/>
        <s v="INE104E01014"/>
        <s v="INE114E01013"/>
        <s v="INE987E01012"/>
        <s v="INE725A01022"/>
        <s v="INE582K01018"/>
        <s v="INE158G01015"/>
        <s v="INE736H01024"/>
        <s v="INE360D01014"/>
        <s v="INE386D01027"/>
        <s v="INE524B01027"/>
        <s v="INE991A01020"/>
        <s v="INE730A01022"/>
        <s v="INE950D01012"/>
        <s v="INE205F01016"/>
        <s v="INE932A01024"/>
        <s v="INE197A01024"/>
        <s v="INE289D01015"/>
        <s v="INE802C01033"/>
        <s v="INE993A01026"/>
        <s v="INE001F01019"/>
        <s v="INE363L01029"/>
        <s v="INE327C01031"/>
        <s v="INE145J01032"/>
        <s v="INE298G01027"/>
        <s v="INE105D01013"/>
        <s v="INE072A01029"/>
        <s v="INE013J01016"/>
        <s v="INE120A01034"/>
        <s v="INE123F01029"/>
        <s v="INE457E01016"/>
        <s v="INE587D01012"/>
        <s v="INE092C01015"/>
        <s v="INE728B01032"/>
        <s v="INE373E01015"/>
        <s v="INE501L01024"/>
        <s v="INE640C01011"/>
        <s v="INE594D01018"/>
        <s v="INE791E01018"/>
        <s v="INE257F01017"/>
        <s v="INE658D01011"/>
        <s v="INE387D01025"/>
        <s v="INE235U01012"/>
        <s v="INE308N01012"/>
        <s v="INE927K01023"/>
        <s v="INE276I01011"/>
        <s v="INE314G01014"/>
        <s v="INE798F01010"/>
        <s v="INE570B01012"/>
        <s v="INE329C01011"/>
        <s v="INE124E01020"/>
        <s v="INE450D01021"/>
        <s v="INE741B01027"/>
        <s v="INE770A01010"/>
        <s v="INE207H01018"/>
        <s v="INE176E01012"/>
        <s v="INE385M01012"/>
        <s v="INE451L01014"/>
        <s v="INE608C01026"/>
        <s v="INE067E01013"/>
        <s v="INE617C01027"/>
        <s v="INE531E01026"/>
        <s v="INE463D01016"/>
        <s v="INE197C01012"/>
        <s v="INE589A01014"/>
        <s v="INE848B01012"/>
        <s v="INE434C01027"/>
        <s v="INE584G01012"/>
        <s v="INE960A01017"/>
        <s v="INE146C01019"/>
        <s v="INE614F01019"/>
        <s v="INE210C01013"/>
        <s v="INE723D01021"/>
        <s v="INE376L01013"/>
        <s v="INE272C01013"/>
        <s v="INE970D01010"/>
        <s v="INE049A01027"/>
        <s v="INE594B01012"/>
        <s v="INE229N01010"/>
        <s v="INE501F01018"/>
        <s v="INE207C01019"/>
        <s v="INE517D01019"/>
        <s v="INE132C01027"/>
        <s v="INE431C01023"/>
        <s v="INE592B01016"/>
        <s v="INE192B01031"/>
        <s v="INE862B01013"/>
        <s v="INE845D01014"/>
        <s v="INE760J01012"/>
        <s v="INE835A01029"/>
        <s v="INE761G01016"/>
        <s v="INE110Q01023"/>
        <s v="INE410D01017"/>
        <s v="INE495C01010"/>
        <s v="INE664X01025"/>
        <s v="INE874A01010"/>
        <s v="INE979D01011"/>
        <s v="INE377C01010"/>
        <s v="INE899E01019"/>
        <s v="INE707B01010"/>
        <s v="INE106C01013"/>
        <s v="INE436C01014"/>
        <s v="INE273D01019"/>
        <s v="INE589J01015"/>
        <s v="INE440A01010"/>
        <s v="INE156C01018"/>
        <s v="INE660D01017"/>
        <s v="INE156E01014"/>
        <s v="INE969C01022"/>
        <s v="INE722N01014"/>
        <s v="INE535C01013"/>
        <s v="INE814D01010"/>
        <s v="INE790C01014"/>
        <s v="INE670O01013"/>
        <s v="INE216I01017"/>
        <s v="INE194N01016"/>
        <s v="INE784B01035"/>
        <s v="INE309M01012"/>
        <s v="INE339D01034"/>
        <s v="INE078T01026"/>
        <s v="INE564C01013"/>
        <s v="INE004C01028"/>
        <s v="INE340D01016"/>
        <s v="INE638N01012"/>
        <s v="INE305D01019"/>
        <s v="INE370D01013"/>
        <s v="INE074C01013"/>
        <s v="INE009C01019"/>
        <s v="INE577D01013"/>
        <s v="INE112D01035"/>
        <s v="INE410M01018"/>
        <s v="INE670H01017"/>
        <s v="INE837B01031"/>
        <s v="INE219W01012"/>
        <s v="INE277C01012"/>
        <s v="INE439A01020"/>
        <s v="INE692B01014"/>
        <s v="INE068B01017"/>
        <s v="INE242C01024"/>
        <s v="INE469C01023"/>
        <s v="INE298E01022"/>
        <s v="INE925C01016"/>
        <s v="INE650D01026"/>
        <s v="INE952A01022"/>
        <s v="INE506D01020"/>
        <s v="INE932D01010"/>
        <s v="INE231C01019"/>
        <s v="INE112C01011"/>
        <s v="INE733A01018"/>
        <s v="INE551D01018"/>
        <s v="INE385D01029"/>
        <s v="INE737E01011"/>
        <s v="INE570D01018"/>
        <s v="INE270I01022"/>
        <s v="INE699D01015"/>
        <s v="INE740D01017"/>
        <s v="INE105C01023"/>
        <s v="INE384D01022"/>
        <s v="INE810C01044"/>
        <s v="INE538D01015"/>
        <s v="INE088G01014"/>
        <s v="INE146N01016"/>
        <s v="INE707A01012"/>
        <s v="INE302D01016"/>
        <s v="INE045A01017"/>
        <s v="INE649R01010"/>
        <s v="INE457F01013"/>
        <s v="INE919C01019"/>
        <s v="INE273A01015"/>
        <s v="INE834B01012"/>
        <s v="INE228A01035"/>
        <s v="INE252A01019"/>
        <s v="INE287B01021"/>
        <s v="INE125G01014"/>
        <s v="INE443P01020"/>
        <s v="INE671A01010"/>
        <s v="INE311D01017"/>
        <s v="INE162B01018"/>
        <s v="INE927C01020"/>
        <s v="INE216C01010"/>
        <s v="INE083E01010"/>
        <s v="INE788D01016"/>
        <s v="INE143C01024"/>
        <s v="INE087E01011"/>
        <s v="INE292B01021"/>
        <s v="INE902B01017"/>
        <s v="INE541F01022"/>
        <s v="INE162A01010"/>
        <s v="INE775A01035"/>
        <s v="INE110B01017"/>
        <s v="INE176B01034"/>
        <s v="INE167B01025"/>
        <s v="INE689V01018"/>
        <s v="INE437C01012"/>
        <s v="INE877E01015"/>
        <s v="INE188B01013"/>
        <s v="INE225D01027"/>
        <s v="INE043B01028"/>
        <s v="INE648E01010"/>
        <s v="INE756A01019"/>
        <s v="INE635A01023"/>
        <s v="INE791B01014"/>
        <s v="INE082C01024"/>
        <s v="INE295F01017"/>
        <s v="INE0IPL01018"/>
        <s v="INE576B01019"/>
        <s v="INE060D01010"/>
        <s v="INE940C01015"/>
        <s v="INE165B01029"/>
        <s v="INE437D01010"/>
        <s v="INE415B01044"/>
        <s v="INE033C01019"/>
        <s v="INE258C01038"/>
        <s v="INE855C01015"/>
        <s v="INE535D01029"/>
        <s v="INE690A01028"/>
        <s v="INE589D01018"/>
        <s v="INE451D01029"/>
        <s v="INE130B01031"/>
        <s v="INE229A01017"/>
        <s v="INE320B01020"/>
        <s v="INE209C01015"/>
        <s v="INE141C01028"/>
        <s v="INE362A01016"/>
        <s v="INE948A01012"/>
        <s v="INE878B01027"/>
        <s v="INE145L01012"/>
        <s v="INE333H01020"/>
        <s v="INE069E01019"/>
        <s v="INE071F01012"/>
        <s v="INE537F01012"/>
        <s v="INE100E01012"/>
        <s v="INE455D01012"/>
        <s v="INE687W01010"/>
        <s v="INE488B01017"/>
        <s v="INE534D01014"/>
        <s v="INE488D01021"/>
        <s v="INE254N01026"/>
        <s v="INE289A01011"/>
        <s v="INE693D01018"/>
        <s v="INE694D01016"/>
        <s v="INE709D01012"/>
        <s v="INE982B01027"/>
        <s v="INE601N01010"/>
        <s v="INE188E01017"/>
        <s v="INE601B01023"/>
        <s v="INE210A01017"/>
        <s v="INE102C01020"/>
        <s v="INE843L01012"/>
        <s v="INE233P01017"/>
        <s v="INE297D01018"/>
        <s v="INE906C01016"/>
        <s v="INE617B01011"/>
        <s v="INE921D01013"/>
        <s v="INE543F01028"/>
        <s v="INE706A01022"/>
        <s v="INE923K01014"/>
        <s v="INE809E01018"/>
        <s v="INE213P01027"/>
        <s v="INE087B01017"/>
        <s v="INE220Z01013"/>
        <s v="INE673U01014"/>
        <s v="INE873N01015"/>
        <s v="INE953E01014"/>
        <s v="INE062E01014"/>
        <s v="INE540C01021"/>
        <s v="INE295C01014"/>
        <s v="INE678B01021"/>
        <s v="INE072V01017"/>
        <s v="INE975C01011"/>
        <s v="INE052V01019"/>
        <s v="INE358D01018"/>
        <s v="INE542C01019"/>
        <s v="INE356C01022"/>
        <s v="INE630N01019"/>
        <s v="INE369C01017"/>
        <s v="INE822B01017"/>
        <s v="INE978A01027"/>
        <s v="INE354D01017"/>
        <s v="INE092301014"/>
        <s v="INE421D01022"/>
        <s v="INE164B01022"/>
        <s v="INE565E01016"/>
        <s v="INE177M01013"/>
        <s v="INE734D01010"/>
        <s v="INE209B01025"/>
        <s v="INE090B01011"/>
        <s v="INE577A01027"/>
        <s v="INE039C01032"/>
        <s v="INE105A01035"/>
        <s v="INE643A01035"/>
        <s v="INE672B01032"/>
        <s v="INE571B01036"/>
        <s v="INE704B01017"/>
        <s v="INE706B01012"/>
        <s v="INE315F01013"/>
        <s v="INE075B01020"/>
        <s v="INE703B01027"/>
        <s v="INE386A01015"/>
        <s v="INE900C01027"/>
        <s v="INE276D01012"/>
        <s v="INE125D01011"/>
        <s v="INE654B01014"/>
        <s v="INE229E01019"/>
        <s v="INE441C01014"/>
        <s v="INE757B01015"/>
        <s v="INE580C01019"/>
        <s v="INE02Z901011"/>
        <s v="INE807M01023"/>
        <s v="INE022C01012"/>
        <s v="INE483B01026"/>
        <s v="INE882A01013"/>
        <s v="INE314C01013"/>
        <s v="INE695C01015"/>
        <s v="INE900E01015"/>
        <s v="INE092E01011"/>
        <s v="INE814L01013"/>
        <s v="INE064C01022"/>
        <s v="INE689E01014"/>
        <s v="INE270A01029"/>
        <s v="INE604F01010"/>
        <s v="INE484D01012"/>
        <s v="INE482O01021"/>
        <s v="INE123B01028"/>
        <s v="INE691D01012"/>
        <s v="INE363D01018"/>
        <s v="INE165F01020"/>
        <s v="INE958A01011"/>
        <s v="INE122D01026"/>
        <s v="INE419E01024"/>
        <s v="INE953D01016"/>
        <s v="INE456D01010"/>
        <s v="INE206B01013"/>
        <s v="INE306D01017"/>
        <s v="INE662A01027"/>
        <s v="INE923A01015"/>
        <s v="INE713B01026"/>
        <s v="INE931D01020"/>
        <s v="INE220C01012"/>
        <s v="INE497D01022"/>
        <s v="INE602D01027"/>
        <s v="INE980D01019"/>
        <s v="INE083G01031"/>
        <s v="INE124M01015"/>
        <s v="INE443E01016"/>
        <s v="INE893C01032"/>
        <s v="INE304D01012"/>
        <s v="INE292D01019"/>
        <s v="INE676G01024"/>
        <s v="INE162C01024"/>
        <s v="INE602G01020"/>
        <s v="INE608B01010"/>
        <s v="INE177C01022"/>
        <s v="INE759F01012"/>
        <s v="INE961D01019"/>
        <s v="INE459C01016"/>
        <s v="INE279D01016"/>
        <s v="INE052A01021"/>
        <s v="INE631A01022"/>
        <s v="INE338P01014"/>
        <s v="INE634A01018"/>
        <s v="INE127B01011"/>
        <s v="INE285A01027"/>
        <s v="INE890G01021"/>
        <s v="INE338F01015"/>
        <s v="INE372E01025"/>
        <s v="INE384C01016"/>
        <s v="INE325A01013"/>
        <s v="INE285C01015"/>
        <s v="INE410A01013"/>
        <s v="INE989C01020"/>
        <s v="INE867D01018"/>
        <s v="INE182E01010"/>
        <s v="INE478D01014"/>
        <s v="INE572D01014"/>
        <s v="INE074A01025"/>
        <s v="INE682D01011"/>
        <s v="INE429B01011"/>
        <s v="INE461D01028"/>
        <s v="INE826C01016"/>
        <s v="INE692C01020"/>
        <s v="INE714D01012"/>
        <s v="INE097E01028"/>
        <s v="INE092H01014"/>
        <s v="INE227C01017"/>
        <s v="INE040D01038"/>
        <s v="INE627F01011"/>
        <s v="INE535F01024"/>
        <s v="INE920A01037"/>
        <s v="INE466D01019"/>
        <s v="INE868C01018"/>
        <s v="INE200A01026"/>
        <s v="INE207E01023"/>
        <s v="INE854B01010"/>
        <s v="INE220B01022"/>
        <s v="INE169F01014"/>
        <s v="INE713D01055"/>
        <s v="INE811B01010"/>
        <s v="INE663B01015"/>
        <s v="INE142E01014"/>
        <s v="INE030C01015"/>
        <s v="INE080A01014"/>
        <s v="INE710D01010"/>
        <s v="INE989D01010"/>
        <s v="INE985A01022"/>
        <s v="INE429E01023"/>
        <s v="INE626H01019"/>
        <s v="INE584C01011"/>
        <s v="INE124B01018"/>
        <s v="INE293E01023"/>
        <s v="INE425D01015"/>
        <s v="INE391G01012"/>
        <s v="INE628D01014"/>
        <s v="INE276C01014"/>
        <s v="INE442D01010"/>
        <s v="INE910B01028"/>
        <s v="INE599F01020"/>
        <s v="INE00FM01013"/>
        <s v="INE421A01028"/>
        <s v="INE760A01029"/>
        <s v="INE173J01018"/>
        <s v="INE415D01024"/>
        <s v="INE369D01023"/>
        <s v="INE006F01018"/>
        <s v="INE082B01018"/>
        <s v="INE844A01013"/>
        <s v="INE398A01010"/>
        <s v="INE199C01026"/>
        <s v="INE395B01048"/>
        <s v="INE712B01010"/>
        <s v="INE763B01013"/>
        <s v="INE822C01015"/>
        <s v="INE241V01018"/>
        <s v="INE898O01010"/>
        <s v="INE164A01016"/>
        <s v="INE177F01017"/>
        <s v="INE668G01021"/>
        <s v="INE809F01015"/>
        <s v="INE499A01024"/>
        <s v="INE843D01027"/>
        <s v="INE636A01039"/>
        <s v="INE281E01010"/>
        <s v="INE843B01013"/>
        <s v="INE310A01015"/>
        <s v="INE308A01027"/>
        <s v="INE470A01017"/>
        <s v="INE782A01015"/>
        <s v="INE780C01023"/>
        <s v="INE833A01016"/>
        <s v="INE141D01018"/>
        <s v="INE459D01014"/>
        <s v="INE046A01015"/>
        <s v="INE473A01011"/>
        <s v="INE969D01012"/>
        <s v="INE250C01027"/>
        <s v="INE026D01011"/>
        <s v="INE883C01025"/>
        <s v="INE889F01017"/>
        <s v="INE951C01012"/>
        <s v="INE170D01025"/>
        <s v="INE372C01037"/>
        <s v="INE951B01014"/>
        <s v="INE010C01025"/>
        <s v="INE199D01016"/>
        <s v="INE623B01027"/>
        <s v="INE826B01018"/>
        <s v="INE638D01021"/>
        <s v="INE109A01011"/>
        <s v="INE438E01016"/>
        <s v="INE248A01017"/>
        <s v="INE506A01018"/>
        <s v="INE486I01016"/>
        <s v="INE888B01018"/>
        <s v="INE870D01012"/>
        <s v="INE558A01019"/>
        <s v="INE603J01030"/>
        <s v="INE083C01022"/>
        <s v="INE823D01011"/>
        <s v="INE465K01016"/>
        <s v="INE054C01015"/>
        <s v="INE954B01018"/>
        <s v="INE798D01015"/>
        <s v="INE116A01032"/>
        <s v="INE842B01015"/>
        <s v="INE759A01021"/>
        <s v="INE158B01016"/>
        <s v="INE318C01014"/>
        <s v="INE745F01011"/>
        <s v="INE365D01021"/>
        <s v="INE119B01018"/>
        <s v="INE866A01016"/>
        <s v="INE477B01010"/>
        <s v="INE502D01011"/>
        <s v="INE215D01010"/>
        <s v="INE844D01017"/>
        <s v="INE344E01016"/>
        <s v="INE885E01034"/>
        <s v="INE959D01013"/>
        <s v="INE071D01033"/>
        <s v="INE862C01029"/>
        <s v="INE610B01024"/>
        <s v="INE059B01024"/>
        <s v="INE965C01038"/>
        <s v="INE460D01038"/>
        <s v="INE537B01011"/>
        <s v="INE767C01012"/>
        <s v="INE317D01014"/>
        <s v="INE316O01021"/>
        <s v="INE511C01022"/>
        <s v="INE806J01013"/>
        <s v="INE473D01015"/>
        <s v="INE637N01014"/>
        <s v="INE809A01024"/>
        <s v="INE204D01022"/>
        <s v="INE704F01018"/>
        <s v="INE633B01018"/>
        <s v="INE155C01010"/>
        <s v="INE681F01018"/>
        <s v="INE482D01024"/>
        <s v="INE900B01029"/>
        <s v="INE250B01029"/>
        <s v="INE417E01010"/>
        <s v="INE034F01010"/>
        <s v="INE485C01011"/>
        <s v="INE133C01033"/>
        <s v="INE410B01037"/>
        <s v="INE058I01013"/>
        <s v="INE757D01011"/>
        <s v="INE769A01020"/>
        <s v="INE702E01015"/>
        <s v="INE107F01022"/>
        <s v="INE486D01017"/>
        <s v="INE036B01030"/>
        <s v="INE027A01015"/>
        <s v="INE082A01010"/>
        <s v="INE008B01013"/>
        <s v="INE499G01013"/>
        <s v="INE573R01012"/>
        <s v="INE785A01026"/>
        <s v="INE412G01024"/>
        <s v="INE065E01017"/>
        <s v="INE803D01021"/>
        <s v="INE767A01016"/>
        <s v="INE338D01028"/>
        <s v="INE191A01027"/>
        <s v="INE579C01029"/>
        <s v="INE829A01014"/>
        <s v="INE806D01016"/>
        <s v="INE750C01026"/>
        <s v="INE113E01015"/>
        <s v="INE198H01019"/>
        <s v="INE744C01029"/>
        <s v="INE810M01019"/>
        <s v="INE198C01010"/>
        <s v="INE313M01030"/>
        <s v="INE319N01019"/>
        <s v="INE312C01025"/>
        <s v="INE249D01019"/>
        <s v="INE038B01010"/>
        <s v="INE571A01038"/>
        <s v="INE729D01010"/>
        <s v="INE548H01015"/>
        <s v="INE270D01015"/>
        <s v="INE683E01017"/>
        <s v="INE276N01011"/>
        <s v="INE711D01018"/>
        <s v="INE268B01013"/>
        <s v="INE879K01018"/>
        <s v="INE919B01011"/>
        <s v="INE972C01018"/>
        <s v="INE450E01011"/>
        <s v="INE06DM01015"/>
        <s v="INE465H01012"/>
        <s v="INE794A01010"/>
        <s v="INE052E01015"/>
        <s v="INE371C01013"/>
        <s v="INE117D01018"/>
        <s v="INE737C01023"/>
        <s v="INE686C01014"/>
        <s v="INE314D01011"/>
        <s v="INE422G01015"/>
        <s v="INE263B01022"/>
        <s v="INE994D01010"/>
        <s v="INE542B01011"/>
        <s v="INE875N01036"/>
        <s v="INE276T01018"/>
        <s v="INE415H01017"/>
        <s v="INE056E01024"/>
        <s v="INE532B01020"/>
        <s v="INE076D01016"/>
        <s v="INE750B01010"/>
        <s v="INE551C01028"/>
        <s v="INE058F01019"/>
        <s v="INE102E01018"/>
        <s v="INE078I01011"/>
        <s v="INE528E01022"/>
        <s v="INE760F01028"/>
        <s v="INE788B01028"/>
        <s v="INE936B01015"/>
        <s v="INE331C01017"/>
        <s v="INE994B01014"/>
        <s v="INE035D01020"/>
        <s v="INE782E01017"/>
        <s v="INE645C01010"/>
        <s v="INE473E01021"/>
        <s v="INE751D01014"/>
        <s v="INE295D01020"/>
        <s v="INE427C01021"/>
        <s v="INE044A01036"/>
        <s v="INE150C01011"/>
        <s v="INE491D01017"/>
        <s v="INE004E01016"/>
        <s v="INE354A01013"/>
        <s v="INE475B01022"/>
        <s v="INE475E01026"/>
        <s v="INE771F01025"/>
        <s v="INE302F01011"/>
        <s v="INE643N01012"/>
        <s v="INE634B01016"/>
        <s v="INE887E01022"/>
        <s v="INE334C01029"/>
        <s v="INE406A01037"/>
        <s v="INE037C01010"/>
        <s v="INE987B01026"/>
        <s v="INE457C01010"/>
        <s v="INE305C01029"/>
        <s v="INE083D01012"/>
        <s v="INE278D01018"/>
        <s v="INE593O01017"/>
        <s v="INE064L01015"/>
        <s v="INE144D01012"/>
        <s v="INE809B01014"/>
        <s v="INE395F01023"/>
        <s v="INE020S01012"/>
        <s v="INE895E01017"/>
        <s v="INE427E01027"/>
        <s v="INE602H01010"/>
        <s v="INE327D01013"/>
        <s v="INE011D01013"/>
        <s v="INE00HZ01011"/>
        <s v="INE881B01054"/>
        <s v="INE278C01010"/>
        <s v="INE773D01018"/>
        <s v="INE343A01016"/>
        <s v="INE926C01022"/>
        <s v="INE175C01018"/>
        <s v="INE678F01014"/>
        <s v="INE449C01025"/>
        <s v="INE983C01015"/>
        <s v="INE293C01019"/>
        <s v="INE618A01011"/>
        <s v="INE170U01011"/>
        <s v="INE120D01012"/>
        <s v="INE253C01013"/>
        <s v="INE816B01035"/>
        <s v="INE307D01015"/>
        <s v="INE902C01015"/>
        <s v="INE762C01021"/>
        <s v="INE863B01029"/>
        <s v="INE033E01015"/>
        <s v="INE835B01035"/>
        <s v="INE293N01016"/>
        <s v="INE356A01018"/>
        <s v="INE047C01019"/>
        <s v="INE410G01010"/>
        <s v="INE609C01024"/>
        <s v="INE115F01017"/>
        <s v="INE744D01019"/>
        <s v="INE218T01010"/>
        <s v="INE138B01018"/>
        <s v="INE967A01012"/>
        <s v="INE460C01014"/>
        <s v="INE584A01023"/>
        <s v="INE908C01012"/>
        <s v="INE529D01014"/>
        <s v="INE137C01018"/>
        <s v="INE299D01022"/>
        <s v="INE301C01028"/>
        <s v="INE870B01024"/>
        <s v="INE479D01038"/>
        <s v="INE867C01010"/>
        <s v="INE759I01024"/>
        <s v="INE267C01013"/>
        <s v="INE515B01025"/>
        <s v="INE072B01027"/>
        <s v="INE007C01021"/>
        <s v="INE940E01011"/>
        <s v="INE391C01011"/>
        <s v="INE152E01013"/>
        <s v="INE765B01018"/>
        <s v="INE245B01011"/>
        <s v="INE432N01010"/>
        <s v="INE206C01029"/>
        <s v="INE582D01013"/>
        <s v="INE818D01011"/>
        <s v="INE398F01019"/>
        <s v="INE356B01016"/>
        <s v="INE825D01016"/>
        <s v="INE840D01015"/>
        <s v="INE999B01013"/>
        <s v="INE550D01010"/>
        <s v="INE670C01026"/>
        <s v="INE716K01020"/>
        <s v="INE967B01028"/>
        <s v="INE493D01013"/>
        <s v="INE652F01027"/>
        <s v="INE696E01019"/>
        <s v="INE519N01014"/>
        <s v="INE439G01019"/>
        <s v="INE778A01021"/>
        <s v="INE413G01022"/>
        <s v="INE015B01018"/>
        <s v="INE813B01016"/>
        <s v="INE557B01019"/>
        <s v="INE845B01018"/>
        <s v="INE822G01016"/>
        <s v="INE233B01017"/>
        <s v="INE561D01025"/>
        <s v="INE233D01013"/>
        <s v="INE244C01020"/>
        <s v="INE594V01028"/>
        <s v="INE008C01011"/>
        <s v="INE771A01026"/>
        <s v="INE305A01015"/>
        <s v="INE403F01017"/>
        <s v="INE610C01014"/>
        <s v="INE828A01016"/>
        <s v="INE967C01018"/>
        <s v="INE008N01018"/>
        <s v="INE055C01020"/>
        <s v="INE084C01012"/>
        <s v="INE423D01010"/>
        <s v="INE095B01010"/>
        <s v="INE839A01021"/>
        <s v="INE627D01016"/>
        <s v="INE136C01044"/>
        <s v="INE653C01022"/>
        <s v="INE920C01017"/>
        <s v="INE583B01015"/>
        <s v="INE797D01017"/>
        <s v="INE025B01025"/>
        <s v="INE630D01010"/>
        <s v="INE869A01010"/>
        <s v="INE078D01012"/>
        <s v="INE915E01013"/>
        <s v="INE548D01014"/>
        <s v="INE931B01016"/>
        <s v="INE891E01024"/>
        <s v="INE760B01019"/>
        <s v="INE934C01018"/>
        <s v="INE007G01014"/>
        <s v="INE461C01038"/>
        <s v="INE497B01018"/>
        <s v="INE753B01014"/>
        <s v="INE974B01016"/>
        <s v="INE928C01010"/>
        <s v="INE016C01014"/>
        <s v="INE882D01017"/>
        <s v="INE552D01024"/>
        <s v="INE413C01013"/>
        <s v="INE794C01016"/>
        <s v="INE338C01012"/>
        <s v="INE655B01011"/>
        <s v="INE480H01011"/>
        <s v="INE986A01012"/>
        <s v="INE973B01026"/>
        <s v="INE988D01012"/>
        <s v="INE966C01010"/>
        <s v="INE795E01019"/>
        <s v="INE017E01018"/>
        <s v="INE184D01026"/>
        <s v="INE797C01019"/>
        <s v="INE111B01023"/>
        <s v="INE453D01025"/>
        <s v="INE944C01017"/>
        <s v="INE552B01010"/>
        <s v="INE344I01017"/>
        <s v="INE743D01011"/>
        <s v="INE253B01015"/>
        <s v="INE400G01011"/>
        <s v="INE377D01018"/>
        <s v="INE945B01016"/>
        <s v="INE059D01020"/>
        <s v="INE239C01020"/>
        <s v="INE411B01019"/>
        <s v="INE374J01020"/>
        <s v="INE404B01014"/>
        <s v="INE372D01019"/>
        <s v="INE025D01013"/>
        <s v="INE313G01016"/>
        <s v="INE318P01016"/>
        <s v="INE402H01015"/>
        <s v="INE760M01016"/>
        <s v="INE550C01020"/>
        <s v="INE348A01023"/>
        <s v="INE847D01010"/>
        <s v="INE186A01019"/>
        <s v="INE383A01012"/>
        <s v="INE573A01042"/>
        <s v="INE558B01017"/>
        <s v="INE173A01025"/>
        <s v="INE700A01033"/>
        <s v="INE924D01017"/>
        <s v="INE607G01011"/>
        <s v="INE563D01013"/>
        <s v="INE612D01018"/>
        <s v="INE618F01010"/>
        <s v="INE326C01017"/>
        <s v="INE090D01017"/>
        <s v="INE055E01026"/>
        <s v="INE264N01017"/>
        <s v="INE984E01035"/>
        <s v="INE095C01018"/>
        <s v="INE689J01013"/>
        <s v="INE718F01018"/>
        <s v="INE989A01024"/>
        <s v="INE818A01017"/>
        <s v="INE795D01011"/>
        <s v="INE963C01033"/>
        <s v="INE656B01019"/>
        <s v="INE069B01023"/>
        <s v="INE639C01013"/>
        <s v="INE959A01019"/>
        <s v="INE444D01016"/>
        <s v="INE103E01016"/>
        <s v="INE446D01011"/>
        <s v="INE445D01013"/>
        <s v="INE225C01029"/>
        <s v="INE924B01011"/>
        <s v="INE350C01017"/>
        <s v="INE302C01018"/>
        <s v="INE487G01018"/>
        <s v="INE017C01012"/>
        <s v="INE236P01010"/>
        <s v="INE817B01025"/>
        <s v="INE153K01018"/>
        <s v="INE388C01017"/>
        <s v="INE108C01019"/>
        <s v="INE473F01010"/>
        <s v="INE213B01019"/>
        <s v="INE936A01025"/>
        <s v="INE354E01031"/>
        <s v="INE365H01014"/>
        <s v="INE083B01024"/>
        <s v="INE629F01025"/>
        <s v="INE899B01015"/>
        <s v="INE501D01013"/>
        <s v="INE050N01010"/>
        <s v="INE690D01014"/>
        <s v="INE292C01011"/>
        <s v="INE533C01018"/>
        <s v="INE495B01038"/>
        <s v="INE032E01017"/>
        <s v="INE958C01017"/>
        <s v="INE001O01029"/>
        <s v="INE497E01012"/>
        <s v="INE961B01013"/>
        <s v="INE003B01014"/>
        <s v="INE062C01042"/>
        <s v="INE584B01013"/>
        <s v="INE021N01011"/>
        <s v="INE373C01019"/>
        <s v="INE102F01015"/>
        <s v="INE791C01012"/>
        <s v="INE823A01017"/>
        <s v="INE546C01010"/>
        <s v="INE419D01026"/>
        <s v="INE368D01025"/>
        <s v="INE285U01025"/>
        <s v="INE428D01019"/>
        <s v="INE362C01012"/>
        <s v="INE001E01012"/>
        <s v="INE596B01017"/>
        <s v="INE955D01029"/>
        <s v="INE276G01015"/>
        <s v="INE883D01023"/>
        <s v="INE428P01013"/>
        <s v="INE071E01023"/>
        <s v="INE607D01018"/>
        <s v="INE349A01021"/>
        <s v="INE380C01014"/>
        <s v="INE937C01029"/>
        <s v="INE921B01025"/>
        <s v="INE526H01011"/>
        <s v="INE356F01017"/>
        <s v="INE932F01015"/>
        <s v="INE886B01012"/>
        <s v="INE430F01010"/>
        <s v="INE865B01016"/>
        <s v="INE831C01016"/>
        <s v="INE853A01022"/>
        <s v="INE960E01019"/>
        <s v="INE140C01012"/>
        <s v="INE293D01017"/>
        <s v="INE764B01029"/>
        <s v="INE347C01013"/>
        <s v="INE959B01017"/>
        <s v="INE808A01018"/>
        <s v="INE440C01016"/>
        <s v="INE721D01017"/>
        <s v="INE015C01016"/>
        <s v="INE337E01010"/>
        <s v="INE473C01025"/>
        <s v="INE701G01012"/>
        <s v="INE131B01039"/>
        <s v="INE467D01017"/>
        <s v="INE786J01025"/>
        <s v="INE390D01011"/>
        <s v="INE948I01015"/>
        <s v="INE949B01018"/>
        <s v="INE395E01018"/>
        <s v="INE790G01031"/>
        <s v="INE074B01023"/>
        <s v="INE132F01038"/>
        <s v="INE149B01015"/>
        <s v="INE335G01019"/>
        <s v="INE519D01015"/>
        <s v="INE152C01025"/>
        <s v="INE906L01025"/>
        <s v="INE691C01014"/>
        <s v="INE573B01016"/>
        <s v="INE381G01013"/>
        <s v="INE582C01015"/>
        <s v="INE194E01015"/>
        <s v="INE375C01014"/>
        <s v="INE864E01021"/>
        <s v="INE834D01018"/>
        <s v="INE316A01038"/>
        <s v="INE127I01024"/>
        <s v="INE912B01032"/>
        <s v="INE812B01026"/>
        <s v="INE057Q01018"/>
        <s v="INE822E01011"/>
        <s v="INE624M01014"/>
        <s v="INE233C01023"/>
        <s v="INE546F01013"/>
        <s v="INE533D01032"/>
        <s v="INE161F01011"/>
        <s v="INE225G01012"/>
        <s v="INE144C01014"/>
        <s v="INE229B01015"/>
        <s v="INE093B01015"/>
        <s v="INE041B01014"/>
        <s v="INE900O01014"/>
        <s v="INE897A01011"/>
        <s v="INE812S01012"/>
        <s v="INE807A01010"/>
        <s v="INE715D01019"/>
        <s v="INE334A01023"/>
        <s v="INE510B01018"/>
        <s v="INE118C01018"/>
        <s v="INE055O01033"/>
        <s v="INE358C01010"/>
        <s v="INE584D01019"/>
        <s v="INE400N01017"/>
        <s v="INE336D01014"/>
        <s v="INE354C01027"/>
        <s v="INE125F01024"/>
        <s v="INE355C01016"/>
        <s v="INE001B01026"/>
        <s v="INE838C01011"/>
        <s v="INE789B01018"/>
        <s v="INE830A01012"/>
        <s v="INE011B01017"/>
        <s v="INE509F01029"/>
        <s v="INE199E01014"/>
        <s v="INE963A01011"/>
        <s v="INE545E01018"/>
        <s v="INE995D01025"/>
        <s v="INE345H01016"/>
        <s v="INE485K01014"/>
        <s v="INE366G01022"/>
        <s v="INE825C01018"/>
        <s v="INE784M01016"/>
        <s v="INE417F01017"/>
        <s v="INE308B01017"/>
        <s v="INE474H01014"/>
        <s v="INE474C01015"/>
        <s v="INE609D01014"/>
        <s v="INE737G01016"/>
        <s v="INE535P01015"/>
        <s v="INE457D01018"/>
        <s v="INE416A01044"/>
        <s v="INE357B01022"/>
        <s v="INE224D01012"/>
        <s v="INE012E01035"/>
        <s v="INE806A01020"/>
        <s v="INE242A01010"/>
        <s v="INE042C01010"/>
        <s v="INE260E01014"/>
        <s v="INE274E01015"/>
        <s v="INE443C01010"/>
        <s v="INE333E01019"/>
        <s v="INE050E01027"/>
        <s v="INE595G01018"/>
        <s v="INE190D01015"/>
        <s v="INE309H01038"/>
        <s v="INE267E01019"/>
        <s v="INE432F01024"/>
        <s v="INE823B01015"/>
        <s v="INE239F01015"/>
        <s v="INE741D01015"/>
        <s v="INE153C01015"/>
        <s v="INE906K01027"/>
        <s v="INE080G01011"/>
        <s v="INE362D01010"/>
        <s v="INE997I01012"/>
        <s v="INE914E01040"/>
        <s v="INE876E01033"/>
        <s v="INE858C01027"/>
        <s v="INE239D01028"/>
        <s v="INE396H01019"/>
        <s v="INE561M01018"/>
        <s v="INE538G01018"/>
        <s v="INE011E01029"/>
        <s v="INE418D01010"/>
        <s v="INE244B01030"/>
        <s v="INE635D01027"/>
        <s v="INE503D01027"/>
        <s v="INE158F01017"/>
        <s v="INE646B01010"/>
        <s v="INE062D01024"/>
        <s v="INE650C01036"/>
        <s v="INE601F01016"/>
        <s v="INE883B01027"/>
        <s v="INE412E01011"/>
        <s v="INE660B01011"/>
        <s v="INE850B01026"/>
        <s v="INE548C01032"/>
        <s v="INE971L01029"/>
        <s v="INE771E01010"/>
        <s v="INE709B01016"/>
        <s v="INE121D01036"/>
        <s v="INE606B01022"/>
        <s v="INE186C01023"/>
        <s v="INE930A01010"/>
        <s v="INE109C01017"/>
        <s v="INE580D01017"/>
        <s v="INE024F01011"/>
        <s v="INE819G01012"/>
        <s v="INE179O01031"/>
        <s v="INE096B01018"/>
        <s v="INE923C01011"/>
        <s v="INE606C01012"/>
        <s v="INE522D01027"/>
        <s v="INE005C01017"/>
        <s v="INE819A01049"/>
        <s v="INE861E01019"/>
        <s v="INE262W01012"/>
        <s v="INE364D01032"/>
        <s v="INE547B01028"/>
        <s v="INE907E01010"/>
        <s v="INE821D01031"/>
        <s v="INE822D01021"/>
        <s v="INE962E01015"/>
        <s v="INE494D01011"/>
        <s v="INE972E01014"/>
        <s v="INE022F01015"/>
        <s v="INE802B01019"/>
        <s v="INE723N01012"/>
        <s v="INE342D01012"/>
        <s v="INE031G01014"/>
        <s v="INE015E01012"/>
        <s v="INE530D01012"/>
        <s v="INE328F01016"/>
        <s v="INE332F01018"/>
        <s v="INE764D01017"/>
        <s v="INE151B01011"/>
        <s v="INE526C01012"/>
        <s v="INE986B01044"/>
        <s v="INE785D01012"/>
        <s v="INE238C01022"/>
        <s v="INE698B01011"/>
        <s v="INE807H01023"/>
        <s v="INE897D01015"/>
        <s v="INE896D01017"/>
        <s v="INE531D01010"/>
        <s v="INE643C01015"/>
        <s v="INE885B01014"/>
        <s v="INE053D01015"/>
        <s v="INE960H01012"/>
        <s v="INE590D01016"/>
        <s v="INE951M01037"/>
        <s v="INE325G01010"/>
        <s v="INE366H01012"/>
        <s v="INE293B01029"/>
        <s v="INE250D01017"/>
        <s v="INE475C01012"/>
        <s v="INE128R01023"/>
        <s v="INE186E01011"/>
        <s v="INE768C01010"/>
        <s v="INE974C01022"/>
        <s v="INE151H01018"/>
        <s v="INE348I01018"/>
        <s v="INE373D01017"/>
        <s v="INE111A01025"/>
        <s v="INE500D01015"/>
        <s v="INE922B01023"/>
        <s v="INE328D01011"/>
        <s v="INE763M01028"/>
        <s v="INE102B01014"/>
        <s v="INE777G01012"/>
        <s v="INE427D01011"/>
        <s v="INE005E01013"/>
        <s v="INE960B01015"/>
        <s v="INE319B01014"/>
        <s v="INE405H01018"/>
        <s v="INE413D01011"/>
        <s v="INE671D01014"/>
        <s v="INE890B01014"/>
        <s v="INE448D01017"/>
        <s v="INE905B01010"/>
        <s v="INE262C01014"/>
        <s v="INE679C01027"/>
        <s v="INE493B01017"/>
        <s v="INE326B01027"/>
        <s v="INE281M01013"/>
        <s v="INE234J01018"/>
        <s v="INE560D01027"/>
        <s v="INE576N01014"/>
        <s v="INE516D01011"/>
        <s v="INE603F01012"/>
        <s v="INE804B01023"/>
        <s v="INE107A01015"/>
        <s v="INE908D01010"/>
        <s v="INE07P301011"/>
        <s v="INE271D01013"/>
        <s v="INE474D01013"/>
        <s v="INE523I01016"/>
        <s v="INE805A01014"/>
        <s v="INE115C01014"/>
        <s v="INE192H01020"/>
        <s v="INE954E01012"/>
        <s v="INE323D01020"/>
        <s v="INE952C01028"/>
        <s v="INE545B01022"/>
        <s v="INE317B01042"/>
        <s v="INE397G01019"/>
        <s v="INE183D01010"/>
        <s v="INE084D01010"/>
        <s v="INE268H01036"/>
        <s v="INE378D01032"/>
        <s v="INE080D01042"/>
        <s v="INE343B01030"/>
        <s v="INE404L01039"/>
        <s v="INE866D01010"/>
        <s v="INE628F01019"/>
        <s v="INE561E01015"/>
        <s v="INE128A01029"/>
        <s v="INE623D01015"/>
        <s v="INE681D01039"/>
        <s v="INE735D01033"/>
        <s v="INE767B01022"/>
        <s v="INE971E01016"/>
        <s v="INE849B01010"/>
        <s v="INE562E01013"/>
        <s v="INE473B01035"/>
        <s v="INE578B01015"/>
        <s v="INE681K01026"/>
        <s v="INE864D01015"/>
        <s v="INE392G01010"/>
        <s v="INE881A01015"/>
        <s v="INE247D01039"/>
        <s v="INE355A01028"/>
        <s v="INE865D01012"/>
        <s v="INE754B01012"/>
        <s v="INE193D01019"/>
        <s v="INE558D01021"/>
        <s v="INE723K01018"/>
        <s v="INE860D01013"/>
        <s v="INE192C01013"/>
        <s v="INE580H01026"/>
        <s v="INE508J01015"/>
        <s v="INE483D01014"/>
        <s v="INE455C01014"/>
        <s v="INE802A01037"/>
        <s v="INE861N01036"/>
        <s v="INE507D01010"/>
        <s v="INE180C01042"/>
        <s v="INE258B01022"/>
        <s v="INE832C01014"/>
        <s v="INE792J01015"/>
        <s v="INE902G01016"/>
        <s v="INE695B01025"/>
        <s v="INE628B01034"/>
        <s v="INE173E01019"/>
        <s v="INE405C01035"/>
        <s v="INE722B01019"/>
        <s v="INE713C01016"/>
        <s v="INE936N01010"/>
        <s v="INE196A01026"/>
        <s v="INE546D01018"/>
        <s v="INE265C01025"/>
        <s v="INE654H01011"/>
        <s v="INE528C01018"/>
        <s v="INE863C01019"/>
        <s v="INE117K01013"/>
        <s v="INE661D01015"/>
        <s v="INE214D01021"/>
        <s v="INE224C01014"/>
        <s v="INE067C01025"/>
        <s v="INE673C01020"/>
        <s v="INE621B01021"/>
        <s v="INE593B01030"/>
        <s v="INE230F01014"/>
        <s v="INE489F01016"/>
        <s v="INE843F01014"/>
        <s v="INE632C01026"/>
        <s v="INE414D01027"/>
        <s v="INE224E01028"/>
        <s v="INE316G01019"/>
        <s v="INE650G01029"/>
        <s v="INE429Q01019"/>
        <s v="INE414C01045"/>
        <s v="INE509C01026"/>
        <s v="INE258Z01013"/>
        <s v="INE548B01018"/>
        <s v="INE505C01016"/>
        <s v="INE703D01023"/>
        <s v="INE131D01019"/>
        <s v="INE126J01016"/>
        <s v="INE576D01015"/>
        <s v="INE205C01021"/>
        <s v="INE311M01018"/>
        <s v="INE059E01010"/>
        <s v="INE630U01014"/>
        <s v="INE229G01022"/>
        <s v="INE469F01026"/>
        <s v="INE951D01028"/>
        <s v="INE393D01015"/>
        <s v="INE426H01014"/>
        <s v="INE161E01014"/>
        <s v="INE266C01023"/>
        <s v="INE278O01015"/>
        <s v="INE297J01023"/>
        <s v="INE348D01019"/>
        <s v="INE513E01024"/>
        <s v="INE793H01017"/>
        <s v="INE487B01019"/>
        <s v="INE172B01017"/>
        <s v="INE935D01013"/>
        <s v="INE515C01023"/>
        <s v="INE318D01020"/>
        <s v="INE884X01011"/>
        <s v="INE194D01017"/>
        <s v="INE457G01029"/>
        <s v="INE024B01010"/>
        <s v="INE842D01029"/>
        <s v="INE929K01011"/>
        <s v="INE433G01012"/>
        <s v="INE370C01015"/>
        <s v="INE283D01018"/>
        <s v="INE763K01014"/>
        <s v="INE149D01011"/>
        <s v="INE687C01012"/>
        <s v="INE882B01029"/>
        <s v="INE060B01014"/>
        <s v="INE248B01023"/>
        <s v="INE778E01031"/>
        <s v="INE755J01012"/>
        <s v="INE587J01027"/>
        <s v="INE312M01016"/>
        <s v="INE803L01016"/>
        <s v="INE641H01018"/>
        <s v="INE02XD01011"/>
        <s v="INE204E01012"/>
        <s v="INE956B01013"/>
        <s v="INE545N01019"/>
        <s v="INE214B01017"/>
        <s v="INE074H01012"/>
        <s v="INE531X01018"/>
        <s v="INE657B01025"/>
        <s v="INE185D01015"/>
        <s v="INE669W01018"/>
        <s v="INE316D01024"/>
        <s v="INE811H01017"/>
        <s v="INE997D01021"/>
        <s v="INE108B01029"/>
        <s v="INE914B01012"/>
        <s v="INE786E01018"/>
        <s v="INE167F01018"/>
        <s v="INE558F01026"/>
        <s v="INE540G01014"/>
        <s v="INE227B01019"/>
        <s v="INE564B01015"/>
        <s v="INE547C01018"/>
        <s v="INE735C01027"/>
        <s v="INE839E01023"/>
        <s v="INE164D01010"/>
        <s v="INE146H01018"/>
        <s v="INE653D01012"/>
        <s v="INE981C01019"/>
        <s v="INE147C01017"/>
        <s v="INE995A01013"/>
        <s v="INE176O01011"/>
        <s v="INE938A01021"/>
        <s v="INE185E01013"/>
        <s v="INE056J01015"/>
        <s v="INE325D01025"/>
        <s v="INE808C01014"/>
        <s v="INE486F01012"/>
        <s v="INE597C01021"/>
        <s v="INE092D01013"/>
        <s v="INE409B01013"/>
        <s v="INE121B01014"/>
        <s v="INE291D01011"/>
        <s v="INE398H01015"/>
        <s v="INE516F01016"/>
        <s v="INE994E01018"/>
        <s v="INE311N01016"/>
        <s v="INE407E01029"/>
        <s v="INE079N01019"/>
        <s v="INE219M01021"/>
        <s v="INE807D01030"/>
        <s v="INE456B01014"/>
        <s v="INE948G01019"/>
        <s v="INE957E01031"/>
        <s v="INE395A01016"/>
        <s v="INE419H01019"/>
        <s v="INE028A01039"/>
        <s v="INE440E01012"/>
        <s v="INE154B01015"/>
        <s v="INE666E01020"/>
        <s v="INE411D01015"/>
        <s v="INE191B01025"/>
        <s v="INE731B01010"/>
        <s v="INE084A01016"/>
        <s v="INE681B01017"/>
        <s v="INE560F01022"/>
        <s v="INE129A01019"/>
        <s v="INE884A01027"/>
        <s v="INE088D01011"/>
        <s v="INE944A01011"/>
        <s v="INE789E01012"/>
        <s v="INE979A01025"/>
        <s v="INE514C01018"/>
        <s v="INE501C01015"/>
        <s v="INE737B01033"/>
        <s v="INE214A01019"/>
        <s v="INE090A01021"/>
        <s v="INE136B01020"/>
        <s v="INE510A01028"/>
        <s v="INE680A01011"/>
        <s v="INE131A01031"/>
        <s v="INE622E01023"/>
        <s v="INE095A01012"/>
        <s v="INE353K01014"/>
        <s v="INE168A01041"/>
        <s v="INE491A01021"/>
        <s v="INE731A01020"/>
        <s v="INE238A01034"/>
        <s v="INE550B01022"/>
        <s v="INE027F01014"/>
        <s v="INE683A01023"/>
        <s v="INE306C01019"/>
        <s v="INE269A01021"/>
        <s v="INE665D01016"/>
        <s v="INE139A01034"/>
        <s v="INE092B01025"/>
        <s v="INE023A01030"/>
        <s v="INE372A01015"/>
        <s v="INE920B01019"/>
        <s v="INE793A01012"/>
        <s v="INE215B01022"/>
        <s v="INE860A01027"/>
        <s v="INE389D01013"/>
        <s v="INE007B01023"/>
        <s v="INE749A01030"/>
        <s v="INE791A01024"/>
        <s v="INE935A01035"/>
        <s v="INE049B01025"/>
        <s v="INE934A01012"/>
        <s v="INE602C01011"/>
        <s v="INE915B01019"/>
        <s v="INE878A01011"/>
        <s v="INE879A01019"/>
        <s v="INE813A01018"/>
        <s v="INE042B01012"/>
        <s v="INE418B01048"/>
        <s v="INE010B01027"/>
        <s v="INE555C01029"/>
        <s v="INE039B01026"/>
        <s v="INE781A01025"/>
        <s v="INE310B01013"/>
        <s v="INE031B01049"/>
        <s v="INE638B01025"/>
        <s v="INE640B01021"/>
        <s v="INE792B01012"/>
        <s v="INE453B01029"/>
        <s v="INE369B01019"/>
        <s v="INE848A01014"/>
        <s v="INE494B01023"/>
        <s v="INE002B01016"/>
        <s v="INE152B01027"/>
        <s v="INE754A01055"/>
        <s v="INE688A01022"/>
        <s v="INE243B01016"/>
        <s v="INE523B01011"/>
        <s v="INE400B01020"/>
        <s v="INE448B01029"/>
        <s v="INE256C01024"/>
        <s v="INE374B01019"/>
        <s v="INE099E01016"/>
        <s v="INE417B01040"/>
        <s v="INE859A01011"/>
        <s v="INE614A01028"/>
        <s v="INE246B01019"/>
        <s v="INE517B01013"/>
        <s v="INE539B01017"/>
        <s v="INE434B01029"/>
        <s v="INE089C01029"/>
        <s v="INE716B01029"/>
        <s v="INE398B01018"/>
        <s v="INE464B01018"/>
        <s v="INE683B01047"/>
        <s v="INE893A01036"/>
        <s v="INE794B01026"/>
        <s v="INE443B01012"/>
        <s v="INE526B01014"/>
        <s v="INE392B01011"/>
        <s v="INE565A01014"/>
        <s v="INE586B01026"/>
        <s v="INE230B01021"/>
        <s v="INE555B01013"/>
        <s v="INE971A01014"/>
        <s v="INE240C01028"/>
        <s v="INE836A01035"/>
        <s v="INE718B01017"/>
        <s v="INE856B01023"/>
        <s v="INE005B01027"/>
        <s v="INE935B01025"/>
        <s v="INE933B01012"/>
        <s v="INE330E01023"/>
        <s v="INE345B01019"/>
        <s v="INE747B01016"/>
        <s v="INE178C01020"/>
        <s v="INE102D01028"/>
        <s v="INE256D01014"/>
        <s v="INE243D01012"/>
        <s v="INE854D01024"/>
        <s v="INE799C01031"/>
        <s v="INE260D01016"/>
        <s v="INE943D01017"/>
        <s v="INE739E01017"/>
        <s v="INE541C01037"/>
        <s v="INE397D01024"/>
        <s v="INE655D01025"/>
        <s v="INE255D01024"/>
        <s v="INE838E01017"/>
        <s v="INE160A01022"/>
        <s v="INE881D01027"/>
        <s v="INE550F01031"/>
        <s v="INE411F01010"/>
        <s v="INE266F01018"/>
        <s v="INE692A01016"/>
        <s v="INE686F01025"/>
        <s v="INE732F01019"/>
        <s v="INE781B01015"/>
        <s v="INE101D01020"/>
        <s v="INE476A01022"/>
        <s v="INE525F01017"/>
        <s v="INE637C01025"/>
        <s v="INE361B01024"/>
        <s v="INE386C01029"/>
        <s v="INE944F01028"/>
        <s v="INE585B01010"/>
        <s v="INE296E01026"/>
        <s v="INE048G01026"/>
        <s v="INE691A01018"/>
        <s v="INE116D01028"/>
        <s v="INE220G01021"/>
        <s v="INE399C01030"/>
        <s v="INE236G01019"/>
        <s v="INE203G01027"/>
        <s v="INE038F01029"/>
        <s v="INE218G01033"/>
        <s v="INE347G01014"/>
        <s v="INE376G01013"/>
        <s v="INE877F01012"/>
        <s v="INE457A01014"/>
        <s v="INE399G01023"/>
        <s v="INE365B01017"/>
        <s v="INE155G01029"/>
        <s v="INE939A01011"/>
        <s v="INE455F01025"/>
        <s v="INE481G01011"/>
        <s v="INE405E01023"/>
        <s v="INE467B01029"/>
        <s v="INE591G01017"/>
        <s v="INE586G01017"/>
        <s v="INE348B01021"/>
        <s v="INE625G01013"/>
        <s v="INE733E01010"/>
        <s v="INE658G01014"/>
        <s v="INE927D01044"/>
        <s v="INE366A01041"/>
        <s v="INE873D01024"/>
        <s v="INE450G01024"/>
        <s v="INE691G01015"/>
        <s v="INE692G01013"/>
        <s v="INE802G01018"/>
        <s v="INE796G01012"/>
        <s v="INE063E01046"/>
        <s v="INE351F01018"/>
        <s v="INE748C01038"/>
        <s v="INE748A01016"/>
        <s v="INE887G01027"/>
        <s v="INE835G01018"/>
        <s v="INE530B01024"/>
        <s v="INE584F01014"/>
        <s v="INE498B01024"/>
        <s v="INE278G01037"/>
        <s v="INE875G01030"/>
        <s v="INE824G01012"/>
        <s v="INE823G01014"/>
        <s v="INE052B01011"/>
        <s v="INE528G01035"/>
        <s v="INE023H01027"/>
        <s v="INE752G01015"/>
        <s v="INE978G01016"/>
        <s v="INE614B01018"/>
        <s v="INE942G01012"/>
        <s v="INE828G01013"/>
        <s v="INE043D01016"/>
        <s v="INE050H01012"/>
        <s v="INE501G01024"/>
        <s v="INE231F01020"/>
        <s v="INE512B01022"/>
        <s v="INE040H01021"/>
        <s v="INE132H01018"/>
        <s v="INE087H01022"/>
        <s v="INE157H01023"/>
        <s v="INE186H01022"/>
        <s v="INE160H01019"/>
        <s v="INE212H01026"/>
        <s v="INE184H01027"/>
        <s v="INE202H01019"/>
        <s v="INE461B01014"/>
        <s v="INE191H01014"/>
        <s v="INE855F01042"/>
        <s v="INE185H01016"/>
        <s v="INE229H01012"/>
        <s v="INE283H01019"/>
        <s v="INE265F01028"/>
        <s v="INE266H01014"/>
        <s v="INE246F01010"/>
        <s v="INE199G01027"/>
        <s v="INE256H01015"/>
        <s v="INE251H01024"/>
        <s v="INE226H01026"/>
        <s v="INE190H01024"/>
        <s v="INE389H01022"/>
        <s v="INE047B01011"/>
        <s v="INE332H01014"/>
        <s v="INE350H01032"/>
        <s v="INE774D01024"/>
        <s v="INE286H01012"/>
        <s v="INE858F01012"/>
        <s v="INE493H01014"/>
        <s v="INE343H01029"/>
        <s v="INE297H01019"/>
        <s v="INE383H01017"/>
        <s v="INE786F01031"/>
        <s v="INE353H01010"/>
        <s v="INE401H01017"/>
        <s v="INE424H01027"/>
        <s v="INE177H01021"/>
        <s v="INE411H01032"/>
        <s v="INE296H01011"/>
        <s v="INE388G01026"/>
        <s v="INE397H01017"/>
        <s v="INE390H01012"/>
        <s v="INE111F01016"/>
        <s v="INE302H01017"/>
        <s v="INE347H01012"/>
        <s v="INE367G01038"/>
        <s v="INE418H01029"/>
        <s v="INE776C01039"/>
        <s v="INE669C01036"/>
        <s v="INE536H01010"/>
        <s v="INE540H01012"/>
        <s v="INE285H01022"/>
        <s v="INE677H01012"/>
        <s v="INE596H01014"/>
        <s v="INE731H01025"/>
        <s v="INE916G01016"/>
        <s v="INE516H01012"/>
        <s v="INE737H01014"/>
        <s v="INE544H01014"/>
        <s v="INE503A01015"/>
        <s v="INE792H01019"/>
        <s v="INE020G01017"/>
        <s v="INE221H01019"/>
        <s v="INE637H01024"/>
        <s v="INE663F01024"/>
        <s v="INE813H01021"/>
        <s v="INE561H01026"/>
        <s v="INE645H01027"/>
        <s v="INE818H01020"/>
        <s v="INE671H01015"/>
        <s v="INE803H01014"/>
        <s v="INE483C01032"/>
        <s v="INE966H01019"/>
        <s v="INE965H01011"/>
        <s v="INE872H01027"/>
        <s v="INE718H01014"/>
        <s v="INE870H01013"/>
        <s v="INE703H01016"/>
        <s v="INE886H01027"/>
        <s v="INE627H01017"/>
        <s v="INE545H01011"/>
        <s v="INE891D01026"/>
        <s v="INE768E01024"/>
        <s v="INE704H01022"/>
        <s v="INE940H01022"/>
        <s v="INE684F01012"/>
        <s v="INE134E01011"/>
        <s v="INE758C01029"/>
        <s v="INE804H01012"/>
        <s v="INE562A01011"/>
        <s v="INE812G01025"/>
        <s v="INE998H01012"/>
        <s v="INE311H01018"/>
        <s v="INE669E01016"/>
        <s v="INE702H01018"/>
        <s v="INE952H01027"/>
        <s v="INE761H01022"/>
        <s v="INE005I01014"/>
        <s v="INE976H01018"/>
        <s v="INE006I01046"/>
        <s v="INE069I01010"/>
        <s v="INE052I01032"/>
        <s v="INE725G01011"/>
        <s v="INE836F01026"/>
        <s v="INE280H01015"/>
        <s v="INE917H01012"/>
        <s v="INE061F01013"/>
        <s v="INE797H01018"/>
        <s v="INE788H01017"/>
        <s v="INE124G01033"/>
        <s v="INE287C01037"/>
        <s v="INE070I01018"/>
        <s v="INE228I01012"/>
        <s v="INE928H01019"/>
        <s v="INE508G01029"/>
        <s v="INE170I01016"/>
        <s v="INE189I01024"/>
        <s v="INE945H01013"/>
        <s v="INE271C01023"/>
        <s v="INE924H01018"/>
        <s v="INE106I01010"/>
        <s v="INE232I01014"/>
        <s v="INE102I01027"/>
        <s v="INE385I01010"/>
        <s v="INE117H01019"/>
        <s v="INE800H01010"/>
        <s v="INE056I01025"/>
        <s v="INE483A01010"/>
        <s v="INE105I01020"/>
        <s v="INE022I01019"/>
        <s v="INE930H01031"/>
        <s v="INE142I01023"/>
        <s v="INE323I01011"/>
        <s v="INE338I01027"/>
        <s v="INE222F01029"/>
        <s v="INE227G01018"/>
        <s v="INE245I01016"/>
        <s v="INE387I01016"/>
        <s v="INE752E01010"/>
        <s v="INE455I01029"/>
        <s v="INE420C01059"/>
        <s v="INE550H01011"/>
        <s v="INE215I01027"/>
        <s v="INE369I01014"/>
        <s v="INE272G01014"/>
        <s v="INE621H01010"/>
        <s v="INE139I01011"/>
        <s v="INE575I01016"/>
        <s v="INE742F01042"/>
        <s v="INE532F01054"/>
        <s v="INE722H01024"/>
        <s v="INE094I01018"/>
        <s v="INE234I01028"/>
        <s v="INE668F01031"/>
        <s v="INE738I01010"/>
        <s v="INE763I01026"/>
        <s v="INE791I01019"/>
        <s v="INE661I01014"/>
        <s v="INE817H01014"/>
        <s v="INE015D01022"/>
        <s v="INE386I01018"/>
        <s v="INE095I01015"/>
        <s v="INE298I01015"/>
        <s v="INE529I01021"/>
        <s v="INE614G01033"/>
        <s v="INE576I01022"/>
        <s v="INE792I01017"/>
        <s v="INE634I01029"/>
        <s v="INE809I01019"/>
        <s v="INE964H01014"/>
        <s v="INE863I01016"/>
        <s v="INE821I01022"/>
        <s v="INE871H01011"/>
        <s v="INE049I01012"/>
        <s v="INE951I01027"/>
        <s v="INE020B01018"/>
        <s v="INE642I01014"/>
        <s v="INE274G01010"/>
        <s v="INE615H01020"/>
        <s v="INE415I01015"/>
        <s v="INE865C01022"/>
        <s v="INE778I01024"/>
        <s v="INE091G01018"/>
        <s v="INE917I01010"/>
        <s v="INE918I01026"/>
        <s v="INE020J01029"/>
        <s v="INE105J01010"/>
        <s v="INF174KA1JD7"/>
        <s v="INE368I01016"/>
        <s v="INE244J01017"/>
        <s v="INE222J01013"/>
        <s v="INE790D01020"/>
        <s v="INE955I01044"/>
        <s v="INE877I01016"/>
        <s v="INE947I01017"/>
        <s v="INE323J01019"/>
        <s v="INE201J01017"/>
        <s v="INE197J01017"/>
        <s v="INE176J01011"/>
        <s v="INE457H01027"/>
        <s v="INE456H01029"/>
        <s v="INE144J01027"/>
        <s v="INE342J01019"/>
        <s v="INE773I01017"/>
        <s v="INE858B01029"/>
        <s v="INE919H01018"/>
        <s v="INE065J01024"/>
        <s v="INE359B01010"/>
        <s v="INE320D01018"/>
        <s v="INE893J01029"/>
        <s v="INE998I01010"/>
        <s v="INE688J01023"/>
        <s v="INE294G01026"/>
        <s v="INE083K01017"/>
        <s v="INE814H01011"/>
        <s v="INE848E01016"/>
        <s v="INE360J01011"/>
        <s v="INE615I01010"/>
        <s v="INE274J01014"/>
        <s v="INE274K01012"/>
        <s v="INE318K01025"/>
        <s v="INE201K01015"/>
        <s v="INE399K01017"/>
        <s v="INE947J01015"/>
        <s v="INE563J01010"/>
        <s v="INE250K01012"/>
        <s v="INE121E01018"/>
        <s v="INE143K01019"/>
        <s v="INE484J01027"/>
        <s v="INE950I01011"/>
        <s v="INE912H01013"/>
        <s v="INE797F01020"/>
        <s v="INE893I01013"/>
        <s v="INE085J01014"/>
        <s v="INE879I01012"/>
        <s v="INE753K01015"/>
        <s v="INE982F01036"/>
        <s v="INE141K01013"/>
        <s v="INE108E01023"/>
        <s v="INE847C01020"/>
        <s v="INE949H01023"/>
        <s v="INE864J01012"/>
        <s v="INE975G01012"/>
        <s v="INE262H01021"/>
        <s v="INE566K01011"/>
        <s v="INE516K01024"/>
        <s v="INE790B01024"/>
        <s v="INE134B01017"/>
        <s v="INE639K01016"/>
        <s v="INE747K01017"/>
        <s v="INE002L01015"/>
        <s v="INE830C01026"/>
        <s v="INE798K01010"/>
        <s v="INE265D01015"/>
        <s v="INE871K01015"/>
        <s v="INE778K01012"/>
        <s v="INE926K01017"/>
        <s v="INE933K01021"/>
        <s v="INE696K01024"/>
        <s v="INE517F01014"/>
        <s v="INE389K01018"/>
        <s v="INE019J01013"/>
        <s v="INE521J01018"/>
        <s v="INE416L01017"/>
        <s v="INE874I01013"/>
        <s v="INE999K01014"/>
        <s v="INE068L01024"/>
        <s v="INE351L01016"/>
        <s v="INE956G01038"/>
        <s v="INE844K01012"/>
        <s v="INE442H01029"/>
        <s v="INE209L01016"/>
        <s v="INE093I01010"/>
        <s v="INE811K01011"/>
        <s v="INE482J01021"/>
        <s v="INE522F01014"/>
        <s v="INE024L01027"/>
        <s v="INE324L01013"/>
        <s v="INE245L01010"/>
        <s v="INE490G01020"/>
        <s v="INE565L01011"/>
        <s v="INE096L01025"/>
        <s v="INE619I01012"/>
        <s v="INE146L01010"/>
        <s v="INE722J01012"/>
        <s v="INE608A01012"/>
        <s v="INE360L01017"/>
        <s v="INE272L01022"/>
        <s v="INE268L01020"/>
        <s v="INE029L01018"/>
        <s v="INE878K01010"/>
        <s v="INE519C01017"/>
        <s v="INE690J01011"/>
        <s v="INE577L01016"/>
        <s v="INE474L01016"/>
        <s v="INE645L01011"/>
        <s v="INE621L01012"/>
        <s v="INE611L01021"/>
        <s v="INE045J01026"/>
        <s v="INE320L01011"/>
        <s v="INE251B01027"/>
        <s v="INE597L01014"/>
        <s v="INE560K01014"/>
        <s v="INE414G01012"/>
        <s v="INE672K01025"/>
        <s v="INE932K01015"/>
        <s v="INE725L01011"/>
        <s v="INE726L01019"/>
        <s v="INE573K01017"/>
        <s v="INE130L01014"/>
        <s v="INE524L01026"/>
        <s v="INE878H01024"/>
        <s v="INE498L01015"/>
        <s v="INE126M01010"/>
        <s v="INE040M01013"/>
        <s v="INE650L01011"/>
        <s v="INE895B01021"/>
        <s v="INE419M01027"/>
        <s v="INE901L01018"/>
        <s v="INE590L01019"/>
        <s v="INE457L01011"/>
        <s v="INE050L01048"/>
        <s v="INE123M01017"/>
        <s v="INE440L01017"/>
        <s v="INE912L01015"/>
        <s v="INE060J01017"/>
        <s v="INE152M01016"/>
        <s v="INE337M01013"/>
        <s v="INE122M01019"/>
        <s v="INE702C01027"/>
        <s v="INE390G01014"/>
        <s v="INE258M01011"/>
        <s v="INE480M01011"/>
        <s v="INE482B01010"/>
        <s v="INE793G01035"/>
        <s v="INE241F01011"/>
        <s v="INE123D01024"/>
        <s v="INE743M01012"/>
        <s v="INE745G01035"/>
        <s v="INE883L01018"/>
        <s v="INE839M01018"/>
        <s v="INE550L01013"/>
        <s v="INE095N01031"/>
        <s v="INE472M01018"/>
        <s v="INE750M01017"/>
        <s v="INE393F01010"/>
        <s v="INE760L01018"/>
        <s v="INE050M01012"/>
        <s v="INE204N01013"/>
        <s v="INE247M01014"/>
        <s v="INE142K01011"/>
        <s v="INE834M01019"/>
        <s v="INE735M01018"/>
        <s v="INE391J01024"/>
        <s v="INE436N01029"/>
        <s v="INE553C01016"/>
        <s v="INE299N01021"/>
        <s v="INE524N01014"/>
        <s v="INE581M01016"/>
        <s v="INE131N01018"/>
        <s v="INE741L01018"/>
        <s v="INE195N01013"/>
        <s v="INE559N01010"/>
        <s v="INE456N01019"/>
        <s v="INE892L01019"/>
        <s v="INE176N01021"/>
        <s v="INE175N01023"/>
        <s v="INE247C01023"/>
        <s v="INE840M01016"/>
        <s v="INE503B01021"/>
        <s v="INE234G01022"/>
        <s v="INE675C01017"/>
        <s v="INE198N01017"/>
        <s v="INE752H01013"/>
        <s v="INE785M01013"/>
        <s v="INE121J01017"/>
        <s v="INE665J01013"/>
        <s v="INE149O01018"/>
        <s v="INE160O01031"/>
        <s v="INE159O01033"/>
        <s v="INE274M01026"/>
        <s v="INE583M01012"/>
        <s v="INE612J01015"/>
        <s v="INE191O01010"/>
        <s v="INE168O01026"/>
        <s v="INE047O01014"/>
        <s v="INE748D01010"/>
        <s v="INE902D01013"/>
        <s v="INE099F01013"/>
        <s v="INE597I01028"/>
        <s v="INE159L01013"/>
        <s v="INE807O01011"/>
        <s v="INE599M01018"/>
        <s v="INE860E01011"/>
        <s v="INE474O01010"/>
        <s v="INE320I01017"/>
        <s v="INE989J01017"/>
        <s v="INE731G01027"/>
        <s v="INE876N01018"/>
        <s v="INE647O01011"/>
        <s v="INE148I01020"/>
        <s v="INE340O01013"/>
        <s v="INE030P01017"/>
        <s v="INE200P01016"/>
        <s v="INE418N01035"/>
        <s v="INE890N01019"/>
        <s v="INE906O01029"/>
        <s v="INE690O01011"/>
        <s v="INE452O01016"/>
        <s v="INE428B01013"/>
        <s v="INE962O01014"/>
        <s v="INE138O01029"/>
        <s v="INE326P01019"/>
        <s v="INE218P01018"/>
        <s v="INE325P01011"/>
        <s v="INE147P01019"/>
        <s v="INE156M01017"/>
        <s v="INE536P01021"/>
        <s v="INE185K01036"/>
        <s v="INE671C01016"/>
        <s v="INE442P01014"/>
        <s v="INE448G01010"/>
        <s v="INE449G01018"/>
        <s v="INE212P01011"/>
        <s v="INE051G01012"/>
        <s v="INE826P01018"/>
        <s v="INE210P01015"/>
        <s v="INE920P01019"/>
        <s v="INE546I01017"/>
        <s v="INE101H01013"/>
        <s v="INE555P01013"/>
        <s v="INE905P01028"/>
        <s v="INE576P01019"/>
        <s v="INE084Q01012"/>
        <s v="INE717C01025"/>
        <s v="INE159N01027"/>
        <s v="INE977M01024"/>
        <s v="INE463B01036"/>
        <s v="INE493N01012"/>
        <s v="INE574G01013"/>
        <s v="INE012Q01021"/>
        <s v="INE909D01026"/>
        <s v="INE066O01014"/>
        <s v="INE401B01010"/>
        <s v="INE191P01017"/>
        <s v="INE663P01015"/>
        <s v="INE452L01012"/>
        <s v="INE266P01017"/>
        <s v="INE792G01011"/>
        <s v="INE318N01011"/>
        <s v="INE502O01018"/>
        <s v="INE508N01025"/>
        <s v="INE296Q01012"/>
        <s v="INE114O01012"/>
        <s v="INE855P01033"/>
        <s v="INE901C01017"/>
        <s v="INE745P01010"/>
        <s v="INE172D01021"/>
        <s v="INE849M01017"/>
        <s v="INE969E01010"/>
        <s v="INE075K01013"/>
        <s v="INE516P01015"/>
        <s v="INE634J01019"/>
        <s v="INE319Q01012"/>
        <s v="INE510P01018"/>
        <s v="INE439E01022"/>
        <s v="INE673E01018"/>
        <s v="INE718P01017"/>
        <s v="INE878P01019"/>
        <s v="INE635Q01029"/>
        <s v="INE836C01015"/>
        <s v="INE916P01025"/>
        <s v="INE336Q01016"/>
        <s v="INE641Q01019"/>
        <s v="INE222B01028"/>
        <s v="INE404F01031"/>
        <s v="INE755Q01025"/>
        <s v="INE457P01020"/>
        <s v="INE868G01019"/>
        <s v="INE099D01018"/>
        <s v="INE840I01014"/>
        <s v="INE406F01010"/>
        <s v="INE734N01019"/>
        <s v="INE837C01013"/>
        <s v="INE729C01020"/>
        <s v="INE691J01019"/>
        <s v="INE221J01015"/>
        <s v="INE785O01019"/>
        <s v="INE898Q01015"/>
        <s v="INE363M01019"/>
        <s v="INE010R01023"/>
        <s v="INE929D01016"/>
        <s v="INE937K01014"/>
        <s v="INE011R01013"/>
        <s v="INE475D01010"/>
        <s v="INE260R01016"/>
        <s v="INE229R01011"/>
        <s v="INE111Q01021"/>
        <s v="INE982Q01017"/>
        <s v="INE761Q01015"/>
        <s v="INE909P01012"/>
        <s v="INE016Q01014"/>
        <s v="INE516E01019"/>
        <s v="INE491C01027"/>
        <s v="INE401Q01018"/>
        <s v="INE176L01017"/>
        <s v="INE480D01010"/>
        <s v="INE131Q01011"/>
        <s v="INE149Q01021"/>
        <s v="INE997C01015"/>
        <s v="INE918C01029"/>
        <s v="INE155R01018"/>
        <s v="INE185C01017"/>
        <s v="INE513R01026"/>
        <s v="INE891N01017"/>
        <s v="INE242Q01016"/>
        <s v="INE306R01017"/>
        <s v="INE950M01013"/>
        <s v="INE237B01018"/>
        <s v="INE407P01017"/>
        <s v="INE892C01018"/>
        <s v="INE655P01029"/>
        <s v="INE232L01018"/>
        <s v="INE985Q01010"/>
        <s v="INE183Q01020"/>
        <s v="INE370Q01015"/>
        <s v="INE195F01019"/>
        <s v="INE243E01010"/>
        <s v="INE030Q01015"/>
        <s v="INE227F01010"/>
        <s v="INE613C01018"/>
        <s v="INE513C01010"/>
        <s v="INE779Q01017"/>
        <s v="INE081G01019"/>
        <s v="INE341R01014"/>
        <s v="INE661Q01017"/>
        <s v="INE055Q01012"/>
        <s v="INE498Q01014"/>
        <s v="INE865P01016"/>
        <s v="INE029B01019"/>
        <s v="INE499Q01012"/>
        <s v="INE223R01014"/>
        <s v="INE554R01020"/>
        <s v="INE723C01015"/>
        <s v="INE689O01013"/>
        <s v="INE321M01017"/>
        <s v="INE211D01027"/>
        <s v="INE949P01018"/>
        <s v="INE842C01021"/>
        <s v="INE947G01011"/>
        <s v="INE858L01010"/>
        <s v="INE945P01024"/>
        <s v="INE397C01026"/>
        <s v="INE544R01021"/>
        <s v="INE717E01013"/>
        <s v="INE002E01010"/>
        <s v="INE246D01015"/>
        <s v="INE596F01018"/>
        <s v="INE777O01016"/>
        <s v="INE756R01013"/>
        <s v="INE776O01018"/>
        <s v="INE396C01010"/>
        <s v="INE526R01028"/>
        <s v="INE213D01015"/>
        <s v="INE820R01017"/>
        <s v="INE184Q01010"/>
        <s v="INE812Q01016"/>
        <s v="INE369Q01017"/>
        <s v="INE976R01017"/>
        <s v="INE824Q01011"/>
        <s v="INE859Q01017"/>
        <s v="INE830Q01018"/>
        <s v="INE172N01012"/>
        <s v="INE066P01011"/>
        <s v="INE751R01014"/>
        <s v="INE187R01011"/>
        <s v="INE197R01010"/>
        <s v="INE904R01027"/>
        <s v="INE541R01019"/>
        <s v="INE291R01011"/>
        <s v="INE736P01019"/>
        <s v="INE193R01019"/>
        <s v="INE137M01017"/>
        <s v="INE291E01019"/>
        <s v="INE273F01022"/>
        <s v="INE118Q01018"/>
        <s v="INE029H01016"/>
        <s v="INE366I01010"/>
        <s v="INE780Q01015"/>
        <s v="INE578R01011"/>
        <s v="INE239L01013"/>
        <s v="INE334E01017"/>
        <s v="INE822Q01015"/>
        <s v="INE776I01010"/>
        <s v="INE761D01021"/>
        <s v="INE527H01019"/>
        <s v="INE945O01019"/>
        <s v="INE788J01021"/>
        <s v="INE682B01023"/>
        <s v="INE195J01029"/>
        <s v="INE784R01023"/>
        <s v="INE347L01014"/>
        <s v="INE738P01015"/>
        <s v="INE924N01016"/>
        <s v="INE230I01018"/>
        <s v="INE206F01022"/>
        <s v="INE578L01014"/>
        <s v="INE848N01017"/>
        <s v="INE035S01010"/>
        <s v="INE829P01020"/>
        <s v="INE960C01013"/>
        <s v="INE618R01015"/>
        <s v="INE170E01023"/>
        <s v="INE574D01010"/>
        <s v="INE653S01028"/>
        <s v="INE606K01023"/>
        <s v="INE563C01015"/>
        <s v="INE150D01027"/>
        <s v="INE540S01019"/>
        <s v="INE885H01011"/>
        <s v="INE451S01027"/>
        <s v="INE027T01023"/>
        <s v="INE876S01017"/>
        <s v="INE480S01026"/>
        <s v="INE829R01018"/>
        <s v="INE805R01018"/>
        <s v="INE875R01011"/>
        <s v="INE979R01011"/>
        <s v="INE446E01019"/>
        <s v="INE931S01010"/>
        <s v="INE541K01014"/>
        <s v="INE990S01016"/>
        <s v="INE579N01018"/>
        <s v="INE398R01022"/>
        <s v="INE484S01010"/>
        <s v="INE829S01016"/>
        <s v="INE587G01015"/>
        <s v="INE184S01024"/>
        <s v="INE653R01012"/>
        <s v="INE749B01020"/>
        <s v="INE897N01014"/>
        <s v="INE898S01029"/>
        <s v="INE143A01010"/>
        <s v="INE583K01016"/>
        <s v="INE671K01019"/>
        <s v="INE034S01021"/>
        <s v="INE211R01019"/>
        <s v="INE230R01035"/>
        <s v="INE365S01037"/>
        <s v="INE203T01012"/>
        <s v="INE918N01018"/>
        <s v="INE278M01019"/>
        <s v="INE712K01011"/>
        <s v="INE844O01030"/>
        <s v="INE725P01012"/>
        <s v="INE764L01010"/>
        <s v="INE724G01014"/>
        <s v="INE914G01029"/>
        <s v="INE583R01029"/>
        <s v="INE848R01018"/>
        <s v="INE019D01016"/>
        <s v="INE897B01019"/>
        <s v="INE636B01011"/>
        <s v="INE926E01010"/>
        <s v="INE060T01024"/>
        <s v="INE344T01014"/>
        <s v="INE389C01015"/>
        <s v="INE473T01011"/>
        <s v="INE256S01012"/>
        <s v="INE836B01017"/>
        <s v="INE183R01010"/>
        <s v="INE150R01019"/>
        <s v="INE854S01022"/>
        <s v="INE594R01018"/>
        <s v="INE894J01019"/>
        <s v="INE030T01027"/>
        <s v="INE661F01010"/>
        <s v="INE201C01012"/>
        <s v="INE335K01011"/>
        <s v="INE092T01019"/>
        <s v="INE520H01022"/>
        <s v="INE646L01027"/>
        <s v="INE099S01016"/>
        <s v="INE500L01026"/>
        <s v="INE761R01013"/>
        <s v="INE258R01010"/>
        <s v="INE051N01026"/>
        <s v="INE910R01016"/>
        <s v="INE027S01017"/>
        <s v="INE721C01019"/>
        <s v="INE766D01020"/>
        <s v="INE176R01014"/>
        <s v="INE805Q01028"/>
        <s v="INE641R01017"/>
        <s v="INE551B01012"/>
        <s v="INE364T01012"/>
        <s v="INE343C01012"/>
        <s v="INE540L01014"/>
        <s v="INE600L01024"/>
        <s v="INE452S01025"/>
        <s v="INE146E01015"/>
        <s v="INE430R01015"/>
        <s v="INE669R01018"/>
        <s v="INE150G01020"/>
        <s v="INE834E01016"/>
        <s v="INE281P01016"/>
        <s v="INE217S01014"/>
        <s v="INE679E01015"/>
        <s v="INE410P01011"/>
        <s v="INE108T01013"/>
        <s v="INE005G01026"/>
        <s v="INE994N01019"/>
        <s v="INE549S01036"/>
        <s v="INE750R01016"/>
        <s v="INE974F01025"/>
        <s v="INE104S01022"/>
        <s v="INE728Q01014"/>
        <s v="INE094S01041"/>
        <s v="INE681Q01015"/>
        <s v="INE727C01016"/>
        <s v="INE079C01012"/>
        <s v="INE373T01039"/>
        <s v="INE534E01020"/>
        <s v="INE368E01023"/>
        <s v="INE484I01029"/>
        <s v="INE985S01024"/>
        <s v="INE564S01019"/>
        <s v="INE052T01013"/>
        <s v="INE023R01018"/>
        <s v="INE948Q01018"/>
        <s v="INE684D01025"/>
        <s v="INE792P01020"/>
        <s v="INE306L01010"/>
        <s v="INE332Q01015"/>
        <s v="INE615T01017"/>
        <s v="INE874E01012"/>
        <s v="INE622Q01019"/>
        <s v="INE429R01017"/>
        <s v="INE127T01021"/>
        <s v="INE064T01018"/>
        <s v="INE966Q01010"/>
        <s v="INE314T01025"/>
        <s v="INE194R01017"/>
        <s v="INE748T01016"/>
        <s v="INE773T01014"/>
        <s v="INE427T01017"/>
        <s v="INE250S01015"/>
        <s v="INE216Q01010"/>
        <s v="INE830S01014"/>
        <s v="INE178T01024"/>
        <s v="INE865T01018"/>
        <s v="INE075I01017"/>
        <s v="INE030U01025"/>
        <s v="INE173U01015"/>
        <s v="INE316L01019"/>
        <s v="INE043U01010"/>
        <s v="INE483S01020"/>
        <s v="INE204S01012"/>
        <s v="INE967S01014"/>
        <s v="INE119R01014"/>
        <s v="INE574R01028"/>
        <s v="INE912T01018"/>
        <s v="INE399S01010"/>
        <s v="INE359U01028"/>
        <s v="INE395U01014"/>
        <s v="INE115S01010"/>
        <s v="INE594H01019"/>
        <s v="INE411U01027"/>
        <s v="INE616F01022"/>
        <s v="INE299U01018"/>
        <s v="INE417C01014"/>
        <s v="INE671T01028"/>
        <s v="INE883N01014"/>
        <s v="INE631R01026"/>
        <s v="INE454M01024"/>
        <s v="INE440T01028"/>
        <s v="INE920T01011"/>
        <s v="INE858Q01019"/>
        <s v="INE571U01010"/>
        <s v="INE217E01014"/>
        <s v="INE919T01013"/>
        <s v="INE524T01011"/>
        <s v="INE002S01010"/>
        <s v="INE819S01025"/>
        <s v="INE615P01015"/>
        <s v="INE731U01028"/>
        <s v="INE799B01017"/>
        <s v="INE120V01014"/>
        <s v="INE073V01015"/>
        <s v="INE700F01024"/>
        <s v="INE093R01011"/>
        <s v="INE552U01010"/>
        <s v="INE214T01019"/>
        <s v="INE595R01023"/>
        <s v="INE837H01020"/>
        <s v="INE213U01019"/>
        <s v="INE917M01012"/>
        <s v="INE212I01016"/>
        <s v="INE412U01025"/>
        <s v="INE222U01010"/>
        <s v="INE925Q01024"/>
        <s v="INE976G01028"/>
        <s v="INE345U01019"/>
        <s v="INE191V01015"/>
        <s v="INE153T01027"/>
        <s v="INE317V01016"/>
        <s v="INE537U01029"/>
        <s v="INE715T01031"/>
        <s v="INE860T01019"/>
        <s v="INE367U01013"/>
        <s v="INE871L01013"/>
        <s v="INE890S01026"/>
        <s v="INE864T01011"/>
        <s v="INE010V01017"/>
        <s v="INE934S01014"/>
        <s v="INE583V01021"/>
        <s v="INE400R01018"/>
        <s v="INE726G01019"/>
        <s v="INE818R01011"/>
        <s v="INE202R01026"/>
        <s v="INE495S01016"/>
        <s v="INE184B01012"/>
        <s v="INE746V01016"/>
        <s v="INE565V01010"/>
        <s v="INE427V01013"/>
        <s v="INE700V01021"/>
        <s v="INE564V01013"/>
        <s v="INE942P01013"/>
        <s v="INE913H01037"/>
        <s v="INE905R01016"/>
        <s v="INE268T01015"/>
        <s v="INE572E01012"/>
        <s v="INE298B01010"/>
        <s v="INE964R01013"/>
        <s v="INE200M01021"/>
        <s v="INE894E01028"/>
        <s v="INE789R01022"/>
        <s v="INE341H01023"/>
        <s v="INE186R01013"/>
        <s v="INE850R01014"/>
        <s v="INE916U01025"/>
        <s v="INE666Q01016"/>
        <s v="INE679V01019"/>
        <s v="INE759V01019"/>
        <s v="INE586V01016"/>
        <s v="INE508R01018"/>
        <s v="INE947Q01028"/>
        <s v="INE835U01019"/>
        <s v="INE607V01028"/>
        <s v="INE245H01018"/>
        <s v="INE118R01024"/>
        <s v="INE318U01016"/>
        <s v="INE615R01029"/>
        <s v="INE459U01018"/>
        <s v="INE923R01019"/>
        <s v="INE726V01018"/>
        <s v="INE181U01018"/>
        <s v="INE863T01013"/>
        <s v="INE249U01013"/>
        <s v="INE978V01015"/>
        <s v="INE655V01019"/>
        <s v="INE240T01014"/>
        <s v="INE715Q01029"/>
        <s v="INE575D01041"/>
        <s v="INE919I01024"/>
        <s v="INE192R01011"/>
        <s v="INE714U01024"/>
        <s v="INE989S01042"/>
        <s v="INE017W01010"/>
        <s v="INE298W01016"/>
        <s v="INE784W01015"/>
        <s v="INE544W01021"/>
        <s v="INE800W01019"/>
        <s v="INE201M01029"/>
        <s v="INE442V01012"/>
        <s v="INE208U01019"/>
        <s v="INE274V01019"/>
        <s v="INE953W01016"/>
        <s v="INE808R01012"/>
        <s v="INE870V01014"/>
        <s v="INE949C01016"/>
        <s v="INE594W01034"/>
        <s v="INE807K01035"/>
        <s v="INE453S01015"/>
        <s v="INE343X01018"/>
        <s v="INE031A01017"/>
        <s v="INE488V01015"/>
        <s v="INE986W01016"/>
        <s v="INE796W01019"/>
        <s v="INE717F01028"/>
        <s v="INE460H01021"/>
        <s v="INE325X01015"/>
        <s v="INE010J01012"/>
        <s v="INE406M01024"/>
        <s v="INE869I01013"/>
        <s v="INE949L01017"/>
        <s v="INE721X01015"/>
        <s v="INE694X01030"/>
        <s v="INE413X01035"/>
        <s v="INE170V01027"/>
        <s v="INE335W01016"/>
        <s v="INE471W01019"/>
        <s v="INE349W01017"/>
        <s v="INE347W01011"/>
        <s v="INE943X01015"/>
        <s v="INE931X01010"/>
        <s v="INE632W01016"/>
        <s v="INE285J01028"/>
        <s v="INE704P01025"/>
        <s v="INE320X01016"/>
        <s v="INE880L01014"/>
        <s v="INE344X01016"/>
        <s v="INE172E01011"/>
        <s v="INE674K01013"/>
        <s v="INE346W01013"/>
        <s v="INE145Y01015"/>
        <s v="INE236W01016"/>
        <s v="INE185U01035"/>
        <s v="INE935N01020"/>
        <s v="INE727S01012"/>
        <s v="INE385W01011"/>
        <s v="INE670X01014"/>
        <s v="INE438C01010"/>
        <s v="INE866R01028"/>
        <s v="INE217K01011"/>
        <s v="INE264T01014"/>
        <s v="INE146Y01013"/>
        <s v="INE765G01017"/>
        <s v="INE689M01025"/>
        <s v="INE777X01017"/>
        <s v="INE123W01016"/>
        <s v="INE393P01035"/>
        <s v="INE932X01026"/>
        <s v="INE071Y01013"/>
        <s v="INE973X01012"/>
        <s v="INE327G01032"/>
        <s v="INE695X01011"/>
        <s v="INE062Y01012"/>
        <s v="INE864K01010"/>
        <s v="INE414Y01015"/>
        <s v="INE402Y01028"/>
        <s v="INE850D01014"/>
        <s v="INE348L01012"/>
        <s v="INE022Q01020"/>
        <s v="INE481Y01014"/>
        <s v="INE282Y01016"/>
        <s v="INE501Y01019"/>
        <s v="INE974X01010"/>
        <s v="INE298J01013"/>
        <s v="INE766P01016"/>
        <s v="INE470Y01017"/>
        <s v="INE133Y01011"/>
        <s v="INE834I01025"/>
        <s v="INE618L01018"/>
        <s v="INE795G01014"/>
        <s v="INE204Y01010"/>
        <s v="INE669Y01022"/>
        <s v="INE500C01017"/>
        <s v="INE016M01021"/>
        <s v="INE600Y01019"/>
        <s v="INE821Y01011"/>
        <s v="INE597J01018"/>
        <s v="INE935Q01015"/>
        <s v="INE333Y01017"/>
        <s v="INE158R01012"/>
        <s v="INE994R01028"/>
        <s v="INE646X01014"/>
        <s v="INE371F01016"/>
        <s v="INE819Y01015"/>
        <s v="INE841Y01019"/>
        <s v="INE454F01010"/>
        <s v="INE713T01028"/>
        <s v="INE619B01017"/>
        <s v="INE546Y01022"/>
        <s v="INE371P01015"/>
        <s v="INE422M01013"/>
        <s v="INE115G01015"/>
        <s v="INE425C01017"/>
        <s v="INE760Y01011"/>
        <s v="INE600K01018"/>
        <s v="INE063Z01017"/>
        <s v="INE630Y01024"/>
        <s v="INE578V01013"/>
        <s v="INE740X01023"/>
        <s v="INE923Y01023"/>
        <s v="INE586E01020"/>
        <s v="INE773Y01014"/>
        <s v="INE341Z01025"/>
        <s v="INE644Y01017"/>
        <s v="INE914M01019"/>
        <s v="INE868X01014"/>
        <s v="INE398L01017"/>
        <s v="INE339Z01011"/>
        <s v="INE926X01010"/>
        <s v="INE464Z01017"/>
        <s v="INE365Y01019"/>
        <s v="INE452Z01012"/>
        <s v="INE758W01019"/>
        <s v="INE171Z01026"/>
        <s v="INE380Z01015"/>
        <s v="INE705X01026"/>
        <s v="INE545U01014"/>
        <s v="INE066F01020"/>
        <s v="INE278R01034"/>
        <s v="INE278H01035"/>
        <s v="INE616Z01012"/>
        <s v="INE495Z01011"/>
        <s v="INE763G01038"/>
        <s v="INE099Z01011"/>
        <s v="INE860Y01019"/>
        <s v="INE426Z01016"/>
        <s v="INE459Z01017"/>
        <s v="INE970X01018"/>
        <s v="INE783X01023"/>
        <s v="INE626Z01029"/>
        <s v="INE871Z01013"/>
        <s v="INE142Z01019"/>
        <s v="INE506Z01015"/>
        <s v="INE256Z01025"/>
        <s v="INE250Z01010"/>
        <s v="INE896L01010"/>
        <s v="INE424Z01011"/>
        <s v="INE556Z01010"/>
        <s v="INE295Z01015"/>
        <s v="INE00EM01016"/>
        <s v="INE870Z01015"/>
        <s v="INE926R01012"/>
        <s v="INE518E01015"/>
        <s v="INE692Z01013"/>
        <s v="INE325C01035"/>
        <s v="INE236Y01012"/>
        <s v="INE838Z01012"/>
        <s v="INE799N01012"/>
        <s v="INE364U01010"/>
        <s v="INE250G01010"/>
        <s v="INE624Z01016"/>
        <s v="INE320J01015"/>
        <s v="INE686Y01026"/>
        <s v="INE665L01035"/>
        <s v="INE685Z01033"/>
        <s v="INE268X01017"/>
        <s v="INE960Z01014"/>
        <s v="INE778U01029"/>
        <s v="INE00SY01011"/>
        <s v="INE694W01024"/>
        <s v="INE00WY01013"/>
        <s v="INE127D01025"/>
        <s v="INE299W01022"/>
        <s v="INE401Z01019"/>
        <s v="INE741K01010"/>
        <s v="INE572Z01017"/>
        <s v="INE00IY01012"/>
        <s v="INE266S01011"/>
        <s v="INE01B501018"/>
        <s v="INE797Z01010"/>
        <s v="INE00QT01015"/>
        <s v="INE01A501019"/>
        <s v="INE962Y01021"/>
        <s v="INE01IU01018"/>
        <s v="INE004Z01011"/>
        <s v="INE00VM01036"/>
        <s v="INE492Y01011"/>
        <s v="INE216P01012"/>
        <s v="INE382Z01011"/>
        <s v="INE911Z01017"/>
        <s v="INE666Y01010"/>
        <s v="INE01J501010"/>
        <s v="INE642Z01026"/>
        <s v="INE206Z01020"/>
        <s v="INE00Q901014"/>
        <s v="INE647Z01017"/>
        <s v="INE00SW01015"/>
        <s v="INE399L01023"/>
        <s v="INE398C01016"/>
        <s v="INE285K01026"/>
        <s v="INE02AP01013"/>
        <s v="INE951Z01013"/>
        <s v="INE01GR01018"/>
        <s v="INE016X01010"/>
        <s v="INE139E01028"/>
        <s v="INE00R701025"/>
        <s v="INE00S901012"/>
        <s v="INE01NE01012"/>
        <s v="INE00CA01015"/>
        <s v="INE452W01019"/>
        <s v="INE02EZ01022"/>
        <s v="INE542W01017"/>
        <s v="INE302R01024"/>
        <s v="INE425Y01011"/>
        <s v="INE020801028"/>
        <s v="INE350Z01018"/>
        <s v="INE01P501012"/>
        <s v="INE726X01014"/>
        <s v="INE512R01010"/>
        <s v="INE01EG01016"/>
        <s v="INE427F01016"/>
        <s v="INE02AR01019"/>
        <s v="INE793Z01027"/>
        <s v="INE911T01010"/>
        <s v="INE294Z01018"/>
        <s v="INE03CM01014"/>
        <s v="INE955V01021"/>
        <s v="INE342U01016"/>
        <s v="INE043R01016"/>
        <s v="INE05FR01029"/>
        <s v="INE01C001018"/>
        <s v="INE02PC01019"/>
        <s v="INE255X01014"/>
        <s v="INE03WT01017"/>
        <s v="INE01GZ01011"/>
        <s v="INE01BL01012"/>
        <s v="INE415G01027"/>
        <s v="INE112L01020"/>
        <s v="INE04I401011"/>
        <s v="INE455K01017"/>
        <s v="INE06LG01010"/>
        <s v="INE161L01027"/>
        <s v="INE136S01016"/>
        <s v="INE05QJ01015"/>
        <s v="INE06CG01019"/>
        <s v="INE06TD01010"/>
        <s v="INE374E01021"/>
        <s v="INE757T01025"/>
        <s v="INE05BN01019"/>
        <s v="INE413F01016"/>
        <s v="INE01K301012"/>
        <s v="INE050001010"/>
        <s v="INE03JI01017"/>
        <s v="INE05MV01019"/>
        <s v="INE02GA01012"/>
        <s v="INE060601023"/>
        <s v="INE04AK01028"/>
        <s v="INE933S01016"/>
        <s v="INE056001014"/>
        <s v="INE04ST01013"/>
        <s v="INE08KP01019"/>
        <s v="INE00WC01027"/>
        <s v="INE277T01024"/>
        <s v="INE572J01011"/>
        <s v="INE00M201021"/>
        <s v="INE08E401029"/>
        <s v="INE08JY01013"/>
        <s v="INE466L01038"/>
        <s v="INE489L01022"/>
        <s v="INE08KJ01020"/>
        <s v="INE957W01025"/>
        <s v="INE906Y01028"/>
        <s v="INE560T01015"/>
        <s v="INE09N301011"/>
        <s v="INE335Y01020"/>
        <s v="INE492Z01018"/>
        <s v="INE06H201014"/>
        <s v="INE430N01022"/>
        <s v="INE08ZM01014"/>
        <s v="INE052001026"/>
        <s v="INE444X01014"/>
        <s v="INE490Z01012"/>
        <s v="INE317W01022"/>
        <s v="INE679A01013"/>
        <s v="INE551W01018"/>
        <s v="INE05AN01011"/>
        <s v="INE771C01014"/>
        <s v="INE689W01016"/>
        <s v="INE165G01010"/>
        <s v="INE063601012"/>
        <s v="INE025R01021"/>
        <s v="INE258G01013"/>
        <s v="INE04OV01018"/>
        <s v="INE128G01018"/>
        <s v="INE03V001013"/>
        <s v="INE07QQ01016"/>
        <s v="INE117S01016"/>
        <s v="INE03QK01018"/>
        <s v="INE0C4I01011"/>
        <s v="INE018E01016"/>
        <s v="INE0BDU01028"/>
        <s v="INE0CQB01010"/>
        <s v="INE07Y701011"/>
        <s v="INE0B1K01014"/>
        <s v="INE06MM01016"/>
        <s v="INE745R01016"/>
        <s v="INE0CRS01012"/>
        <s v="INE09EO01013"/>
        <s v="INE0B9A01018"/>
        <s v="INE02PY01013"/>
        <s v="INE02A801020"/>
        <s v="INE07OG01012"/>
        <s v="INE05ST01028"/>
        <s v="INE027H01010"/>
        <s v="INE0CG601016"/>
        <s v="INE419U01012"/>
        <s v="INE450U01017"/>
        <s v="INE412J01010"/>
        <s v="INE0ALI01010"/>
        <s v="INE0CHO01012"/>
        <s v="INE596I01012"/>
        <s v="INE03YM01018"/>
        <s v="INE0BTM01013"/>
        <s v="INE732I01013"/>
        <s v="INE09KD01013"/>
        <s v="INE249Z01012"/>
        <s v="INE094J01016"/>
        <s v="INE0E2801015"/>
        <s v="INE060901027"/>
        <s v="INE244W01010"/>
        <s v="INE0AJG01018"/>
        <s v="INE063P01018"/>
        <s v="INE0BLY01023"/>
        <s v="INE068V01023"/>
        <s v="INE07T201019"/>
        <s v="INE0EK901012"/>
        <s v="INE09E501017"/>
        <s v="INE0DNW01011"/>
        <s v="INE495P01012"/>
        <s v="INE01BK01022"/>
        <s v="INE018S01016"/>
        <s v="INE053F01010"/>
        <s v="INE09VQ01012"/>
        <s v="INE481N01025"/>
        <s v="INE00IN01015"/>
        <s v="INE0D7801012"/>
        <s v="INE103C01036"/>
        <s v="INE0DSF01015"/>
        <s v="INE0DD101019"/>
        <s v="INE694N01015"/>
        <s v="INE179G01029"/>
        <s v="INE03RS01027"/>
        <s v="INE864I01014"/>
        <s v="INE0BY001018"/>
        <s v="INE07O001026"/>
        <s v="INE0CJD01011"/>
        <s v="INE0EMB01015"/>
        <s v="INE930P01018"/>
        <s v="INE00LO01017"/>
        <s v="INE576O01020"/>
        <s v="INE303R01014"/>
        <s v="INE428Q01011"/>
        <s v="INE418L01021"/>
        <s v="INE018401013"/>
        <s v="INE382M01027"/>
        <s v="INE0CPR01018"/>
        <s v="INE0CQ101015"/>
        <s v="INE0D9X01018"/>
        <s v="INE670K01029"/>
        <s v="INE0FHS01024"/>
        <s v="INE0FLR01028"/>
        <s v="INE505Y01010"/>
        <s v="INE810G01011"/>
        <s v="INE073K01018"/>
        <s v="INE0DB001013"/>
        <s v="INE021O01019"/>
        <s v="INE967H01017"/>
        <s v="INE0H8J01015"/>
        <s v="INE0B6101012"/>
        <s v="INE0D6701023"/>
        <s v="INE0DXR01010"/>
        <s v="INE201P01022"/>
        <s v="INE227W01023"/>
        <s v="INE0C5901014"/>
        <s v="INE758T01015"/>
        <s v="INE0GK401011"/>
        <s v="INE03Q201024"/>
        <s v="INE199P01028"/>
        <s v="INE645S01016"/>
        <s v="INE0GFE01018"/>
        <s v="INE08LI01020"/>
        <s v="INE0H5O01029"/>
        <s v="INE872J01023"/>
        <s v="INE0CT101020"/>
        <s v="INE071N01016"/>
        <s v="INE290S01011"/>
        <s v="INE118D01016"/>
        <s v="INE852O01025"/>
        <s v="INE488A01050"/>
        <s v="INE647W01014"/>
        <s v="INE0EAX01014"/>
        <s v="INE00FF01017"/>
        <s v="INE043W01024"/>
        <s v="INE0DTJ01015"/>
        <s v="INE953O01021"/>
        <s v="INE0GAO01018"/>
        <s v="INE0FW001016"/>
        <s v="INE0DLM01024"/>
        <s v="INE045601015"/>
        <s v="INE0H1201012"/>
        <s v="INE0HLJ01013"/>
        <s v="INE404A01024"/>
        <s v="INE0I2F01015"/>
        <s v="INE0GD201014"/>
        <s v="INE0CWK01019"/>
        <s v="INE388Y01029"/>
        <s v="INE02NC01014"/>
        <s v="INE284S01014"/>
        <s v="INE0D0K01022"/>
        <s v="INE417T01026"/>
        <s v="INE07GA01011"/>
        <s v="INE982J01020"/>
        <s v="INE806T01012"/>
        <s v="INE0I7C01011"/>
        <s v="INE144Z01023"/>
        <s v="INE0JFE01012"/>
        <s v="INE0BJS01011"/>
        <s v="INE07L501010"/>
        <s v="INE106T01025"/>
        <s v="INE575P01011"/>
        <s v="INE011K01018"/>
        <s v="INE463V01026"/>
        <s v="INE761Y01019"/>
        <s v="INE0CLI01024"/>
        <s v="INE217L01019"/>
        <s v="INE982V01025"/>
        <s v="INE0BV301023"/>
        <s v="INE317I01021"/>
        <s v="INE804L01022"/>
        <s v="INE0IX101010"/>
        <s v="INE0GSL01024"/>
        <s v="INE07RO01027"/>
        <s v="INE0JJS01014"/>
        <s v="INE0ILD01014"/>
        <s v="INE925R01014"/>
        <s v="INE977Y01011"/>
        <s v="INE0DRT01018"/>
        <s v="INE02WG01016"/>
        <s v="INE583L01014"/>
        <s v="INE0KA601012"/>
        <s v="INE699H01024"/>
        <s v="INE0KAF01018"/>
        <s v="INE0JNA01014"/>
        <s v="INE060X01026"/>
        <s v="INE825V01034"/>
        <s v="INE0JSJ01014"/>
        <s v="INE728Z01015"/>
        <s v="INE0KCM01010"/>
        <s v="INE0KCE01017"/>
        <s v="INE079J01017"/>
        <s v="INE0CU601026"/>
        <s v="INE0KQ001017"/>
        <s v="INE0FS801015"/>
        <s v="INE0K1401012"/>
        <s v="INE0JVD01011"/>
        <s v="INE652Z01017"/>
        <s v="INE0GIU01018"/>
        <s v="INE0IQ001011"/>
        <s v="INE0KPY01017"/>
        <s v="INE0K5F01014"/>
        <s v="INE00EV01017"/>
        <s v="INE0KSN01014"/>
        <s v="INE0JMN01019"/>
        <s v="INE0J2K01014"/>
        <s v="INE0L3H01014"/>
        <s v="INE0E5R01017"/>
        <s v="INE278Y01022"/>
        <s v="INE961O01016"/>
        <s v="INE625X01018"/>
        <s v="INE0J1Y01017"/>
        <s v="INE00F201020"/>
        <s v="INE0JA001018"/>
        <s v="INE148O01028"/>
        <s v="INE088F01024"/>
        <s v="INE05CY01014"/>
        <s v="INE04TZ01018"/>
        <s v="INE01QM01018"/>
        <s v="INE0BWX01014"/>
        <s v="INE082W01014"/>
        <s v="INE0KXN01014"/>
        <s v="INE0IXR01019"/>
        <s v="INE0K6L01010"/>
        <s v="INE0L0L01012"/>
        <s v="INE0GTX01019"/>
        <s v="INE0KHQ01010"/>
        <s v="INE0L1C01019"/>
        <s v="INE0IZQ01016"/>
        <s v="INE0KR801019"/>
        <s v="INE0ID001024"/>
        <s v="INE0L3501015"/>
        <s v="INE0HR601026"/>
        <s v="INE0DYJ01015"/>
        <s v="INE0M3901015"/>
        <s v="INE0JNB01012"/>
        <s v="INE0KKN01029"/>
        <s v="INE0JS101016"/>
        <s v="INE0I3401014"/>
        <s v="INE0MC401013"/>
        <s v="INE0D2I01014"/>
        <s v="INE668A01016"/>
        <s v="INE0I0T01010"/>
        <s v="INE0LU301014"/>
        <s v="INE0D6I01015"/>
        <s v="INE0JUS01029"/>
        <s v="INE0M8901010"/>
        <s v="INE0KQQ01011"/>
        <s v="INE0LQS01015"/>
        <s v="INE0MNV01014"/>
        <s v="INE0MKA01014"/>
        <s v="INE0MKO01015"/>
        <s v="INE0M4L01013"/>
        <s v="INE0N0J01014"/>
        <s v="INE0LGX01016"/>
        <s v="INE0KZM01011"/>
        <s v="INE0MSK01016"/>
        <s v="INE0NC801013"/>
        <s v="INE0KY201021"/>
        <s v="INE195Y01010"/>
        <s v="INE02YR01019"/>
        <s v="INE0DK501011"/>
        <s v="INE0A1101019"/>
        <s v="INE0N1L01018"/>
        <s v="INE0HMF01019"/>
        <s v="INE117Z01011"/>
        <s v="INE344S01016"/>
        <s v="INE05X901010"/>
        <s v="INE0KL801015"/>
        <s v="INE975Z01012"/>
        <s v="INE139R01012"/>
        <s v="INE00E101023"/>
        <s v="INE474Q01031"/>
        <s v="INE0MXP01015"/>
        <s v="INE128X01021"/>
        <s v="INE128S01021"/>
        <s v="INE918Z01012"/>
        <s v="INE510W01014"/>
        <s v="INE01EE01011"/>
        <s v="INE263M01029"/>
        <s v="INE01KI01027"/>
        <s v="INE0D0U01013"/>
        <s v="INE0N6V01016"/>
        <s v="INE792Z01011"/>
        <s v="INE00OQ01016"/>
        <s v="INE324X01026"/>
        <s v="INE244O01017"/>
        <s v="INE0NT601018"/>
        <s v="INE142Q01026"/>
        <s v="INE00ZE01026"/>
        <s v="INE0MQD01015"/>
        <s v="INE559R01029"/>
        <s v="INE059901020"/>
        <s v="INE138Y01010"/>
        <s v="INE050401020"/>
        <s v="INE855R01021"/>
        <s v="INE09BN01011"/>
        <s v="INE035801013"/>
        <s v="INE0MFT01014"/>
        <s v="INE0MID01012"/>
        <s v="INE0BSU01018"/>
        <s v="INE0BTI01037"/>
        <s v="INE0LRU01027"/>
        <s v="INE0M9Q01011"/>
        <s v="INE0MPU01011"/>
        <s v="INE0O4V01010"/>
        <s v="INE094B01013"/>
        <s v="INE0EEJ01023"/>
        <s v="INE0NNS01018"/>
        <s v="INE0KN201016"/>
        <s v="INE0O4601016"/>
        <s v="INE0OLH01013"/>
        <s v="INE0NPA01011"/>
        <s v="INE0JZS01010"/>
        <s v="INE0G1V01016"/>
        <s v="INE0NYN01016"/>
        <s v="INE0O6A01019"/>
        <s v="INE645W01026"/>
        <s v="INE753U01022"/>
        <s v="INE0OKG01017"/>
        <s v="INE00TV01015"/>
        <s v="INE0JSX01015"/>
        <s v="INE0NLJ01011"/>
        <s v="INE0OMI01019"/>
        <s v="INE0LKQ01012"/>
        <s v="INE0NIJ01017"/>
        <s v="INE825B01010"/>
        <s v="INE0N0Y01013"/>
        <s v="INE0O1T01010"/>
        <s v="INE0O8901016"/>
        <s v="INE0LCL01028"/>
        <s v="INE0P7001013"/>
        <s v="INE0N7W01012"/>
        <s v="INE508K01013"/>
        <s v="INE0NTC01019"/>
        <s v="INE634S01028"/>
        <s v="INE0LDI01022"/>
        <s v="INE680Z01018"/>
        <s v="INE0ALR01029"/>
        <s v="INE557Z01018"/>
        <s v="INE210F01016"/>
        <s v="INE07S101020"/>
        <s v="INE0GYI01028"/>
        <s v="INE0A0S01010"/>
        <s v="INE0PA801013"/>
        <s v="INE964W01021"/>
        <s v="INE0NJ001013"/>
        <s v="INE0NXA01015"/>
        <s v="INE0LOJ01019"/>
        <s v="INE0N5O01013"/>
        <s v="INE0OJ401014"/>
        <s v="INE04Z101016"/>
        <s v="INE0ORA01015"/>
        <s v="INE0ECP01024"/>
        <s v="INE568Z01015"/>
        <s v="INE0Q0M01015"/>
        <s v="INE349Y01013"/>
        <s v="INE055S01018"/>
        <s v="INE01BT01015"/>
        <s v="INE602W01019"/>
        <s v="INE0NZF01019"/>
        <s v="INE0POP01017"/>
        <s v="INE0P3N01018"/>
        <s v="INE758E01017"/>
        <s v="INE0NEV01011"/>
        <s v="INE735W01017"/>
        <s v="INE0DN001027"/>
        <s v="INE0NT901020"/>
        <s v="INE0JO301016"/>
        <s v="INE0LYO01018"/>
        <s v="INE342G01023"/>
        <s v="INE0OWC01011"/>
        <s v="INE0NN701020"/>
        <s v="INE0O3901029"/>
        <s v="INE0LXT01019"/>
        <s v="INE03HW01020"/>
        <s v="INE423Y01016"/>
        <s v="INE338H01029"/>
        <s v="INE864X01013"/>
        <s v="INE013V01011"/>
        <s v="INE395N01027"/>
        <s v="INE0MIS01010"/>
        <s v="INE0OJZ01019"/>
        <s v="INE0Q8P01011"/>
        <s v="INE024001021"/>
        <s v="INE0AE001013"/>
        <s v="INE489B01023"/>
        <s v="INE0N2P01017"/>
        <s v="INE05CZ01011"/>
        <s v="INE04T901017"/>
        <s v="INE682M01012"/>
        <s v="INE777K01022"/>
        <s v="INE0OYE01013"/>
        <s v="INE0OV601013"/>
        <s v="INE08U801020"/>
        <s v="INE07K301024"/>
        <s v="INE980Y01015"/>
        <s v="INE531F01015"/>
        <s v="INE438K01021"/>
        <s v="INE903U01023"/>
        <s v="INE0P4P01011"/>
        <s v="INE0JR601024"/>
        <s v="INE372M01010"/>
        <s v="INE880J01026"/>
        <s v="INE0KNT01012"/>
        <s v="INE851I01011"/>
        <s v="INE0MIO01019"/>
        <s v="INE0JWS01017"/>
        <s v="INE0M7501019"/>
        <s v="INE0Q1S01010"/>
        <s v="INE0PA601017"/>
        <s v="INE0INJ01017"/>
        <s v="INE07U701015"/>
        <s v="INE03EI01018"/>
        <s v="INE0KBH01020"/>
        <s v="INE0Q6901013"/>
        <s v="INE0LMW01024"/>
        <s v="INE0OH401016"/>
        <s v="INE0J5401028"/>
        <s v="INE0QI101019"/>
        <s v="INE818W01011"/>
        <s v="INE004A01022"/>
        <s v="INE491J01022"/>
        <s v="INE0N6U01018"/>
        <s v="INE0PP401015"/>
        <s v="INE202E01016"/>
        <s v="INE007N01010"/>
        <s v="INE142M01025"/>
        <s v="INE717W01049"/>
        <s v="INE00Y201027"/>
        <s v="INE0RDR01012"/>
        <s v="INE0RDM01013"/>
        <s v="INE0P9J01013"/>
        <s v="INE0KQN01018"/>
        <s v="INE922K01024"/>
        <s v="INE321T01012"/>
        <s v="INE616N01034"/>
        <s v="INE0QSK01017"/>
        <s v="INE0Q2Z01013"/>
        <s v="INE0FRK01012"/>
        <s v="INE843S01025"/>
        <s v="INE046W01019"/>
        <s v="INE0PSJ01011"/>
        <s v="INE330T01021"/>
        <s v="INE220Q01020"/>
        <s v="INE0QZQ01019"/>
        <s v="INE0PEQ01016"/>
        <s v="INE02IJ01035"/>
        <s v="INE0Q3R01026"/>
        <s v="INE0DUT01020"/>
        <s v="INE0QFT01015"/>
        <s v="INE0A6N01026"/>
        <s v="INE0RNZ01014"/>
        <s v="INE0PSC01024"/>
        <s v="INE0MGS01014"/>
        <s v="INE980O01024"/>
        <s v="INE0GEN01012"/>
        <s v="INE0QIS01011"/>
        <s v="INE456Z01021"/>
        <s v="INE07G501017"/>
        <s v="INE0Q1R01012"/>
        <s v="INE0PYT01018"/>
        <s v="INE0G5901015"/>
        <s v="INE02H701025"/>
        <s v="INE0Q6L01014"/>
        <s v="INE0OLZ01015"/>
        <s v="INE0R5Z01015"/>
        <s v="INE0NLT01010"/>
        <s v="INE0QZF01012"/>
        <s v="INE988S01028"/>
        <s v="INE0QXV01014"/>
        <s v="INE0KGZ01021"/>
        <s v="INE953L01027"/>
        <s v="INE0J1F01024"/>
        <s v="INE646H01017"/>
        <s v="INE0OYK01010"/>
        <s v="INE010601016"/>
        <s v="INE0QTF01015"/>
        <s v="INE696F01016"/>
        <s v="INE486R01017"/>
        <s v="INE777F01014"/>
        <s v="INE0PT501018"/>
        <s v="INE0CG401037"/>
        <s v="INE0NQ801033"/>
        <s v="INE0MB501011"/>
        <s v="INE0M8R01011"/>
        <s v="INE0L9R01028"/>
        <s v="INE510U01018"/>
        <s v="INE0PB301013"/>
        <s v="INE0QQG01019"/>
        <s v="INE772T01024"/>
        <s v="INE0QN801017"/>
        <s v="INE0QVH01025"/>
        <s v="INE0AH901011"/>
        <s v="INE0QHY01011"/>
        <s v="INE0OMZ01013"/>
        <s v="INE0R6Z01013"/>
        <s v="INE0MSS01019"/>
        <s v="INE266Y01019"/>
        <s v="INE343G01021"/>
        <s v="INE0S0701019"/>
        <s v="INE0Q9W01015"/>
        <s v="INE0SGR01013"/>
        <s v="INE0SDC01012"/>
        <s v="INE0OAF01028"/>
        <s v="INE0R6801013"/>
        <s v="INE0QSB01016"/>
        <s v="INE0QXT01018"/>
        <s v="INE0RGM01016"/>
        <s v="INE065X01017"/>
        <s v="INE0QOQ01013"/>
        <s v="INE673O01025"/>
        <s v="INE0SMU01015"/>
        <s v="INE883F01010"/>
        <s v="INE0SCB01016"/>
        <s v="INE0R4W01015"/>
        <s v="INE03JT01014"/>
        <s v="INE108V01019"/>
        <s v="INE0RIQ01013"/>
        <s v="INE02L001032"/>
        <s v="INE257C01014"/>
        <s v="INE0TT901016"/>
        <s v="INE0ATZ01017"/>
        <s v="INE0QZ901011"/>
        <s v="INE0QUV01010"/>
        <s v="INE0R7D01018"/>
        <s v="INE0CYK01015"/>
        <s v="INE0HV901016"/>
        <s v="INE0S0I01011"/>
        <s v="INE03DD01011"/>
        <s v="INE841L01016"/>
        <s v="INE0RUJ01013"/>
        <s v="INE916Y01019"/>
        <s v="INE0S6R01027"/>
        <s v="INF346A01034"/>
        <s v="IN9155A01020"/>
        <s v="IN9623B01058"/>
        <s v="IN9175A01010"/>
        <s v="INE224E01036"/>
        <s v="INE036D01028"/>
        <s v="INE484C01030"/>
        <s v="INE098F01031"/>
        <s v="INE445C01015"/>
        <s v="INE598C01011"/>
        <s v="INE838B01013"/>
        <s v="INE188A01015"/>
        <s v="INE424C01010"/>
        <s v="INE147A01011"/>
        <s v="INE244A01016"/>
        <s v="INE641C01019"/>
        <s v="INE667G01023"/>
        <s v="INE498E01010"/>
        <s v="INE217G01035"/>
        <s v="INE715B01021"/>
        <s v="INE547E01014"/>
        <s v="INE805C01028"/>
        <s v="INE731C01018"/>
        <s v="INE874F01027"/>
        <s v="INE660A01013"/>
        <s v="INE073D01013"/>
        <s v="INE715A01015"/>
        <s v="INE112F01022"/>
        <s v="INE683C01011"/>
        <s v="INE725E01024"/>
        <s v="INF204KB14I2"/>
        <s v="INF732E01045"/>
        <s v="INF204KB15I9"/>
        <s v="INF373I01023"/>
        <s v="INF204KB16I7"/>
        <s v="INF732E01128"/>
        <s v="INF082J01028"/>
        <s v="INF247L01536"/>
        <s v="INE414A01015"/>
        <s v="INE118H01025"/>
        <s v="INE032Z01020"/>
        <s v="INE736A01011"/>
        <s v="INE0C8K23012"/>
        <s v="INE039O01011"/>
        <s v="INE900L01010"/>
        <s v="INE0Q7Q23015"/>
        <s v="INE0OUT01019"/>
        <s v="INE526E01018"/>
        <s v="INE01EO01010"/>
        <s v="INE202Z01029"/>
        <s v="INE121N01019"/>
        <s v="INE188Y01015"/>
      </sharedItems>
    </cacheField>
    <cacheField name="BSE Code">
      <sharedItems containsMixedTypes="1" containsNumber="1" containsInteger="1">
        <n v="500027.0"/>
        <n v="500040.0"/>
        <n v="500042.0"/>
        <n v="500009.0"/>
        <n v="500012.0"/>
        <n v="500013.0"/>
        <n v="500014.0"/>
        <n v="500016.0"/>
        <n v="500020.0"/>
        <n v="500023.0"/>
        <n v="500085.0"/>
        <n v="500028.0"/>
        <n v="500113.0"/>
        <n v="500123.0"/>
        <n v="500125.0"/>
        <n v="500171.0"/>
        <n v="500184.0"/>
        <n v="500039.0"/>
        <n v="500188.0"/>
        <n v="500041.0"/>
        <n v="500228.0"/>
        <n v="500245.0"/>
        <n v="500260.0"/>
        <n v="500295.0"/>
        <n v="500052.0"/>
        <n v="500058.0"/>
        <n v="500059.0"/>
        <n v="500060.0"/>
        <n v="500300.0"/>
        <n v="500068.0"/>
        <n v="500069.0"/>
        <n v="500074.0"/>
        <n v="500078.0"/>
        <n v="500083.0"/>
        <n v="500331.0"/>
        <n v="500335.0"/>
        <n v="500338.0"/>
        <n v="500339.0"/>
        <n v="500089.0"/>
        <n v="500355.0"/>
        <n v="500380.0"/>
        <n v="500387.0"/>
        <n v="500097.0"/>
        <n v="500405.0"/>
        <n v="500410.0"/>
        <n v="500425.0"/>
        <n v="500440.0"/>
        <n v="500108.0"/>
        <n v="500470.0"/>
        <n v="500645.0"/>
        <n v="500670.0"/>
        <n v="500690.0"/>
        <n v="500770.0"/>
        <n v="502937.0"/>
        <n v="500117.0"/>
        <n v="500119.0"/>
        <n v="500120.0"/>
        <n v="503806.0"/>
        <n v="504614.0"/>
        <n v="506285.0"/>
        <n v="506395.0"/>
        <n v="506401.0"/>
        <n v="506590.0"/>
        <n v="506655.0"/>
        <n v="500136.0"/>
        <n v="500142.0"/>
        <n v="500143.0"/>
        <n v="506767.0"/>
        <n v="500147.0"/>
        <n v="500148.0"/>
        <n v="500150.0"/>
        <n v="500151.0"/>
        <n v="500153.0"/>
        <n v="507717.0"/>
        <n v="500160.0"/>
        <n v="512070.0"/>
        <n v="512455.0"/>
        <n v="512599.0"/>
        <n v="500166.0"/>
        <n v="500168.0"/>
        <n v="500170.0"/>
        <n v="513599.0"/>
        <n v="500173.0"/>
        <n v="500174.0"/>
        <n v="500179.0"/>
        <n v="523457.0"/>
        <n v="523630.0"/>
        <n v="523642.0"/>
        <n v="524200.0"/>
        <n v="524208.0"/>
        <n v="500186.0"/>
        <n v="500187.0"/>
        <n v="524230.0"/>
        <n v="500189.0"/>
        <n v="526371.0"/>
        <n v="500192.0"/>
        <n v="500193.0"/>
        <n v="500199.0"/>
        <n v="500201.0"/>
        <n v="500202.0"/>
        <n v="500206.0"/>
        <n v="500207.0"/>
        <n v="530001.0"/>
        <n v="530005.0"/>
        <n v="500213.0"/>
        <n v="530117.0"/>
        <n v="500215.0"/>
        <n v="500219.0"/>
        <n v="500220.0"/>
        <n v="500227.0"/>
        <n v="530999.0"/>
        <n v="500231.0"/>
        <n v="532162.0"/>
        <n v="500234.0"/>
        <n v="500235.0"/>
        <n v="532181.0"/>
        <n v="532234.0"/>
        <n v="500239.0"/>
        <n v="500240.0"/>
        <n v="532286.0"/>
        <n v="532504.0"/>
        <n v="532508.0"/>
        <n v="500246.0"/>
        <n v="532538.0"/>
        <n v="500248.0"/>
        <n v="532644.0"/>
        <n v="500250.0"/>
        <n v="532725.0"/>
        <n v="532976.0"/>
        <n v="533282.0"/>
        <n v="533286.0"/>
        <n v="500259.0"/>
        <n v="535754.0"/>
        <n v="500262.0"/>
        <n v="500264.0"/>
        <n v="540575.0"/>
        <n v="540680.0"/>
        <n v="540935.0"/>
        <n v="500268.0"/>
        <n v="500270.0"/>
        <n v="541557.0"/>
        <n v="500277.0"/>
        <n v="500279.0"/>
        <n v="500280.0"/>
        <n v="500282.0"/>
        <n v="500284.0"/>
        <n v="542216.0"/>
        <n v="500288.0"/>
        <n v="542812.0"/>
        <n v="500292.0"/>
        <n v="542920.0"/>
        <n v="543271.0"/>
        <n v="500296.0"/>
        <n v="500298.0"/>
        <n v="543275.0"/>
        <n v="543277.0"/>
        <n v="500304.0"/>
        <n v="500306.0"/>
        <n v="543318.0"/>
        <n v="543332.0"/>
        <n v="500313.0"/>
        <n v="500314.0"/>
        <n v="543334.0"/>
        <n v="500319.0"/>
        <n v="500322.0"/>
        <n v="543336.0"/>
        <n v="500327.0"/>
        <n v="543530.0"/>
        <n v="543534.0"/>
        <n v="500333.0"/>
        <n v="543657.0"/>
        <n v="590024.0"/>
        <n v="500337.0"/>
        <n v="500008.0"/>
        <n v="500031.0"/>
        <n v="500342.0"/>
        <n v="500343.0"/>
        <n v="500346.0"/>
        <n v="500350.0"/>
        <n v="500354.0"/>
        <n v="500033.0"/>
        <n v="500356.0"/>
        <n v="500357.0"/>
        <n v="500360.0"/>
        <n v="500365.0"/>
        <n v="500367.0"/>
        <n v="500043.0"/>
        <n v="500067.0"/>
        <n v="500086.0"/>
        <n v="500101.0"/>
        <n v="500114.0"/>
        <n v="500388.0"/>
        <n v="500165.0"/>
        <n v="500182.0"/>
        <n v="500402.0"/>
        <n v="500233.0"/>
        <n v="500404.0"/>
        <n v="500238.0"/>
        <n v="500407.0"/>
        <n v="500251.0"/>
        <n v="500290.0"/>
        <n v="500330.0"/>
        <n v="500412.0"/>
        <n v="500403.0"/>
        <n v="500414.0"/>
        <n v="500418.0"/>
        <n v="500413.0"/>
        <n v="500421.0"/>
        <n v="500422.0"/>
        <n v="500493.0"/>
        <n v="500426.0"/>
        <n v="500429.0"/>
        <n v="500439.0"/>
        <n v="500520.0"/>
        <n v="500444.0"/>
        <n v="500449.0"/>
        <n v="500450.0"/>
        <n v="500456.0"/>
        <n v="500458.0"/>
        <n v="500530.0"/>
        <n v="500460.0"/>
        <n v="500570.0"/>
        <n v="500464.0"/>
        <n v="500467.0"/>
        <n v="500575.0"/>
        <n v="500710.0"/>
        <n v="500820.0"/>
        <n v="500840.0"/>
        <n v="500850.0"/>
        <n v="500877.0"/>
        <n v="500878.0"/>
        <n v="502355.0"/>
        <n v="502986.0"/>
        <n v="503100.0"/>
        <n v="500500.0"/>
        <n v="504882.0"/>
        <n v="505200.0"/>
        <n v="505509.0"/>
        <n v="500540.0"/>
        <n v="505533.0"/>
        <n v="505537.0"/>
        <n v="505714.0"/>
        <n v="505726.0"/>
        <n v="505790.0"/>
        <n v="507880.0"/>
        <n v="500650.0"/>
        <n v="509480.0"/>
        <n v="509557.0"/>
        <n v="512179.0"/>
        <n v="500672.0"/>
        <n v="514162.0"/>
        <n v="515030.0"/>
        <n v="515055.0"/>
        <n v="517271.0"/>
        <n v="517334.0"/>
        <n v="500730.0"/>
        <n v="517354.0"/>
        <n v="500777.0"/>
        <n v="500780.0"/>
        <n v="517385.0"/>
        <n v="517506.0"/>
        <n v="520057.0"/>
        <n v="521016.0"/>
        <n v="521064.0"/>
        <n v="521070.0"/>
        <n v="523025.0"/>
        <n v="523398.0"/>
        <n v="526367.0"/>
        <n v="530007.0"/>
        <n v="530517.0"/>
        <n v="500890.0"/>
        <n v="531500.0"/>
        <n v="501110.0"/>
        <n v="531543.0"/>
        <n v="532156.0"/>
        <n v="501148.0"/>
        <n v="501150.0"/>
        <n v="501242.0"/>
        <n v="532163.0"/>
        <n v="501270.0"/>
        <n v="501295.0"/>
        <n v="501298.0"/>
        <n v="532189.0"/>
        <n v="501311.0"/>
        <n v="532313.0"/>
        <n v="532343.0"/>
        <n v="532375.0"/>
        <n v="532439.0"/>
        <n v="501386.0"/>
        <n v="501391.0"/>
        <n v="501421.0"/>
        <n v="501423.0"/>
        <n v="532443.0"/>
        <n v="532500.0"/>
        <n v="501455.0"/>
        <n v="532509.0"/>
        <n v="532527.0"/>
        <n v="532539.0"/>
        <n v="501630.0"/>
        <n v="501700.0"/>
        <n v="501831.0"/>
        <n v="532548.0"/>
        <n v="532605.0"/>
        <n v="502015.0"/>
        <n v="502090.0"/>
        <n v="502133.0"/>
        <n v="502137.0"/>
        <n v="502157.0"/>
        <n v="502168.0"/>
        <n v="502175.0"/>
        <n v="502180.0"/>
        <n v="532630.0"/>
        <n v="502250.0"/>
        <n v="502281.0"/>
        <n v="502294.0"/>
        <n v="502330.0"/>
        <n v="532638.0"/>
        <n v="502420.0"/>
        <n v="502445.0"/>
        <n v="502448.0"/>
        <n v="502450.0"/>
        <n v="502587.0"/>
        <n v="502589.0"/>
        <n v="502820.0"/>
        <n v="502850.0"/>
        <n v="502865.0"/>
        <n v="502873.0"/>
        <n v="502893.0"/>
        <n v="502901.0"/>
        <n v="502933.0"/>
        <n v="532689.0"/>
        <n v="502958.0"/>
        <n v="532733.0"/>
        <n v="503031.0"/>
        <n v="503092.0"/>
        <n v="532756.0"/>
        <n v="503101.0"/>
        <n v="503127.0"/>
        <n v="503162.0"/>
        <n v="503169.0"/>
        <n v="503229.0"/>
        <n v="532777.0"/>
        <n v="503349.0"/>
        <n v="503622.0"/>
        <n v="503624.0"/>
        <n v="503626.0"/>
        <n v="503635.0"/>
        <n v="532784.0"/>
        <n v="532798.0"/>
        <n v="503657.0"/>
        <n v="532800.0"/>
        <n v="503663.0"/>
        <n v="532827.0"/>
        <n v="503671.0"/>
        <n v="539658.0"/>
        <n v="503681.0"/>
        <n v="503685.0"/>
        <n v="540212.0"/>
        <n v="500285.0"/>
        <n v="503722.0"/>
        <n v="532859.0"/>
        <n v="503776.0"/>
        <n v="503804.0"/>
        <n v="532832.0"/>
        <n v="503811.0"/>
        <n v="503816.0"/>
        <n v="503837.0"/>
        <n v="503893.0"/>
        <n v="532868.0"/>
        <n v="504000.0"/>
        <n v="504028.0"/>
        <n v="504036.0"/>
        <n v="504058.0"/>
        <n v="532889.0"/>
        <n v="504076.0"/>
        <n v="504080.0"/>
        <n v="504084.0"/>
        <n v="504092.0"/>
        <n v="504093.0"/>
        <n v="504112.0"/>
        <n v="504132.0"/>
        <n v="504176.0"/>
        <n v="504180.0"/>
        <n v="504212.0"/>
        <n v="504220.0"/>
        <n v="504240.0"/>
        <n v="504258.0"/>
        <n v="504273.0"/>
        <n v="504286.0"/>
        <n v="504340.0"/>
        <n v="504341.0"/>
        <n v="504346.0"/>
        <n v="504351.0"/>
        <n v="500307.0"/>
        <n v="504365.0"/>
        <n v="540768.0"/>
        <n v="504375.0"/>
        <n v="544181.0"/>
        <n v="523618.0"/>
        <n v="504392.0"/>
        <n v="532430.0"/>
        <n v="504605.0"/>
        <n v="532891.0"/>
        <n v="504646.0"/>
        <n v="504648.0"/>
        <n v="504731.0"/>
        <n v="504741.0"/>
        <n v="504786.0"/>
        <n v="512229.0"/>
        <n v="504840.0"/>
        <n v="504879.0"/>
        <n v="532929.0"/>
        <n v="504903.0"/>
        <n v="504908.0"/>
        <n v="532953.0"/>
        <n v="504959.0"/>
        <n v="504961.0"/>
        <n v="532977.0"/>
        <n v="504988.0"/>
        <n v="504998.0"/>
        <n v="505010.0"/>
        <n v="505032.0"/>
        <n v="505036.0"/>
        <n v="505075.0"/>
        <n v="505100.0"/>
        <n v="505160.0"/>
        <n v="505163.0"/>
        <n v="505192.0"/>
        <n v="505196.0"/>
        <n v="533023.0"/>
        <n v="505212.0"/>
        <n v="505216.0"/>
        <n v="505232.0"/>
        <n v="505242.0"/>
        <n v="505250.0"/>
        <n v="533088.0"/>
        <n v="505283.0"/>
        <n v="505285.0"/>
        <n v="505299.0"/>
        <n v="505302.0"/>
        <n v="505324.0"/>
        <n v="505336.0"/>
        <n v="526807.0"/>
        <n v="531205.0"/>
        <n v="505358.0"/>
        <n v="505368.0"/>
        <n v="543591.0"/>
        <n v="505412.0"/>
        <n v="505502.0"/>
        <n v="505504.0"/>
        <n v="533150.0"/>
        <n v="505515.0"/>
        <n v="542333.0"/>
        <n v="543996.0"/>
        <n v="505526.0"/>
        <n v="533151.0"/>
        <n v="533155.0"/>
        <n v="523445.0"/>
        <n v="505590.0"/>
        <n v="505400.0"/>
        <n v="505650.0"/>
        <n v="505681.0"/>
        <n v="505685.0"/>
        <n v="505688.0"/>
        <n v="505690.0"/>
        <n v="505693.0"/>
        <n v="533160.0"/>
        <n v="505703.0"/>
        <n v="505710.0"/>
        <n v="505712.0"/>
        <n v="533273.0"/>
        <n v="505720.0"/>
        <n v="505725.0"/>
        <n v="533274.0"/>
        <n v="505729.0"/>
        <n v="505737.0"/>
        <n v="505744.0"/>
        <n v="505750.0"/>
        <n v="533581.0"/>
        <n v="505797.0"/>
        <n v="505800.0"/>
        <n v="505807.0"/>
        <n v="505827.0"/>
        <n v="505840.0"/>
        <n v="505850.0"/>
        <n v="505854.0"/>
        <n v="505872.0"/>
        <n v="534597.0"/>
        <n v="505893.0"/>
        <n v="505978.0"/>
        <n v="506003.0"/>
        <n v="506022.0"/>
        <n v="506024.0"/>
        <n v="506042.0"/>
        <n v="539332.0"/>
        <n v="534976.0"/>
        <n v="506079.0"/>
        <n v="506105.0"/>
        <n v="506109.0"/>
        <n v="532633.0"/>
        <n v="506122.0"/>
        <n v="506128.0"/>
        <n v="506134.0"/>
        <n v="506146.0"/>
        <n v="506161.0"/>
        <n v="506162.0"/>
        <n v="506166.0"/>
        <n v="541741.0"/>
        <n v="506180.0"/>
        <n v="506184.0"/>
        <n v="506186.0"/>
        <n v="540980.0"/>
        <n v="506194.0"/>
        <n v="540717.0"/>
        <n v="506197.0"/>
        <n v="506222.0"/>
        <n v="506235.0"/>
        <n v="506248.0"/>
        <n v="506260.0"/>
        <n v="506261.0"/>
        <n v="535602.0"/>
        <n v="506365.0"/>
        <n v="506390.0"/>
        <n v="535648.0"/>
        <n v="535755.0"/>
        <n v="506405.0"/>
        <n v="506414.0"/>
        <n v="506480.0"/>
        <n v="506520.0"/>
        <n v="506525.0"/>
        <n v="506528.0"/>
        <n v="543273.0"/>
        <n v="506532.0"/>
        <n v="506543.0"/>
        <n v="506579.0"/>
        <n v="538268.0"/>
        <n v="506597.0"/>
        <n v="506605.0"/>
        <n v="506618.0"/>
        <n v="506640.0"/>
        <n v="506642.0"/>
        <n v="538730.0"/>
        <n v="506680.0"/>
        <n v="506685.0"/>
        <n v="506687.0"/>
        <n v="506690.0"/>
        <n v="506734.0"/>
        <n v="538962.0"/>
        <n v="506808.0"/>
        <n v="538979.0"/>
        <n v="506852.0"/>
        <n v="506854.0"/>
        <n v="506858.0"/>
        <n v="506879.0"/>
        <n v="538635.0"/>
        <n v="506919.0"/>
        <n v="506935.0"/>
        <n v="539876.0"/>
        <n v="506945.0"/>
        <n v="506975.0"/>
        <n v="506979.0"/>
        <n v="506981.0"/>
        <n v="507155.0"/>
        <n v="507180.0"/>
        <n v="507205.0"/>
        <n v="507265.0"/>
        <n v="507300.0"/>
        <n v="507315.0"/>
        <n v="507410.0"/>
        <n v="507438.0"/>
        <n v="507474.0"/>
        <n v="507486.0"/>
        <n v="507488.0"/>
        <n v="507490.0"/>
        <n v="507498.0"/>
        <n v="507514.0"/>
        <n v="507515.0"/>
        <n v="507526.0"/>
        <n v="532345.0"/>
        <n v="507543.0"/>
        <n v="507552.0"/>
        <n v="507580.0"/>
        <n v="507598.0"/>
        <n v="507609.0"/>
        <n v="507621.0"/>
        <n v="507645.0"/>
        <n v="507663.0"/>
        <n v="540073.0"/>
        <n v="507690.0"/>
        <n v="540153.0"/>
        <n v="507747.0"/>
        <n v="507753.0"/>
        <n v="507759.0"/>
        <n v="507779.0"/>
        <n v="507785.0"/>
        <n v="507789.0"/>
        <n v="507794.0"/>
        <n v="507808.0"/>
        <n v="507813.0"/>
        <n v="540203.0"/>
        <n v="507817.0"/>
        <n v="507828.0"/>
        <n v="507833.0"/>
        <n v="507836.0"/>
        <n v="507852.0"/>
        <n v="507864.0"/>
        <n v="507872.0"/>
        <n v="507878.0"/>
        <n v="540205.0"/>
        <n v="507910.0"/>
        <n v="507912.0"/>
        <n v="507938.0"/>
        <n v="507944.0"/>
        <n v="507946.0"/>
        <n v="507948.0"/>
        <n v="507952.0"/>
        <n v="507960.0"/>
        <n v="507962.0"/>
        <n v="507966.0"/>
        <n v="507970.0"/>
        <n v="507981.0"/>
        <n v="507987.0"/>
        <n v="507998.0"/>
        <n v="508136.0"/>
        <n v="508486.0"/>
        <n v="508494.0"/>
        <n v="508571.0"/>
        <n v="508664.0"/>
        <n v="508670.0"/>
        <n v="508807.0"/>
        <n v="508814.0"/>
        <n v="540293.0"/>
        <n v="508875.0"/>
        <n v="508905.0"/>
        <n v="508906.0"/>
        <n v="508918.0"/>
        <n v="508922.0"/>
        <n v="508933.0"/>
        <n v="508941.0"/>
        <n v="508954.0"/>
        <n v="508956.0"/>
        <n v="508961.0"/>
        <n v="508963.0"/>
        <n v="508969.0"/>
        <n v="512038.0"/>
        <n v="508989.0"/>
        <n v="508993.0"/>
        <n v="508996.0"/>
        <n v="543954.0"/>
        <n v="509009.0"/>
        <n v="509015.0"/>
        <n v="539841.0"/>
        <n v="509026.0"/>
        <n v="509038.0"/>
        <n v="509040.0"/>
        <n v="544149.0"/>
        <n v="509048.0"/>
        <n v="509051.0"/>
        <n v="509053.0"/>
        <n v="509055.0"/>
        <n v="509073.0"/>
        <n v="509079.0"/>
        <n v="543955.0"/>
        <n v="509152.0"/>
        <n v="509162.0"/>
        <n v="509196.0"/>
        <n v="520086.0"/>
        <n v="509243.0"/>
        <n v="509423.0"/>
        <n v="509438.0"/>
        <n v="509449.0"/>
        <n v="509470.0"/>
        <n v="532713.0"/>
        <n v="540376.0"/>
        <n v="509486.0"/>
        <n v="540699.0"/>
        <n v="540762.0"/>
        <n v="509525.0"/>
        <n v="509546.0"/>
        <n v="540902.0"/>
        <n v="509563.0"/>
        <n v="509567.0"/>
        <n v="509597.0"/>
        <n v="541233.0"/>
        <n v="509635.0"/>
        <n v="509650.0"/>
        <n v="509675.0"/>
        <n v="509692.0"/>
        <n v="509709.0"/>
        <n v="509715.0"/>
        <n v="509732.0"/>
        <n v="509760.0"/>
        <n v="512531.0"/>
        <n v="509820.0"/>
        <n v="509835.0"/>
        <n v="509845.0"/>
        <n v="509870.0"/>
        <n v="509874.0"/>
        <n v="509887.0"/>
        <n v="509895.0"/>
        <n v="509910.0"/>
        <n v="533704.0"/>
        <n v="541301.0"/>
        <n v="509945.0"/>
        <n v="509960.0"/>
        <n v="541578.0"/>
        <n v="510245.0"/>
        <n v="511000.0"/>
        <n v="511012.0"/>
        <n v="511016.0"/>
        <n v="542655.0"/>
        <n v="511034.0"/>
        <n v="543638.0"/>
        <n v="543284.0"/>
        <n v="511066.0"/>
        <n v="511074.0"/>
        <n v="511076.0"/>
        <n v="511092.0"/>
        <n v="511096.0"/>
        <n v="511108.0"/>
        <n v="511110.0"/>
        <n v="511116.0"/>
        <n v="511122.0"/>
        <n v="511131.0"/>
        <n v="511147.0"/>
        <n v="511153.0"/>
        <n v="511176.0"/>
        <n v="539956.0"/>
        <n v="531959.0"/>
        <n v="543732.0"/>
        <n v="542399.0"/>
        <n v="511200.0"/>
        <n v="511208.0"/>
        <n v="542484.0"/>
        <n v="542726.0"/>
        <n v="511246.0"/>
        <n v="511254.0"/>
        <n v="511260.0"/>
        <n v="511333.0"/>
        <n v="511355.0"/>
        <n v="511359.0"/>
        <n v="511377.0"/>
        <n v="511391.0"/>
        <n v="511401.0"/>
        <n v="511411.0"/>
        <n v="511413.0"/>
        <n v="511431.0"/>
        <n v="511441.0"/>
        <n v="511447.0"/>
        <n v="511451.0"/>
        <n v="511463.0"/>
        <n v="511473.0"/>
        <n v="511493.0"/>
        <n v="511501.0"/>
        <n v="511505.0"/>
        <n v="511507.0"/>
        <n v="511509.0"/>
        <n v="511523.0"/>
        <n v="511525.0"/>
        <n v="511533.0"/>
        <n v="511535.0"/>
        <n v="511543.0"/>
        <n v="511549.0"/>
        <n v="511551.0"/>
        <n v="538920.0"/>
        <n v="511559.0"/>
        <n v="542383.0"/>
        <n v="511571.0"/>
        <n v="520151.0"/>
        <n v="511589.0"/>
        <n v="511593.0"/>
        <n v="532686.0"/>
        <n v="511605.0"/>
        <n v="511609.0"/>
        <n v="511611.0"/>
        <n v="511626.0"/>
        <n v="511628.0"/>
        <n v="511630.0"/>
        <n v="511634.0"/>
        <n v="511644.0"/>
        <n v="511654.0"/>
        <n v="511658.0"/>
        <n v="511664.0"/>
        <n v="511672.0"/>
        <n v="511676.0"/>
        <n v="511688.0"/>
        <n v="511692.0"/>
        <n v="511696.0"/>
        <n v="511700.0"/>
        <n v="511702.0"/>
        <n v="511710.0"/>
        <n v="511712.0"/>
        <n v="511714.0"/>
        <n v="511724.0"/>
        <n v="511726.0"/>
        <n v="511728.0"/>
        <n v="511734.0"/>
        <n v="511738.0"/>
        <n v="511740.0"/>
        <n v="511742.0"/>
        <n v="511754.0"/>
        <n v="511756.0"/>
        <n v="511758.0"/>
        <n v="511760.0"/>
        <n v="511764.0"/>
        <n v="511766.0"/>
        <n v="511768.0"/>
        <n v="539561.0"/>
        <n v="512008.0"/>
        <n v="543910.0"/>
        <n v="512018.0"/>
        <n v="512020.0"/>
        <n v="512022.0"/>
        <n v="509220.0"/>
        <n v="500317.0"/>
        <n v="512036.0"/>
        <n v="531082.0"/>
        <n v="512047.0"/>
        <n v="512048.0"/>
        <n v="532617.0"/>
        <n v="524480.0"/>
        <n v="530299.0"/>
        <n v="536264.0"/>
        <n v="512065.0"/>
        <n v="512068.0"/>
        <n v="542830.0"/>
        <n v="512091.0"/>
        <n v="512093.0"/>
        <n v="500267.0"/>
        <n v="512099.0"/>
        <n v="512101.0"/>
        <n v="512103.0"/>
        <n v="540570.0"/>
        <n v="532759.0"/>
        <n v="543193.0"/>
        <n v="512147.0"/>
        <n v="512149.0"/>
        <n v="543713.0"/>
        <n v="542628.0"/>
        <n v="512161.0"/>
        <n v="512165.0"/>
        <n v="512175.0"/>
        <n v="543249.0"/>
        <n v="538942.0"/>
        <n v="543513.0"/>
        <n v="512217.0"/>
        <n v="512221.0"/>
        <n v="532773.0"/>
        <n v="543258.0"/>
        <n v="509020.0"/>
        <n v="512247.0"/>
        <n v="512257.0"/>
        <n v="539991.0"/>
        <n v="512267.0"/>
        <n v="542753.0"/>
        <n v="512131.0"/>
        <n v="512291.0"/>
        <n v="512296.0"/>
        <n v="512297.0"/>
        <n v="534615.0"/>
        <n v="540401.0"/>
        <n v="543272.0"/>
        <n v="543715.0"/>
        <n v="526530.0"/>
        <n v="512345.0"/>
        <n v="512367.0"/>
        <n v="532481.0"/>
        <n v="512379.0"/>
        <n v="512381.0"/>
        <n v="512393.0"/>
        <n v="512399.0"/>
        <n v="512404.0"/>
        <n v="512408.0"/>
        <n v="531556.0"/>
        <n v="541302.0"/>
        <n v="526971.0"/>
        <n v="500159.0"/>
        <n v="512437.0"/>
        <n v="543991.0"/>
        <n v="543615.0"/>
        <n v="512445.0"/>
        <n v="512453.0"/>
        <n v="543276.0"/>
        <n v="542694.0"/>
        <n v="512463.0"/>
        <n v="512477.0"/>
        <n v="512479.0"/>
        <n v="540738.0"/>
        <n v="512489.0"/>
        <n v="512493.0"/>
        <n v="512499.0"/>
        <n v="512505.0"/>
        <n v="501848.0"/>
        <n v="501343.0"/>
        <n v="512519.0"/>
        <n v="512527.0"/>
        <n v="512529.0"/>
        <n v="531842.0"/>
        <n v="512553.0"/>
        <n v="512559.0"/>
        <n v="526381.0"/>
        <n v="543278.0"/>
        <n v="512587.0"/>
        <n v="526125.0"/>
        <n v="539126.0"/>
        <n v="512595.0"/>
        <n v="512597.0"/>
        <n v="543280.0"/>
        <n v="519383.0"/>
        <n v="512604.0"/>
        <n v="512608.0"/>
        <n v="512618.0"/>
        <n v="543671.0"/>
        <n v="512626.0"/>
        <n v="512634.0"/>
        <n v="513005.0"/>
        <n v="532262.0"/>
        <n v="543287.0"/>
        <n v="513039.0"/>
        <n v="513043.0"/>
        <n v="513059.0"/>
        <n v="513063.0"/>
        <n v="513097.0"/>
        <n v="513108.0"/>
        <n v="513117.0"/>
        <n v="513121.0"/>
        <n v="513149.0"/>
        <n v="513173.0"/>
        <n v="513228.0"/>
        <n v="513250.0"/>
        <n v="513252.0"/>
        <n v="513262.0"/>
        <n v="513269.0"/>
        <n v="513303.0"/>
        <n v="513307.0"/>
        <n v="513309.0"/>
        <n v="513337.0"/>
        <n v="513349.0"/>
        <n v="513353.0"/>
        <n v="513361.0"/>
        <n v="513369.0"/>
        <n v="543300.0"/>
        <n v="506074.0"/>
        <n v="513397.0"/>
        <n v="513401.0"/>
        <n v="513403.0"/>
        <n v="513418.0"/>
        <n v="513422.0"/>
        <n v="513430.0"/>
        <n v="513436.0"/>
        <n v="513452.0"/>
        <n v="513456.0"/>
        <n v="513460.0"/>
        <n v="513472.0"/>
        <n v="513488.0"/>
        <n v="513496.0"/>
        <n v="513498.0"/>
        <n v="513502.0"/>
        <n v="513507.0"/>
        <n v="513509.0"/>
        <n v="513511.0"/>
        <n v="513513.0"/>
        <n v="513515.0"/>
        <n v="513517.0"/>
        <n v="513519.0"/>
        <n v="513528.0"/>
        <n v="513532.0"/>
        <n v="513536.0"/>
        <n v="513540.0"/>
        <n v="513548.0"/>
        <n v="513554.0"/>
        <n v="513566.0"/>
        <n v="513575.0"/>
        <n v="513579.0"/>
        <n v="543320.0"/>
        <n v="513629.0"/>
        <n v="513642.0"/>
        <n v="543325.0"/>
        <n v="513687.0"/>
        <n v="513693.0"/>
        <n v="513699.0"/>
        <n v="513709.0"/>
        <n v="513713.0"/>
        <n v="513721.0"/>
        <n v="513729.0"/>
        <n v="514010.0"/>
        <n v="514028.0"/>
        <n v="514030.0"/>
        <n v="514036.0"/>
        <n v="514043.0"/>
        <n v="514045.0"/>
        <n v="511018.0"/>
        <n v="514087.0"/>
        <n v="514113.0"/>
        <n v="514128.0"/>
        <n v="514138.0"/>
        <n v="514140.0"/>
        <n v="514142.0"/>
        <n v="543330.0"/>
        <n v="514165.0"/>
        <n v="514167.0"/>
        <n v="514171.0"/>
        <n v="514175.0"/>
        <n v="514183.0"/>
        <n v="514197.0"/>
        <n v="523116.0"/>
        <n v="514234.0"/>
        <n v="539927.0"/>
        <n v="514238.0"/>
        <n v="514240.0"/>
        <n v="514248.0"/>
        <n v="514260.0"/>
        <n v="514264.0"/>
        <n v="514266.0"/>
        <n v="514272.0"/>
        <n v="514274.0"/>
        <n v="514280.0"/>
        <n v="514286.0"/>
        <n v="514300.0"/>
        <n v="514302.0"/>
        <n v="514312.0"/>
        <n v="514316.0"/>
        <n v="514318.0"/>
        <n v="514322.0"/>
        <n v="514324.0"/>
        <n v="514326.0"/>
        <n v="514330.0"/>
        <n v="514332.0"/>
        <n v="514336.0"/>
        <n v="514348.0"/>
        <n v="514354.0"/>
        <n v="514358.0"/>
        <n v="514360.0"/>
        <n v="541152.0"/>
        <n v="514386.0"/>
        <n v="517238.0"/>
        <n v="514402.0"/>
        <n v="514412.0"/>
        <n v="514418.0"/>
        <n v="514428.0"/>
        <n v="514442.0"/>
        <n v="514448.0"/>
        <n v="514450.0"/>
        <n v="514454.0"/>
        <n v="541206.0"/>
        <n v="514470.0"/>
        <n v="515008.0"/>
        <n v="515018.0"/>
        <n v="543358.0"/>
        <n v="515037.0"/>
        <n v="515043.0"/>
        <n v="543384.0"/>
        <n v="515059.0"/>
        <n v="515085.0"/>
        <n v="515093.0"/>
        <n v="540377.0"/>
        <n v="515145.0"/>
        <n v="515147.0"/>
        <n v="516003.0"/>
        <n v="516016.0"/>
        <n v="516020.0"/>
        <n v="516022.0"/>
        <n v="516030.0"/>
        <n v="516032.0"/>
        <n v="516038.0"/>
        <n v="516064.0"/>
        <n v="516072.0"/>
        <n v="516078.0"/>
        <n v="516082.0"/>
        <n v="516092.0"/>
        <n v="516096.0"/>
        <n v="516098.0"/>
        <n v="516106.0"/>
        <n v="516108.0"/>
        <n v="516110.0"/>
        <n v="517015.0"/>
        <n v="517035.0"/>
        <n v="517041.0"/>
        <n v="531592.0"/>
        <n v="517059.0"/>
        <n v="517063.0"/>
        <n v="517096.0"/>
        <n v="517119.0"/>
        <n v="543397.0"/>
        <n v="517166.0"/>
        <n v="517168.0"/>
        <n v="517170.0"/>
        <n v="533289.0"/>
        <n v="543401.0"/>
        <n v="517201.0"/>
        <n v="517206.0"/>
        <n v="517214.0"/>
        <n v="517236.0"/>
        <n v="506530.0"/>
        <n v="517246.0"/>
        <n v="517258.0"/>
        <n v="517264.0"/>
        <n v="543426.0"/>
        <n v="517273.0"/>
        <n v="517288.0"/>
        <n v="517300.0"/>
        <n v="543427.0"/>
        <n v="517344.0"/>
        <n v="543463.0"/>
        <n v="517356.0"/>
        <n v="509472.0"/>
        <n v="517370.0"/>
        <n v="517372.0"/>
        <n v="517380.0"/>
        <n v="543482.0"/>
        <n v="517393.0"/>
        <n v="517397.0"/>
        <n v="517399.0"/>
        <n v="531977.0"/>
        <n v="517415.0"/>
        <n v="517417.0"/>
        <n v="517421.0"/>
        <n v="517423.0"/>
        <n v="517429.0"/>
        <n v="517431.0"/>
        <n v="517437.0"/>
        <n v="517447.0"/>
        <n v="517449.0"/>
        <n v="517467.0"/>
        <n v="517477.0"/>
        <n v="517494.0"/>
        <n v="517498.0"/>
        <n v="517500.0"/>
        <n v="543498.0"/>
        <n v="517514.0"/>
        <n v="517522.0"/>
        <n v="517530.0"/>
        <n v="517536.0"/>
        <n v="517544.0"/>
        <n v="517546.0"/>
        <n v="517554.0"/>
        <n v="517556.0"/>
        <n v="517562.0"/>
        <n v="543523.0"/>
        <n v="518011.0"/>
        <n v="518017.0"/>
        <n v="518075.0"/>
        <n v="518091.0"/>
        <n v="519003.0"/>
        <n v="519014.0"/>
        <n v="519031.0"/>
        <n v="519064.0"/>
        <n v="519091.0"/>
        <n v="519097.0"/>
        <n v="519105.0"/>
        <n v="543532.0"/>
        <n v="519136.0"/>
        <n v="519152.0"/>
        <n v="519156.0"/>
        <n v="519174.0"/>
        <n v="519183.0"/>
        <n v="519191.0"/>
        <n v="519214.0"/>
        <n v="519216.0"/>
        <n v="519224.0"/>
        <n v="501833.0"/>
        <n v="519234.0"/>
        <n v="519238.0"/>
        <n v="519262.0"/>
        <n v="519285.0"/>
        <n v="519287.0"/>
        <n v="519295.0"/>
        <n v="519299.0"/>
        <n v="519307.0"/>
        <n v="519331.0"/>
        <n v="519359.0"/>
        <n v="519367.0"/>
        <n v="533427.0"/>
        <n v="519397.0"/>
        <n v="533520.0"/>
        <n v="519415.0"/>
        <n v="519421.0"/>
        <n v="519439.0"/>
        <n v="519455.0"/>
        <n v="519457.0"/>
        <n v="519463.0"/>
        <n v="519471.0"/>
        <n v="519475.0"/>
        <n v="519477.0"/>
        <n v="530689.0"/>
        <n v="519494.0"/>
        <n v="519500.0"/>
        <n v="519506.0"/>
        <n v="519528.0"/>
        <n v="540786.0"/>
        <n v="543626.0"/>
        <n v="519566.0"/>
        <n v="519574.0"/>
        <n v="543669.0"/>
        <n v="519602.0"/>
        <n v="519604.0"/>
        <n v="519606.0"/>
        <n v="519612.0"/>
        <n v="520008.0"/>
        <n v="520021.0"/>
        <n v="520043.0"/>
        <n v="520051.0"/>
        <n v="543936.0"/>
        <n v="543952.0"/>
        <n v="520059.0"/>
        <n v="520066.0"/>
        <n v="520073.0"/>
        <n v="520075.0"/>
        <n v="520081.0"/>
        <n v="540006.0"/>
        <n v="543957.0"/>
        <n v="543990.0"/>
        <n v="520119.0"/>
        <n v="520121.0"/>
        <n v="533090.0"/>
        <n v="523289.0"/>
        <n v="526241.0"/>
        <n v="520141.0"/>
        <n v="539814.0"/>
        <n v="539222.0"/>
        <n v="540730.0"/>
        <n v="521005.0"/>
        <n v="521014.0"/>
        <n v="544008.0"/>
        <n v="521018.0"/>
        <n v="521034.0"/>
        <n v="521036.0"/>
        <n v="521048.0"/>
        <n v="521054.0"/>
        <n v="521062.0"/>
        <n v="544012.0"/>
        <n v="521068.0"/>
        <n v="544022.0"/>
        <n v="521080.0"/>
        <n v="521097.0"/>
        <n v="521105.0"/>
        <n v="521109.0"/>
        <n v="521113.0"/>
        <n v="521131.0"/>
        <n v="521133.0"/>
        <n v="521137.0"/>
        <n v="521141.0"/>
        <n v="521149.0"/>
        <n v="521151.0"/>
        <n v="521161.0"/>
        <n v="521163.0"/>
        <n v="521178.0"/>
        <n v="521180.0"/>
        <n v="521194.0"/>
        <n v="521200.0"/>
        <n v="521206.0"/>
        <n v="521216.0"/>
        <n v="521220.0"/>
        <n v="521222.0"/>
        <n v="521226.0"/>
        <n v="521228.0"/>
        <n v="539834.0"/>
        <n v="521234.0"/>
        <n v="521238.0"/>
        <n v="521240.0"/>
        <n v="521242.0"/>
        <n v="521244.0"/>
        <n v="521246.0"/>
        <n v="521248.0"/>
        <n v="522001.0"/>
        <n v="522004.0"/>
        <n v="522005.0"/>
        <n v="522014.0"/>
        <n v="522017.0"/>
        <n v="522027.0"/>
        <n v="522029.0"/>
        <n v="522034.0"/>
        <n v="522036.0"/>
        <n v="522064.0"/>
        <n v="522073.0"/>
        <n v="544129.0"/>
        <n v="522091.0"/>
        <n v="522101.0"/>
        <n v="522105.0"/>
        <n v="522108.0"/>
        <n v="544174.0"/>
        <n v="522122.0"/>
        <n v="522152.0"/>
        <n v="570001.0"/>
        <n v="522165.0"/>
        <n v="522171.0"/>
        <n v="522183.0"/>
        <n v="522195.0"/>
        <s v="SHRIPISTON"/>
        <n v="522207.0"/>
        <n v="522209.0"/>
        <n v="522215.0"/>
        <n v="522217.0"/>
        <n v="522229.0"/>
        <n v="522231.0"/>
        <n v="543535.0"/>
        <n v="522237.0"/>
        <n v="522241.0"/>
        <n v="522249.0"/>
        <n v="522251.0"/>
        <n v="522257.0"/>
        <n v="522261.0"/>
        <n v="522267.0"/>
        <n v="522273.0"/>
        <n v="500164.0"/>
        <n v="522281.0"/>
        <n v="522285.0"/>
        <n v="503310.0"/>
        <n v="526481.0"/>
        <n v="522292.0"/>
        <n v="522294.0"/>
        <n v="522295.0"/>
        <n v="522650.0"/>
        <n v="523007.0"/>
        <n v="523011.0"/>
        <n v="523019.0"/>
        <n v="523021.0"/>
        <n v="523023.0"/>
        <n v="523367.0"/>
        <n v="523054.0"/>
        <n v="523062.0"/>
        <n v="523100.0"/>
        <n v="523105.0"/>
        <n v="523113.0"/>
        <n v="522235.0"/>
        <n v="523120.0"/>
        <n v="523127.0"/>
        <n v="523144.0"/>
        <n v="523844.0"/>
        <n v="523160.0"/>
        <n v="523186.0"/>
        <n v="523204.0"/>
        <n v="523207.0"/>
        <n v="523222.0"/>
        <n v="523229.0"/>
        <n v="523232.0"/>
        <n v="523242.0"/>
        <n v="523248.0"/>
        <n v="523260.0"/>
        <n v="523261.0"/>
        <n v="523269.0"/>
        <n v="523277.0"/>
        <n v="523283.0"/>
        <n v="501430.0"/>
        <n v="523301.0"/>
        <n v="523309.0"/>
        <n v="523315.0"/>
        <n v="523319.0"/>
        <n v="523323.0"/>
        <n v="523329.0"/>
        <n v="523343.0"/>
        <n v="523395.0"/>
        <n v="523369.0"/>
        <n v="523371.0"/>
        <n v="523373.0"/>
        <n v="523384.0"/>
        <n v="523385.0"/>
        <n v="523391.0"/>
        <n v="500003.0"/>
        <n v="500104.0"/>
        <n v="500109.0"/>
        <n v="523411.0"/>
        <n v="523419.0"/>
        <n v="523425.0"/>
        <n v="542668.0"/>
        <n v="500110.0"/>
        <n v="523465.0"/>
        <n v="523467.0"/>
        <n v="523475.0"/>
        <n v="523483.0"/>
        <n v="523489.0"/>
        <n v="543515.0"/>
        <n v="523537.0"/>
        <n v="523539.0"/>
        <n v="523550.0"/>
        <n v="523558.0"/>
        <n v="523566.0"/>
        <n v="523574.0"/>
        <n v="523586.0"/>
        <n v="523594.0"/>
        <n v="531744.0"/>
        <n v="523606.0"/>
        <n v="500312.0"/>
        <n v="539097.0"/>
        <n v="523620.0"/>
        <n v="523628.0"/>
        <n v="500325.0"/>
        <n v="523638.0"/>
        <n v="500547.0"/>
        <n v="523648.0"/>
        <n v="531364.0"/>
        <n v="523652.0"/>
        <n v="523660.0"/>
        <n v="523672.0"/>
        <n v="523676.0"/>
        <n v="523694.0"/>
        <n v="523696.0"/>
        <n v="500870.0"/>
        <n v="523708.0"/>
        <n v="523710.0"/>
        <n v="523712.0"/>
        <n v="523716.0"/>
        <n v="523722.0"/>
        <n v="523732.0"/>
        <n v="523736.0"/>
        <n v="523752.0"/>
        <n v="523754.0"/>
        <n v="543806.0"/>
        <n v="523790.0"/>
        <n v="523792.0"/>
        <n v="523826.0"/>
        <n v="523828.0"/>
        <n v="523832.0"/>
        <n v="523836.0"/>
        <n v="523838.0"/>
        <n v="523840.0"/>
        <n v="523842.0"/>
        <n v="539041.0"/>
        <n v="523850.0"/>
        <n v="523888.0"/>
        <n v="505343.0"/>
        <n v="504918.0"/>
        <n v="524013.0"/>
        <n v="524019.0"/>
        <n v="524031.0"/>
        <n v="524037.0"/>
        <n v="524038.0"/>
        <n v="524046.0"/>
        <n v="524051.0"/>
        <n v="524075.0"/>
        <n v="524080.0"/>
        <n v="524091.0"/>
        <n v="524109.0"/>
        <n v="524129.0"/>
        <n v="524136.0"/>
        <n v="524156.0"/>
        <n v="524164.0"/>
        <n v="524174.0"/>
        <n v="530965.0"/>
        <n v="524202.0"/>
        <n v="524204.0"/>
        <n v="532155.0"/>
        <n v="524210.0"/>
        <n v="524212.0"/>
        <n v="524218.0"/>
        <n v="532514.0"/>
        <n v="532522.0"/>
        <n v="524280.0"/>
        <n v="524288.0"/>
        <n v="524314.0"/>
        <n v="524324.0"/>
        <n v="524330.0"/>
        <n v="524332.0"/>
        <n v="524336.0"/>
        <n v="524342.0"/>
        <n v="524348.0"/>
        <n v="524370.0"/>
        <n v="532702.0"/>
        <n v="524394.0"/>
        <n v="524396.0"/>
        <n v="524400.0"/>
        <n v="533106.0"/>
        <n v="524408.0"/>
        <n v="524412.0"/>
        <n v="501370.0"/>
        <n v="524434.0"/>
        <n v="524440.0"/>
        <n v="524444.0"/>
        <n v="524458.0"/>
        <n v="524470.0"/>
        <n v="543410.0"/>
        <n v="543420.0"/>
        <n v="533278.0"/>
        <n v="524500.0"/>
        <n v="524502.0"/>
        <n v="524488.0"/>
        <n v="524506.0"/>
        <n v="524514.0"/>
        <n v="524516.0"/>
        <n v="524518.0"/>
        <n v="524520.0"/>
        <n v="524522.0"/>
        <n v="524534.0"/>
        <n v="524542.0"/>
        <n v="524546.0"/>
        <n v="524548.0"/>
        <n v="538567.0"/>
        <n v="524564.0"/>
        <n v="524570.0"/>
        <n v="524572.0"/>
        <n v="524576.0"/>
        <n v="520123.0"/>
        <n v="524582.0"/>
        <n v="540144.0"/>
        <n v="524592.0"/>
        <n v="524594.0"/>
        <n v="524598.0"/>
        <n v="524602.0"/>
        <n v="524604.0"/>
        <n v="524606.0"/>
        <n v="524614.0"/>
        <n v="524622.0"/>
        <n v="524624.0"/>
        <n v="503641.0"/>
        <n v="524632.0"/>
        <n v="524634.0"/>
        <n v="524636.0"/>
        <n v="524640.0"/>
        <n v="524642.0"/>
        <n v="524648.0"/>
        <n v="524652.0"/>
        <n v="524654.0"/>
        <n v="524661.0"/>
        <n v="524663.0"/>
        <n v="524667.0"/>
        <n v="524669.0"/>
        <n v="532154.0"/>
        <n v="524687.0"/>
        <n v="524703.0"/>
        <n v="524709.0"/>
        <n v="524711.0"/>
        <n v="539336.0"/>
        <n v="524717.0"/>
        <n v="541702.0"/>
        <n v="524727.0"/>
        <n v="524731.0"/>
        <n v="524735.0"/>
        <n v="539957.0"/>
        <n v="524743.0"/>
        <n v="524748.0"/>
        <n v="524752.0"/>
        <n v="524768.0"/>
        <n v="524774.0"/>
        <n v="524790.0"/>
        <n v="542066.0"/>
        <n v="524808.0"/>
        <n v="500032.0"/>
        <n v="524818.0"/>
        <n v="524820.0"/>
        <n v="524824.0"/>
        <n v="524828.0"/>
        <n v="526001.0"/>
        <n v="526025.0"/>
        <n v="526027.0"/>
        <n v="526043.0"/>
        <n v="526071.0"/>
        <n v="526073.0"/>
        <n v="526081.0"/>
        <n v="526095.0"/>
        <n v="526113.0"/>
        <n v="526115.0"/>
        <n v="526117.0"/>
        <n v="512115.0"/>
        <n v="526133.0"/>
        <n v="526137.0"/>
        <n v="526139.0"/>
        <n v="526143.0"/>
        <n v="526159.0"/>
        <n v="526161.0"/>
        <n v="526169.0"/>
        <n v="526173.0"/>
        <n v="526179.0"/>
        <n v="526187.0"/>
        <n v="526193.0"/>
        <n v="526211.0"/>
        <n v="526217.0"/>
        <n v="526225.0"/>
        <n v="526227.0"/>
        <n v="526231.0"/>
        <n v="526237.0"/>
        <n v="501314.0"/>
        <n v="526247.0"/>
        <n v="526251.0"/>
        <n v="526263.0"/>
        <n v="526269.0"/>
        <n v="500038.0"/>
        <n v="526301.0"/>
        <n v="526315.0"/>
        <n v="526325.0"/>
        <n v="526335.0"/>
        <n v="526345.0"/>
        <n v="526349.0"/>
        <n v="526355.0"/>
        <n v="526365.0"/>
        <n v="500096.0"/>
        <n v="500163.0"/>
        <n v="526373.0"/>
        <n v="520127.0"/>
        <n v="526397.0"/>
        <n v="526407.0"/>
        <n v="526409.0"/>
        <n v="526415.0"/>
        <n v="526423.0"/>
        <n v="526433.0"/>
        <n v="526435.0"/>
        <n v="530909.0"/>
        <n v="526441.0"/>
        <n v="526443.0"/>
        <n v="526445.0"/>
        <n v="526468.0"/>
        <n v="526471.0"/>
        <n v="526473.0"/>
        <n v="526479.0"/>
        <n v="504380.0"/>
        <n v="526488.0"/>
        <n v="526490.0"/>
        <n v="526492.0"/>
        <n v="526494.0"/>
        <n v="526500.0"/>
        <n v="526506.0"/>
        <n v="531297.0"/>
        <n v="526519.0"/>
        <n v="526521.0"/>
        <n v="500370.0"/>
        <n v="531780.0"/>
        <n v="526532.0"/>
        <n v="526544.0"/>
        <n v="526546.0"/>
        <n v="526550.0"/>
        <n v="526568.0"/>
        <n v="526570.0"/>
        <n v="511194.0"/>
        <n v="526576.0"/>
        <n v="526582.0"/>
        <n v="526586.0"/>
        <n v="526588.0"/>
        <n v="526596.0"/>
        <n v="526604.0"/>
        <n v="526608.0"/>
        <n v="533896.0"/>
        <n v="526614.0"/>
        <n v="526616.0"/>
        <n v="538875.0"/>
        <n v="526638.0"/>
        <n v="526640.0"/>
        <n v="526642.0"/>
        <n v="526650.0"/>
        <n v="526654.0"/>
        <n v="526662.0"/>
        <n v="526666.0"/>
        <n v="526668.0"/>
        <n v="531067.0"/>
        <n v="526677.0"/>
        <n v="526687.0"/>
        <n v="526703.0"/>
        <n v="526705.0"/>
        <n v="526709.0"/>
        <n v="526711.0"/>
        <n v="526717.0"/>
        <n v="526721.0"/>
        <n v="526723.0"/>
        <n v="526725.0"/>
        <n v="526727.0"/>
        <n v="526729.0"/>
        <n v="526731.0"/>
        <n v="526739.0"/>
        <n v="526747.0"/>
        <n v="526751.0"/>
        <n v="526755.0"/>
        <n v="526761.0"/>
        <n v="526773.0"/>
        <n v="526775.0"/>
        <n v="526783.0"/>
        <n v="505523.0"/>
        <n v="526797.0"/>
        <n v="531931.0"/>
        <n v="526813.0"/>
        <n v="526817.0"/>
        <n v="526821.0"/>
        <n v="526823.0"/>
        <n v="526827.0"/>
        <n v="526829.0"/>
        <n v="526839.0"/>
        <n v="526841.0"/>
        <n v="526847.0"/>
        <n v="526849.0"/>
        <n v="526851.0"/>
        <n v="526853.0"/>
        <n v="526859.0"/>
        <n v="526861.0"/>
        <n v="543625.0"/>
        <n v="526869.0"/>
        <n v="526871.0"/>
        <n v="526873.0"/>
        <n v="539526.0"/>
        <n v="526881.0"/>
        <n v="526885.0"/>
        <n v="526891.0"/>
        <n v="526899.0"/>
        <n v="526901.0"/>
        <n v="526905.0"/>
        <n v="526921.0"/>
        <n v="526931.0"/>
        <n v="526935.0"/>
        <n v="526945.0"/>
        <n v="526947.0"/>
        <n v="526951.0"/>
        <n v="526953.0"/>
        <n v="526959.0"/>
        <n v="526961.0"/>
        <n v="526965.0"/>
        <n v="526967.0"/>
        <n v="530309.0"/>
        <n v="526977.0"/>
        <n v="526981.0"/>
        <n v="526983.0"/>
        <n v="526987.0"/>
        <n v="527001.0"/>
        <n v="527005.0"/>
        <n v="500368.0"/>
        <n v="500459.0"/>
        <n v="500696.0"/>
        <n v="530011.0"/>
        <n v="530017.0"/>
        <n v="500790.0"/>
        <n v="530023.0"/>
        <n v="533602.0"/>
        <n v="530027.0"/>
        <n v="530035.0"/>
        <n v="530037.0"/>
        <n v="530043.0"/>
        <n v="530045.0"/>
        <n v="530053.0"/>
        <n v="531893.0"/>
        <n v="530057.0"/>
        <n v="530063.0"/>
        <n v="530065.0"/>
        <n v="530067.0"/>
        <n v="530073.0"/>
        <n v="530075.0"/>
        <n v="530077.0"/>
        <n v="530079.0"/>
        <n v="530095.0"/>
        <n v="530109.0"/>
        <n v="530111.0"/>
        <n v="500800.0"/>
        <n v="530119.0"/>
        <n v="530125.0"/>
        <n v="530127.0"/>
        <n v="530129.0"/>
        <n v="530131.0"/>
        <n v="530133.0"/>
        <n v="530135.0"/>
        <n v="530139.0"/>
        <n v="530141.0"/>
        <n v="530145.0"/>
        <n v="520155.0"/>
        <n v="530163.0"/>
        <n v="530167.0"/>
        <n v="530169.0"/>
        <n v="530171.0"/>
        <n v="530173.0"/>
        <n v="530175.0"/>
        <n v="530185.0"/>
        <n v="530187.0"/>
        <n v="530197.0"/>
        <n v="530199.0"/>
        <n v="530201.0"/>
        <n v="530207.0"/>
        <n v="524675.0"/>
        <n v="530215.0"/>
        <n v="530231.0"/>
        <n v="530233.0"/>
        <n v="530235.0"/>
        <n v="530239.0"/>
        <n v="530245.0"/>
        <n v="530249.0"/>
        <n v="539012.0"/>
        <n v="530253.0"/>
        <n v="530255.0"/>
        <n v="543372.0"/>
        <n v="530263.0"/>
        <n v="530265.0"/>
        <n v="530267.0"/>
        <n v="530281.0"/>
        <n v="531178.0"/>
        <n v="530291.0"/>
        <n v="504369.0"/>
        <n v="500825.0"/>
        <n v="530307.0"/>
        <n v="504810.0"/>
        <n v="530313.0"/>
        <n v="530315.0"/>
        <n v="530317.0"/>
        <n v="530331.0"/>
        <n v="530341.0"/>
        <n v="500830.0"/>
        <n v="530355.0"/>
        <n v="530357.0"/>
        <n v="530361.0"/>
        <n v="530363.0"/>
        <n v="530365.0"/>
        <n v="530367.0"/>
        <n v="530369.0"/>
        <n v="530377.0"/>
        <n v="530393.0"/>
        <n v="530401.0"/>
        <n v="530405.0"/>
        <n v="530407.0"/>
        <n v="530419.0"/>
        <n v="530421.0"/>
        <n v="530427.0"/>
        <n v="530429.0"/>
        <n v="530431.0"/>
        <n v="530433.0"/>
        <n v="530439.0"/>
        <n v="530443.0"/>
        <n v="543461.0"/>
        <n v="530449.0"/>
        <n v="530457.0"/>
        <n v="530459.0"/>
        <n v="530461.0"/>
        <n v="530469.0"/>
        <n v="530475.0"/>
        <n v="530477.0"/>
        <n v="533296.0"/>
        <n v="530499.0"/>
        <n v="500875.0"/>
        <n v="530521.0"/>
        <n v="530525.0"/>
        <n v="530533.0"/>
        <n v="530537.0"/>
        <n v="530545.0"/>
        <n v="530547.0"/>
        <n v="501425.0"/>
        <n v="530555.0"/>
        <n v="530557.0"/>
        <n v="530565.0"/>
        <n v="539546.0"/>
        <n v="530577.0"/>
        <n v="530579.0"/>
        <n v="540843.0"/>
        <n v="530585.0"/>
        <n v="530589.0"/>
        <n v="530595.0"/>
        <n v="530601.0"/>
        <n v="530615.0"/>
        <n v="530617.0"/>
        <n v="530621.0"/>
        <n v="530627.0"/>
        <n v="530643.0"/>
        <n v="530655.0"/>
        <n v="530663.0"/>
        <n v="530665.0"/>
        <n v="530675.0"/>
        <n v="530677.0"/>
        <n v="531737.0"/>
        <n v="530695.0"/>
        <n v="514060.0"/>
        <n v="530699.0"/>
        <n v="530705.0"/>
        <n v="530709.0"/>
        <n v="530711.0"/>
        <n v="530713.0"/>
        <n v="530715.0"/>
        <n v="530723.0"/>
        <n v="530733.0"/>
        <n v="530735.0"/>
        <n v="530741.0"/>
        <n v="530747.0"/>
        <n v="530755.0"/>
        <n v="530759.0"/>
        <n v="530765.0"/>
        <n v="530779.0"/>
        <n v="530787.0"/>
        <n v="530789.0"/>
        <n v="530795.0"/>
        <n v="543754.0"/>
        <n v="530799.0"/>
        <n v="530803.0"/>
        <n v="543621.0"/>
        <n v="519532.0"/>
        <n v="507815.0"/>
        <n v="530821.0"/>
        <n v="530825.0"/>
        <n v="530829.0"/>
        <n v="530839.0"/>
        <n v="530843.0"/>
        <n v="530845.0"/>
        <n v="530853.0"/>
        <n v="530855.0"/>
        <n v="530871.0"/>
        <n v="530879.0"/>
        <n v="530881.0"/>
        <n v="530883.0"/>
        <n v="530897.0"/>
        <n v="530899.0"/>
        <n v="512485.0"/>
        <n v="530213.0"/>
        <n v="526622.0"/>
        <n v="530919.0"/>
        <n v="530925.0"/>
        <n v="530927.0"/>
        <n v="540361.0"/>
        <n v="530931.0"/>
        <n v="530943.0"/>
        <n v="530951.0"/>
        <n v="530953.0"/>
        <n v="530959.0"/>
        <n v="530961.0"/>
        <n v="509966.0"/>
        <n v="530973.0"/>
        <n v="530977.0"/>
        <n v="530979.0"/>
        <n v="530991.0"/>
        <n v="530997.0"/>
        <n v="512573.0"/>
        <n v="531003.0"/>
        <n v="501261.0"/>
        <n v="531025.0"/>
        <n v="531027.0"/>
        <n v="531035.0"/>
        <n v="531041.0"/>
        <n v="531043.0"/>
        <n v="531049.0"/>
        <n v="531051.0"/>
        <n v="531065.0"/>
        <n v="521232.0"/>
        <n v="531069.0"/>
        <n v="531080.0"/>
        <n v="541983.0"/>
        <n v="531083.0"/>
        <n v="531091.0"/>
        <n v="531092.0"/>
        <n v="531099.0"/>
        <n v="531109.0"/>
        <n v="531111.0"/>
        <n v="531112.0"/>
        <n v="531119.0"/>
        <n v="519126.0"/>
        <n v="531129.0"/>
        <n v="538496.0"/>
        <n v="531144.0"/>
        <n v="531146.0"/>
        <n v="531147.0"/>
        <n v="531153.0"/>
        <n v="531155.0"/>
        <n v="531156.0"/>
        <n v="531157.0"/>
        <n v="541196.0"/>
        <n v="531161.0"/>
        <n v="519552.0"/>
        <n v="531163.0"/>
        <n v="531168.0"/>
        <n v="531169.0"/>
        <n v="531173.0"/>
        <n v="531175.0"/>
        <n v="531176.0"/>
        <n v="540811.0"/>
        <n v="531179.0"/>
        <n v="531199.0"/>
        <n v="531201.0"/>
        <n v="530697.0"/>
        <n v="544156.0"/>
        <n v="531209.0"/>
        <n v="531210.0"/>
        <n v="531212.0"/>
        <n v="519600.0"/>
        <n v="531215.0"/>
        <n v="531216.0"/>
        <n v="531219.0"/>
        <n v="531221.0"/>
        <n v="531223.0"/>
        <n v="531225.0"/>
        <n v="531227.0"/>
        <n v="531228.0"/>
        <n v="531233.0"/>
        <n v="531234.0"/>
        <n v="531235.0"/>
        <n v="531237.0"/>
        <n v="540809.0"/>
        <n v="531241.0"/>
        <n v="531246.0"/>
        <n v="531253.0"/>
        <n v="531254.0"/>
        <n v="531255.0"/>
        <n v="531257.0"/>
        <n v="531259.0"/>
        <n v="531260.0"/>
        <n v="531266.0"/>
        <n v="531268.0"/>
        <n v="531272.0"/>
        <n v="531273.0"/>
        <n v="531278.0"/>
        <n v="531279.0"/>
        <n v="531280.0"/>
        <n v="531281.0"/>
        <n v="531283.0"/>
        <n v="531287.0"/>
        <n v="531288.0"/>
        <n v="531289.0"/>
        <n v="519483.0"/>
        <n v="531300.0"/>
        <n v="531304.0"/>
        <n v="531306.0"/>
        <n v="531307.0"/>
        <n v="531310.0"/>
        <n v="531314.0"/>
        <n v="531322.0"/>
        <n v="531323.0"/>
        <n v="531324.0"/>
        <n v="531328.0"/>
        <n v="542145.0"/>
        <n v="524226.0"/>
        <n v="531337.0"/>
        <n v="531338.0"/>
        <n v="531340.0"/>
        <n v="531341.0"/>
        <n v="526508.0"/>
        <n v="531346.0"/>
        <n v="531349.0"/>
        <n v="531352.0"/>
        <n v="531357.0"/>
        <n v="530305.0"/>
        <n v="531359.0"/>
        <n v="517360.0"/>
        <n v="538568.0"/>
        <n v="531370.0"/>
        <n v="531373.0"/>
        <n v="531380.0"/>
        <n v="531381.0"/>
        <n v="531387.0"/>
        <n v="531390.0"/>
        <n v="531395.0"/>
        <n v="531396.0"/>
        <n v="531397.0"/>
        <n v="531398.0"/>
        <n v="531399.0"/>
        <n v="531400.0"/>
        <n v="543618.0"/>
        <n v="531406.0"/>
        <n v="531411.0"/>
        <n v="531412.0"/>
        <n v="531413.0"/>
        <n v="531416.0"/>
        <n v="531417.0"/>
        <n v="531426.0"/>
        <n v="530813.0"/>
        <n v="531432.0"/>
        <n v="531433.0"/>
        <n v="531436.0"/>
        <n v="531437.0"/>
        <n v="531439.0"/>
        <n v="531444.0"/>
        <n v="531449.0"/>
        <n v="531453.0"/>
        <n v="531454.0"/>
        <n v="531456.0"/>
        <n v="531460.0"/>
        <n v="511601.0"/>
        <n v="531471.0"/>
        <n v="531472.0"/>
        <n v="531489.0"/>
        <n v="531494.0"/>
        <n v="531497.0"/>
        <n v="531499.0"/>
        <n v="531162.0"/>
        <n v="511557.0"/>
        <n v="531503.0"/>
        <n v="531505.0"/>
        <n v="544011.0"/>
        <n v="531508.0"/>
        <n v="531509.0"/>
        <n v="531512.0"/>
        <n v="539116.0"/>
        <n v="531518.0"/>
        <n v="531521.0"/>
        <n v="531525.0"/>
        <n v="531529.0"/>
        <n v="531335.0"/>
        <n v="531533.0"/>
        <n v="531930.0"/>
        <n v="531539.0"/>
        <n v="531540.0"/>
        <n v="531541.0"/>
        <n v="531531.0"/>
        <n v="531548.0"/>
        <n v="531550.0"/>
        <n v="531552.0"/>
        <n v="530809.0"/>
        <n v="541444.0"/>
        <n v="531568.0"/>
        <n v="531569.0"/>
        <n v="531574.0"/>
        <n v="531578.0"/>
        <n v="531582.0"/>
        <n v="531583.0"/>
        <n v="540613.0"/>
        <n v="531591.0"/>
        <n v="539409.0"/>
        <n v="531594.0"/>
        <n v="531642.0"/>
        <n v="532356.0"/>
        <n v="531600.0"/>
        <n v="531608.0"/>
        <n v="531609.0"/>
        <n v="531624.0"/>
        <n v="531626.0"/>
        <n v="531628.0"/>
        <n v="531633.0"/>
        <n v="531637.0"/>
        <n v="531638.0"/>
        <n v="531640.0"/>
        <n v="532424.0"/>
        <n v="531644.0"/>
        <n v="531647.0"/>
        <n v="531651.0"/>
        <n v="531652.0"/>
        <n v="531661.0"/>
        <n v="531667.0"/>
        <n v="531668.0"/>
        <n v="531671.0"/>
        <n v="531672.0"/>
        <n v="531673.0"/>
        <n v="531681.0"/>
        <n v="531688.0"/>
        <n v="531692.0"/>
        <n v="531694.0"/>
        <n v="504378.0"/>
        <n v="531716.0"/>
        <n v="531717.0"/>
        <n v="531719.0"/>
        <n v="531723.0"/>
        <n v="531726.0"/>
        <n v="531727.0"/>
        <n v="531735.0"/>
        <n v="532042.0"/>
        <n v="531739.0"/>
        <n v="540903.0"/>
        <n v="523782.0"/>
        <n v="531746.0"/>
        <n v="531752.0"/>
        <n v="531758.0"/>
        <n v="531761.0"/>
        <n v="531762.0"/>
        <n v="532432.0"/>
        <n v="531771.0"/>
        <n v="531778.0"/>
        <n v="531779.0"/>
        <n v="530025.0"/>
        <n v="531784.0"/>
        <n v="531795.0"/>
        <n v="531797.0"/>
        <n v="531802.0"/>
        <n v="531810.0"/>
        <n v="531812.0"/>
        <n v="531813.0"/>
        <n v="531814.0"/>
        <n v="531821.0"/>
        <n v="531822.0"/>
        <n v="531832.0"/>
        <n v="531834.0"/>
        <n v="531840.0"/>
        <n v="531841.0"/>
        <n v="531360.0"/>
        <n v="531845.0"/>
        <n v="531846.0"/>
        <n v="531847.0"/>
        <n v="531859.0"/>
        <n v="531861.0"/>
        <n v="531862.0"/>
        <n v="531867.0"/>
        <n v="531869.0"/>
        <n v="531870.0"/>
        <n v="531878.0"/>
        <n v="501477.0"/>
        <n v="531887.0"/>
        <n v="531888.0"/>
        <n v="531889.0"/>
        <n v="531892.0"/>
        <n v="542667.0"/>
        <n v="531900.0"/>
        <n v="531902.0"/>
        <n v="531909.0"/>
        <n v="531910.0"/>
        <n v="531911.0"/>
        <n v="531913.0"/>
        <n v="530805.0"/>
        <n v="531921.0"/>
        <n v="531923.0"/>
        <n v="531925.0"/>
        <n v="531929.0"/>
        <n v="531743.0"/>
        <n v="512097.0"/>
        <n v="531936.0"/>
        <n v="531944.0"/>
        <n v="531946.0"/>
        <n v="531950.0"/>
        <n v="531952.0"/>
        <n v="517411.0"/>
        <n v="531960.0"/>
        <n v="531962.0"/>
        <n v="531968.0"/>
        <n v="531971.0"/>
        <n v="531158.0"/>
        <n v="531978.0"/>
        <n v="531979.0"/>
        <n v="531980.0"/>
        <n v="531982.0"/>
        <n v="531991.0"/>
        <n v="531996.0"/>
        <n v="531997.0"/>
        <n v="532001.0"/>
        <n v="532005.0"/>
        <n v="512565.0"/>
        <n v="532011.0"/>
        <n v="532015.0"/>
        <n v="532016.0"/>
        <n v="532019.0"/>
        <n v="532022.0"/>
        <n v="532024.0"/>
        <n v="532029.0"/>
        <n v="532035.0"/>
        <n v="532039.0"/>
        <n v="532041.0"/>
        <n v="526675.0"/>
        <n v="532051.0"/>
        <n v="532053.0"/>
        <n v="532054.0"/>
        <n v="532056.0"/>
        <n v="532057.0"/>
        <n v="532067.0"/>
        <n v="532070.0"/>
        <n v="532078.0"/>
        <n v="512441.0"/>
        <n v="532090.0"/>
        <n v="532092.0"/>
        <n v="532100.0"/>
        <n v="532102.0"/>
        <n v="532113.0"/>
        <n v="532123.0"/>
        <n v="532124.0"/>
        <n v="532478.0"/>
        <n v="532138.0"/>
        <n v="532140.0"/>
        <n v="532141.0"/>
        <n v="532143.0"/>
        <n v="532497.0"/>
        <n v="532145.0"/>
        <n v="532670.0"/>
        <n v="532150.0"/>
        <n v="532911.0"/>
        <n v="532783.0"/>
        <n v="532926.0"/>
        <n v="532159.0"/>
        <n v="532160.0"/>
        <n v="540180.0"/>
        <n v="540743.0"/>
        <n v="532164.0"/>
        <n v="532167.0"/>
        <n v="532172.0"/>
        <n v="532173.0"/>
        <n v="543253.0"/>
        <n v="543306.0"/>
        <n v="543458.0"/>
        <n v="532180.0"/>
        <n v="543653.0"/>
        <n v="532183.0"/>
        <n v="544014.0"/>
        <n v="544045.0"/>
        <n v="500034.0"/>
        <n v="500092.0"/>
        <n v="532212.0"/>
        <n v="500106.0"/>
        <n v="532216.0"/>
        <n v="532217.0"/>
        <n v="500112.0"/>
        <n v="532219.0"/>
        <n v="500116.0"/>
        <n v="532230.0"/>
        <n v="500180.0"/>
        <n v="532240.0"/>
        <n v="532256.0"/>
        <n v="500247.0"/>
        <n v="523650.0"/>
        <n v="532268.0"/>
        <n v="532271.0"/>
        <n v="500253.0"/>
        <n v="532284.0"/>
        <n v="532285.0"/>
        <n v="500266.0"/>
        <n v="532290.0"/>
        <n v="500271.0"/>
        <n v="500302.0"/>
        <n v="532303.0"/>
        <n v="532304.0"/>
        <n v="532305.0"/>
        <n v="532309.0"/>
        <n v="532310.0"/>
        <n v="500469.0"/>
        <n v="532315.0"/>
        <n v="532320.0"/>
        <n v="500490.0"/>
        <n v="532323.0"/>
        <n v="532324.0"/>
        <n v="532326.0"/>
        <n v="532329.0"/>
        <n v="501301.0"/>
        <n v="532333.0"/>
        <n v="532334.0"/>
        <n v="532335.0"/>
        <n v="532339.0"/>
        <n v="532340.0"/>
        <n v="532341.0"/>
        <n v="504973.0"/>
        <n v="532344.0"/>
        <n v="544056.0"/>
        <n v="532348.0"/>
        <n v="538351.0"/>
        <n v="532350.0"/>
        <n v="532351.0"/>
        <n v="532354.0"/>
        <n v="532355.0"/>
        <n v="511196.0"/>
        <n v="532357.0"/>
        <n v="532362.0"/>
        <n v="532365.0"/>
        <n v="532366.0"/>
        <n v="532369.0"/>
        <n v="532370.0"/>
        <n v="511218.0"/>
        <n v="532372.0"/>
        <n v="532373.0"/>
        <n v="511243.0"/>
        <n v="520056.0"/>
        <n v="532376.0"/>
        <n v="532378.0"/>
        <n v="532379.0"/>
        <n v="532380.0"/>
        <n v="532382.0"/>
        <n v="532384.0"/>
        <n v="532386.0"/>
        <n v="532387.0"/>
        <n v="523405.0"/>
        <n v="532390.0"/>
        <n v="532392.0"/>
        <n v="532395.0"/>
        <n v="532397.0"/>
        <n v="532398.0"/>
        <n v="524000.0"/>
        <n v="532402.0"/>
        <n v="532404.0"/>
        <n v="532406.0"/>
        <n v="531213.0"/>
        <n v="532408.0"/>
        <n v="532410.0"/>
        <n v="532413.0"/>
        <n v="532416.0"/>
        <n v="532419.0"/>
        <n v="531358.0"/>
        <n v="532425.0"/>
        <n v="531553.0"/>
        <n v="531595.0"/>
        <n v="532435.0"/>
        <n v="532134.0"/>
        <n v="532440.0"/>
        <n v="532149.0"/>
        <n v="532444.0"/>
        <n v="532174.0"/>
        <n v="532455.0"/>
        <n v="532457.0"/>
        <n v="532460.0"/>
        <n v="532187.0"/>
        <n v="532209.0"/>
        <n v="532467.0"/>
        <n v="532210.0"/>
        <n v="532475.0"/>
        <n v="532215.0"/>
        <n v="532218.0"/>
        <n v="532479.0"/>
        <n v="540798.0"/>
        <n v="532388.0"/>
        <n v="532461.0"/>
        <n v="532485.0"/>
        <n v="532486.0"/>
        <n v="532468.0"/>
        <n v="532477.0"/>
        <n v="532483.0"/>
        <n v="532505.0"/>
        <n v="532503.0"/>
        <n v="532525.0"/>
        <n v="532636.0"/>
        <n v="532507.0"/>
        <n v="532642.0"/>
        <n v="532648.0"/>
        <n v="532513.0"/>
        <n v="532652.0"/>
        <n v="532515.0"/>
        <n v="532521.0"/>
        <n v="532659.0"/>
        <n v="532720.0"/>
        <n v="532810.0"/>
        <n v="532814.0"/>
        <n v="532835.0"/>
        <n v="532528.0"/>
        <n v="532529.0"/>
        <n v="532885.0"/>
        <n v="532532.0"/>
        <n v="532892.0"/>
        <n v="532900.0"/>
        <n v="532915.0"/>
        <n v="532922.0"/>
        <n v="532543.0"/>
        <n v="532955.0"/>
        <n v="532978.0"/>
        <n v="533095.0"/>
        <n v="532604.0"/>
        <n v="533295.0"/>
        <n v="532610.0"/>
        <n v="532612.0"/>
        <n v="532613.0"/>
        <n v="532614.0"/>
        <n v="532616.0"/>
        <n v="538569.0"/>
        <n v="532624.0"/>
        <n v="532626.0"/>
        <n v="533398.0"/>
        <n v="532628.0"/>
        <n v="532629.0"/>
        <n v="533519.0"/>
        <n v="530445.0"/>
        <n v="534091.0"/>
        <n v="532637.0"/>
        <n v="535789.0"/>
        <n v="532640.0"/>
        <n v="532641.0"/>
        <n v="539177.0"/>
        <n v="539437.0"/>
        <n v="531502.0"/>
        <n v="539807.0"/>
        <n v="532649.0"/>
        <n v="532650.0"/>
        <n v="532651.0"/>
        <n v="539883.0"/>
        <n v="532654.0"/>
        <n v="532656.0"/>
        <n v="540065.0"/>
        <n v="532661.0"/>
        <n v="532662.0"/>
        <n v="532663.0"/>
        <n v="532666.0"/>
        <n v="540133.0"/>
        <n v="540173.0"/>
        <n v="540530.0"/>
        <n v="532673.0"/>
        <n v="532674.0"/>
        <n v="532676.0"/>
        <n v="540611.0"/>
        <n v="532684.0"/>
        <n v="531137.0"/>
        <n v="532687.0"/>
        <n v="540691.0"/>
        <n v="532694.0"/>
        <n v="532695.0"/>
        <n v="532698.0"/>
        <n v="532699.0"/>
        <n v="532700.0"/>
        <n v="532701.0"/>
        <n v="540716.0"/>
        <n v="532705.0"/>
        <n v="532707.0"/>
        <n v="532708.0"/>
        <n v="532710.0"/>
        <n v="542025.0"/>
        <n v="540719.0"/>
        <n v="532716.0"/>
        <n v="532717.0"/>
        <n v="532719.0"/>
        <n v="540725.0"/>
        <n v="532721.0"/>
        <n v="532722.0"/>
        <n v="532723.0"/>
        <n v="540749.0"/>
        <n v="540750.0"/>
        <n v="532728.0"/>
        <n v="532729.0"/>
        <n v="532730.0"/>
        <n v="532732.0"/>
        <n v="540755.0"/>
        <n v="540767.0"/>
        <n v="540769.0"/>
        <n v="532737.0"/>
        <n v="532738.0"/>
        <n v="532740.0"/>
        <n v="532741.0"/>
        <n v="532742.0"/>
        <n v="532744.0"/>
        <n v="532745.0"/>
        <n v="532748.0"/>
        <n v="520131.0"/>
        <n v="540914.0"/>
        <n v="540777.0"/>
        <n v="541153.0"/>
        <n v="541179.0"/>
        <n v="509084.0"/>
        <n v="532760.0"/>
        <n v="532761.0"/>
        <n v="541729.0"/>
        <n v="532764.0"/>
        <n v="532766.0"/>
        <n v="532768.0"/>
        <n v="532771.0"/>
        <n v="532772.0"/>
        <n v="523519.0"/>
        <n v="532774.0"/>
        <n v="532775.0"/>
        <n v="532776.0"/>
        <n v="541770.0"/>
        <n v="541988.0"/>
        <n v="532780.0"/>
        <n v="532782.0"/>
        <n v="542759.0"/>
        <n v="542773.0"/>
        <n v="532785.0"/>
        <n v="542867.0"/>
        <n v="532794.0"/>
        <n v="532795.0"/>
        <n v="532796.0"/>
        <n v="532797.0"/>
        <n v="542904.0"/>
        <n v="532799.0"/>
        <n v="543066.0"/>
        <n v="532801.0"/>
        <n v="543232.0"/>
        <n v="530251.0"/>
        <n v="532806.0"/>
        <n v="532807.0"/>
        <n v="532808.0"/>
        <n v="538579.0"/>
        <n v="543235.0"/>
        <n v="543238.0"/>
        <n v="532812.0"/>
        <n v="543243.0"/>
        <n v="532815.0"/>
        <n v="532817.0"/>
        <n v="532820.0"/>
        <n v="543257.0"/>
        <n v="532825.0"/>
        <n v="532826.0"/>
        <n v="543259.0"/>
        <n v="532828.0"/>
        <n v="532829.0"/>
        <n v="543335.0"/>
        <n v="543374.0"/>
        <n v="532834.0"/>
        <n v="543390.0"/>
        <n v="532839.0"/>
        <n v="532841.0"/>
        <n v="532842.0"/>
        <n v="543396.0"/>
        <n v="532845.0"/>
        <n v="532847.0"/>
        <n v="532848.0"/>
        <n v="532850.0"/>
        <n v="532851.0"/>
        <n v="532853.0"/>
        <n v="532855.0"/>
        <n v="543412.0"/>
        <n v="543516.0"/>
        <n v="532864.0"/>
        <n v="532867.0"/>
        <n v="543415.0"/>
        <n v="532869.0"/>
        <n v="532870.0"/>
        <n v="543526.0"/>
        <n v="532875.0"/>
        <n v="532878.0"/>
        <n v="532879.0"/>
        <n v="532880.0"/>
        <n v="532884.0"/>
        <n v="543527.0"/>
        <n v="532886.0"/>
        <n v="532888.0"/>
        <n v="543596.0"/>
        <n v="532890.0"/>
        <n v="543663.0"/>
        <n v="543720.0"/>
        <n v="532893.0"/>
        <n v="532894.0"/>
        <n v="532895.0"/>
        <n v="532896.0"/>
        <n v="543940.0"/>
        <n v="532899.0"/>
        <n v="543942.0"/>
        <n v="532904.0"/>
        <n v="532906.0"/>
        <n v="532907.0"/>
        <n v="512344.0"/>
        <n v="543959.0"/>
        <n v="532916.0"/>
        <n v="532918.0"/>
        <n v="535204.0"/>
        <n v="543988.0"/>
        <n v="532923.0"/>
        <n v="532924.0"/>
        <n v="532925.0"/>
        <n v="544026.0"/>
        <n v="526525.0"/>
        <n v="544044.0"/>
        <n v="544118.0"/>
        <n v="532930.0"/>
        <n v="532931.0"/>
        <n v="532932.0"/>
        <n v="532933.0"/>
        <n v="532934.0"/>
        <n v="532935.0"/>
        <n v="532937.0"/>
        <n v="544176.0"/>
        <n v="544179.0"/>
        <n v="532941.0"/>
        <n v="590003.0"/>
        <n v="532944.0"/>
        <n v="532945.0"/>
        <n v="532946.0"/>
        <n v="532947.0"/>
        <n v="532951.0"/>
        <n v="532952.0"/>
        <n v="590071.0"/>
        <s v="BSE"/>
        <n v="532957.0"/>
        <n v="532960.0"/>
        <s v="CDSL"/>
        <n v="532967.0"/>
        <n v="532974.0"/>
        <n v="532975.0"/>
        <s v="SUNDARMHLD"/>
        <n v="500087.0"/>
        <n v="500124.0"/>
        <n v="532980.0"/>
        <n v="532983.0"/>
        <n v="532985.0"/>
        <n v="532986.0"/>
        <n v="532987.0"/>
        <n v="532988.0"/>
        <n v="532992.0"/>
        <n v="532993.0"/>
        <n v="532994.0"/>
        <n v="532998.0"/>
        <n v="533001.0"/>
        <n v="533007.0"/>
        <n v="533012.0"/>
        <n v="542803.0"/>
        <n v="533018.0"/>
        <n v="533019.0"/>
        <n v="533022.0"/>
        <n v="500126.0"/>
        <n v="533029.0"/>
        <n v="500257.0"/>
        <n v="533047.0"/>
        <n v="533048.0"/>
        <n v="533056.0"/>
        <n v="533078.0"/>
        <n v="533080.0"/>
        <n v="500420.0"/>
        <n v="503675.0"/>
        <n v="533093.0"/>
        <n v="500488.0"/>
        <n v="500660.0"/>
        <n v="500674.0"/>
        <n v="533101.0"/>
        <n v="533104.0"/>
        <n v="500680.0"/>
        <n v="533108.0"/>
        <n v="533110.0"/>
        <n v="533121.0"/>
        <n v="506820.0"/>
        <n v="533137.0"/>
        <n v="533138.0"/>
        <n v="533146.0"/>
        <n v="506943.0"/>
        <n v="533149.0"/>
        <n v="508869.0"/>
        <n v="524372.0"/>
        <n v="533152.0"/>
        <n v="524404.0"/>
        <n v="533156.0"/>
        <n v="533158.0"/>
        <n v="524494.0"/>
        <n v="533161.0"/>
        <n v="533162.0"/>
        <n v="533164.0"/>
        <n v="533166.0"/>
        <n v="533168.0"/>
        <n v="524558.0"/>
        <n v="533170.0"/>
        <n v="533177.0"/>
        <n v="524715.0"/>
        <n v="533181.0"/>
        <n v="533189.0"/>
        <n v="533192.0"/>
        <n v="533193.0"/>
        <n v="533202.0"/>
        <n v="533203.0"/>
        <n v="524742.0"/>
        <n v="533208.0"/>
        <n v="533210.0"/>
        <n v="533212.0"/>
        <n v="533217.0"/>
        <n v="533218.0"/>
        <n v="533227.0"/>
        <n v="533229.0"/>
        <n v="533239.0"/>
        <n v="535205.0"/>
        <n v="533252.0"/>
        <n v="533259.0"/>
        <n v="533260.0"/>
        <n v="533261.0"/>
        <n v="533262.0"/>
        <n v="533263.0"/>
        <n v="533267.0"/>
        <n v="533268.0"/>
        <n v="524804.0"/>
        <n v="533270.0"/>
        <n v="524816.0"/>
        <n v="530019.0"/>
        <n v="530549.0"/>
        <n v="531599.0"/>
        <n v="533275.0"/>
        <n v="531768.0"/>
        <n v="532296.0"/>
        <n v="533284.0"/>
        <n v="533285.0"/>
        <n v="532300.0"/>
        <n v="533287.0"/>
        <n v="526574.0"/>
        <n v="533292.0"/>
        <n v="532321.0"/>
        <n v="533294.0"/>
        <n v="532331.0"/>
        <n v="531515.0"/>
        <n v="533298.0"/>
        <n v="533301.0"/>
        <n v="533302.0"/>
        <n v="533303.0"/>
        <n v="533306.0"/>
        <n v="533315.0"/>
        <n v="533316.0"/>
        <n v="533317.0"/>
        <n v="533320.0"/>
        <n v="532482.0"/>
        <n v="533329.0"/>
        <n v="533333.0"/>
        <n v="533336.0"/>
        <n v="532488.0"/>
        <n v="533343.0"/>
        <n v="533344.0"/>
        <n v="532523.0"/>
        <n v="533407.0"/>
        <n v="532645.0"/>
        <n v="533451.0"/>
        <n v="533452.0"/>
        <n v="533470.0"/>
        <n v="533477.0"/>
        <n v="533482.0"/>
        <n v="533506.0"/>
        <n v="532531.0"/>
        <n v="512443.0"/>
        <n v="533540.0"/>
        <n v="533543.0"/>
        <n v="533552.0"/>
        <n v="532843.0"/>
        <n v="532872.0"/>
        <n v="533576.0"/>
        <n v="533573.0"/>
        <n v="538452.0"/>
        <n v="533608.0"/>
        <n v="533629.0"/>
        <n v="533632.0"/>
        <n v="533638.0"/>
        <n v="539268.0"/>
        <n v="533676.0"/>
        <n v="542524.0"/>
        <n v="539523.0"/>
        <n v="533761.0"/>
        <n v="531240.0"/>
        <n v="533941.0"/>
        <n v="533982.0"/>
        <n v="534060.0"/>
        <n v="534063.0"/>
        <n v="534064.0"/>
        <n v="539524.0"/>
        <n v="539551.0"/>
        <n v="534109.0"/>
        <n v="539787.0"/>
        <n v="534190.0"/>
        <n v="540222.0"/>
        <n v="534312.0"/>
        <n v="534328.0"/>
        <n v="534338.0"/>
        <n v="534369.0"/>
        <n v="534392.0"/>
        <n v="534422.0"/>
        <n v="534425.0"/>
        <n v="534532.0"/>
        <n v="540596.0"/>
        <n v="534598.0"/>
        <n v="534600.0"/>
        <n v="534612.0"/>
        <n v="526865.0"/>
        <n v="540975.0"/>
        <n v="534623.0"/>
        <n v="534639.0"/>
        <n v="534659.0"/>
        <n v="534674.0"/>
        <n v="534675.0"/>
        <n v="534680.0"/>
        <n v="534691.0"/>
        <n v="534708.0"/>
        <n v="534732.0"/>
        <n v="534733.0"/>
        <n v="534741.0"/>
        <n v="534742.0"/>
        <n v="534748.0"/>
        <n v="534755.0"/>
        <n v="534758.0"/>
        <n v="534796.0"/>
        <n v="534804.0"/>
        <n v="534809.0"/>
        <n v="542650.0"/>
        <n v="543064.0"/>
        <n v="535136.0"/>
        <n v="515127.0"/>
        <n v="530571.0"/>
        <n v="535267.0"/>
        <n v="535279.0"/>
        <n v="535322.0"/>
        <n v="535387.0"/>
        <n v="535431.0"/>
        <n v="535458.0"/>
        <n v="535514.0"/>
        <n v="535566.0"/>
        <n v="535601.0"/>
        <n v="543220.0"/>
        <n v="535621.0"/>
        <n v="535647.0"/>
        <n v="543245.0"/>
        <n v="535657.0"/>
        <n v="535667.0"/>
        <n v="535693.0"/>
        <n v="535719.0"/>
        <n v="535730.0"/>
        <n v="543308.0"/>
        <n v="543322.0"/>
        <n v="543349.0"/>
        <n v="535910.0"/>
        <n v="535916.0"/>
        <n v="535917.0"/>
        <n v="535958.0"/>
        <n v="536073.0"/>
        <n v="540756.0"/>
        <n v="536493.0"/>
        <n v="536507.0"/>
        <n v="536659.0"/>
        <n v="536672.0"/>
        <n v="536709.0"/>
        <n v="536710.0"/>
        <n v="536737.0"/>
        <n v="536738.0"/>
        <n v="536773.0"/>
        <n v="536846.0"/>
        <n v="536974.0"/>
        <n v="537069.0"/>
        <n v="537253.0"/>
        <n v="537259.0"/>
        <n v="537291.0"/>
        <n v="537292.0"/>
        <n v="537326.0"/>
        <n v="537536.0"/>
        <n v="537573.0"/>
        <n v="537582.0"/>
        <n v="537669.0"/>
        <n v="537707.0"/>
        <n v="537709.0"/>
        <n v="537750.0"/>
        <n v="537766.0"/>
        <n v="542155.0"/>
        <n v="537785.0"/>
        <n v="537800.0"/>
        <n v="537820.0"/>
        <n v="537839.0"/>
        <n v="537985.0"/>
        <n v="538081.0"/>
        <n v="538092.0"/>
        <n v="538119.0"/>
        <n v="538212.0"/>
        <n v="543350.0"/>
        <n v="538273.0"/>
        <n v="538319.0"/>
        <n v="521003.0"/>
        <n v="538365.0"/>
        <n v="538382.0"/>
        <n v="538395.0"/>
        <n v="538401.0"/>
        <n v="538402.0"/>
        <n v="538422.0"/>
        <n v="538446.0"/>
        <n v="538451.0"/>
        <n v="500236.0"/>
        <n v="538464.0"/>
        <n v="538465.0"/>
        <n v="538476.0"/>
        <n v="501111.0"/>
        <n v="538521.0"/>
        <n v="538539.0"/>
        <n v="538540.0"/>
        <n v="538542.0"/>
        <n v="538546.0"/>
        <n v="538556.0"/>
        <n v="538562.0"/>
        <n v="501144.0"/>
        <n v="538564.0"/>
        <n v="538565.0"/>
        <n v="543524.0"/>
        <n v="501351.0"/>
        <n v="501479.0"/>
        <n v="538576.0"/>
        <n v="501622.0"/>
        <n v="538596.0"/>
        <n v="538597.0"/>
        <n v="538598.0"/>
        <n v="538607.0"/>
        <n v="538609.0"/>
        <n v="538610.0"/>
        <n v="538611.0"/>
        <n v="538634.0"/>
        <n v="503639.0"/>
        <n v="538646.0"/>
        <n v="538647.0"/>
        <n v="503659.0"/>
        <n v="538666.0"/>
        <n v="503669.0"/>
        <n v="538668.0"/>
        <n v="538685.0"/>
        <n v="538706.0"/>
        <n v="538707.0"/>
        <n v="538708.0"/>
        <n v="538713.0"/>
        <n v="538714.0"/>
        <n v="538715.0"/>
        <n v="538716.0"/>
        <n v="543635.0"/>
        <n v="538731.0"/>
        <n v="538732.0"/>
        <n v="538733.0"/>
        <n v="538734.0"/>
        <n v="538742.0"/>
        <n v="538743.0"/>
        <n v="538765.0"/>
        <n v="538770.0"/>
        <n v="538772.0"/>
        <n v="538777.0"/>
        <n v="538778.0"/>
        <n v="538787.0"/>
        <n v="538788.0"/>
        <n v="538794.0"/>
        <n v="538795.0"/>
        <n v="538817.0"/>
        <n v="538833.0"/>
        <n v="538834.0"/>
        <n v="543654.0"/>
        <n v="538836.0"/>
        <n v="538837.0"/>
        <n v="538838.0"/>
        <n v="538857.0"/>
        <n v="538860.0"/>
        <n v="538862.0"/>
        <n v="538863.0"/>
        <n v="538868.0"/>
        <n v="538874.0"/>
        <n v="503689.0"/>
        <n v="538881.0"/>
        <n v="538882.0"/>
        <n v="538890.0"/>
        <n v="543748.0"/>
        <n v="538894.0"/>
        <n v="503696.0"/>
        <n v="538896.0"/>
        <n v="538902.0"/>
        <n v="538918.0"/>
        <n v="538919.0"/>
        <n v="503772.0"/>
        <n v="538921.0"/>
        <n v="538922.0"/>
        <n v="538923.0"/>
        <n v="538926.0"/>
        <n v="538928.0"/>
        <n v="504356.0"/>
        <n v="504397.0"/>
        <n v="538943.0"/>
        <n v="538952.0"/>
        <n v="538961.0"/>
        <n v="543904.0"/>
        <n v="538964.0"/>
        <n v="538965.0"/>
        <n v="538970.0"/>
        <n v="538975.0"/>
        <n v="543960.0"/>
        <n v="538987.0"/>
        <n v="538992.0"/>
        <n v="505520.0"/>
        <n v="543980.0"/>
        <n v="539011.0"/>
        <n v="505585.0"/>
        <n v="539013.0"/>
        <n v="539016.0"/>
        <n v="539017.0"/>
        <n v="539018.0"/>
        <n v="539026.0"/>
        <n v="505594.0"/>
        <n v="539040.0"/>
        <n v="506120.0"/>
        <n v="539042.0"/>
        <n v="539044.0"/>
        <n v="539045.0"/>
        <n v="539046.0"/>
        <n v="539056.0"/>
        <n v="544009.0"/>
        <n v="539090.0"/>
        <n v="539091.0"/>
        <n v="539096.0"/>
        <n v="506178.0"/>
        <n v="539098.0"/>
        <n v="539099.0"/>
        <n v="539110.0"/>
        <n v="539111.0"/>
        <n v="539112.0"/>
        <n v="539113.0"/>
        <n v="539115.0"/>
        <n v="506190.0"/>
        <n v="539117.0"/>
        <n v="506196.0"/>
        <n v="539119.0"/>
        <n v="539120.0"/>
        <n v="539121.0"/>
        <n v="539123.0"/>
        <n v="539124.0"/>
        <n v="506906.0"/>
        <n v="539132.0"/>
        <n v="539141.0"/>
        <n v="539143.0"/>
        <n v="539148.0"/>
        <n v="507530.0"/>
        <n v="544172.0"/>
        <n v="539151.0"/>
        <n v="539167.0"/>
        <n v="539174.0"/>
        <n v="539175.0"/>
        <n v="539176.0"/>
        <n v="500002.0"/>
        <n v="539189.0"/>
        <n v="539190.0"/>
        <n v="539195.0"/>
        <n v="539196.0"/>
        <n v="539198.0"/>
        <n v="539199.0"/>
        <n v="539201.0"/>
        <n v="539206.0"/>
        <n v="539216.0"/>
        <n v="539217.0"/>
        <n v="539218.0"/>
        <n v="539219.0"/>
        <n v="539220.0"/>
        <n v="539221.0"/>
        <n v="508980.0"/>
        <n v="539226.0"/>
        <n v="539227.0"/>
        <n v="539228.0"/>
        <n v="539230.0"/>
        <n v="509003.0"/>
        <n v="539251.0"/>
        <n v="539252.0"/>
        <n v="539253.0"/>
        <n v="500048.0"/>
        <n v="539255.0"/>
        <n v="539265.0"/>
        <n v="539267.0"/>
        <n v="500049.0"/>
        <n v="539273.0"/>
        <n v="539275.0"/>
        <n v="539276.0"/>
        <n v="539277.0"/>
        <n v="539278.0"/>
        <n v="539287.0"/>
        <n v="539288.0"/>
        <n v="539289.0"/>
        <n v="539290.0"/>
        <n v="539291.0"/>
        <n v="539300.0"/>
        <n v="539301.0"/>
        <n v="500093.0"/>
        <n v="539309.0"/>
        <n v="539310.0"/>
        <n v="539314.0"/>
        <n v="539331.0"/>
        <n v="509046.0"/>
        <n v="539334.0"/>
        <n v="500103.0"/>
        <n v="539337.0"/>
        <n v="539346.0"/>
        <n v="539353.0"/>
        <n v="539354.0"/>
        <n v="539359.0"/>
        <n v="539378.0"/>
        <n v="539383.0"/>
        <n v="539384.0"/>
        <n v="539391.0"/>
        <n v="539393.0"/>
        <n v="539398.0"/>
        <n v="539399.0"/>
        <n v="539400.0"/>
        <n v="539401.0"/>
        <n v="539402.0"/>
        <n v="539404.0"/>
        <n v="539405.0"/>
        <n v="509782.0"/>
        <n v="539407.0"/>
        <n v="539408.0"/>
        <n v="509917.0"/>
        <n v="539428.0"/>
        <n v="539434.0"/>
        <n v="539435.0"/>
        <n v="539436.0"/>
        <n v="500128.0"/>
        <n v="539447.0"/>
        <n v="511048.0"/>
        <n v="511060.0"/>
        <n v="539450.0"/>
        <n v="539468.0"/>
        <n v="539469.0"/>
        <n v="539470.0"/>
        <n v="539479.0"/>
        <n v="539488.0"/>
        <n v="539492.0"/>
        <n v="539494.0"/>
        <n v="539495.0"/>
        <n v="539506.0"/>
        <n v="539515.0"/>
        <n v="539518.0"/>
        <n v="539521.0"/>
        <n v="539522.0"/>
        <n v="500133.0"/>
        <n v="500135.0"/>
        <n v="511185.0"/>
        <n v="539527.0"/>
        <n v="539528.0"/>
        <n v="511187.0"/>
        <n v="539542.0"/>
        <n v="539543.0"/>
        <n v="539544.0"/>
        <n v="539545.0"/>
        <n v="511563.0"/>
        <n v="500144.0"/>
        <n v="539552.0"/>
        <n v="539559.0"/>
        <n v="539560.0"/>
        <n v="511585.0"/>
        <n v="539562.0"/>
        <n v="539574.0"/>
        <n v="512004.0"/>
        <n v="539593.0"/>
        <n v="539594.0"/>
        <n v="539596.0"/>
        <n v="539598.0"/>
        <n v="539599.0"/>
        <n v="539607.0"/>
        <n v="539620.0"/>
        <n v="539621.0"/>
        <n v="539636.0"/>
        <n v="512014.0"/>
        <n v="539659.0"/>
        <n v="539660.0"/>
        <n v="539661.0"/>
        <n v="539662.0"/>
        <n v="539669.0"/>
        <n v="539673.0"/>
        <n v="539678.0"/>
        <n v="539679.0"/>
        <n v="539680.0"/>
        <n v="539681.0"/>
        <n v="539682.0"/>
        <n v="539683.0"/>
        <n v="539686.0"/>
        <n v="539692.0"/>
        <n v="539697.0"/>
        <n v="539725.0"/>
        <n v="539730.0"/>
        <n v="539742.0"/>
        <n v="539760.0"/>
        <n v="539761.0"/>
        <n v="539762.0"/>
        <n v="539767.0"/>
        <n v="539770.0"/>
        <n v="539773.0"/>
        <n v="539785.0"/>
        <n v="500185.0"/>
        <n v="539788.0"/>
        <n v="539798.0"/>
        <n v="539799.0"/>
        <n v="539800.0"/>
        <n v="500191.0"/>
        <n v="512025.0"/>
        <n v="539819.0"/>
        <n v="512026.0"/>
        <n v="539835.0"/>
        <n v="539837.0"/>
        <n v="539839.0"/>
        <n v="512060.0"/>
        <n v="539843.0"/>
        <n v="539854.0"/>
        <n v="539871.0"/>
        <n v="539872.0"/>
        <n v="539875.0"/>
        <n v="500210.0"/>
        <n v="500241.0"/>
        <n v="539884.0"/>
        <n v="539889.0"/>
        <n v="539894.0"/>
        <n v="539917.0"/>
        <n v="539921.0"/>
        <n v="512062.0"/>
        <n v="512063.0"/>
        <n v="539939.0"/>
        <n v="539946.0"/>
        <n v="539947.0"/>
        <n v="512064.0"/>
        <n v="500243.0"/>
        <n v="539963.0"/>
        <n v="512117.0"/>
        <n v="539979.0"/>
        <n v="539984.0"/>
        <n v="539985.0"/>
        <n v="539986.0"/>
        <n v="512153.0"/>
        <n v="500249.0"/>
        <n v="539997.0"/>
        <n v="500252.0"/>
        <n v="512157.0"/>
        <n v="540025.0"/>
        <n v="540026.0"/>
        <n v="500265.0"/>
        <n v="540048.0"/>
        <n v="540061.0"/>
        <n v="540062.0"/>
        <n v="540063.0"/>
        <n v="500294.0"/>
        <n v="540066.0"/>
        <n v="540072.0"/>
        <n v="500336.0"/>
        <n v="540078.0"/>
        <n v="540079.0"/>
        <n v="540080.0"/>
        <n v="540081.0"/>
        <n v="540082.0"/>
        <n v="540083.0"/>
        <n v="540097.0"/>
        <n v="540108.0"/>
        <n v="500378.0"/>
        <n v="540124.0"/>
        <n v="540125.0"/>
        <n v="512195.0"/>
        <n v="500411.0"/>
        <n v="540134.0"/>
        <n v="540135.0"/>
        <n v="540136.0"/>
        <n v="540143.0"/>
        <n v="512213.0"/>
        <n v="540145.0"/>
        <n v="540146.0"/>
        <n v="540147.0"/>
        <n v="540148.0"/>
        <n v="540151.0"/>
        <n v="500472.0"/>
        <n v="540159.0"/>
        <n v="540168.0"/>
        <n v="500477.0"/>
        <n v="540174.0"/>
        <n v="540175.0"/>
        <n v="500480.0"/>
        <n v="540181.0"/>
        <n v="512245.0"/>
        <n v="540192.0"/>
        <n v="540198.0"/>
        <n v="540199.0"/>
        <n v="500495.0"/>
        <n v="540204.0"/>
        <n v="500510.0"/>
        <n v="540210.0"/>
        <n v="512261.0"/>
        <n v="512271.0"/>
        <n v="500550.0"/>
        <n v="512277.0"/>
        <n v="540252.0"/>
        <n v="540254.0"/>
        <n v="512301.0"/>
        <n v="512303.0"/>
        <n v="540268.0"/>
        <n v="540269.0"/>
        <n v="512341.0"/>
        <n v="500655.0"/>
        <n v="540310.0"/>
        <n v="540311.0"/>
        <n v="540318.0"/>
        <n v="540332.0"/>
        <n v="540358.0"/>
        <n v="540359.0"/>
        <n v="540360.0"/>
        <n v="512377.0"/>
        <n v="540366.0"/>
        <n v="500940.0"/>
        <n v="512415.0"/>
        <n v="540386.0"/>
        <n v="540393.0"/>
        <n v="540395.0"/>
        <n v="540396.0"/>
        <n v="512425.0"/>
        <n v="540402.0"/>
        <n v="540403.0"/>
        <n v="540404.0"/>
        <n v="540416.0"/>
        <n v="540425.0"/>
        <n v="540455.0"/>
        <n v="540467.0"/>
        <n v="540468.0"/>
        <n v="540481.0"/>
        <n v="540492.0"/>
        <n v="540497.0"/>
        <n v="540515.0"/>
        <n v="540519.0"/>
        <n v="502219.0"/>
        <n v="540544.0"/>
        <n v="540545.0"/>
        <n v="540550.0"/>
        <n v="512431.0"/>
        <n v="503960.0"/>
        <n v="540590.0"/>
        <n v="505255.0"/>
        <n v="505700.0"/>
        <n v="540602.0"/>
        <n v="505890.0"/>
        <n v="512433.0"/>
        <n v="540614.0"/>
        <n v="540615.0"/>
        <n v="540642.0"/>
        <n v="540647.0"/>
        <n v="540648.0"/>
        <n v="540649.0"/>
        <n v="540650.0"/>
        <n v="540651.0"/>
        <n v="540652.0"/>
        <n v="540654.0"/>
        <n v="512461.0"/>
        <n v="506076.0"/>
        <n v="540679.0"/>
        <n v="509488.0"/>
        <n v="540681.0"/>
        <n v="540686.0"/>
        <n v="509496.0"/>
        <n v="540692.0"/>
        <n v="540693.0"/>
        <n v="540694.0"/>
        <n v="512511.0"/>
        <n v="509631.0"/>
        <n v="540700.0"/>
        <n v="540701.0"/>
        <n v="540702.0"/>
        <n v="512517.0"/>
        <n v="540704.0"/>
        <n v="540709.0"/>
        <n v="540710.0"/>
        <n v="540715.0"/>
        <n v="509930.0"/>
        <n v="512589.0"/>
        <n v="540718.0"/>
        <n v="512237.0"/>
        <n v="540724.0"/>
        <n v="512329.0"/>
        <n v="540726.0"/>
        <n v="540727.0"/>
        <n v="540728.0"/>
        <n v="540729.0"/>
        <n v="512591.0"/>
        <n v="540735.0"/>
        <n v="540737.0"/>
        <n v="512600.0"/>
        <n v="513375.0"/>
        <n v="517146.0"/>
        <n v="517174.0"/>
        <n v="517569.0"/>
        <n v="512624.0"/>
        <n v="540757.0"/>
        <n v="520111.0"/>
        <n v="520113.0"/>
        <n v="513012.0"/>
        <n v="522074.0"/>
        <n v="540774.0"/>
        <n v="540775.0"/>
        <n v="540776.0"/>
        <n v="522113.0"/>
        <n v="540782.0"/>
        <n v="514223.0"/>
        <n v="540788.0"/>
        <n v="540789.0"/>
        <n v="540795.0"/>
        <n v="540796.0"/>
        <n v="540797.0"/>
        <n v="514236.0"/>
        <n v="514378.0"/>
        <n v="514400.0"/>
        <n v="540821.0"/>
        <n v="540824.0"/>
        <n v="514460.0"/>
        <n v="517044.0"/>
        <n v="540850.0"/>
        <n v="540874.0"/>
        <n v="540879.0"/>
        <n v="522163.0"/>
        <n v="540901.0"/>
        <n v="522205.0"/>
        <n v="517172.0"/>
        <n v="540904.0"/>
        <n v="519230.0"/>
        <n v="540923.0"/>
        <n v="522275.0"/>
        <n v="540936.0"/>
        <n v="540937.0"/>
        <n v="540938.0"/>
        <n v="540952.0"/>
        <n v="540953.0"/>
        <n v="540954.0"/>
        <n v="540955.0"/>
        <n v="540956.0"/>
        <n v="540961.0"/>
        <n v="522287.0"/>
        <n v="519413.0"/>
        <n v="541005.0"/>
        <n v="541006.0"/>
        <n v="530343.0"/>
        <n v="541083.0"/>
        <n v="541096.0"/>
        <n v="541112.0"/>
        <n v="541133.0"/>
        <n v="531120.0"/>
        <n v="541144.0"/>
        <n v="522289.0"/>
        <n v="531431.0"/>
        <n v="532144.0"/>
        <n v="541161.0"/>
        <n v="541163.0"/>
        <n v="541167.0"/>
        <n v="541178.0"/>
        <n v="532178.0"/>
        <n v="532259.0"/>
        <n v="523151.0"/>
        <n v="523896.0"/>
        <n v="541228.0"/>
        <n v="532493.0"/>
        <n v="541269.0"/>
        <n v="541276.0"/>
        <n v="541299.0"/>
        <n v="532553.0"/>
        <n v="524414.0"/>
        <n v="541303.0"/>
        <n v="541304.0"/>
        <n v="541336.0"/>
        <n v="541337.0"/>
        <n v="541338.0"/>
        <n v="541347.0"/>
        <n v="541352.0"/>
        <n v="541353.0"/>
        <n v="541358.0"/>
        <n v="541400.0"/>
        <n v="541402.0"/>
        <n v="541403.0"/>
        <n v="541418.0"/>
        <n v="524504.0"/>
        <n v="541445.0"/>
        <n v="532667.0"/>
        <n v="541503.0"/>
        <n v="541540.0"/>
        <n v="532683.0"/>
        <n v="532714.0"/>
        <n v="532726.0"/>
        <n v="541601.0"/>
        <n v="541633.0"/>
        <n v="541634.0"/>
        <n v="541700.0"/>
        <n v="541701.0"/>
        <n v="524580.0"/>
        <n v="541703.0"/>
        <n v="532734.0"/>
        <n v="541735.0"/>
        <n v="524590.0"/>
        <n v="532757.0"/>
        <n v="541771.0"/>
        <n v="541778.0"/>
        <n v="541799.0"/>
        <n v="541865.0"/>
        <n v="541890.0"/>
        <n v="541929.0"/>
        <n v="541945.0"/>
        <n v="532762.0"/>
        <n v="541967.0"/>
        <n v="541973.0"/>
        <n v="541974.0"/>
        <n v="524628.0"/>
        <n v="532804.0"/>
        <n v="532811.0"/>
        <n v="542012.0"/>
        <n v="542013.0"/>
        <n v="542019.0"/>
        <n v="542020.0"/>
        <n v="524723.0"/>
        <n v="542034.0"/>
        <n v="542046.0"/>
        <n v="542057.0"/>
        <n v="532830.0"/>
        <n v="542123.0"/>
        <n v="532856.0"/>
        <n v="526439.0"/>
        <n v="542146.0"/>
        <n v="526795.0"/>
        <n v="542176.0"/>
        <n v="542206.0"/>
        <n v="532928.0"/>
        <n v="542231.0"/>
        <n v="542232.0"/>
        <n v="542233.0"/>
        <n v="542248.0"/>
        <n v="542285.0"/>
        <n v="532940.0"/>
        <n v="542332.0"/>
        <n v="526877.0"/>
        <n v="542337.0"/>
        <n v="542351.0"/>
        <n v="542367.0"/>
        <n v="542376.0"/>
        <n v="542377.0"/>
        <n v="530055.0"/>
        <n v="532942.0"/>
        <n v="542437.0"/>
        <n v="530161.0"/>
        <n v="542459.0"/>
        <n v="542460.0"/>
        <n v="530259.0"/>
        <n v="532966.0"/>
        <n v="530289.0"/>
        <n v="542544.0"/>
        <n v="542579.0"/>
        <n v="542580.0"/>
        <n v="542592.0"/>
        <n v="530495.0"/>
        <n v="542599.0"/>
        <n v="530581.0"/>
        <n v="530797.0"/>
        <n v="533033.0"/>
        <n v="533169.0"/>
        <n v="533271.0"/>
        <n v="533272.0"/>
        <n v="542654.0"/>
        <n v="530907.0"/>
        <n v="542665.0"/>
        <n v="542666.0"/>
        <n v="530917.0"/>
        <n v="530929.0"/>
        <n v="542669.0"/>
        <n v="542670.0"/>
        <n v="542678.0"/>
        <n v="542679.0"/>
        <n v="542682.0"/>
        <n v="542684.0"/>
        <n v="542685.0"/>
        <n v="531017.0"/>
        <n v="542721.0"/>
        <n v="542724.0"/>
        <n v="542725.0"/>
        <n v="533293.0"/>
        <n v="542727.0"/>
        <n v="542728.0"/>
        <n v="542729.0"/>
        <n v="533326.0"/>
        <n v="531203.0"/>
        <n v="533339.0"/>
        <n v="533553.0"/>
        <n v="542770.0"/>
        <n v="542771.0"/>
        <n v="542772.0"/>
        <n v="533655.0"/>
        <n v="542774.0"/>
        <n v="542801.0"/>
        <n v="542802.0"/>
        <n v="531334.0"/>
        <n v="533758.0"/>
        <n v="534076.0"/>
        <n v="542850.0"/>
        <n v="542851.0"/>
        <n v="542852.0"/>
        <n v="542857.0"/>
        <n v="542862.0"/>
        <n v="542864.0"/>
        <n v="542865.0"/>
        <n v="542866.0"/>
        <n v="534139.0"/>
        <n v="534309.0"/>
        <n v="542905.0"/>
        <n v="542906.0"/>
        <n v="539006.0"/>
        <n v="542911.0"/>
        <n v="542918.0"/>
        <n v="542919.0"/>
        <n v="539083.0"/>
        <n v="542924.0"/>
        <n v="542931.0"/>
        <n v="542933.0"/>
        <n v="542934.0"/>
        <n v="542938.0"/>
        <n v="539150.0"/>
        <n v="543065.0"/>
        <n v="539302.0"/>
        <n v="543171.0"/>
        <n v="543172.0"/>
        <n v="539992.0"/>
        <n v="531402.0"/>
        <n v="543207.0"/>
        <n v="543208.0"/>
        <n v="543209.0"/>
        <n v="543210.0"/>
        <n v="543211.0"/>
        <n v="543212.0"/>
        <n v="543213.0"/>
        <n v="543214.0"/>
        <n v="543218.0"/>
        <n v="540047.0"/>
        <n v="543223.0"/>
        <n v="540678.0"/>
        <n v="541019.0"/>
        <n v="543229.0"/>
        <n v="543230.0"/>
        <n v="543231.0"/>
        <n v="541143.0"/>
        <n v="543233.0"/>
        <n v="543234.0"/>
        <n v="541154.0"/>
        <n v="543236.0"/>
        <n v="541195.0"/>
        <n v="541556.0"/>
        <n v="543239.0"/>
        <n v="543240.0"/>
        <n v="543241.0"/>
        <n v="531465.0"/>
        <n v="541956.0"/>
        <n v="543244.0"/>
        <n v="542011.0"/>
        <n v="543248.0"/>
        <n v="542141.0"/>
        <n v="543251.0"/>
        <n v="543252.0"/>
        <n v="542649.0"/>
        <n v="543254.0"/>
        <n v="543256.0"/>
        <n v="542652.0"/>
        <n v="542760.0"/>
        <n v="542907.0"/>
        <n v="543260.0"/>
        <n v="543262.0"/>
        <n v="543263.0"/>
        <n v="543264.0"/>
        <n v="543187.0"/>
        <n v="543266.0"/>
        <n v="543267.0"/>
        <n v="543268.0"/>
        <n v="543237.0"/>
        <n v="543270.0"/>
        <n v="543297.0"/>
        <n v="531506.0"/>
        <n v="543274.0"/>
        <n v="543299.0"/>
        <n v="543317.0"/>
        <n v="543367.0"/>
        <n v="543413.0"/>
        <n v="543279.0"/>
        <n v="543428.0"/>
        <n v="543281.0"/>
        <n v="543283.0"/>
        <n v="531537.0"/>
        <n v="543285.0"/>
        <n v="543286.0"/>
        <n v="543573.0"/>
        <n v="543288.0"/>
        <n v="543664.0"/>
        <n v="543298.0"/>
        <n v="543933.0"/>
        <n v="543981.0"/>
        <n v="531585.0"/>
        <n v="544046.0"/>
        <n v="544057.0"/>
        <n v="543309.0"/>
        <n v="543310.0"/>
        <n v="543311.0"/>
        <n v="543312.0"/>
        <n v="544061.0"/>
        <n v="544081.0"/>
        <n v="531696.0"/>
        <n v="544133.0"/>
        <n v="543321.0"/>
        <n v="570004.0"/>
        <n v="543324.0"/>
        <n v="500209.0"/>
        <n v="543327.0"/>
        <n v="543328.0"/>
        <n v="543329.0"/>
        <n v="500408.0"/>
        <n v="543331.0"/>
        <n v="500463.0"/>
        <n v="543333.0"/>
        <n v="504067.0"/>
        <n v="507685.0"/>
        <n v="523704.0"/>
        <n v="543341.0"/>
        <n v="543346.0"/>
        <n v="526299.0"/>
        <n v="532175.0"/>
        <n v="531885.0"/>
        <n v="532221.0"/>
        <n v="543363.0"/>
        <n v="543364.0"/>
        <n v="543366.0"/>
        <n v="532281.0"/>
        <n v="531918.0"/>
        <n v="543373.0"/>
        <n v="532400.0"/>
        <n v="543375.0"/>
        <n v="543376.0"/>
        <n v="543377.0"/>
        <n v="532407.0"/>
        <n v="543386.0"/>
        <n v="543387.0"/>
        <n v="543389.0"/>
        <n v="532466.0"/>
        <n v="543391.0"/>
        <n v="532540.0"/>
        <n v="532541.0"/>
        <n v="532668.0"/>
        <n v="543399.0"/>
        <n v="543400.0"/>
        <n v="532735.0"/>
        <n v="532007.0"/>
        <n v="543411.0"/>
        <n v="532755.0"/>
        <n v="532790.0"/>
        <n v="533179.0"/>
        <n v="543416.0"/>
        <n v="538835.0"/>
        <n v="543419.0"/>
        <n v="532083.0"/>
        <n v="538891.0"/>
        <n v="540005.0"/>
        <n v="540115.0"/>
        <n v="540900.0"/>
        <n v="543433.0"/>
        <n v="543434.0"/>
        <n v="543435.0"/>
        <n v="543439.0"/>
        <n v="533014.0"/>
        <n v="543442.0"/>
        <n v="543444.0"/>
        <n v="543449.0"/>
        <n v="543451.0"/>
        <n v="543453.0"/>
        <n v="542651.0"/>
        <n v="543460.0"/>
        <n v="537784.0"/>
        <n v="543462.0"/>
        <n v="542752.0"/>
        <n v="543464.0"/>
        <n v="543470.0"/>
        <n v="543475.0"/>
        <n v="543227.0"/>
        <n v="538563.0"/>
        <n v="543398.0"/>
        <n v="543497.0"/>
        <n v="543417.0"/>
        <n v="543499.0"/>
        <n v="538652.0"/>
        <n v="543512.0"/>
        <n v="538667.0"/>
        <n v="543514.0"/>
        <n v="538895.0"/>
        <n v="538935.0"/>
        <n v="543517.0"/>
        <n v="543518.0"/>
        <n v="543519.0"/>
        <n v="543520.0"/>
        <n v="543521.0"/>
        <n v="543522.0"/>
        <n v="543425.0"/>
        <n v="543533.0"/>
        <n v="543525.0"/>
        <n v="543945.0"/>
        <n v="544028.0"/>
        <n v="543528.0"/>
        <n v="539005.0"/>
        <n v="532921.0"/>
        <n v="543531.0"/>
        <n v="539448.0"/>
        <n v="543994.0"/>
        <n v="531344.0"/>
        <n v="539032.0"/>
        <n v="543536.0"/>
        <n v="543537.0"/>
        <n v="543538.0"/>
        <n v="543539.0"/>
        <n v="543540.0"/>
        <n v="543541.0"/>
        <n v="543542.0"/>
        <n v="543543.0"/>
        <n v="543544.0"/>
        <n v="543545.0"/>
        <n v="543546.0"/>
        <n v="543547.0"/>
        <n v="532754.0"/>
        <n v="543578.0"/>
        <n v="543579.0"/>
        <n v="543590.0"/>
        <n v="539149.0"/>
        <n v="543593.0"/>
        <n v="543594.0"/>
        <n v="543595.0"/>
        <n v="543529.0"/>
        <n v="543597.0"/>
        <n v="543598.0"/>
        <n v="543599.0"/>
        <n v="543600.0"/>
        <n v="543606.0"/>
        <n v="543613.0"/>
        <n v="543614.0"/>
        <n v="539246.0"/>
        <n v="543616.0"/>
        <n v="543617.0"/>
        <n v="539406.0"/>
        <n v="543619.0"/>
        <n v="526612.0"/>
        <n v="539449.0"/>
        <n v="543622.0"/>
        <n v="543623.0"/>
        <n v="543624.0"/>
        <n v="539533.0"/>
        <n v="500620.0"/>
        <n v="532805.0"/>
        <n v="543636.0"/>
        <n v="543637.0"/>
        <n v="539584.0"/>
        <n v="543643.0"/>
        <n v="543644.0"/>
        <n v="543645.0"/>
        <n v="543650.0"/>
        <n v="543651.0"/>
        <n v="543652.0"/>
        <n v="532809.0"/>
        <n v="513377.0"/>
        <n v="543656.0"/>
        <n v="523598.0"/>
        <n v="532927.0"/>
        <n v="533248.0"/>
        <n v="539978.0"/>
        <n v="543668.0"/>
        <n v="543965.0"/>
        <n v="543670.0"/>
        <n v="539938.0"/>
        <n v="543678.0"/>
        <n v="543686.0"/>
        <n v="543687.0"/>
        <n v="543688.0"/>
        <n v="543689.0"/>
        <n v="543709.0"/>
        <n v="543711.0"/>
        <n v="543712.0"/>
        <n v="540132.0"/>
        <n v="543714.0"/>
        <n v="540190.0"/>
        <n v="543441.0"/>
        <n v="543725.0"/>
        <n v="540221.0"/>
        <n v="543737.0"/>
        <n v="543743.0"/>
        <n v="543744.0"/>
        <n v="543745.0"/>
        <n v="543746.0"/>
        <n v="543747.0"/>
        <n v="532349.0"/>
        <n v="543753.0"/>
        <n v="540243.0"/>
        <n v="543765.0"/>
        <n v="543766.0"/>
        <n v="543767.0"/>
        <n v="543768.0"/>
        <n v="543769.0"/>
        <n v="543782.0"/>
        <n v="543787.0"/>
        <n v="543798.0"/>
        <n v="543799.0"/>
        <n v="543804.0"/>
        <n v="543805.0"/>
        <n v="540259.0"/>
        <n v="543811.0"/>
        <n v="543812.0"/>
        <n v="543814.0"/>
        <n v="543828.0"/>
        <n v="543829.0"/>
        <n v="543830.0"/>
        <n v="543831.0"/>
        <n v="543843.0"/>
        <n v="543848.0"/>
        <n v="543860.0"/>
        <n v="543861.0"/>
        <n v="543874.0"/>
        <n v="543895.0"/>
        <n v="543896.0"/>
        <n v="543897.0"/>
        <n v="543898.0"/>
        <n v="543901.0"/>
        <n v="543902.0"/>
        <n v="540673.0"/>
        <n v="543905.0"/>
        <n v="540267.0"/>
        <n v="543911.0"/>
        <n v="543912.0"/>
        <n v="543914.0"/>
        <n v="543915.0"/>
        <n v="543916.0"/>
        <n v="543917.0"/>
        <n v="543918.0"/>
        <n v="543919.0"/>
        <n v="543920.0"/>
        <n v="543921.0"/>
        <n v="543923.0"/>
        <n v="543924.0"/>
        <n v="543926.0"/>
        <n v="543927.0"/>
        <n v="543928.0"/>
        <n v="543929.0"/>
        <n v="543930.0"/>
        <n v="543931.0"/>
        <n v="543932.0"/>
        <n v="505355.0"/>
        <n v="543934.0"/>
        <n v="542597.0"/>
        <n v="543937.0"/>
        <n v="543938.0"/>
        <n v="543939.0"/>
        <n v="532749.0"/>
        <n v="543941.0"/>
        <n v="543242.0"/>
        <n v="543943.0"/>
        <n v="539118.0"/>
        <n v="543950.0"/>
        <n v="543951.0"/>
        <n v="543489.0"/>
        <n v="543953.0"/>
        <n v="540270.0"/>
        <n v="540696.0"/>
        <n v="500183.0"/>
        <n v="543958.0"/>
        <n v="500483.0"/>
        <n v="523610.0"/>
        <n v="543962.0"/>
        <n v="543963.0"/>
        <n v="540703.0"/>
        <n v="543969.0"/>
        <n v="543970.0"/>
        <n v="532371.0"/>
        <n v="543972.0"/>
        <n v="543974.0"/>
        <n v="543976.0"/>
        <n v="543977.0"/>
        <n v="543978.0"/>
        <n v="543979.0"/>
        <n v="532374.0"/>
        <n v="532454.0"/>
        <n v="543982.0"/>
        <n v="543983.0"/>
        <n v="543984.0"/>
        <n v="543985.0"/>
        <n v="543986.0"/>
        <n v="532822.0"/>
        <n v="543989.0"/>
        <n v="534816.0"/>
        <n v="540829.0"/>
        <n v="543992.0"/>
        <n v="543993.0"/>
        <n v="542446.0"/>
        <n v="543995.0"/>
        <n v="542477.0"/>
        <n v="543997.0"/>
        <n v="543998.0"/>
        <n v="544000.0"/>
        <n v="544001.0"/>
        <n v="544002.0"/>
        <n v="544003.0"/>
        <n v="544004.0"/>
        <n v="540595.0"/>
        <n v="543228.0"/>
        <n v="542627.0"/>
        <n v="543265.0"/>
        <n v="544013.0"/>
        <n v="543971.0"/>
        <n v="544015.0"/>
        <n v="544020.0"/>
        <n v="544021.0"/>
        <n v="544162.0"/>
        <n v="544023.0"/>
        <n v="544025.0"/>
        <n v="500084.0"/>
        <n v="544027.0"/>
        <n v="500214.0"/>
        <n v="544029.0"/>
        <n v="544030.0"/>
        <n v="544035.0"/>
        <n v="544036.0"/>
        <n v="544037.0"/>
        <n v="544042.0"/>
        <n v="500390.0"/>
        <n v="500400.0"/>
        <n v="513023.0"/>
        <n v="544047.0"/>
        <n v="544052.0"/>
        <n v="544053.0"/>
        <n v="544054.0"/>
        <n v="544055.0"/>
        <n v="543305.0"/>
        <n v="513683.0"/>
        <n v="544058.0"/>
        <n v="544059.0"/>
        <n v="544060.0"/>
        <n v="532524.0"/>
        <n v="544066.0"/>
        <n v="544067.0"/>
        <n v="544072.0"/>
        <n v="544073.0"/>
        <n v="544074.0"/>
        <n v="544079.0"/>
        <n v="544080.0"/>
        <n v="532555.0"/>
        <n v="544082.0"/>
        <n v="544083.0"/>
        <n v="544088.0"/>
        <n v="544090.0"/>
        <n v="543319.0"/>
        <n v="544094.0"/>
        <n v="544095.0"/>
        <n v="544100.0"/>
        <n v="544101.0"/>
        <n v="544105.0"/>
        <n v="544106.0"/>
        <n v="544107.0"/>
        <n v="544108.0"/>
        <n v="544111.0"/>
        <n v="544112.0"/>
        <n v="544117.0"/>
        <n v="532627.0"/>
        <n v="544119.0"/>
        <n v="544120.0"/>
        <n v="544121.0"/>
        <n v="544122.0"/>
        <n v="544124.0"/>
        <n v="532779.0"/>
        <n v="544131.0"/>
        <n v="532898.0"/>
        <n v="544134.0"/>
        <n v="544135.0"/>
        <n v="544136.0"/>
        <n v="544138.0"/>
        <n v="544139.0"/>
        <n v="544140.0"/>
        <n v="544141.0"/>
        <n v="544142.0"/>
        <n v="544143.0"/>
        <n v="544144.0"/>
        <n v="543352.0"/>
        <n v="544150.0"/>
        <n v="544151.0"/>
        <n v="543500.0"/>
        <n v="544157.0"/>
        <n v="544158.0"/>
        <n v="544160.0"/>
        <n v="544161.0"/>
        <n v="532939.0"/>
        <n v="544163.0"/>
        <n v="544164.0"/>
        <n v="544165.0"/>
        <n v="544166.0"/>
        <n v="544167.0"/>
        <n v="544168.0"/>
        <n v="544169.0"/>
        <n v="544170.0"/>
        <n v="544171.0"/>
        <n v="533096.0"/>
        <n v="544173.0"/>
        <n v="533098.0"/>
        <n v="544175.0"/>
        <n v="533122.0"/>
        <n v="544177.0"/>
        <n v="544178.0"/>
        <n v="533148.0"/>
        <n v="544091.0"/>
        <n v="544183.0"/>
        <n v="544184.0"/>
        <n v="544185.0"/>
        <n v="544186.0"/>
        <n v="544187.0"/>
        <n v="544188.0"/>
        <n v="544189.0"/>
        <n v="544190.0"/>
        <n v="544191.0"/>
        <n v="544192.0"/>
        <n v="544195.0"/>
        <n v="544197.0"/>
        <n v="544198.0"/>
        <n v="544199.0"/>
        <n v="544200.0"/>
        <n v="544201.0"/>
        <n v="555555.0"/>
        <n v="533206.0"/>
        <n v="570002.0"/>
        <n v="533269.0"/>
        <n v="570005.0"/>
        <n v="534618.0"/>
        <n v="590005.0"/>
        <n v="590006.0"/>
        <n v="590013.0"/>
        <n v="590018.0"/>
        <n v="590021.0"/>
        <n v="539254.0"/>
        <n v="590025.0"/>
        <n v="590030.0"/>
        <n v="590031.0"/>
        <n v="590041.0"/>
        <n v="590051.0"/>
        <n v="590056.0"/>
        <n v="590057.0"/>
        <n v="590062.0"/>
        <n v="590065.0"/>
        <n v="590066.0"/>
        <n v="590068.0"/>
        <n v="590070.0"/>
        <n v="541450.0"/>
        <n v="590072.0"/>
        <n v="590073.0"/>
        <n v="590075.0"/>
        <n v="590078.0"/>
        <n v="590086.0"/>
        <n v="590103.0"/>
        <n v="590104.0"/>
        <n v="590106.0"/>
        <n v="590107.0"/>
        <n v="590108.0"/>
        <n v="590109.0"/>
        <n v="590110.0"/>
        <n v="590115.0"/>
        <n v="590134.0"/>
        <n v="542323.0"/>
        <s v="BSHSL"/>
        <n v="543490.0"/>
        <s v="IRBIT"/>
        <s v="JASH"/>
        <s v="MBAPL"/>
        <s v="NDRINVIT"/>
        <s v="ORIANA"/>
        <n v="543620.0"/>
        <s v="SPECTRUM"/>
        <n v="543667.0"/>
        <s v="THEJO"/>
        <s v="VERTOZ"/>
      </sharedItems>
    </cacheField>
    <cacheField name="Issuer Name" numFmtId="0">
      <sharedItems>
        <s v="Atul Limited."/>
        <s v="Century Textiles &amp; Industries Ltd."/>
        <s v="BASF India Ltd"/>
        <s v="Ambalal Sarabhai Enterprise Ltd."/>
        <s v="Andhra Petrochemicals Ltd."/>
        <s v="Ansal Properties &amp; Infrastructure Ltd."/>
        <s v="UTIQUE ENTERPRISES LIMITED"/>
        <s v="Aruna Hotels Ltd."/>
        <s v="Bombay Dyeing &amp; Mfg. Co. Ltd."/>
        <s v="Asian Hotels (North) Limited"/>
        <s v="Chambal Fertilisers &amp; Chemicals Ltd"/>
        <s v="ATV Projects India Ltd"/>
        <s v="Steel Authority of India Ltd."/>
        <s v="Elantas Beck India Ltd"/>
        <s v="E.I.D. Parry (India) Ltd."/>
        <s v="GHCL Ltd."/>
        <s v="Himadri Speciality Chemical Ltd."/>
        <s v="Banco Products (India) Ltd."/>
        <s v="Hindustan Zinc Ltd."/>
        <s v="Bannari Amman Sugars Ltd."/>
        <s v="JSW Steel Limited"/>
        <s v="Kirloskar Ferrous Industries Ltd."/>
        <s v="The Ramco Cements Limited"/>
        <s v="Vedanta Limited"/>
        <s v="Bhansali Engineering Polymers Ltd."/>
        <s v="Bihar Sponge Iron Ltd"/>
        <s v="Binani Industries Limited"/>
        <s v="Birla Cable Limited"/>
        <s v="Grasim Industries Ltd"/>
        <s v="Disa India Ltd."/>
        <s v="QUEST CAPITAL MARKETS LIMITED"/>
        <s v="BPL Ltd."/>
        <s v="ORIENTAL AROMATICS LIMITED"/>
        <s v="Century Extrusions Ltd."/>
        <s v="Pidilite Industries Ltd."/>
        <s v="Birla Corporation Ltd."/>
        <s v="PRISM JOHNSON LIMITED."/>
        <s v="Rain Industries Limited"/>
        <s v="DIC India Ltd"/>
        <s v="Rallis India Ltd"/>
        <s v="JK Lakshmi Cement Limited"/>
        <s v="Shree Cements Ltd."/>
        <s v="Dalmia Bharat Sugar and Industries Ltd"/>
        <s v="Supreme Petrochem Ltd."/>
        <s v="ACC Ltd"/>
        <s v="Ambuja Cements Ltd."/>
        <s v="Hindalco Industries Ltd."/>
        <s v="Mahanagar Telephone Nigam Ltd."/>
        <s v="TATA STEEL LIMITED"/>
        <s v="Deepak Fertilizers &amp;Petrochemicals"/>
        <s v="Gujarat Narmada Valley Fert.Co.Ltd"/>
        <s v="Gujarat State Fertilizers &amp; Chem.Ltd"/>
        <s v="Tata Chemicals Ltd"/>
        <s v="Kesoram Industries Ltd"/>
        <s v="DCW Ltd."/>
        <s v="Dhampur Sugar Mills Ltd."/>
        <s v="Diamines &amp; Chemicals Ltd."/>
        <s v="SRF Ltd."/>
        <s v="Sarda Energy &amp; Minerals Ltd"/>
        <s v="Bayer CropScience Limited."/>
        <s v="Coromandel International Limited"/>
        <s v="Deepak Nitrite Limited"/>
        <s v="PCBL LIMITED"/>
        <s v="Sudarshan Chemical Indus. Ltd."/>
        <s v="Ester Industries Ltd."/>
        <s v="FGP Ltd"/>
        <s v="P.H. Capital Ltd."/>
        <s v="Alkyl Amines Chemicals Ltd."/>
        <s v="JOHN COCKERILL INDIA LIMITED"/>
        <s v="Uflex Limited"/>
        <s v="Foseco India Ltd"/>
        <s v="Golden Tobacco Ltd."/>
        <s v="Ganesh Benzoplast Ltd."/>
        <s v="Dhanuka Agritech Ltd."/>
        <s v="GTL Ltd"/>
        <s v="UPL Limited"/>
        <s v="Lloyds Metals and Energy Limited"/>
        <s v="Adani Enterprises Ltd."/>
        <s v="Goodricke Group Ltd."/>
        <s v="Goodyear India Ltd."/>
        <s v="GTN Industries Limited"/>
        <s v="Hindustan Copper Ltd."/>
        <s v="GFL LIMITED"/>
        <s v="Gujarat Lease Financing Limited"/>
        <s v="HCL Infosystems Ltd"/>
        <s v="Linde India Limited"/>
        <s v="National Fertilizers Ltd."/>
        <s v="PI Industries Limited"/>
        <s v="Vinati Organics Ltd."/>
        <s v="Aarti Industries Ltd"/>
        <s v="Hindustan Oil Exploration Co. Ltd."/>
        <s v="AGI GREENPAC LIMITED"/>
        <s v="Rashtriya Chemicals &amp; Fertilizers Limited"/>
        <s v="NDL Ventures Limited"/>
        <s v="NMDC Ltd"/>
        <s v="Prag Bosimi Synthetics Ltd."/>
        <s v="HLV LIMITED"/>
        <s v="IG Petrochemicals Ltd"/>
        <s v="India Glycols Ltd"/>
        <s v="India Lease Devl. Ltd."/>
        <s v="Margo Finance Limited"/>
        <s v="Indo Rama Synthetics (India) Ltd."/>
        <s v="Gujarat Alkalis &amp; Chemicals Ltd."/>
        <s v="India Cements Ltd."/>
        <s v="International Travel House Ltd"/>
        <s v="PRIVI SPECIALITY CHEMICALS LIMITED"/>
        <s v="Agro Tech Foods Ltd"/>
        <s v="Jain Irrigation Systems Ltd."/>
        <s v="Jasch Industries Ltd."/>
        <s v="Jindal Poly Films Ltd."/>
        <s v="Balaji Amines Ltd."/>
        <s v="Umang Dairies Limited"/>
        <s v="JK Paper Ltd."/>
        <s v="Kakatiya Cement Sugar &amp; Industries Ltd."/>
        <s v="Kalyani Steels Ltd"/>
        <s v="Gujarat Mineral Development Corpora"/>
        <s v="National Aluminium Co. Ltd."/>
        <s v="K.G.Denim Ltd"/>
        <s v="Kinetic Engineering Ltd."/>
        <s v="Jindal Steel &amp; Power Ltd"/>
        <s v="Navin Fluorine International Limited"/>
        <s v="Jindal Stainless Limited"/>
        <s v="Envair Electrodyne Ltd."/>
        <s v="UltraTech Cement Ltd"/>
        <s v="KRISHNA FILAMENT INDUSTRIES LIMITED"/>
        <s v="J.K. CEMENT LTD"/>
        <s v="L.g.Balkrishnan &amp; Bros. Ltd."/>
        <s v="Solar Industries India Limited"/>
        <s v="Jai Balaji Industries Limited"/>
        <s v="GRAVITA INDIA LIMITED"/>
        <s v="MOIL Limited"/>
        <s v="Lyka Labs Ltd."/>
        <s v="ORIENT CEMENT LIMITED"/>
        <s v="HYBRID FINANCIAL SERVICES LIMITED"/>
        <s v="Mafatlal Industries Ltd."/>
        <s v="Star Cement Limited"/>
        <s v="KIOCL Limited"/>
        <s v="Galaxy Surfactants Limited"/>
        <s v="Manali Petrochemicals Ltd."/>
        <s v="Baroda Rayon Corpn. Ltd."/>
        <s v="Fine Organic Industries Limited"/>
        <s v="Mid India Industries Limited"/>
        <s v="Mirc Electronics Ltd"/>
        <s v="Century Enka Ltd."/>
        <s v="Modern Thread (India) Ltd."/>
        <s v="Lords Chloro Alkali Ltd"/>
        <s v="DALMIA BHARAT LIMITED"/>
        <s v="Morepen Laboratories Ltd."/>
        <s v="Gujarat Fluorochemicals Limited"/>
        <s v="HeidelbergCement  India Limited"/>
        <s v="SUMITOMO CHEMICAL INDIA LIMITED"/>
        <s v="Jubilant Ingrevia Limited"/>
        <s v="Nahar Spinning Mills Ltd."/>
        <s v="Naperol Investments Limited"/>
        <s v="Anupam Rasayan India Limited"/>
        <s v="Laxmi Organic Industries Limited"/>
        <s v="NIIT Ltd."/>
        <s v="Jaykay Enterprises Limited"/>
        <s v="Clean Science and Technology Limited"/>
        <s v="Epigral Limited"/>
        <s v="Oil Country Tubular Ltd."/>
        <s v="Oriental Hotels Ltd."/>
        <s v="Nuvoco Vistas Corporation Limited"/>
        <s v="Indian Sucrose Ltd."/>
        <s v="Panyam Cements &amp; Mineral Inds. Ltd."/>
        <s v="Chemplast Sanmar Limited"/>
        <s v="Pil Italica Lifestyle Limited"/>
        <s v="Paradeep Phosphates Limited"/>
        <s v="Aether Industries Limited"/>
        <s v="Pix Transmissions Ltd."/>
        <s v="Archean Chemical Industries Limited"/>
        <s v="Fertilizers and Chemicals Travancore Limited"/>
        <s v="Prime Securities Ltd."/>
        <s v="Amara Raja Energy &amp; Mobility Limited"/>
        <s v="Bajaj Electricals Ltd."/>
        <s v="Prudential Sugar Corporation Ltd"/>
        <s v="AMJ LAND HOLDINGS LIMITED"/>
        <s v="Punjab Communications Limited"/>
        <s v="RSWM Limited"/>
        <s v="Rajshree Sugars &amp; Chemicals Ltd."/>
        <s v="Force Motors Limited"/>
        <s v="Shree Rama Newsprint Limited"/>
        <s v="Rama Paper Mills Limited"/>
        <s v="Rapicut Carbides Ltd."/>
        <s v="WELSPUN SPECIALTY SOLUTIONS LIMITED"/>
        <s v="Rubfila International Ltd."/>
        <s v="Bata India Limited"/>
        <s v="Blue Star Ltd"/>
        <s v="Exide Industries Ltd."/>
        <s v="Arvind Ltd."/>
        <s v="Titan Company Limited"/>
        <s v="Shree Krishna Paper Mills &amp; Industr"/>
        <s v="Kansai Nerolac Paints"/>
        <s v="Hero MotoCorp Limited"/>
        <s v="SPML Infra Limited"/>
        <s v="Kajaria Ceramics Ltd"/>
        <s v="Sunflag Iron &amp; Steel Co. Ltd."/>
        <s v="Whirlpool of India Ltd"/>
        <s v="Swaraj Engines Ltd."/>
        <s v="Trent Ltd [Lakme Ltd]"/>
        <s v="M.R.F. Ltd."/>
        <s v="Raymond Limited"/>
        <s v="Thirumalai Chemicals Ltd."/>
        <s v="Sundram Fasteners Ltd."/>
        <s v="Timex Group India Ltd"/>
        <s v="Tokyo Plast International Ltd."/>
        <s v="Thomas Cook (India) Ltd."/>
        <s v="TPI India Ltd."/>
        <s v="Transchem Limited."/>
        <s v="Bharat Forge Ltd"/>
        <s v="UTL Industries Limited"/>
        <s v="Uniphos Enterprises Limited."/>
        <s v="Vardhman Holdings Limited"/>
        <s v="Mahindra &amp; Mahindra Ltd."/>
        <s v="West Coast Paper Mills Limited"/>
        <s v="Hindustan Organic Chemicals Ltd."/>
        <s v="MPIL CORPORATION LIMITED"/>
        <s v="Pasupati Acrylon Ltd."/>
        <s v="Kore Foods Limited"/>
        <s v="Bosch Ltd"/>
        <s v="Mukand Ltd."/>
        <s v="Tata Motors Ltd."/>
        <s v="UCAL LIMITED"/>
        <s v="Harrisons Malayalam Ltd."/>
        <s v="Voltas Ltd."/>
        <s v="Akzo Nobel India Limited"/>
        <s v="Asian Paints Ltd."/>
        <s v="EIH Ltd"/>
        <s v="Indian Hotels Co. Ltd"/>
        <s v="Apollo Tyres Ltd"/>
        <s v="Ceat Ltd."/>
        <s v="Balkrishna Industries Ltd."/>
        <s v="Vardhman Textiles Limted"/>
        <s v="The Phoenix Mills Ltd."/>
        <s v="Hindustan Motors Ltd."/>
        <s v="National Standard (India) Limited"/>
        <s v="Eicher Motors Ltd."/>
        <s v="Responsive Industries Ltd"/>
        <s v="Premier Limited"/>
        <s v="WESTLIFE FOODWORLD LIMITED"/>
        <s v="Zee Entertainment Enterprises Ltd."/>
        <s v="Gabriel India Ltd."/>
        <s v="IFB Industries Limited"/>
        <s v="Schaeffler India Limited"/>
        <s v="V.I.P. Industries Ltd."/>
        <s v="Excell Industries Ltd."/>
        <s v="Berger Paints India Ltd"/>
        <s v="GARWARE TECHNICAL FIBRES LIMITED"/>
        <s v="Sunteck Realty Ltd"/>
        <s v="Novartis India Limited."/>
        <s v="WELSPUN LIVING LIMITED"/>
        <s v="Asahi India Glass Ltd."/>
        <s v="Anant Raj Limited"/>
        <s v="HBL Power Systems Ltd."/>
        <s v="Samvardhana Motherson International Limited"/>
        <s v="NOCIL Ltd"/>
        <s v="Havells India Limited"/>
        <s v="Tamilnadu Petroproducts Ltd"/>
        <s v="Zuari Industries Limited"/>
        <s v="Symphony Limited"/>
        <s v="TTK Prestige Ltd."/>
        <s v="JTEKT India Limited"/>
        <s v="Indo Count Industries Ltd"/>
        <s v="Trident Ltd"/>
        <s v="Alok Industries Ltd."/>
        <s v="Safari Industries (India) Ltd."/>
        <s v="Johnson Controls-Hitachi Air Conditioning India Ltd."/>
        <s v="Ganesh Housing Corporation Ltd."/>
        <s v="JK Tyre &amp; Industries Ltd."/>
        <s v="Relaxo Footwears Ltd."/>
        <s v="Modi Rubber Ltd."/>
        <s v="Rajesh Exports Ltd."/>
        <s v="Sunrise Industrial Traders Ltd."/>
        <s v="Jindal Worldwide Ltd."/>
        <s v="Vaibhav Global Ltd"/>
        <s v="Dalal Street Investments Ltd."/>
        <s v="Centrum Capital Limited"/>
        <s v="TCI Finance Limited"/>
        <s v="Saregama India Ltd."/>
        <s v="ANTARIKSH INDUSTRIES LIMITED"/>
        <s v="Industrial Investment Trust Ltd."/>
        <s v="Industrial &amp; Prudential Inv. Co. Lt"/>
        <s v="India Tourism Development Corporati"/>
        <s v="Jayabharat Credit Ltd."/>
        <s v="Mahindra Lifespace Developers Ltd."/>
        <s v="TVS Motor Company Ltd."/>
        <s v="Tips Industries Limited"/>
        <s v="OLECTRA GREENTECH LIMITED"/>
        <s v="Swastik Safe Deposit &amp; Invest. Ltd."/>
        <s v="W.H. Brady &amp; Co. Ltd."/>
        <s v="TechNVision Ventures Limited"/>
        <s v="Shaily Engineering Plastics Ltd."/>
        <s v="Cera Sanitaryware Ltd."/>
        <s v="Maruti Suzuki India  Ltd."/>
        <s v="Greaves Cotton Ltd."/>
        <s v="Suprajit Engineering Ltd."/>
        <s v="ramkrishna forgings Ltd."/>
        <s v="UNO Minda Limited"/>
        <s v="Anand Projects Ltd"/>
        <s v="India Nivesh Limited"/>
        <s v="Coastal Corporation Limited"/>
        <s v="Century Plyboards (India) Ltd."/>
        <s v="JBM Auto Limited"/>
        <s v="ASI INDUSTRIES LIMITED"/>
        <s v="Sagar Cements Ltd"/>
        <s v="Hemadri Cements Limited"/>
        <s v="Deccan Cements Ltd."/>
        <s v="Mangalam Cement Ltd."/>
        <s v="NCL Industries Limited"/>
        <s v="Saurashtra Cement Limited"/>
        <s v="Shree Digvijay Cement Co. Ltd."/>
        <s v="Gokaldas Exports Ltd"/>
        <s v="LERTHAI FINANCE LIMITED"/>
        <s v="Triveni Glass Ltd."/>
        <s v="Nilachal Refractories Ltd."/>
        <s v="ANDHRA PAPER LIMITED"/>
        <s v="Shoppers Stop Ltd"/>
        <s v="Orient Paper &amp; Industries Ltd."/>
        <s v="Citadel Realty And Developers Limited"/>
        <s v="Rollatainters Ltd."/>
        <s v="Seshasayee Paper &amp; Boards Ltd."/>
        <s v="NATH INDUSTRIES LIMITED"/>
        <s v="VAPI ENTERPRISE LIMITED"/>
        <s v="DCM Ltd."/>
        <s v="Gaekwar Mills Ltd."/>
        <s v="Forbes &amp; Company Ltd"/>
        <s v="H.P. Cotton Textile Mills Ltd."/>
        <s v="United Interactive Limited"/>
        <s v="JAMSHRI REALTY LIMITED"/>
        <s v="Katare Spinning Mills Ltd."/>
        <s v="PVR INOX LIMITED"/>
        <s v="Lakshmi Mills Company ltd"/>
        <s v="SUN TV NETWORK LIMITED"/>
        <s v="Peninsula Land Limited"/>
        <s v="Pasupati Spg. &amp; Wvg. Mills Ltd."/>
        <s v="CIE Automotive India Limited"/>
        <s v="Marathon Nextgen Realty Ltd"/>
        <s v="Raja Bahadur International Ltd"/>
        <s v="Reliance Chemotex Industries Ltd."/>
        <s v="Ruby Mills Ltd."/>
        <s v="Simplex Realty Limited"/>
        <s v="Info Edge(India) Ltd."/>
        <s v="Victoria Mills Ltd."/>
        <s v="S.V. Trading &amp; Agencies Ltd."/>
        <s v="Svaraj Trading &amp; Agencies Ltd."/>
        <s v="Kshitij Investments Ltd"/>
        <s v="Shree Salasar Investment Ltd."/>
        <s v="Sobha Limited"/>
        <s v="Network 18 Media &amp; Investments Limited"/>
        <s v="Veer Energy &amp; Infrastructure Limited"/>
        <s v="TV18 Broadcast Ltd."/>
        <s v="Tilak Ventures Limited"/>
        <s v="Page Industries Ltd."/>
        <s v="Unijolly Investments Co. Ltd."/>
        <s v="TeamLease Services Limited"/>
        <s v="Elcid Investments Ltd."/>
        <s v="Mediaone Global Entertainment Limited"/>
        <s v="TCI Express Limited"/>
        <s v="SpiceJet Limited"/>
        <s v="Banswara Syntex Ltd."/>
        <s v="Hinduja Global Solutions Limited"/>
        <s v="Modipon Ltd."/>
        <s v="Shri Dinesh Mills Ltd."/>
        <s v="Indiabulls Real Estate Limited"/>
        <s v="Siyaram Silk Mills Ltd."/>
        <s v="Swadeshi Polytex Ltd."/>
        <s v="Shree Rajasthan Syntex Ltd."/>
        <s v="Satyam Silk Mills Ltd"/>
        <s v="DLF LIMITED"/>
        <s v="Elpro International Ltd."/>
        <s v="GEE Ltd."/>
        <s v="Hind Rectifiers Ltd."/>
        <s v="Indo National Limited"/>
        <s v="K.P.R. Mill Ltd."/>
        <s v="Jyoti Ltd."/>
        <s v="JSL Industries Ltd."/>
        <s v="Kaycee Industries Ltd."/>
        <s v="Indokem Ltd"/>
        <s v="Panasonic Energy India Co. Ltd."/>
        <s v="Nelco Ltd"/>
        <s v="Permanent Magnets Ltd."/>
        <s v="High Energy Batteries (India) Ltd."/>
        <s v="Standard Batteries Ltd."/>
        <s v="Universal Cables Ltd."/>
        <s v="W.S. Industries (India) Ltd."/>
        <s v="Delton Cables Ltd."/>
        <s v="Lakshmi Electrical Control Systems"/>
        <s v="MODULEX CONSTRUCTION TECHNOLOGIES LIMITED"/>
        <s v="DELTA MANUFACTURING LIMITED"/>
        <s v="Confidence Finance And Trading Limited"/>
        <s v="RAVINDRA ENERGY LIMITED"/>
        <s v="G.D. Trading &amp; Agencies Ltd."/>
        <s v="Empower India Limited"/>
        <s v="Nirlon Limited"/>
        <s v="Ridhi Synthetics Ltd."/>
        <s v="Mahindra Logistics Limited"/>
        <s v="Softbpo Global Services Ltd."/>
        <s v="Awfis Space Solutions Limited"/>
        <s v="Dredging Corporation of India Ltd."/>
        <s v="Krishna Ventures Limited"/>
        <s v="BF Utilities Ltd."/>
        <s v="Uni-Abex Alloy Products Ltd."/>
        <s v="Puravankara Limited"/>
        <s v="Bhagwati Autocast Limited"/>
        <s v="Bombay Wire Ropes Ltd."/>
        <s v="Indian Bright Steel Co. Ltd."/>
        <s v="Indian Hume Pipe Co. Ltd."/>
        <s v="Investment &amp; Precision Castings Ltd"/>
        <s v="Veritas (India) Limited"/>
        <s v="Kaira Can Co. Ltd."/>
        <s v="ORIENT CERATECH LIMITED"/>
        <s v="Brigade Enterprises Limited"/>
        <s v="Rathi Steel &amp; Power Ltd"/>
        <s v="Duncan Engineering Limited"/>
        <s v="V-Guard Industries Ltd."/>
        <s v="Stovec Industries Ltd."/>
        <s v="Tayo Rolls Ltd."/>
        <s v="Bajaj Auto Limited"/>
        <s v="Welcast Steels Ltd."/>
        <s v="Western Ministil Ltd."/>
        <s v="Automotive Axles Ltd."/>
        <s v="Automobile Products of India Ltd."/>
        <s v="Automobile Corpn. of Goa Ltd."/>
        <s v="Setco Automotive Limited"/>
        <s v="India Radiators Ltd."/>
        <s v="Talbros Automotive Components Ltd."/>
        <s v="Z.F. Steering Gear (India) Limited"/>
        <s v="SML ISUZU LIMITED"/>
        <s v="TIL Ltd."/>
        <s v="ZF Commercial Vehicle Control Systems India Limited"/>
        <s v="JAINEX AAMCOL LTD."/>
        <s v="Alfred Herbert (India) Ltd."/>
        <s v="Veljan Denison Limited"/>
        <s v="Dynamatic Technologies Ltd."/>
        <s v="G. G. Dandekar Properties Limited"/>
        <s v="Mahindra Holidays &amp; Resorts India Limited"/>
        <s v="Kirloskar Pneumatic Co.Ltd."/>
        <s v="Tulive Developers Limited"/>
        <s v="KPT INDUSTRIES LIMITED"/>
        <s v="Lakshmi Automatic Loom Works Ltd."/>
        <s v="Manugraph India Ltd"/>
        <s v="HARSHIL AGROTECH LIMITED"/>
        <s v="Seamec Ltd"/>
        <s v="SPRIGHT AGRO LIMITED"/>
        <s v="Integra Engineering India Ltd."/>
        <s v="SEMAC CONSULTANTS LIMITED"/>
        <s v="DREAMFOLKS SERVICES LIMITED"/>
        <s v="Wendt (India) Ltd."/>
        <s v="PS IT Infrastructure &amp; Services Limited"/>
        <s v="Sindu Valley Technologies Ltd."/>
        <s v="Godrej Properties Limited"/>
        <s v="Shyamkamal Investments Ltd."/>
        <s v="RPSG VENTURES LIMITED"/>
        <s v="Updater Services Limited"/>
        <s v="DOLAT ALGOTECH LIMITED"/>
        <s v="D.B.Corp Limited"/>
        <s v="Jubilant Foodworks Limited"/>
        <s v="Reliance Industrial Infrastructure"/>
        <s v="SVP GLOBAL TEXTILES LIMITED"/>
        <s v="Texmaco Infrastructure &amp; Holdings Ltd"/>
        <s v="Skyline Millars Ltd"/>
        <s v="Bimetal Bearings Ltd"/>
        <s v="Taparia Tools Ltd."/>
        <s v="Bharat Gears Ltd."/>
        <s v="Brady &amp; Morris Engineering Co. Ltd."/>
        <s v="La Tim Metal &amp; Industries Limited"/>
        <s v="VALOR ESTATE LIMITED"/>
        <s v="Deccan Bearings Ltd."/>
        <s v="Grauer &amp; Weil (India) Ltd."/>
        <s v="HIM TEKNOFORGE LIMITED"/>
        <s v="OBEROI REALTY LIMITED"/>
        <s v="Hercules Hoists Ltd."/>
        <s v="ALGOQUANT FINTECH LIMITED"/>
        <s v="Prestige Estates Projects Limited"/>
        <s v="Singer India Limited"/>
        <s v="International Combustion (India) Lt"/>
        <s v="Federal-Mogul Goetze (India) Ltd"/>
        <s v="Josts Engineering Co. Ltd."/>
        <s v="PG Electroplast Limited"/>
        <s v="Mipco Seamless Rings (Gujarat) Ltd."/>
        <s v="Rane Holdings Ltd."/>
        <s v="Rolcon Engineering Co. Ltd."/>
        <s v="SNL Bearings Ltd."/>
        <s v="Jaipan Industries Ltd"/>
        <s v="Mangal Credit and Fincorp Limited"/>
        <s v="TRF Ltd"/>
        <s v="WPIL Ltd"/>
        <s v="RATTANINDIA ENTERPRISES LIMITED"/>
        <s v="HINDUSTAN HARDY LIMITED"/>
        <s v="Triton Valves Ltd."/>
        <s v="Sudal Industries Limited"/>
        <s v="Prakash Industries Ltd."/>
        <s v="HARIYANA VENTURES LIMITED"/>
        <s v="Prabhu Steel Industries Ltd."/>
        <s v="Navkar Corporation Limited"/>
        <s v="V-Mart Retail Limited"/>
        <s v="Lakshmi Precision Screws Ltd."/>
        <s v="Stanrose Mafatlal Investments &amp; Fin"/>
        <s v="Genesys International Corporation Ltd."/>
        <s v="Allsec Technologies Ltd."/>
        <s v="Pankaj Piyush Trade &amp; Inv. Ltd"/>
        <s v="Parnax Lab Limited"/>
        <s v="GOURMET GATEWAY INDIA LIMITED"/>
        <s v="Visagar Polytex Ltd"/>
        <s v="Ishwarshakti Holdings &amp; Traders Ltd"/>
        <s v="Terraform Magnum Limited"/>
        <s v="Apis India Ltd"/>
        <s v="Tinna Trade Limited"/>
        <s v="EMERGENT INDUSTRIAL SOLUTIONS LIMITED"/>
        <s v="Kanani Industries Ltd"/>
        <s v="GALAXY CLOUD KITCHENS LIMITED"/>
        <s v="The Yamuna Syndicate Ltd"/>
        <s v="Arihant Superstructures Limited"/>
        <s v="Polo Queen Industrial and Fintech Limited"/>
        <s v="Bliss GVS Pharma Limited"/>
        <s v="Styrenix Performance Materials Limited"/>
        <s v="Alembic  Ltd"/>
        <s v="Amines &amp; Plasticizers Ltd"/>
        <s v="Anuh Pharma Ltd."/>
        <s v="MODISON LIMITED"/>
        <s v="Sharda Motor Industries Ltd"/>
        <s v="Chemo Pharma Laboratories Ltd."/>
        <s v="Heubach Colorants India Limited"/>
        <s v="Just Dial Limited"/>
        <s v="Aditya Birla Fashion and Retail Limited"/>
        <s v="DMCC SPECIALITY CHEMICALS LIMITED"/>
        <s v="FERMENTA BIOTECH LIMITED"/>
        <s v="GOCL Corporation Limited"/>
        <s v="Jayshree Chemicals Ltd."/>
        <s v="Kanoria Chemicals &amp; Industries Ltd."/>
        <s v="Keltech Energies Ltd."/>
        <s v="Knowledge Marine &amp; Engineering Works Limited"/>
        <s v="Nitta Gelatin India Ltd"/>
        <s v="M.P. Agro Industries Ltd."/>
        <s v="Oriental Carbon &amp; Chemicals Ltd."/>
        <s v="Wonderla Holidays Limited"/>
        <s v="Amal Ltd"/>
        <s v="Polychem Ltd"/>
        <s v="Punjab Chemicals and Crop Protection Ltd."/>
        <s v="Gujchem Distillers India Ltd."/>
        <s v="Sadhana Nitrochem Ltd."/>
        <s v="PDS LIMITED"/>
        <s v="Tecil Chemicals &amp; Hydro Power Limit"/>
        <s v="Ultramarine &amp; Pigments Ltd."/>
        <s v="Transpek Industry Ltd."/>
        <s v="Unichem Laboratories Ltd."/>
        <s v="Mysore Petro Chemicals Ltd."/>
        <s v="Minda Corporation Limited"/>
        <s v="TUTICORIN ALKALI CHEMICALS AND FERTILIZERS LIMITED"/>
        <s v="Greenlam Industries Ltd"/>
        <s v="Primo Chemicals Limited"/>
        <s v="TANFAC Industries Ltd."/>
        <s v="Gujarat Petrosynthese Ltd."/>
        <s v="Gujarat Themis Biosyn Ltd."/>
        <s v="SNOWMAN LOGISTICS LIMITED"/>
        <s v="Makers Laboratories Ltd."/>
        <s v="Continental Chemicals Ltd."/>
        <s v="Crompton Greaves Consumer Electricals Limited"/>
        <s v="Indo Gulf Industries  Ltd."/>
        <s v="Rajasthan Petro Synthetics Ltd."/>
        <s v="Apt Packaging Ltd"/>
        <s v="Blue Chip Tex Industries Ltd."/>
        <s v="Jagatjit Industries Ltd."/>
        <s v="Kesar Enterprises Ltd."/>
        <s v="Tilaknagar Industries Ltd"/>
        <s v="Emerald Leisures Limited"/>
        <s v="The Ravalgaon Sugar Farm Limited"/>
        <s v="Sakthi Sugars Ltd."/>
        <s v="Walchandnagar Industries Ltd"/>
        <s v="IFB Agro Industries Ltd"/>
        <s v="Kothari Fermanatation &amp; Biochem Ltd"/>
        <s v="Caprolactam Chemicals ltd."/>
        <s v="G.M. Breweries Ltd."/>
        <s v="Rana Sugars Ltd."/>
        <s v="Piccadily Sugar  &amp; Allied Ltd."/>
        <s v="Som Distilleries &amp; Breweries Ltd."/>
        <s v="C.J. Gelatine Products Ltd."/>
        <s v="Associated Alcohols &amp; Breweries Ltd"/>
        <s v="ALLCARGO GATI LIMITED"/>
        <s v="Coromandel Agro Products &amp; Oils Ltd"/>
        <s v="Foods &amp; Inns Ltd."/>
        <s v="IVP Ltd."/>
        <s v="KOVILPATTI LAKSHMI ROLLER FLOUR MILLS  LTD"/>
        <s v="Olympic Oil Industries Ltd."/>
        <s v="Milkfood Ltd."/>
        <s v="Polson Ltd."/>
        <s v="Sagar Soya Products Ltd."/>
        <s v="BLS International Services Ltd"/>
        <s v="Orient Beverages Ltd."/>
        <s v="Endurance Technologies Limited"/>
        <s v="TTK Healthcare Ltd."/>
        <s v="TGV SRAAC LIMITED"/>
        <s v="Lime Chemicals Ltd."/>
        <s v="Kanpur Plastipack Limited"/>
        <s v="Tainwala Chemicals &amp; Plastics Ltd"/>
        <s v="Jagsonpal Pharmaceuticals Limited"/>
        <s v="Khaitan Chemicals &amp; Fertilizers Ltd"/>
        <s v="United Leasing &amp; Industries Ltd"/>
        <s v="National Oxygen Ltd."/>
        <s v="Sheela Foam Limited"/>
        <s v="Wires &amp; Fabriks (SA) Ltd."/>
        <s v="ANSAL HOUSING LIMITED"/>
        <s v="Computer Point Ltd."/>
        <s v="Mac Charles (India) Ltd."/>
        <s v="Addi Industries Ltd."/>
        <s v="Pioneer Investcorp Ltd"/>
        <s v="Ashnoor Textiles Mills Ltd."/>
        <s v="Unitech Ltd."/>
        <s v="Aditya Vision Limited"/>
        <s v="FIBERWEB (INDIA) LTD."/>
        <s v="LKP Finance Limited"/>
        <s v="Manipal Finance Corporation Ltd."/>
        <s v="Bajaj Steel Industries Ltd."/>
        <s v="Kiduja  India  Ltd"/>
        <s v="Key Corp Ltd"/>
        <s v="Shikhar Leasing and Trading Ltd."/>
        <s v="Gujarat Hotels Ltd."/>
        <s v="Rajath Finance Limited"/>
        <s v="Ras Resorts &amp; Apart Hotels Ltd."/>
        <s v="Paramount Cosmetics (India) Ltd"/>
        <s v="Jindal Hotels Ltd."/>
        <s v="Jupiter Industries &amp; Leasing Ltd."/>
        <s v="Simmonds-Marshall Ltd"/>
        <s v="B &amp; A Ltd."/>
        <s v="Hawkins Cooker Ltd."/>
        <s v="Warren Tea Ltd."/>
        <s v="Cochin Malabar Estates &amp; Indus. Ltd"/>
        <s v="Best Eastern Hotels Limited"/>
        <s v="Neelamalai Agro Industries Ltd."/>
        <s v="IST Limited"/>
        <s v="Cosmo First Limited"/>
        <s v="Pricol Limited"/>
        <s v="Nitin Castings Limited"/>
        <s v="SMIFS Capital Markets Ltd."/>
        <s v="Everest Industries Ltd."/>
        <s v="IRONWOOD EDUCATION LIMITED"/>
        <s v="MSR India Limited"/>
        <s v="AYM Syntex Limited"/>
        <s v="Panasonic Carbon India Co.Ltd"/>
        <s v="Finkurve Financial Services Limited"/>
        <s v="HB Leasing &amp; Finance Co. Ltd."/>
        <s v="Shricon Industries Ltd."/>
        <s v="Sterling Guarantee &amp; Fin. Ltd"/>
        <s v="Sulabh Engineers &amp; Services Limited"/>
        <s v="TCC CONCEPT LIMITED"/>
        <s v="Navneet Education Limited"/>
        <s v="Kedia Construction Co. Ltd."/>
        <s v="Satra Properties(India) Ltd"/>
        <s v="Allcargo Terminals Limited"/>
        <s v="AuSom Enterprise Limited"/>
        <s v="Thakral Services (India) Limited"/>
        <s v="Lancer Container Lines Limited"/>
        <s v="VJTF Eduservices Limited"/>
        <s v="Voltaire Leasing &amp; Finance Ltd."/>
        <s v="Netlink Solutions (India) Ltd."/>
        <s v="KRYSTAL INTEGRATED SERVICES LIMITED"/>
        <s v="Lancor Holdings Ltd."/>
        <s v="Indian Infotech And Software Ltd."/>
        <s v="Banas Finance Limited"/>
        <s v="Visaka Industries Ltd."/>
        <s v="Hathway Bhawani Cabletel &amp; Datacom"/>
        <s v="Gufic BioSciences Ltd."/>
        <s v="Transindia Real Estate Limited"/>
        <s v="GRP Limited"/>
        <s v="Indag Rubber Ltd."/>
        <s v="M.M. Rubber Company Ltd."/>
        <s v="Sical Logistics Limited"/>
        <s v="TVS Srichakra Ltd."/>
        <s v="Sanathnagar Enterprises Limited"/>
        <s v="Benares Hotels Ltd"/>
        <s v="Bhagwati Oxygen Ltd."/>
        <s v="BOMBAY OXYGEN INVESTMENTS LIMITED"/>
        <s v="Sakuma Exports Ltd."/>
        <s v="Avenue Supermarts Limited"/>
        <s v="Caprihans India Ltd."/>
        <s v="Dixon Technologies (India) Limited"/>
        <s v="Tube Investments of India Ltd"/>
        <s v="Empire Industries Ltd."/>
        <s v="Graviss Hospitality Ltd"/>
        <s v="Amber Enterprises India Limited"/>
        <s v="Garware Marine Industries Ltd."/>
        <s v="Goa Carbon Ltd."/>
        <s v="Hardcastle &amp; Waud Mfg. Co. Ltd."/>
        <s v="Lemon Tree Hotels Limited"/>
        <s v="Hindustan Composites Ltd"/>
        <s v="Hindustan Housing Co. Ltd."/>
        <s v="HIL Limited"/>
        <s v="Indian Card Clothing Ltd"/>
        <s v="International Conveyors Ltd."/>
        <s v="Jay Shree Tea &amp; Industries Ltd."/>
        <s v="Kothari Industrial Corpn. Ltd."/>
        <s v="Modern Shares and Stockbrokers Ltd."/>
        <s v="State Trading Corporation of India"/>
        <s v="HUHTAMAKI INDIA LIMITED"/>
        <s v="Premier Synthetics Ltd."/>
        <s v="R.J. Shah &amp; Co. Ltd."/>
        <s v="Shah Construction Co. Ltd."/>
        <s v="Shalimar Paints Ltd."/>
        <s v="Sinnar Bidi Udyog Ltd."/>
        <s v="Hindoostan Mills Ltd."/>
        <s v="Southern Gas Ltd."/>
        <s v="Essar Shipping Ltd"/>
        <s v="Orient Electric Limited"/>
        <s v="Thacker &amp; Co. Ltd."/>
        <s v="U.P. Hotels Ltd."/>
        <s v="Varroc Engineering Limited"/>
        <s v="Swasti Vinayaka Synthetics Ltd."/>
        <s v="Madhusudan Securities Ltd"/>
        <s v="Yamini Investments Company Limited"/>
        <s v="Premier Capital Services Ltd."/>
        <s v="VIKAS LIFECARE LIMITED"/>
        <s v="Jindal Drilling &amp; Industries Ltd."/>
        <s v="Tracxn Technologies Limited"/>
        <s v="EKI Energy Services Limited"/>
        <s v="Sakthi Finance Ltd."/>
        <s v="EASY FINCORP LIMITED"/>
        <s v="Sat Industries Ltd"/>
        <s v="JMD Ventures Limited"/>
        <s v="Tivoli Construction Ltd."/>
        <s v="Shiva Texyarn Ltd."/>
        <s v="V.B.Desai Financial Services Ltd"/>
        <s v="Quadrant Televentures Limited"/>
        <s v="First Custodian Fund (India) Ltd."/>
        <s v="Kamanwala Housing Construction Ltd"/>
        <s v="WSFX Global Pay Limited"/>
        <s v="Anjani Foods Limited"/>
        <s v="Parshwanath Corporation Limited"/>
        <s v="TAAL Enterprises Limited"/>
        <s v="Newtime Infrastructure Limited"/>
        <s v="Radiant Cash Management Services Limited"/>
        <s v="Chalet Hotels Limited"/>
        <s v="Munoth Capital Market Ltd"/>
        <s v="IL &amp; FS Investment Managers Ltd."/>
        <s v="Arvind Fashions Limited"/>
        <s v="IndiaMART InterMESH Limited"/>
        <s v="BOMBAY TALKIES LIMITED"/>
        <s v="Sagar Systech Ltd."/>
        <s v="ID INFO BUSINESS SERVICES LTD."/>
        <s v="VLS Finance Limited"/>
        <s v="India Cements Capital Limited"/>
        <s v="AD-Manum Finance Ltd"/>
        <s v="Mehta Integrated Finance Ltd."/>
        <s v="Inter Globe Finance Ltd."/>
        <s v="MUNOTH COMMUNICATION LIMITED"/>
        <s v="SHRISTI INFRASTRUCTURE DEVELOPMENT CORPORATION LTD."/>
        <s v="CREST VENTURES LIMITED"/>
        <s v="Vakrangee Limited"/>
        <s v="Gujarat Credit Corporation Ltd."/>
        <s v="Sylph Technologies Ltd"/>
        <s v="Dharani Finance Ltd."/>
        <s v="Alexander Stamps And Coin Limited"/>
        <s v="Indbank Merchant Banking Services L"/>
        <s v="SHRYDUS INDUSTRIES LIMITED"/>
        <s v="Bharat Bhushan Share &amp; Commodity Brokers Ltd."/>
        <s v="Capital Trust Ltd."/>
        <s v="Ushakiran Finance Ltd."/>
        <s v="Vivo Bio tech Ltd."/>
        <s v="Veerhealth Care Limited"/>
        <s v="Pan India Corporation Ltd"/>
        <s v="Sahara HousingFina Corporation Ltd."/>
        <s v="NDA Securities ltd."/>
        <s v="GSB Finance Ltd."/>
        <s v="Morarka Finance Ltd."/>
        <s v="Monarch Networth Capital Limited"/>
        <s v="VINTAGE COFFEE AND BEVERAGES LIMITED"/>
        <s v="Times Guaranty Ltd."/>
        <s v="Ritco Logistics Limited"/>
        <s v="Som Datt Finance Corporation Ltd."/>
        <s v="Shreyas Shipping And Logistics Limited"/>
        <s v="Avonmore Capital &amp; Management Services Limited"/>
        <s v="Libord Finance Limited"/>
        <s v="Kernex Microsystems (India) Ltd."/>
        <s v="Arihant Capital Markets Ltd."/>
        <s v="ISL Consulting Ltd"/>
        <s v="DCM Financial Services Ltd."/>
        <s v="R.R.Financial Consultants Ltd."/>
        <s v="IM+ Capitals Limited"/>
        <s v="Sambhaav Media Ltd."/>
        <s v="Dugar Housing Developments Limited"/>
        <s v="Omega Interactive Technologies Ltd."/>
        <s v="Sugal &amp; Damani Share Brokers Ltd."/>
        <s v="Nettlinx Ltd."/>
        <s v="BGIL Films &amp; Technologies Ltd"/>
        <s v="Scan Steels Limited"/>
        <s v="GIC Housing Finance Ltd."/>
        <s v="Mathew Easow Research Securities Lt"/>
        <s v="Ajcon Global Services Ltd."/>
        <s v="Chartered Capital &amp; Investment Ltd."/>
        <s v="Standard Capital Markets Ltd."/>
        <s v="YOGI LIMITED"/>
        <s v="Cubical Financial Services Ltd."/>
        <s v="Relic Technologies Ltd."/>
        <s v="Nimbus Projects Limited"/>
        <s v="BAID FINSERV LIMITED"/>
        <s v="Vipul Limited"/>
        <s v="K.Z.Leasing &amp; Finance Ltd."/>
        <s v="Pasupati Fincap Ltd."/>
        <s v="Mehta Securities Ltd."/>
        <s v="Mehta Housing Finance Ltd."/>
        <s v="UGRO CAPITAL LIMITED"/>
        <s v="Shalibhadra Finance Ltd."/>
        <s v="Abirami Financial Services (India)"/>
        <s v="Mansi Finance (Chennai) Ltd"/>
        <s v="Seven Hill Industries Limited"/>
        <s v="Aastamangalam Finance Limited"/>
        <s v="Muthoot Capital Services Ltd."/>
        <s v="Master Trust Ltd."/>
        <s v="REMEDIUM LIFECARE LIMITED"/>
        <s v="EFC (I) LIMITED"/>
        <s v="AVG Logistics Limited"/>
        <s v="CNI Research Ltd"/>
        <s v="Saraswati Commercial (India) Ltd."/>
        <s v="Winro Commercial (India) Ltd."/>
        <s v="PTL Enterprises Ltd"/>
        <s v="Oswal Agro Mills Ltd."/>
        <s v="Kapil Cotex  Ltd."/>
        <s v="Alankit Limited"/>
        <s v="Royal India Corporation Limited"/>
        <s v="Luharuka Media &amp; Infra Limited"/>
        <s v="Jet Airways (India) Ltd"/>
        <s v="Riddhi Siddhi Gluco Biols Ltd"/>
        <s v="Kothari Products Ltd."/>
        <s v="Tiger Logistics (India) Limited"/>
        <s v="Mrugesh Trading Ltd."/>
        <s v="Deccan Gold Mines Ltd."/>
        <s v="Indian Railway Catering &amp; Tourism Corporation Ltd"/>
        <s v="Anshuni Commercials Ltd."/>
        <s v="Cranes Software International Ltd."/>
        <s v="Majestic Auto Ltd."/>
        <s v="EYANTRA VENTURES LIMITED"/>
        <s v="Triochem Products Ltd."/>
        <s v="Nidhi Granites Limited"/>
        <s v="VARIMAN GLOBAL ENTERPRISES LIMITED"/>
        <s v="ATLANTAA LIMITED"/>
        <s v="DJ Mediaprint &amp; Logistics Limited"/>
        <s v="Kajal Synthetics and Silk Mills Ltd"/>
        <s v="Avance Technologies Ltd."/>
        <s v="Droneacharya Aerial Innovations Limited"/>
        <s v="Northern Spirits Limited"/>
        <s v="SECUREKLOUD TECHNOLOGIES LIMITED"/>
        <s v="ABans Enterprises Limited"/>
        <s v="Vama Industries Limited"/>
        <s v="TARC LIMITED"/>
        <s v="Mercantile Ventures Limited"/>
        <s v="Uma Exports Limited"/>
        <s v="Prism Medico and Pharmacy Ltd."/>
        <s v="SPV GLOBAL TRADING LIMITED"/>
        <s v="Global Vectra Helicorp Ltd."/>
        <s v="Indigo Paints Limited"/>
        <s v="Ruchi Infrastructure Ltd"/>
        <s v="Ashirwad Capital Ltd."/>
        <s v="Swasti Vinayaka Art And Heritage Corporation Ltd"/>
        <s v="CONFIDENCE FUTURISTIC ENERGETECH LIMITED"/>
        <s v="Media Matrix Worldwide Ltd."/>
        <s v="SEACOAST SHIPPING SERVICES LIMITED"/>
        <s v="Signet Industries Limited"/>
        <s v="Speedage Commercials Ltd."/>
        <s v="Bhagyanagar India Limited"/>
        <s v="Shantai Industries Limited"/>
        <s v="North Eastern Carrying Corporation Limited"/>
        <s v="Maximus International Limited"/>
        <s v="Easy Trip Planners Limited"/>
        <s v="Indiabulls Enterprises Limited"/>
        <s v="IIRM HOLDINGS INDIA LIMITED"/>
        <s v="Yash Trading &amp; Finance Ltd."/>
        <s v="Sheraton Properties &amp; Finance Ltd."/>
        <s v="Noida Toll Bridge Company Ltd"/>
        <s v="Cressanda Solutions Ltd."/>
        <s v="STARTECK FINANCE LIMITED"/>
        <s v="Shardul Securities Ltd."/>
        <s v="SERA INVESTMENTS &amp; FINANCE INDIA LIMITED"/>
        <s v="Bengal Steel Industries Ltd."/>
        <s v="Uniworth Securities Limited"/>
        <s v="Coral India Finance And Housing Ltd"/>
        <s v="Dhruv Consultancy Services Limited"/>
        <s v="Dhoot Industrial Finance Ltd."/>
        <s v="Metroglobal Limited"/>
        <s v="Apollo Finvest (India) Ltd."/>
        <s v="TECHKNOWGREEN SOLUTIONS LIMITED"/>
        <s v="SILICON RENTAL SOLUTIONS LIMITED"/>
        <s v="Devinsu Trading Ltd."/>
        <s v="Shri Jagdamba Polymers Ltd"/>
        <s v="Craftsman Automation Limited"/>
        <s v="Parshva Enterprises Limited"/>
        <s v="LLOYDS ENTERPRISES LIMITED"/>
        <s v="Betex India Ltd."/>
        <s v="VIRYA RESOURCES LIMITED"/>
        <s v="Shreeji Translogistics Limited"/>
        <s v="Oasis Securities Limited"/>
        <s v="Garnet International Limited"/>
        <s v="Shalimar Productions Ltd."/>
        <s v="Meenakshi Steel Industries Ltd."/>
        <s v="Global Offshore Services Ltd"/>
        <s v="Motor &amp; General Finance (M.G.F.) Lt"/>
        <s v="Donear Industries Ltd"/>
        <s v="Super Sales India Ltd."/>
        <s v="Sequent Scientific Limited"/>
        <s v="Lahoti Overseas Ltd."/>
        <s v="Zenith Exports Ltd."/>
        <s v="Kohinoor Foods Ltd"/>
        <s v="Patel Integrated Logistics Ltd"/>
        <s v="Kalyan Jewellers India Limited"/>
        <s v="Zodiac-JRD-MKJ Ltd."/>
        <s v="BN HOLDINGS LIMITED"/>
        <s v="MEP Infrastructure Developers Limited"/>
        <s v="Manbro Industries Limited"/>
        <s v="KEYNOTE FINANCIAL SERVICES LIMITED"/>
        <s v="Nazara Technologies Limited"/>
        <s v="Anik Industries Limited"/>
        <s v="Haria Exports Ltd."/>
        <s v="Bhandari Hosiery Exports Ltd."/>
        <s v="RLF Ltd."/>
        <s v="AAA TECHNOLOGIES LIMITED"/>
        <s v="Orbit Exports Ltd."/>
        <s v="Savera Industries Ltd."/>
        <s v="Chrome Silicon Limited"/>
        <s v="TCI Industries Ltd."/>
        <s v="Macrotech Developers Limited"/>
        <s v="Hindusthan Udyog Ltd"/>
        <s v="Remi Edelstahl Tubulars Limited"/>
        <s v="G.S. Auto International Ltd."/>
        <s v="Trans-Freight Containers Ltd."/>
        <s v="Shivalik Bimetal Controls Ltd."/>
        <s v="Gandhi Special Tubes Ltd."/>
        <s v="Amforge Industries Ltd."/>
        <s v="Oricon Enterprises Ltd."/>
        <s v="Acrow (India) Ltd."/>
        <s v="Steel Strips Infrastructures Limited"/>
        <s v="Pennar Industries Ltd."/>
        <s v="Jyoti Structures Ltd."/>
        <s v="Jay Ushin Ltd."/>
        <s v="Steel Strips &amp; Wheels Ltd"/>
        <s v="Man Industries (India) Ltd"/>
        <s v="Modern Steels Limited"/>
        <s v="Synthiko Foils Ltd."/>
        <s v="Golkonda Aluminium Extrusions Ltd"/>
        <s v="Gujarat Toolroom Ltd."/>
        <s v="Ajmera Realty &amp; Infra India Limited"/>
        <s v="Cochin Minerals &amp; Rutile Ltd."/>
        <s v="India Steel Works Ltd"/>
        <s v="KRISHANVEER FORGE LIMITED"/>
        <s v="Sona BLW Precision Forgings Limited"/>
        <s v="Arshiya Limited"/>
        <s v="Vallabh Steels ltd"/>
        <s v="Ashiana Ispat Limited"/>
        <s v="P.M. Telelinnks Limited"/>
        <s v="Smiths &amp; Founders (India) Limited"/>
        <s v="Bloom Industries Ltd"/>
        <s v="Maitri Enterprises Limited"/>
        <s v="Shah Alloys Limited"/>
        <s v="Elango Industries Ltd"/>
        <s v="Kanishk Steel Industries Ltd"/>
        <s v="Mahalaxmi Seamless Ltd."/>
        <s v="Simplex Castings Ltd."/>
        <s v="Shree Steel Wire Ropes Ltd."/>
        <s v="SIZEMASTERS TECHNOLOGY LIMITED"/>
        <s v="Southern Magnesium And Chemicals Lt"/>
        <s v="Baroda Extrusion Ltd."/>
        <s v="Gujarat Containers Ltd."/>
        <s v="Kalyani Forge Ltd."/>
        <s v="Panchmahal Steel Ltd."/>
        <s v="Aditya Ispat Ltd."/>
        <s v="S.R.Industries Ltd."/>
        <s v="Steelcast Ltd."/>
        <s v="PITTI ENGINEERING LIMITED"/>
        <s v="Glittek Granites Ltd."/>
        <s v="Pradeep Metals Ltd."/>
        <s v="Gujarat Natural Resources Limited"/>
        <s v="Tamilnadu Steel Tubes Ltd."/>
        <s v="Sharda Ispat Ltd."/>
        <s v="Mahamaya Steel Industries Limited"/>
        <s v="Nova Iron &amp; Steel Ltd."/>
        <s v="Sterling Powergensys Limited"/>
        <s v="Foundry Fuel Products Ltd."/>
        <s v="Zomato Limited"/>
        <s v="Tulsyan NEC Ltd"/>
        <s v="Axel Polymers Ltd."/>
        <s v="Rolex Rings Limited"/>
        <s v="Spectra Industries Ltd."/>
        <s v="KIC Metaliks Ltd."/>
        <s v="Solid Stone Company Ltd."/>
        <s v="Shilp Gravures Ltd."/>
        <s v="White Organic Agro Limited"/>
        <s v="MFS Intercorp Limited"/>
        <s v="Aro Granite Industries Ltd."/>
        <s v="RUDRA ECOVATION LIMITED"/>
        <s v="Rajkamal Synthetics Ltd."/>
        <s v="Deepak Spinners Ltd."/>
        <s v="Loyal Textiles Mills Ltd"/>
        <s v="Himatsingka Seide Ltd."/>
        <s v="BSL Ltd."/>
        <s v="MILGREY FINANCE &amp; INVESTMENT LTD"/>
        <s v="P.B.M. Polytex Ltd."/>
        <s v="Adinath Textiles Ltd."/>
        <s v="Konark Synthetics  Ltd"/>
        <s v="Suryalata Spinning Mills Ltd."/>
        <s v="Suryavanshi Spinning Mills Ltd."/>
        <s v="T T Ltd"/>
        <s v="Devyani International Limited"/>
        <s v="Indian Acrylics Ltd"/>
        <s v="Ganesha Ecosphere Limited"/>
        <s v="Ceeta Industries Ltd."/>
        <s v="Vardhman Polytex Ltd."/>
        <s v="Black Rose Industries Ltd"/>
        <s v="S &amp; T Corporation Limited"/>
        <s v="Sanco Trans Ltd."/>
        <s v="Sangam (India) Ltd"/>
        <s v="LIKHAMI CONSULTING LIMITED"/>
        <s v="MKVENTURES CAPITAL LIMITED"/>
        <s v="Kush Industries Limited"/>
        <s v="Sree chem Resins Ltd"/>
        <s v="Surbhi Industries Limited"/>
        <s v="Seasons Textiles Ltd"/>
        <s v="Zenith Fibres Limited"/>
        <s v="Bhilwara Spinners Ltd"/>
        <s v="Aarvee Denims &amp; Exports Ltd."/>
        <s v="Sanrhea Technical Textiles Ltd."/>
        <s v="Ashima Ltd"/>
        <s v="Pioneer Embroideries Ltd."/>
        <s v="Vippy Spinpro Ltd."/>
        <s v="Jaihind Synthetics Ltd."/>
        <s v="Raghuvir Synthetics Ltd."/>
        <s v="Jattashankar Industries Limited"/>
        <s v="Kamadgiri Fashion Limited"/>
        <s v="Omnitex Industries (India) Ltd."/>
        <s v="Patspin India Ltd."/>
        <s v="ONE GLOBAL SERVICE PROVIDER LIMITED"/>
        <s v="Neo Infracon Ltd."/>
        <s v="GENESIS IBRC INDIA LIMITED"/>
        <s v="Winsome Yarns Ltd."/>
        <s v="Premier Polyfilm Ltd."/>
        <s v="EVERLON FINANCIALS LIMITED"/>
        <s v="K&amp;R RAIL ENGINEERING LIMITED"/>
        <s v="GOYAL ALUMINIUMS LIMITED"/>
        <s v="Gujarat Cotex Ltd"/>
        <s v="Dynavision Limited"/>
        <s v="ECO HOTELS AND RESORTS LIMITED"/>
        <s v="SARUP INDUSTRIES LIMITED"/>
        <s v="Mangalam Organics Limited"/>
        <s v="Hindustan Adhesives Ltd."/>
        <s v="Sri KPR Industries Ltd"/>
        <s v="Jyoti Resins &amp; Adhesives Ltd"/>
        <s v="Mahalaxmi Rubtech Ltd."/>
        <s v="Southern Latex Ltd."/>
        <s v="Orissa Bengal Carrier Limited"/>
        <s v="Winsome Textile Industries Ltd"/>
        <s v="Modern Insulators Ltd."/>
        <s v="Regency Ceramics Ltd"/>
        <s v="Sansera Engineering Limited"/>
        <s v="Murudeshwar Ceramics Ltd."/>
        <s v="Saint-Gobain Sekurit India Ltd."/>
        <s v="FSN E-Commerce Ventures Limited"/>
        <s v="Madhusudan Industries Ltd."/>
        <s v="Restile Ceramics Ltd."/>
        <s v="Madhav Marbles &amp; Granites Ltd."/>
        <s v="IFL ENTERPRISES LIMITED"/>
        <s v="Hindusthan National Glass &amp; Industr"/>
        <s v="Haldyn Glass Limited"/>
        <s v="DUROPLY INDUSTRIES LIMITED"/>
        <s v="Shreyans Industries Limited."/>
        <s v="Agio Paper &amp; Industries Limited"/>
        <s v="Star Paper Mills Ltd."/>
        <s v="PAKKA LIMITED"/>
        <s v="TAHMAR ENTERPRISES LIMITED"/>
        <s v="Soma Papers &amp; Industries Ltd."/>
        <s v="Arrow Greentech Limited"/>
        <s v="Vishnu Chemicals Limited"/>
        <s v="Jumbo Bag ltd."/>
        <s v="N.R.Agarwal Industries Ltd."/>
        <s v="3P LAND HOLDINGS LTD."/>
        <s v="Sangal Papers Ltd."/>
        <s v="Ventura Textiles Ltd."/>
        <s v="Shree Karthik Papers Ltd."/>
        <s v="South India Paper Mills Ltd."/>
        <s v="FAMILY CARE HOSPITALS LIMITED"/>
        <s v="Vindhya Telelinks Ltd."/>
        <s v="RIR POWER ELECTRONICS LIMITED"/>
        <s v="Ador Welding Ltd."/>
        <s v="GENPHARMASEC LIMITED"/>
        <s v="Salzer Electronics Ltd."/>
        <s v="Jetking Infotrain Ltd."/>
        <s v="Aplab Ltd."/>
        <s v="PCS Technology Ltd."/>
        <s v="Sapphire Foods India Limited"/>
        <s v="SPEL Semiconductor Ltd."/>
        <s v="Subros Ltd."/>
        <s v="Edvenswa Enterprises Limited"/>
        <s v="Kesar Terminals &amp; Infrastructure Limited"/>
        <s v="Go Fashion (India) Limited"/>
        <s v="Switching Technologies Gunther Ltd."/>
        <s v="Lumax Industries Ltd."/>
        <s v="DIGISPICE TECHNOLOGIES LIMITED"/>
        <s v="Calcom Vision Ltd."/>
        <s v="Kemp &amp; Company Limited"/>
        <s v="BCC Fuba India Ltd."/>
        <s v="Precision Electronics Ltd."/>
        <s v="Fine-line Circuits Ltd."/>
        <s v="Metro Brands Limited"/>
        <s v="S &amp; S Power Switchgears Ltd."/>
        <s v="Gujarat Poly Electronics Limited"/>
        <s v="Gujarat Industries Power Co. Ltd"/>
        <s v="Medplus Health Services Limited"/>
        <s v="Mindteck (India) Ltd"/>
        <s v="Vedant Fashions Limited"/>
        <s v="ACI Infocom Ltd."/>
        <s v="Cravatex Ltd."/>
        <s v="Incap Ltd"/>
        <s v="Gujarat Intrux Limited"/>
        <s v="Igarashi Motors India Ltd."/>
        <s v="Eureka Forbes Limited"/>
        <s v="Vintron Informatics Ltd."/>
        <s v="Pan Electronics India Ltd."/>
        <s v="VXL Instruments Ltd."/>
        <s v="Chartered Logistics Ltd"/>
        <s v="Lee &amp; Nee Softwares (Exports) Ltd."/>
        <s v="Patels Airtemp (I) Ltd."/>
        <s v="Butterfly Gandhimathi Appliances Limited"/>
        <s v="Integra Switchgear Ltd."/>
        <s v="Athena Global Technologies Limited"/>
        <s v="Narmada Macplast Drip Irrigation Sy"/>
        <s v="Dutron  Polymers Ltd."/>
        <s v="R S Software India Ltd."/>
        <s v="Magna Electro Castings Ltd."/>
        <s v="MARSONS LIMITED"/>
        <s v="Elnet Technologies Ltd."/>
        <s v="ACCEL LIMITED"/>
        <s v="Websol Energy System Limited"/>
        <s v="Roto Pumps Ltd."/>
        <s v="Motherson Sumi Wiring India Limited"/>
        <s v="D &amp; H India Limited"/>
        <s v="Rajratan Global Wire Ltd"/>
        <s v="Surana Telecom And Power Limited"/>
        <s v="Onward Technologies Ltd."/>
        <s v="Centum Electronics Ltd"/>
        <s v="Alfa Transformers ltd."/>
        <s v="NHC FOODS LIMITED"/>
        <s v="PVP Ventures Ltd"/>
        <s v="Trigyn Technologies Ltd."/>
        <s v="Campus Activewear Limited"/>
        <s v="Keerthi Industries Ltd"/>
        <s v="Bheema Cements Limited"/>
        <s v="Suraj Products Ltd."/>
        <s v="Anjani Portland Cement Ltd."/>
        <s v="Modi Naturals Limited"/>
        <s v="Prashant India Ltd"/>
        <s v="Shah Foods Ltd"/>
        <s v="Khandelwal Extraction Ltd."/>
        <s v="Tasty Bite Eatables Ltd."/>
        <s v="Ritesh International Ltd"/>
        <s v="AVT Natural Products Ltd."/>
        <s v="ETHOS LIMITED"/>
        <s v="Nahar Industrial Enterprises Ltd"/>
        <s v="Vadilal Enterprises Ltd."/>
        <s v="Vadilal Industries Ltd."/>
        <s v="Ashiana Agro Industries Ltd"/>
        <s v="ADF Foods Limited."/>
        <s v="Retro Green Revolution Limited"/>
        <s v="Williamson Financial Services ltd."/>
        <s v="Ajanta Soya Limited"/>
        <s v="William Magor &amp; Company Limited"/>
        <s v="Chowgule Steamships Ltd."/>
        <s v="Superior Industrial Enterprises Limited"/>
        <s v="Saptarishi Agro Industries Ltd"/>
        <s v="Prima Agro Ltd."/>
        <s v="Tarai Foods Ltd."/>
        <s v="Modern Dairies Ltd."/>
        <s v="Bambino Agro Industries Ltd"/>
        <s v="Prime Industries Ltd."/>
        <s v="Vikas WSP Ltd."/>
        <s v="VSF Projects Limited"/>
        <s v="Poona Dal And Oil Industries Ltd."/>
        <s v="Transglobe Foods Ltd."/>
        <s v="VMS INDUSTRIES LIMITED"/>
        <s v="Sharat Industries Ltd."/>
        <s v="Yaari Digital Integrated Services Ltd"/>
        <s v="KMG Milk Food Limited"/>
        <s v="KSE Ltd."/>
        <s v="Pioneer Agro Extracts ltd."/>
        <s v="Narbada Gems and Jewellery Limited"/>
        <s v="Virat Crane Industries Ltd"/>
        <s v="IB Infotech Enterprises Ltd"/>
        <s v="Ambar Protein Industries Limited"/>
        <s v="Chordia Food Products Ltd"/>
        <s v="CIAN Agro Industries &amp; Infrastructure Limited"/>
        <s v="Lykis Limited"/>
        <s v="N.K.Industries Ltd."/>
        <s v="BKV Industries Ltd."/>
        <s v="NCC Bluewater Products Ltd."/>
        <s v="Norben Tea &amp; Exports Ltd"/>
        <s v="SHARIKA ENTERPRISES LIMITED"/>
        <s v="Electronics Mart India Limited"/>
        <s v="Simran Farms Ltd."/>
        <s v="Hindustan Agrigenetics Ltd."/>
        <s v="Keystone Realtors Limited"/>
        <s v="Kellton Tech Solutions Ltd."/>
        <s v="Suryo Foods &amp; Industries Ltd."/>
        <s v="Integrated Proteins Ltd."/>
        <s v="Mahaan Foods Ltd."/>
        <s v="RICO Auto Industries Ltd."/>
        <s v="Omax Autos Ltd."/>
        <s v="Munjal Showa Ltd."/>
        <s v="Jamna Auto Industries Ltd."/>
        <s v="Senco Gold Limited"/>
        <s v="NIIT Learning Systems Limited"/>
        <s v="Munjal Auto Industries Ltd."/>
        <s v="Jay Bharat Maruti Ltd."/>
        <s v="RACL Geartech Limited"/>
        <s v="Samkrg Pistons and Rings Ltd."/>
        <s v="East Coast Steel Ltd"/>
        <s v="EAST WEST HOLDINGS LIMITED"/>
        <s v="REDTAPE Limited"/>
        <s v="SIGNATUREGLOBAL (INDIA) LIMITED"/>
        <s v="Automotive Stampings and Assemblies Ltd."/>
        <s v="Arcee Indusrtries ltd."/>
        <s v="Excel Realty N Infra Limited"/>
        <s v="Rama Vision Ltd"/>
        <s v="Amrapali Industries Ltd"/>
        <s v="Sibar Auto Parts Ltd."/>
        <s v="LE LAVOIR LIMITED"/>
        <s v="GROWINGTON VENTURES INDIA LIMITED"/>
        <s v="Mehai Technology  Limited"/>
        <s v="TITAN INTECH LIMITED"/>
        <s v="Eurotex Industries &amp; Exports Ltd."/>
        <s v="Max Estates Limited"/>
        <s v="Maral Overseas Ltd."/>
        <s v="Soma Textile &amp; Industries Ltd"/>
        <s v="Source Industries (India) Ltd"/>
        <s v="Advance Lifestyles Ltd."/>
        <s v="Kakatiya Textiles Ltd."/>
        <s v="Perfect-Octave Media Projects Ltd"/>
        <s v="Cello World Limited"/>
        <s v="Hisar Spinning Mills Ltd"/>
        <s v="ASK Automotive Limited"/>
        <s v="Pasari Spinning Mills Ltd."/>
        <s v="Amarjothi Spinning Mills Ltd"/>
        <s v="Olympia Industries Ltd."/>
        <s v="Nagreeka Exports Ltd."/>
        <s v="Suditi Industries Ltd."/>
        <s v="Shree Bhavya Fabrics Limited"/>
        <s v="Gem Spinners India Ltd"/>
        <s v="Eureka Industries Ltd."/>
        <s v="Aditya Spinners Ltd."/>
        <s v="Prime Urban Development India Ltd"/>
        <s v="Dhanlaxmi Fabrics Ltd."/>
        <s v="Sri Lakshmi Saraswathi Textiles (Ar"/>
        <s v="Zodiac Clothing Co. Ltd."/>
        <s v="Sri Ramakrishna Mills (Coimbatore) Ltd."/>
        <s v="Super Spinning Mills Ltd."/>
        <s v="SIL Investments Ltd"/>
        <s v="Suryalakshmi Cotton Mills Ltd."/>
        <s v="Samtex Fashions Ltd."/>
        <s v="Dhanalaxmi Roto Spinners Ltd."/>
        <s v="Damodar Industries Limited"/>
        <s v="Sanblue Corporation Limited"/>
        <s v="Uniroyal Industries Ltd"/>
        <s v="Tatia Global Vennture Limited"/>
        <s v="Balgopal Commercial limited"/>
        <s v="Sri Nachammai Cotton Mills Ltd."/>
        <s v="KKRRAFTON Developers Limited"/>
        <s v="Sambandam Spinning Mills Ltd."/>
        <s v="Kandagiri Spinning Mills Ltd."/>
        <s v="MKP Mobility Limited"/>
        <s v="Paras Petrofils Ltd."/>
        <s v="Kitex Garmenets Ltd."/>
        <s v="Cranex Ltd."/>
        <s v="Batliboi Ltd"/>
        <s v="Austin Engineering Co. Ltd."/>
        <s v="United Drilling Tools Ltd."/>
        <s v="Fluidomat Ltd."/>
        <s v="Ema India Ltd."/>
        <s v="Windsor Machines Limited"/>
        <s v="Shanthi Gears Ltd."/>
        <s v="Miven Machine Tools Ltd."/>
        <s v="HONDA INDIA POWER PRODUCTS LIMITED"/>
        <s v="The Hi-Tech Gears Limited"/>
        <s v="Juniper Hotels Limited"/>
        <s v="United Van Der Horst Ltd."/>
        <s v="Kilburn Engineering Ltd"/>
        <s v="Birla Precision Technologies Ltd"/>
        <s v="Yuken India Ltd."/>
        <s v="TBO TEK LIMITED"/>
        <s v="Voith Paper Fabrics India Ltd"/>
        <s v="Solitaire Machine Tools Ltd"/>
        <s v="Indsil Hydro Power and Manganese Limited"/>
        <s v="TMT (India) ltd."/>
        <s v="ITL Industries Ltd."/>
        <s v="Frontier Springs Ltd."/>
        <s v="Shriram Pistons"/>
        <s v="Rasandik Engg. Industries India Ltd"/>
        <s v="Yogi Sung-won (India) Ltd."/>
        <s v="HLE GLASCOAT LIMITED"/>
        <s v="Gujarat Apollo Industries Ltd."/>
        <s v="Taneja Aerospace &amp; Aviation Ltd."/>
        <s v="Conart Engineers Ltd."/>
        <s v="We Win Limited"/>
        <s v="Shivagrico Implements Ltd."/>
        <s v="M.M.Forgings Ltd."/>
        <s v="Mayur Uniquoters ltd."/>
        <s v="Cenlub Industries Ltd."/>
        <s v="Rajoo Engineers Ltd."/>
        <s v="Dolphin Offshore Enterprises (India) ltd."/>
        <s v="Veejay Lakshmi Engineering Works Lt"/>
        <s v="Ahmedabad Steelcraft Ltd."/>
        <s v="Godrej Industries Ltd."/>
        <s v="Ram Ratna Wires Ltd."/>
        <s v="Jayaswal Neco Industries Ltd"/>
        <s v="Swan Energy Ltd."/>
        <s v="Phoenix International Ltd."/>
        <s v="CANDOUR TECHTEX LIMITED"/>
        <s v="T &amp; I Global Ltd."/>
        <s v="Control Print (India) Ltd."/>
        <s v="Bemco Hydraulics Ltd."/>
        <s v="Ansal Buildwell Ltd."/>
        <s v="Weizmann Limited."/>
        <s v="B.N.Rathi Securities Ltd."/>
        <s v="Rishi Techtex Limited"/>
        <s v="Sinclairs Hotels  Ltd"/>
        <s v="DCM Shriram Limited"/>
        <s v="Binayak Tex Processors  Ltd."/>
        <s v="J.J. Finance Corporation Ltd."/>
        <s v="Cosmo Ferrites Ltd."/>
        <s v="CROPSTER AGRO LIMITED"/>
        <s v="Futuristic Securities Ltd"/>
        <s v="Minal Industries Limited"/>
        <s v="Ador Multiproducts Ltd"/>
        <s v="EIH Associated Hotels Ltd."/>
        <s v="Medi-Caps Ltd."/>
        <s v="CONSTRONICS INFRA LIMITED"/>
        <s v="Morganite Crucible (India) Limited"/>
        <s v="B&amp;A Packaging India Limited"/>
        <s v="Aban  Offshore Ltd."/>
        <s v="Kokuyo Camlin Ltd"/>
        <s v="SRM Energy Limited"/>
        <s v="Bharat Seats Ltd"/>
        <s v="Continental Petroleums Ltd."/>
        <s v="N.B. Footwear Ltd."/>
        <s v="Machino Plastics Ltd"/>
        <s v="Pearl Polymers Ltd."/>
        <s v="Venky's (India) ltd."/>
        <s v="Advani Hotels &amp; Resorts (India) Ltd."/>
        <s v="G.V. Films  Ltd."/>
        <s v="Superhouse limited"/>
        <s v="Bombay Cycle &amp; Motor Agency Ltd."/>
        <s v="TCPL Packaging Limited"/>
        <s v="Shri Gang Industries &amp; Allied Products Limited"/>
        <s v="Purity Flex Pack Ltd"/>
        <s v="Balmer Lawrie &amp; Co. Ltd."/>
        <s v="Kovai Medical Center &amp; Hospital Ltd"/>
        <s v="Eldeco Housing &amp; Ind. Ltd."/>
        <s v="Microse India Limited"/>
        <s v="3M India Ltd."/>
        <s v="DCM Shriram Industries Ltd."/>
        <s v="Mawana Sugars Ltd"/>
        <s v="Mini Diamonds (India) Ltd."/>
        <s v="Maha Rashtra Apex Corporation Ltd"/>
        <s v="Nilkamal Limited"/>
        <s v="Nahar Polyfilms Ltd."/>
        <s v="Aegis Logistics Ltd."/>
        <s v="Hindustan Petroleum Corporation Ltd"/>
        <s v="Mangalore Refinery &amp; Petrochemicals"/>
        <s v="ADC India Communications Limited"/>
        <s v="Tamilnadu Telecommunications Ltd."/>
        <s v="Sunraj Diamond Exports Ltd."/>
        <s v="EVANS ELECTRIC LIMITED"/>
        <s v="Chennai Petroleum Corporation Ltd."/>
        <s v="Ind Bank Housing Ltd"/>
        <s v="Jai Mata Glass Ltd."/>
        <s v="Lotus Chocolate Co. Ltd."/>
        <s v="Pacific Industries ltd."/>
        <s v="Chennai Meenakshi Multispeciality Hospital Ltd."/>
        <s v="Sunrise Efficient Marketing Limited"/>
        <s v="APM Industries Ltd."/>
        <s v="Precision Wires India ltd."/>
        <s v="Krypton Industries Ltd"/>
        <s v="SWISS MILITARY CONSUMER GOODS LIMITED"/>
        <s v="Martin Burn Ltd"/>
        <s v="Future Enterprises Limited"/>
        <s v="Indian Toners &amp; Developers Ltd."/>
        <s v="Kunststoffe Industries Ltd."/>
        <s v="Gini Silk Mills Ltd."/>
        <s v="Sika Interplant Systems Ltd."/>
        <s v="Oil And Natural Gas Corporation Ltd"/>
        <s v="UR SUGAR INDUSTRIES LIMITED"/>
        <s v="Phaarmasia Limited."/>
        <s v="Poddar Housing and Development Limited"/>
        <s v="Reliance Industries Ltd"/>
        <s v="IP Rings Ltd."/>
        <s v="Bharat Petroleum Corpn. Ltd."/>
        <s v="Plastiblends India Ltd."/>
        <s v="Ekansh Concepts Limited"/>
        <s v="Kkalpana Plastick Limited"/>
        <s v="Waterbase Limited"/>
        <s v="Flex Foods Ltd."/>
        <s v="Golkunda Diamonds &amp; Jewellery Ltd."/>
        <s v="Apcotex Industries Limited"/>
        <s v="Fortis Malar Hospitals Limited"/>
        <s v="Castrol India Ltd"/>
        <s v="EIMCO Elecon India Ltd."/>
        <s v="Sayaji Hotel Ltd"/>
        <s v="JMG Corporation Ltd"/>
        <s v="Ashiana Housing Limited"/>
        <s v="Svam Software Ltd"/>
        <s v="Ecoboard Industries Ltd"/>
        <s v="Dhunseri Ventures Limited"/>
        <s v="TRANS INDIA HOUSE IMPEX LIMITED"/>
        <s v="MAHINDRA EPC IRRIGATION LIMITED"/>
        <s v="ITCONS E-Solutions Limited"/>
        <s v="Shukra Jewellers Limited"/>
        <s v="Mazda Ltd."/>
        <s v="Sovereign Diamonds Ltd"/>
        <s v="Menon Bearings Ltd"/>
        <s v="Mukat Pipes Limited"/>
        <s v="Gujarat Raffia Ind. Ltd."/>
        <s v="Simplex Infrastructures Limited"/>
        <s v="Innovative Tech Pack Ltd"/>
        <s v="Super Tannery Limited"/>
        <s v="GANESHA ECOVERSE LIMITED"/>
        <s v="Axtel Industries Ltd."/>
        <s v="V R Woodart Ltd"/>
        <s v="Monotype India Ltd."/>
        <s v="Sandur Manganese &amp; Iron Ores Ltd."/>
        <s v="Hindustan Flurocarbons Ltd."/>
        <s v="Kingfa Science &amp; Technology (India) Ltd"/>
        <s v="Patidar Buildcon Limited"/>
        <s v="Rama Phosphates Ltd."/>
        <s v="Venlon Enterprises Ltd."/>
        <s v="Pet Plastics Ltd."/>
        <s v="Polyplex Corporation Ltd."/>
        <s v="Albert David Ltd."/>
        <s v="Haryana Leather Chemicals Ltd."/>
        <s v="CARYSIL LIMITED"/>
        <s v="Kabra Extrusion Technik Ltd"/>
        <s v="Vinyl Chemicals (India) Ltd."/>
        <s v="Pee Cee Cosma Sope Ltd."/>
        <s v="TCM Ltd."/>
        <s v="IOL Chemicals &amp; Pharmaceuticals Ltd"/>
        <s v="Kesar Petroproducts Ltd"/>
        <s v="Indian Oil Corporation Ltd."/>
        <s v="Lactose (India) Ltd."/>
        <s v="Teesta Agro Industries Ltd"/>
        <s v="Gail (India) Ltd."/>
        <s v="Pentokey Organy (India) Ltd."/>
        <s v="Wanbury Limited"/>
        <s v="Resonance Specialties Limited"/>
        <s v="Indraprashtha Gas Ltd."/>
        <s v="PETRONET LNG LTD."/>
        <s v="Kopran Ltd."/>
        <s v="Aimco Pesticides Ltd."/>
        <s v="Gujarat Terce Laboratories Ltd"/>
        <s v="Seya Industries Ltd"/>
        <s v="Jayant Agro-Organics Limited."/>
        <s v="BCL INDUSTRIES LIMITED"/>
        <s v="Shree Hari Chemicals Export Ltd."/>
        <s v="Indo Borax &amp; Chemicals Ltd."/>
        <s v="Aarti Drugs Limited"/>
        <s v="Bodal Chemicals Ltd"/>
        <s v="Gujarat State Petronet Ltd."/>
        <s v="Vimta Labs Ltd."/>
        <s v="Biofil Chemicals &amp; Pharmaceuticals"/>
        <s v="Ishita Drugs &amp; Industries Ltd."/>
        <s v="Oil India Limited"/>
        <s v="Universal Starch-Chem Allied Ltd."/>
        <s v="Aarey Drugs &amp; Pharmaceuticals Ltd"/>
        <s v="Walchand Peoplefirst Limited"/>
        <s v="Asian Petroproducts &amp; Exports Ltd."/>
        <s v="Camex  Ltd."/>
        <s v="EVEXIA LIFECARE LIMITED"/>
        <s v="Indo Euro Indchem Limited"/>
        <s v="Syncom Formulations (India) Ltd."/>
        <s v="DMR Hydroengineering &amp; Infrastructures Limited"/>
        <s v="Jet Freight Logistics Limited"/>
        <s v="Coal India Limited"/>
        <s v="Kilitch Drugs (I) Ltd."/>
        <s v="Raaj Medisafe India Limited"/>
        <s v="SVC INDUSTRIES LIMITED"/>
        <s v="Coral Laboratories Ltd."/>
        <s v="Tulasee Bio-Ethanol Ltd."/>
        <s v="Bacil Pharma Ltd."/>
        <s v="Krebs Biochemicals &amp; Industries Ltd."/>
        <s v="KMC Speciality Hospitals India Limited"/>
        <s v="Laffans Petrochemicals Ltd."/>
        <s v="Bhaskar Agrochemicals Ltd."/>
        <s v="Sukhjit Starch &amp; Chemicals Ltd."/>
        <s v="Satiate Agri Limited"/>
        <s v="Sharma East India Hospitals And Res"/>
        <s v="Gulf Oil Lubricants India Limited"/>
        <s v="Gayatri BioOrganics Ltd"/>
        <s v="Poddar Pigments Ltd."/>
        <s v="Pharmaids Pharmaceuticals Ltd."/>
        <s v="Vivid Global Industries Limited"/>
        <s v="ABC India Ltd."/>
        <s v="Tirupati Starch &amp; Chemicals Ltd."/>
        <s v="DRA CONSULTANTS LIMITED"/>
        <s v="JD Orgochem Ltd."/>
        <s v="Aeonx Digital Technology Limited"/>
        <s v="AksharChem (India) Ltd."/>
        <s v="BANDARAM PHARMA PACKTECH LIMITED"/>
        <s v="ADLINE CHEM LAB LIMITED"/>
        <s v="Beryl Drugs Ltd."/>
        <s v="IEL LIMITED"/>
        <s v="iStreet Network Limited"/>
        <s v="Gagan Gases Ltd."/>
        <s v="Zodiac Ventures Limited"/>
        <s v="Shukra Pharmaceuticals Limited"/>
        <s v="Alufluoride  Ltd."/>
        <s v="OXYGENTA PHARMACEUTICAL LIMITED"/>
        <s v="Archit Organosys Limited"/>
        <s v="Sikozy Realtors Limited"/>
        <s v="Indo Amines Ltd."/>
        <s v="Ind-Swift Ltd."/>
        <s v="Natural Capsules Ltd."/>
        <s v="Welcure Drugs &amp; Pharmaceuticals ltd"/>
        <s v="Bharat Immunologicals &amp; Biologicals"/>
        <s v="Savita Oil Technologies Limited"/>
        <s v="Hester Biosciences Ltd"/>
        <s v="JOHNSON PHARMACARE LIMITED"/>
        <s v="Basant Agro-Tech (India) Ltd."/>
        <s v="Sandu Pharmaceuticals Ltd."/>
        <s v="NACL Industries Limited"/>
        <s v="Vista Pharmaceuticals Ltd."/>
        <s v="Gujarat Gas Limited"/>
        <s v="Titan Bio-Tech Ltd."/>
        <s v="Ashnisha Industries Limited"/>
        <s v="Span Divergent Limited"/>
        <s v="Jenburkt Pharmaceuticals Ltd."/>
        <s v="Hikal Ltd."/>
        <s v="Mahanagar Gas Limited"/>
        <s v="FISCHER MEDICAL VENTURES LIMITED"/>
        <s v="Link Pharma Chem Ltd."/>
        <s v="DECIPHER LABS LIMITED"/>
        <s v="Emmessar Biotech &amp; Nutrition Ltd."/>
        <s v="NGL Fine Chem Ltd."/>
        <s v="Everest Organics Ltd."/>
        <s v="ADANI TOTAL GAS LIMITED"/>
        <s v="Phyto Chem (India) Ltd."/>
        <s v="Bajaj Hindusthan Sugar Limited"/>
        <s v="Dynamic Industries Ltd."/>
        <s v="Panama Petrochem Ltd."/>
        <s v="Bal Pharma Ltd."/>
        <s v="BDH Industries Ltd."/>
        <s v="Jauss Polymers Ltd"/>
        <s v="Globus Constructors &amp; Developers Limited"/>
        <s v="Cubex Tubings Ltd"/>
        <s v="Polymechplast Machines Ltd."/>
        <s v="STELLANT SECURITIES (INDIA) LIMITED"/>
        <s v="Galaxy Bearings Ltd."/>
        <s v="SC Agrotech Limited"/>
        <s v="Ravileela Granites Limited"/>
        <s v="Uniroyal Marine Exports Ltd."/>
        <s v="Karan Woo-sin ltd."/>
        <s v="Shervani Industrial syndicate Ltd"/>
        <s v="Rose Merc.Limited"/>
        <s v="Supertex Industries Ltd"/>
        <s v="Shetron Ltd."/>
        <s v="Transgene Biotek Ltd."/>
        <s v="MPL Plastics Limited"/>
        <s v="Nikhil Adhesives Ltd."/>
        <s v="Spenta International Ltd."/>
        <s v="Multibase India Ltd"/>
        <s v="Andrew Yule &amp; Company Ltd"/>
        <s v="Ludlow Jute &amp; Specialities Ltd"/>
        <s v="Ashram Online.com Ltd"/>
        <s v="Royal Cushion Vinyl Products Ltd."/>
        <s v="Suraj Industries Limited."/>
        <s v="Hitech Corporation Limited"/>
        <s v="Bloom Dekor Ltd."/>
        <s v="Filatex India Ltd."/>
        <s v="Standard Surfactants Ltd."/>
        <s v="Morgan Ventures Ltd."/>
        <s v="PRISMX GLOBAL VENTURES LIMITED"/>
        <s v="Premier Explosives Ltd."/>
        <s v="Mid East Portfolio Management Ltd."/>
        <s v="Mold-Tek Technologies Ltd"/>
        <s v="Crestchem Ltd."/>
        <s v="Balrampur Chini Mills Ltd."/>
        <s v="Medinova Diagnostic Services Ltd."/>
        <s v="DIVYASHAKTI LIMITED"/>
        <s v="Orient Press ltd."/>
        <s v="Shreyas Intermediates Ltd."/>
        <s v="Panjon Ltd."/>
        <s v="Nirbhay Colours India Limited"/>
        <s v="Duropack Ltd"/>
        <s v="SWARNSARITA JEWELS INDIA LIMITED"/>
        <s v="Dabur India Ltd."/>
        <s v="Godfrey Phillips India Ltd."/>
        <s v="Cindrella Hotels Ltd."/>
        <s v="Balurghat Technologies Ltd."/>
        <s v="Alphageo (India)Ltd."/>
        <s v="HAMPTON SKY REALTY LIMITED"/>
        <s v="Kkalpana Industries (India) Ltd"/>
        <s v="OK Play India Ltd."/>
        <s v="Kriti Industries (India) Ltd."/>
        <s v="ASM Technologies Ltd."/>
        <s v="Perfectpac Limited"/>
        <s v="ERP Soft Systems Ltd."/>
        <s v="Vision Cinemas Limited"/>
        <s v="Datasoft Application Software (I) L"/>
        <s v="Indrayani Biotech Ltd."/>
        <s v="Euro Leder Fashion Ltd."/>
        <s v="Winsome Breweries Ltd."/>
        <s v="Elegant Floriculture &amp; Agrotech (In"/>
        <s v="Sky Industries Ltd"/>
        <s v="FLOMIC GLOBAL LOGISTICS LIMITED"/>
        <s v="BHUDEVI INFRA PROJECTS LIMITED"/>
        <s v="Pratik Panels Ltd."/>
        <s v="Rishiroop Limited"/>
        <s v="PROMACT IMPEX LIMITED"/>
        <s v="Sterling Green  Woods  Limited"/>
        <s v="Systematix Corporate Services Ltd."/>
        <s v="Artefact Projects Ltd"/>
        <s v="Alpine Housing Development Corporat"/>
        <s v="Sanghi Industries Ltd."/>
        <s v="Salora International Limited"/>
        <s v="Kaiser Corporation Limited"/>
        <s v="Square Four Projects India Limited"/>
        <s v="Scanpoint Geomatics Limited"/>
        <s v="Choksi Laboratories Ltd."/>
        <s v="Country Club Hospitality &amp; Holidays Ltd"/>
        <s v="Longview Tea Company ltd."/>
        <s v="Midwest Gold Ltd"/>
        <s v="ICDS Ltd."/>
        <s v="TECHINDIA NIRMAN LIMITED"/>
        <s v="TPL Plastech Limited"/>
        <s v="Wim Plast Ltd."/>
        <s v="Photoquip India Ltd."/>
        <s v="Liberty Shoes Ltd."/>
        <s v="Lippi Systems Ltd."/>
        <s v="Electrotherm (India) Ltd"/>
        <s v="Fervent Synergies Limited"/>
        <s v="Expo Gas Containers Ltd."/>
        <s v="National Plastic Industries Ltd."/>
        <s v="SELLWIN TRADERS LIMITED"/>
        <s v="Texel Industries Ltd."/>
        <s v="Royale Manor Hotels &amp; Industries Lt"/>
        <s v="Mirza International  Limited"/>
        <s v="Tourism Finance Corpn. Of India Ltd"/>
        <s v="Thakker's Developers Ltd."/>
        <s v="Rajdarshan Industries Ltd."/>
        <s v="Bhartiya International Ltd."/>
        <s v="Kamat Hotels (India) ltd."/>
        <s v="Contil India Limited"/>
        <s v="DSJ KEEP LEARNING LIMITED"/>
        <s v="Polo Hotels Ltd."/>
        <s v="Ecoplast Ltd."/>
        <s v="Elegant Marbles &amp; Grani Industries"/>
        <s v="BITS Ltd"/>
        <s v="Adarsh Plant Project Ltd."/>
        <s v="HCP PLASTENE BULKPACK LIMITED"/>
        <s v="Nicco Parks And Resorts Ltd."/>
        <s v="NTC INDUSTRIES LIMITED"/>
        <s v="Sandesh Ltd."/>
        <s v="Garnet Construction Ltd."/>
        <s v="Goldiam International Ltd."/>
        <s v="Bright Brothers Ltd."/>
        <s v="Narmada Gelatines Ltd."/>
        <s v="P.G.Foils Ltd."/>
        <s v="Gratex Industries Ltd."/>
        <s v="Velan Hotels Ltd."/>
        <s v="Howard Hotels Limited"/>
        <s v="Pressure Sensitive Systems (India)"/>
        <s v="Valiant Communications Ltd."/>
        <s v="Dr.Agarwals Eye Hospital Ltd."/>
        <s v="Maharashtra Corporation Ltd."/>
        <s v="Greenply Industries Ltd"/>
        <s v="Sai Capital Ltd."/>
        <s v="Raghunath International Ltd."/>
        <s v="Cheviot Co.Ltd."/>
        <s v="Dai-Ichi Karkaria Ltd."/>
        <s v="Rajeswari Infrastructure Limited"/>
        <s v="SPICE ISLANDS INDUSTRIES LIMITED"/>
        <s v="Confidence Petroleum India Limited"/>
        <s v="Shelter Infra Projects Limited"/>
        <s v="Shakti Press Ltd."/>
        <s v="Ashirwad Steels &amp; Industries  Ltd."/>
        <s v="Banaras Beads Ltd."/>
        <s v="Arex Industries Ltd."/>
        <s v="Bilcare Ltd."/>
        <s v="ISF LIMITED"/>
        <s v="Rishi Laser  Ltd."/>
        <s v="SecUR Credentials Limited"/>
        <s v="Kumbhat Financial Services Ltd."/>
        <s v="Intec Capital Limited"/>
        <s v="Rajasthan Gases Ltd."/>
        <s v="Suncare Traders Limited"/>
        <s v="63 Moons Technologies Limited"/>
        <s v="Sarla Performance Fibers Ltd"/>
        <s v="Market Creators Ltd."/>
        <s v="HIMALAYA FOOD INTERNATIONAL LIMITED"/>
        <s v="Sonal Adhesives Ltd."/>
        <s v="Padmanabh Industries Limited"/>
        <s v="Twentyfirst Century Management Serv"/>
        <s v="Hariyana Ship Breakers Ltd."/>
        <s v="ARUNIS ABODE LIMITED"/>
        <s v="Tyroon Tea Co. Ltd."/>
        <s v="La Opala RG Ltd."/>
        <s v="Stylam Industries Limited"/>
        <s v="Venus Remedies Ltd."/>
        <s v="Woodsvilla Limited"/>
        <s v="LAST MILE ENTERPRISES LIMITED"/>
        <s v="Gujarat Craft Industries Ltd."/>
        <s v="Heera Ispat Ltd."/>
        <s v="Chandra Prabhu International Ltd."/>
        <s v="Crimson Metal Engineering Company Ltd"/>
        <s v="SHRI BAJRANG ALLIANCE LIMITED"/>
        <s v="Ashoka Refineries Ltd."/>
        <s v="Urja Global Limited"/>
        <s v="Ashapura Minechem Ltd"/>
        <s v="Shree Pacetronix Ltd"/>
        <s v="Patanjali Foods Limited"/>
        <s v="Procter &amp; Gamble Hygiene &amp; Health Care Ltd."/>
        <s v="Hindustan Unilever Ltd."/>
        <s v="Mangalore Chemicals &amp; Fertilisers L"/>
        <s v="Standard Industries Ltd."/>
        <s v="Nestle India Ltd."/>
        <s v="THE INVESTMENT TRUST OF INDIA LIMITED"/>
        <s v="Lesha Industries Limited"/>
        <s v="Aadi Industries Ltd"/>
        <s v="Santosh Fine-Fab Ltd."/>
        <s v="Sree Jayalakshmi Autospin Ltd."/>
        <s v="Acknit Industries Ltd"/>
        <s v="Titan Securities Ltd."/>
        <s v="REAL ECO-ENERGY LIMITED"/>
        <s v="Sawaca Business Machines Ltd."/>
        <s v="Vivanza Biosciences Limited"/>
        <s v="Yashraj Containeurs Ltd."/>
        <s v="Lords Ishwar Hotels Limited"/>
        <s v="CSL Finance Limited"/>
        <s v="Sanghvi Movers Ltd."/>
        <s v="Selan Exploration Technology Ltd."/>
        <s v="Freshtrop Fruits Ltd."/>
        <s v="Faze Three Ltd."/>
        <s v="PRADHIN LIMITED"/>
        <s v="ANUPAM FINSERV LIMITED"/>
        <s v="Raj Packaging Industries Ltd."/>
        <s v="TATA CONSUMER PRODUCTS LIMITED"/>
        <s v="Natraj Proteins Ltd."/>
        <s v="Samrat Pharmachem Ltd."/>
        <s v="NPR Finance Ltd."/>
        <s v="Nile Ltd."/>
        <s v="Udaipur Cement Works Limited"/>
        <s v="Amco India Ltd."/>
        <s v="Optiemus Infracom Limited"/>
        <s v="Kreon Finnancial Services Limited"/>
        <s v="Gyan Developers &amp; Builders Ltd."/>
        <s v="Kisan Mouldings Ltd."/>
        <s v="Starlog Enterprises Limited"/>
        <s v="Kerala Ayurveda Limited"/>
        <s v="Moongipa Capital Finance Ltd."/>
        <s v="Mohit Paper Mills Ltd."/>
        <s v="Daulat Securities Ltd."/>
        <s v="Oscar Global Ltd"/>
        <s v="Odyssey Technologies Ltd."/>
        <s v="Surat Trade and Mercantile Limited"/>
        <s v="Atharv Enterprises Limited"/>
        <s v="FUNDVISER CAPITAL (INDIA) LIMITED"/>
        <s v="Themis Medicare Ltd."/>
        <s v="KALLAM TEXTILES LTD"/>
        <s v="Brawn Biotech Limited"/>
        <s v="Kabsons Industries Ltd."/>
        <s v="Kings Infra Ventures Limited"/>
        <s v="Subhash Silk Mills Ltd."/>
        <s v="Auro Laboratories Ltd."/>
        <s v="KJMC Financial Services Ltd."/>
        <s v="Suven Life Sciences Ltd."/>
        <s v="Aryaman Financial Services Ltd."/>
        <s v="Bridge Securities Ltd."/>
        <s v="Megri Soft Limited"/>
        <s v="Rajasthan Tube Mfg. Co"/>
        <s v="Kay Power And Paper Ltd"/>
        <s v="Getalong Enterprise Limited"/>
        <s v="Global Capital Markets Ltd."/>
        <s v="Sainik Finance and Industries Ltd"/>
        <s v="ARIGATO UNIVERSE LIMITED"/>
        <s v="Quantum Digital Vision (India) Ltd."/>
        <s v="Hemang Resources Limited"/>
        <s v="PAOS INDUSTRIES LIMITED"/>
        <s v="Grandma Trading &amp; Agencies Ltd."/>
        <s v="Britannia Industries Ltd."/>
        <s v="Chaman Lal Setia Exports Ltd."/>
        <s v="Informed Technologies India Ltd."/>
        <s v="KIMIA BIOSCIENCES LIMITED"/>
        <s v="Hindustan Tin Works Ltd."/>
        <s v="Godavari Drugs Ltd."/>
        <s v="Premco Global Ltd."/>
        <s v="Mukesh Babu Financial Services Ltd."/>
        <s v="Colgate-Palmolive (India) Ltd."/>
        <s v="ASIAN ENERGY SERVICES LTD"/>
        <s v="KBS INDIA LIMITED"/>
        <s v="PRABHHANS INDUSTRIES LIMITED"/>
        <s v="Ugar Sugar Works Ltd."/>
        <s v="Orient Bell Limited"/>
        <s v="NRB Bearings Ltd."/>
        <s v="Vamshi Rubber Ltd."/>
        <s v="Nila Infrastructures Ltd"/>
        <s v="DB(INTERNATIONAL)Stock Brokers Ltd"/>
        <s v="Vinyoflex Ltd."/>
        <s v="Jindal Capital Ltd."/>
        <s v="EPIC Energy Ltd."/>
        <s v="Sumedha Fiscal Services Ltd."/>
        <s v="Kuwer Industries Ltd."/>
        <s v="Choksi Imaging Ltd."/>
        <s v="Ashish Polyplast Ltd."/>
        <s v="Ador Fontech Ltd"/>
        <s v="Shiva Global Agro Industries Limited"/>
        <s v="Siddha Ventures Limited"/>
        <s v="Kiran Syntex Ltd."/>
        <s v="Safa Systems &amp; Technologies Limited"/>
        <s v="Rungta Irrigation Ltd."/>
        <s v="Cinerad Communications Ltd."/>
        <s v="Valson Industries Ltd."/>
        <s v="Saboo Sodium Chloro Ltd."/>
        <s v="GSL Securities Ltd."/>
        <s v="Tinna Rubber and Infrastructure Limited"/>
        <s v="Vikram Thermo (India) Ltd."/>
        <s v="Future Market Networks Limited"/>
        <s v="A.K.Capital Services Ltd."/>
        <s v="ITC Ltd"/>
        <s v="Virat Industries Ltd."/>
        <s v="RAJNISH RETAIL LIMITED"/>
        <s v="Terai Tea Co. Ltd."/>
        <s v="Manraj Housing Finance Ltd."/>
        <s v="Cosco (India) ltd."/>
        <s v="Ken Financial Services Ltd."/>
        <s v="Bombay Burmah Trading Corpn. Ltd."/>
        <s v="Paramount Communications Ltd."/>
        <s v="NCL Research And Financial Services"/>
        <s v="POPEES CARES LIMITED"/>
        <s v="Beekay Niryat Limited"/>
        <s v="Ladderup Finance Ltd."/>
        <s v="U. Y. FINCORP LIMITED"/>
        <s v="Rithwik Facility Management Services Limited"/>
        <s v="Swastika Investmart Ltd"/>
        <s v="Prima Plastics Ltd."/>
        <s v="TeleCanor Global Limited"/>
        <s v="Jagsonpal Finance &amp; Leasing Ltd."/>
        <s v="Garg Furnace Ltd."/>
        <s v="Sampre Nutritions Ltd."/>
        <s v="Akar Auto Industries Limited"/>
        <s v="Vipul Organics Limited"/>
        <s v="Eco Recycling Limited"/>
        <s v="Goodluck India Limited"/>
        <s v="Goyal Associates Ltd."/>
        <s v="Zenith Health Care Ltd."/>
        <s v="York Exports Ltd."/>
        <s v="Supreme Holdings &amp; Hospitality (India) Ltd"/>
        <s v="Greencrest Financial Services Limited"/>
        <s v="Prime Property Development Corporation Ltd."/>
        <s v="MARKOBENZ VENTURES LIMITED"/>
        <s v="Raj Rayon Industries Limited"/>
        <s v="Flora Textiles Ltd."/>
        <s v="Gowra Leasing &amp; Finance Ltd."/>
        <s v="Jagan Lamps Ltd."/>
        <s v="AJEL Limited"/>
        <s v="Alps Industries Ltd."/>
        <s v="Asit C Mehta Financial Services Limited"/>
        <s v="ENCODE PACKAGING INDIA LIMITED"/>
        <s v="Super Bakers (India) Ltd."/>
        <s v="Ovobel Foods Ltd."/>
        <s v="CHALLANI CAPITAL LIMITED"/>
        <s v="Coral Newsprints Ltd."/>
        <s v="Sterling Tools Ltd."/>
        <s v="AGARWAL FORTUNE INDIA LIMITED"/>
        <s v="Dynamic Protfolio Management &amp; Serv"/>
        <s v="Inland Printers Ltd."/>
        <s v="Ceejay Finance Limited"/>
        <s v="Suncity Synthetics Ltd."/>
        <s v="TRANSVOY LOGISTICS INDIA LIMITED"/>
        <s v="Anna Infrastructures Ltd"/>
        <s v="Bhageria Industries Limited"/>
        <s v="Cargosol Logistics Limited"/>
        <s v="Asian Tea &amp; Exports Ltd."/>
        <s v="Gillette India Ltd."/>
        <s v="SSPDL Limited"/>
        <s v="Daikaffil Chemicals India Ltd."/>
        <s v="Cil Securities Ltd."/>
        <s v="Clio Infotech Ltd."/>
        <s v="Cupid Limited"/>
        <s v="Sunshield Chemicals Ltd."/>
        <s v="Hipolin Ltd."/>
        <s v="GDL Leasing &amp; Finance ltd."/>
        <s v="Chembond Chemicals Ltd."/>
        <s v="CAPITAL INDIA FINANCE LIMITED"/>
        <s v="Arunjyoti Bio Ventures Limited"/>
        <s v="Super Crop Safe Ltd."/>
        <s v="N.G.Industries Ltd."/>
        <s v="Asia Pack Ltd."/>
        <s v="Dhanlaxmi Cotex Ltd."/>
        <s v="Fortune International Ltd."/>
        <s v="MFL India Ltd"/>
        <s v="Remsons Industries Ltd."/>
        <s v="Ramsons Projects Ltd."/>
        <s v="Haryana Financial Corporation ltd."/>
        <s v="DANUBE INDUSTRIES LIMITED"/>
        <s v="Stanpacks (India) Ltd."/>
        <s v="Sri Adhikari Brothers Television Ne"/>
        <s v="RAMINFO LIMITED"/>
        <s v="Sunil Agro Foods ltd."/>
        <s v="Diana Tea Co.Ltd."/>
        <s v="Vikas EcoTech Limited"/>
        <s v="VST Industries Ltd."/>
        <s v="Alfa Ica (India) Ltd"/>
        <s v="Shri Keshav Cements and Infra Limited"/>
        <s v="India Home Loan Limited"/>
        <s v="Roopa Industries Ltd."/>
        <s v="Unique Organics Ltd."/>
        <s v="Avanti Feeds ltd."/>
        <s v="Swarna Securities Ltd."/>
        <s v="Kratos Energy &amp; Infrastructure Limited"/>
        <s v="Visagar Financial Services Ltd"/>
        <s v="Libord Securities Ltd."/>
        <s v="ERAAYA LIFESPACES LIMITED"/>
        <s v="Competent Automobiles Co. Ltd."/>
        <s v="Dhanvantri Jeevan Rekha Ltd."/>
        <s v="Neelkanth Rockminerals ltd."/>
        <s v="Vintage Securities Ltd."/>
        <s v="Oswal Overseas Ltd"/>
        <s v="Sunil Industries Ltd."/>
        <s v="Vijay Solvex Ltd."/>
        <s v="Shri Krishna Devcon Limited"/>
        <s v="Innovative Ideals and Services (India) Limited"/>
        <s v="Nihar Info Global Ltd."/>
        <s v="United Credit ltd."/>
        <s v="OM INFRA LIMITED"/>
        <s v="Checkpoint Trends Limited"/>
        <s v="Ishan Dyes &amp; Chemicals Ltd."/>
        <s v="Gothi Plascon (India) Ltd."/>
        <s v="BALU FORGE INDUSTRIES LIMITED"/>
        <s v="Ceenik Exports (india) Ltd."/>
        <s v="Hindustan Foods Ltd."/>
        <s v="Inani Marbles &amp; Industries Ltd."/>
        <s v="Tarini International Limited"/>
        <s v="El Forge Ltd."/>
        <s v="Medicamen Biotech Ltd."/>
        <s v="Alicon Castalloy Limited"/>
        <s v="Diligent Industries Limited"/>
        <s v="Epsom Properties Limited"/>
        <s v="Alfavision Overseas (India) Ltd."/>
        <s v="Organic Coatings Ltd."/>
        <s v="Lex Nimble Solutions Limited"/>
        <s v="ABM Knowledgeware Ltd."/>
        <s v="Heritage Foods Limited"/>
        <s v="Kemistar Corporation Limited"/>
        <s v="Associated Ceramics Ltd."/>
        <s v="SKP Securities Ltd."/>
        <s v="Syschem (India) Ltd."/>
        <s v="BLS Infotech Limited"/>
        <s v="Mefcom Capital Markets Ltd."/>
        <s v="Diggi Multitrade Limited"/>
        <s v="Arman Financial Services Limited"/>
        <s v="Glance Finance Ltd."/>
        <s v="Shilchar Technologies Ltd."/>
        <s v="Zenlabs Ethica Limited"/>
        <s v="Gconnect Logitech and Supply Chain Limited"/>
        <s v="Nucleus Software Exports Ltd"/>
        <s v="Colinz Laboratories ltd."/>
        <s v="Nalin Lease Finance Ltd."/>
        <s v="CCL Products (India) Ltd."/>
        <s v="RTS Power Corporation Ltd."/>
        <s v="Comfort Intech Ltd"/>
        <s v="Shyama Infosys Ltd."/>
        <s v="Mayur Floorings Ltd."/>
        <s v="Anjani Synthetics Limited"/>
        <s v="XTGLOBAL INFOTECH LIMITED"/>
        <s v="Deco-Mica Ltd."/>
        <s v="Rander Corporation Ltd."/>
        <s v="Rasi Electrodes Ltd."/>
        <s v="SCOOBEE DAY GARMENTS (INDIA) LIMITED"/>
        <s v="Citiport Financial Services Ltd."/>
        <s v="Dhruva Capital Services Ltd."/>
        <s v="MRC AGROTECH LIMITED"/>
        <s v="LINC LIMITED"/>
        <s v="Prima Industries Ltd."/>
        <s v="India Gelatine &amp; Chemicals Ltd."/>
        <s v="Optimus Finance Limited"/>
        <s v="Paragon Finance Ltd."/>
        <s v="Pratiksha Chemicals Ltd."/>
        <s v="Esha Media Research Limited"/>
        <s v="Refex Renewables &amp; Infrastructure Limited"/>
        <s v="V.S.T.Tillers Tractors Ltd."/>
        <s v="B2B Software Technologies Ltd."/>
        <s v="Nikki Global Finance Ltd."/>
        <s v="Radhe Developers (India) ltd."/>
        <s v="Elixir Capital Limited"/>
        <s v="Trishakti Industries Limited"/>
        <s v="Pankaj Polymers Ltd."/>
        <s v="MARBLE CITY INDIA LIMITED"/>
        <s v="Cindrella Financial Services Ltd."/>
        <s v="National Plastic Technologies Ltd"/>
        <s v="Lead Financial Services  Ltd"/>
        <s v="National Fittings Limited"/>
        <s v="Tai Industries Ltd."/>
        <s v="Amit International Ltd."/>
        <s v="Nutech Global Ltd."/>
        <s v="DHP India Ltd."/>
        <s v="RRIL LIMITED"/>
        <s v="Available Finance Ltd."/>
        <s v="INTEGRA CAPITAL LIMITED"/>
        <s v="SRI HAVISHA HOSPITALITY AND INFRASTRUCTURE LIMITED"/>
        <s v="JAYATMA INDUSTRIES LIMITED"/>
        <s v="Roselabs Finance Ltd."/>
        <s v="KRETTO SYSCON LIMITED"/>
        <s v="Roni Households Limited"/>
        <s v="Gujarat Ambuja Exports Ltd."/>
        <s v="WinPro Industries Limited"/>
        <s v="Milestone Global Limited"/>
        <s v="Bervin Investments And Leasing Ltd."/>
        <s v="Gujarat Investa Ltd."/>
        <s v="Shahi Shipping Limited"/>
        <s v="Eastern Treads Ltd."/>
        <s v="Panacea Biotec Ltd."/>
        <s v="Peeti Securities Ltd."/>
        <s v="MERCURY EV-TECH LIMITED"/>
        <s v="Piccadily Agro Industries ltd."/>
        <s v="Shriram Asset Management Co.Ltd."/>
        <s v="SBEC Systems (Ind) Ltd."/>
        <s v="Fruition Venture Limited"/>
        <s v="SPARC ELECTREX LIMITED"/>
        <s v="The Byke Hospitality    Ltd"/>
        <s v="Centenial Surgical Suture Ltd."/>
        <s v="Arihant Foundations &amp; Housing Ltd."/>
        <s v="Hasti Finance Ltd."/>
        <s v="Upsurge Investment And Finance Ltd."/>
        <s v="Padam Cotton Yarns Ltd."/>
        <s v="Women Networks Ltd."/>
        <s v="Polycon International Ltd."/>
        <s v="Source Natural Foods &amp; Herbal Suppl Ltd"/>
        <s v="G.G.Automotive Gears Ltd."/>
        <s v="Almondz Global Securities Limited"/>
        <s v="Cargotrans Maritime Limited"/>
        <s v="ANS Limited"/>
        <s v="Tuni Textile Mills Ltd."/>
        <s v="Radix Industries (India) Limited"/>
        <s v="Kiran Print-Pack Ltd."/>
        <s v="Narendra Properties Ltd."/>
        <s v="Mega Corporation Ltd"/>
        <s v="Tamil Nadu Newsprint And Papers Ltd"/>
        <s v="KRBL Ltd."/>
        <s v="Systematix Securities Ltd."/>
        <s v="Sungold Capital Ltd."/>
        <s v="Saffron Industries Limited"/>
        <s v="Prakash Woollen &amp; Synthetic Mills Ltd"/>
        <s v="AION-TECH SOLUTIONS LIMITED"/>
        <s v="Vardhman Concrete Limited"/>
        <s v="GRM Overseas Ltd."/>
        <s v="Mohit Industries Limited"/>
        <s v="Polylink Polymers (india) Ltd."/>
        <s v="Minaxi Textiles Ltd."/>
        <s v="Continental Controls Ltd."/>
        <s v="Yash Management &amp; Satellite Ltd."/>
        <s v="Duke Offshore Ltd."/>
        <s v="Cybele  Industries Limited"/>
        <s v="Cg-Vak Software &amp; Exports Ltd."/>
        <s v="NAVKAR URBANSTRUCTURE LIMITED"/>
        <s v="Madhucon Projects Ltd."/>
        <s v="Sybly Industries Ltd."/>
        <s v="Emami Ltd"/>
        <s v="Pro Fin Capital Services Ltd"/>
        <s v="Maris Spinners Ltd."/>
        <s v="Indergiri Finance ltd."/>
        <s v="Vrundavan Plantation Limited"/>
        <s v="Eveready Industries India Ltd."/>
        <s v="Step Two Corporation Ltd."/>
        <s v="Orient Tradelink Ltd."/>
        <s v="O. P. Chains Limited"/>
        <s v="VIKAS PROPPANT &amp; GRANITE LTD."/>
        <s v="Desh Rakshak Aushdhalaya Ltd."/>
        <s v="Ace Software Exports ltd."/>
        <s v="Softrak Venture Investments Ltd."/>
        <s v="Zydus Wellness Limited"/>
        <s v="ACCEDERE LIMITED"/>
        <s v="Sarthak Industries Ltd."/>
        <s v="Rishabh Digha Steel And Allied Prod"/>
        <s v="Maruti Infrastructure Ltd."/>
        <s v="KOBO BIOTECH LIMITED"/>
        <s v="Hatsun Agro Products Ltd."/>
        <s v="Somany Ceramics Limited"/>
        <s v="Jhaveri Credits &amp; Capital Ltd."/>
        <s v="Raghunath Tobacco Co. Ltd."/>
        <s v="BNR Udyog Ltd."/>
        <s v="Palm Jewels Limited"/>
        <s v="Ashutosh Paper Mills Ltd."/>
        <s v="Sanjivani Paranteral Ltd."/>
        <s v="Vas Infrastructure  Ltd."/>
        <s v="KMF Builders &amp; Developers Ltd."/>
        <s v="Beryl Securities Ltd"/>
        <s v="Rap Media Ltd."/>
        <s v="Gautam Exim Limited"/>
        <s v="Bampsl Securities Ltd."/>
        <s v="NEERAJ PAPER MARKETING LIMITED"/>
        <s v="Incon Engineers Ltd."/>
        <s v="Marico Limited"/>
        <s v="Triveni Engineering &amp; Industries Ltd"/>
        <s v="Gogia Capital Services Limited"/>
        <s v="Gorani Industries Ltd."/>
        <s v="KG Petrochem Ltd."/>
        <s v="Country Condo's Ltd"/>
        <s v="Orosil Smiths India Limited"/>
        <s v="TEJASSVI AAHARAM LIMITED"/>
        <s v="Lincoln Pharmaceuticals ltd."/>
        <s v="PRAVEG LIMITED"/>
        <s v="Suraj Ltd."/>
        <s v="Suvidha Infraestate Corporation Limited"/>
        <s v="Godrej Consumer Products Ltd."/>
        <s v="Tokyo Finance Ltd."/>
        <s v="B.J.Duplex Boards Ltd."/>
        <s v="National General Industries Ltd."/>
        <s v="Thirdwave Financial Intermediaries"/>
        <s v="Hittco Tools Ltd."/>
        <s v="RR METALMAKERS INDIA LIMITED"/>
        <s v="Vision Corporation Ltd."/>
        <s v="Bisil Plast Limited"/>
        <s v="Inani Securities Ltd."/>
        <s v="Anka India Ltd."/>
        <s v="AMERISE BIOSCIENCES LIMITED"/>
        <s v="Prithvi Exchange (India) Limited"/>
        <s v="Khyati Multimedia-Entertainment Ltd"/>
        <s v="Rainbow Foundations Ltd"/>
        <s v="Nyssa Corporation Limited"/>
        <s v="Tricom Fruit Products Limited"/>
        <s v="Vidhi Specialty Food Ingredients Limited"/>
        <s v="Bhagiradha Chemicals and Industries"/>
        <s v="GACM Technologies Limited"/>
        <s v="Panchsheel Organic Ltd."/>
        <s v="Menon Pistons Ltd."/>
        <s v="Prism Finance Ltd."/>
        <s v="Frontline Corporation Limited"/>
        <s v="Gennex Laboratories Ltd"/>
        <s v="CRP Risk Management Limited"/>
        <s v="Mitshi India Limited"/>
        <s v="Prajay Engineers Syndicate Ltd."/>
        <s v="BIOGEN PHARMACHEM INDUSTRIES LIMITED"/>
        <s v="G.k.Consultants Ltd."/>
        <s v="APOLLO PIPES LIMITED"/>
        <s v="Unjha Formulations Ltd."/>
        <s v="United Spirits Limited"/>
        <s v="SHRADDHA PRIME PROJECTS LTD"/>
        <s v="Kachchh Minerals Ltd."/>
        <s v="Padmanabh Alloys &amp; Polymers Ltd."/>
        <s v="Samyak International Limited"/>
        <s v="KCL Infra Projects Limited"/>
        <s v="Atul Auto Limited"/>
        <s v="Scan Projects Ltd"/>
        <s v="Prerna Infrabuild Limited"/>
        <s v="Metal Coatings (India) Ltd."/>
        <s v="SGN Telecoms Ltd."/>
        <s v="Ganga Papers India Ltd"/>
        <s v="Tirupati Sarjan Ltd."/>
        <s v="Munoth Financial Services Ltd."/>
        <s v="Rodium Realty Limited"/>
        <s v="Nagarjuna Agritech Ltd."/>
        <s v="Natura Hue Chem Ltd."/>
        <s v="IEC Education Limited"/>
        <s v="Indus Finance Limited"/>
        <s v="Golechha Global Finance Ltd."/>
        <s v="ZENITH STEEL PIPES AND  INDUSTRIES LIMITED"/>
        <s v="Trinity League India Limited"/>
        <s v="Asian Star Co. Ltd."/>
        <s v="ORIENTAL RAIL INFRASTRUCTURE LIMITED"/>
        <s v="Joindre Capital Services Ltd."/>
        <s v="Bharat Agri Fert and Realty Ltd"/>
        <s v="Unitech International Ltd"/>
        <s v="Sacheta Metals Ltd."/>
        <s v="Popular Estate Management Ltd"/>
        <s v="Anjani Finance Ltd"/>
        <s v="Muller &amp; Phipps (India) Ltd."/>
        <s v="Rahul Merchandising ltd."/>
        <s v="Rexnord Electronics &amp; Controls Ltd."/>
        <s v="INTEGRATED INDUSTRIES LIMITED"/>
        <s v="Khandwala Securities Ltd."/>
        <s v="White Organic Retail Limited"/>
        <s v="CCL International Ltd"/>
        <s v="Gallops Enterprise  Limited"/>
        <s v="CROISSANCE LIMITED"/>
        <s v="Madhuveer Com 18 Network Limited"/>
        <s v="Galaxy Agrico Exports Ltd."/>
        <s v="Gopal Iron &amp; Steels Co.(Gujarat) Lt"/>
        <s v="Onesource Ideas Venture Limited"/>
        <s v="Agarwal Industrial Corporation Limited"/>
        <s v="Dhampure Speciality Sugars Ltd."/>
        <s v="Shantanu Sheorey Aquakult ltd."/>
        <s v="Innocorp Limited"/>
        <s v="Hira Automobiles Ltd."/>
        <s v="Saianand Commercial Limited"/>
        <s v="Blue Chip India Ltd"/>
        <s v="SERVOTEACH INDUSTRIES LTD"/>
        <s v="Chadha Papers Ltd."/>
        <s v="Vertex Securities Ltd."/>
        <s v="Riba Textiles Ltd."/>
        <s v="Shyam Telecom Ltd."/>
        <s v="Kashyap Tele-Medicines Limited"/>
        <s v="Shree Metalloys Limited"/>
        <s v="IITL PROJECTS LIMITED"/>
        <s v="Hari Govind International Ltd."/>
        <s v="Catvision Limited"/>
        <s v="Ambika Cotton Mills Ltd."/>
        <s v="HIND ALUMINIUM INDUSTRIES LTD."/>
        <s v="Senthil Infotek Limited"/>
        <s v="Spectrum Foods Limited"/>
        <s v="Amraworld Agrico Ltd."/>
        <s v="Odyssey Corporation Ltd."/>
        <s v="VUENOW INFRATECH LIMITED"/>
        <s v="Inducto Steels ltd."/>
        <s v="Sam Industries Ltd."/>
        <s v="NEELKANTH LIMITED"/>
        <s v="VASHU BHAGNANI INDUSTRIES LIMITED"/>
        <s v="Gravity (India) Ltd."/>
        <s v="ESPIRE HOSPITALITY LIMITED"/>
        <s v="LCC Infotech Ltd."/>
        <s v="Filatex Fashions Ltd"/>
        <s v="R.B.Gupta Financials Ltd."/>
        <s v="Sindhu Trade Links Limited"/>
        <s v="Unistar Multimedia Ltd"/>
        <s v="Zenotech Laboratories Limited"/>
        <s v="Hindustan Bio Sciences Ltd."/>
        <s v="Tirth Plastic Ltd."/>
        <s v="Swelect Energy Systems Limited"/>
        <s v="Wallfort Financial Services Ltd."/>
        <s v="KDDL Ltd"/>
        <s v="Adinath Exim Resources Ltd."/>
        <s v="Abhinav Capital Services Limited"/>
        <s v="3B BlackBio Dx Limited"/>
        <s v="Sumuka Agro Industries Limited"/>
        <s v="MONIND LIMITED"/>
        <s v="Enbee Trade &amp; Finance Ltd."/>
        <s v="Vandana Knitwear Limited"/>
        <s v="EPUJA SPIRITECH LIMITED"/>
        <s v="Indo-City Infotech Ltd."/>
        <s v="SBEC Sugar Ltd."/>
        <s v="Brijlaxmi Leasing &amp; Finance ltd."/>
        <s v="BSEL ALGO LIMITED"/>
        <s v="Reliable Ventures India Ltd"/>
        <s v="United Breweries Ltd."/>
        <s v="SMC Credits ltd."/>
        <s v="Mohite Industries Limited"/>
        <s v="Andhra Cement Ltd."/>
        <s v="SKM Egg Products Exports (India) Lt"/>
        <s v="Radico Khaitan Ltd."/>
        <s v="H.S.India Ltd."/>
        <s v="Shree Renuka Sugars Ltd."/>
        <s v="Indraprastha Medical Corporation Lt"/>
        <s v="PARLE INDUSTRIES LIMITED"/>
        <s v="LT Foods Limited"/>
        <s v="JYOTHY LABS LIMITED"/>
        <s v="TRESCON LIMITED"/>
        <s v="Gujarat State Financial corporation"/>
        <s v="Varun Beverages Limited"/>
        <s v="Godrej Agrovet Limited"/>
        <s v="Minolta Finance Ltd."/>
        <s v="Omkar Pharmachem Ltd."/>
        <s v="Adroit Infotech Limited"/>
        <s v="Cybertech Systems and Software Ltd."/>
        <s v="Mrs. Bectors Food Specialities Limited"/>
        <s v="Dodla Dairy Limited"/>
        <s v="Adani Wilmar Limited"/>
        <s v="Dhanlaxmi Bank Limited"/>
        <s v="Bikaji Foods International Limited"/>
        <s v="Gayatri Sugars Ltd."/>
        <s v="Honasa Consumer Limited"/>
        <s v="DOMS Industries Limited"/>
        <s v="Bajaj Finance Limited"/>
        <s v="CRISIL Ltd."/>
        <s v="Archies Ltd."/>
        <s v="IFCI Ltd."/>
        <s v="HB Stockholdings Ltd."/>
        <s v="Siel Financial Services Ltd."/>
        <s v="State Bank Of India"/>
        <s v="Energy Development Company Ltd."/>
        <s v="IDBI Bank Ltd"/>
        <s v="Bengal Tea &amp; fabrics Ltd."/>
        <s v="HDFC Bank Ltd."/>
        <s v="India Nippon Electricals Ltd"/>
        <s v="Nalwa Sons Investment Ltd"/>
        <s v="Kotak Mahindra Bank Ltd."/>
        <s v="YASH INNOVENTURES LIMITED"/>
        <s v="ACCELYA SOLUTIONS INDIA LIMITED"/>
        <s v="ORCHASP LIMITED"/>
        <s v="Lic Housing Finance Ltd."/>
        <s v="TCFC Finance Ltd"/>
        <s v="Geojit Financial Services Limited"/>
        <s v="Maharashtra Scooters Ltd."/>
        <s v="BLB Limited"/>
        <s v="Max Financial Services Limited"/>
        <s v="Piramal Enterprises Limited"/>
        <s v="Integrated Hi-tech ltd."/>
        <s v="KJMC Corporate Advisors (India) Ltd."/>
        <s v="Ind-Swift Laboratories Ltd."/>
        <s v="GE Power India Limited"/>
        <s v="Shree Rama Multi-tech Ltd."/>
        <s v="Federal Bank Ltd."/>
        <s v="Telesys Software Ltd."/>
        <s v="Vaarad Ventures Ltd"/>
        <s v="Bajaj Holdings &amp; Investment Limited"/>
        <s v="Shiva Cement Ltd."/>
        <s v="Cinevista Limited"/>
        <s v="Intense Technologies"/>
        <s v="Danlaw Technologies India Ltd."/>
        <s v="Tata Investment Corporation Ltd."/>
        <s v="HB Portfolio Ltd."/>
        <s v="HB Estate Developers Ltd."/>
        <s v="Ambica Agarbathies &amp; Aroma Ind. Ltd."/>
        <s v="Compucom Software Lt."/>
        <s v="Omni Axs Software Ltd."/>
        <s v="IZMO Limited"/>
        <s v="CHOLAMANDALAM FINANCIAL HOLDINGS LIMITED"/>
        <s v="SoftSol India Limited."/>
        <s v="Sahara Maritime Limited"/>
        <s v="Subex  Ltd"/>
        <s v="A.F. Enterprises Limited"/>
        <s v="Padmalaya Telefilms Ltd."/>
        <s v="Aksh Optifibre Ltd."/>
        <s v="Virgo Global Limited"/>
        <s v="Picturehouse Media Limited"/>
        <s v="Can Fin Homes Ltd."/>
        <s v="Mukta Arts Ltd."/>
        <s v="Nagpur Power &amp; Industries Ltd"/>
        <s v="Dynacons Systems &amp; Solutions Ltd."/>
        <s v="PNB Gilts Ltd"/>
        <s v="Ramco Industries Ltd"/>
        <s v="Ramco Systems Ltd"/>
        <s v="Shriram Finance Limited"/>
        <s v="Virinchi Limited"/>
        <s v="WEP Solutions Ltd"/>
        <s v="Cholamandalam Investment and Finance Company Ltd"/>
        <s v="TVS Holdings Limited"/>
        <s v="MRO-TEK Realty Limited"/>
        <s v="Universal Arts Ltd"/>
        <s v="FIRST FINTEC LIMITED"/>
        <s v="Baba Arts Ltd"/>
        <s v="Balaji Telefilms Ltd."/>
        <s v="Tyche Industries Ltd."/>
        <s v="California Software Co. Ltd."/>
        <s v="Pritish Nandy Communications Ltd"/>
        <s v="JM Financial Limited"/>
        <s v="Taj GVK Hotels &amp; Resorts Ltd."/>
        <s v="Creative Eye Ltd."/>
        <s v="AXISCADES TECHNOLOGIES LIMITED"/>
        <s v="KONNDOR INDUSTRIES LIMITED"/>
        <s v="Usha Martin Education &amp; Solutions Limited"/>
        <s v="POONAWALLA FINCORP LIMITED"/>
        <s v="USG Tech Solutions Ltd"/>
        <s v="Saven Technologies Ltd."/>
        <s v="Avantel Limited"/>
        <s v="Manappuram Finance Limited"/>
        <s v="Megasoft Ltd."/>
        <s v="Transcorp International Ltd."/>
        <s v="Cerebra Integrated Technologies Ltd."/>
        <s v="Next Mediaworks Ltd"/>
        <s v="Smartlink Holdings Limited"/>
        <s v="Choice International Ltd"/>
        <s v="GENUS PRIME INFRA LIMITED"/>
        <s v="DISHA RESOURCES LIMITED"/>
        <s v="Capri Global Capital Limited"/>
        <s v="Sanmit Infra Limited"/>
        <s v="Bank Of Baroda"/>
        <s v="MPS Limited"/>
        <s v="Bank of India"/>
        <s v="T. Spiritual World Ltd."/>
        <s v="ICICI Bank Ltd."/>
        <s v="Shalimar Wires Industries Ltd."/>
        <s v="Gulshan Polyols Ltd."/>
        <s v="Ponni Sugars (Erode) Ltd."/>
        <s v="IndusInd Bank Ltd."/>
        <s v="Jammu and Kashmir Bank Ltd."/>
        <s v="Hazoor Multi Projects Limited"/>
        <s v="City Union Bank Ltd"/>
        <s v="Aptech Ltd."/>
        <s v="AXIS Bank Ltd."/>
        <s v="South Indian Bank Ltd."/>
        <s v="ISMT Limited"/>
        <s v="Future Supply Chain Solutions Limited"/>
        <s v="Indian Overseas Bank"/>
        <s v="Punjab National Bank"/>
        <s v="Balmer Lawrie Investments Ltd."/>
        <s v="Pokarna Ltd."/>
        <s v="Kama Holdings Limited"/>
        <s v="Union Bank of India"/>
        <s v="Canara Bank"/>
        <s v="UCO Bank"/>
        <s v="Rajapalayam Mills Limited"/>
        <s v="Bank of maharashtra"/>
        <s v="IIFL FINANCE LIMITED"/>
        <s v="B.A.G. Films &amp; Media Ltd"/>
        <s v="JSW Holdings Limited"/>
        <s v="Yes Bank Ltd."/>
        <s v="TVS Electronics Ltd."/>
        <s v="Karnataka Bank Ltd."/>
        <s v="T.V.Today Network Limited"/>
        <s v="Palred Technologies Limited"/>
        <s v="IDFC LIMITED"/>
        <s v="Mahindra &amp; Mahindra Financial Services Limited"/>
        <s v="Power Finance Corporation Ltd"/>
        <s v="Indian Bank"/>
        <s v="ICRA Limited"/>
        <s v="Datamatics Global Services Limited"/>
        <s v="New Delhi Television Limited"/>
        <s v="Central Bank of India"/>
        <s v="Jaiprakash Associates Limited"/>
        <s v="Motilal Oswal Financial Services Limited"/>
        <s v="PAISALO DIGITAL LIMITED"/>
        <s v="Religare Enterprises Ltd"/>
        <s v="Edelweiss Financial Services Ltd."/>
        <s v="GP Petroleums Limited"/>
        <s v="REC LIMITED"/>
        <s v="Bajaj Finserv Limited"/>
        <s v="Bengal &amp; Assam Company Limited"/>
        <s v="S.A.L. Steel Ltd."/>
        <s v="PUNJAB &amp; SIND BANK"/>
        <s v="Dwarikesh Sugar Industries Ltd."/>
        <s v="Indoco Remedies Ltd."/>
        <s v="VIP Clothing Limited"/>
        <s v="Impex Ferro tech Ltd."/>
        <s v="Xchanging Solutions Limited"/>
        <s v="Triveni Enterprises Limited"/>
        <s v="Jindal Photo Limited"/>
        <s v="Pondy Oxides &amp; Chemicals Limited"/>
        <s v="MUTHOOT FINANCE LIMITED"/>
        <s v="3i Infotech limited"/>
        <s v="McNally Bharat Engineering Company Limited"/>
        <s v="L&amp;T Finance Limited"/>
        <s v="Sumeru Industries Ltd."/>
        <s v="Multi Commodity Exchange of India Ltd"/>
        <s v="Mangalam Drugs and Organics Ltd."/>
        <s v="INDIABULLS HOUSING FINANCE LIMITED"/>
        <s v="Cyber Media (India) Ltd."/>
        <s v="Nandan Denim Limited"/>
        <s v="Authum Investment &amp; Infrastructure Limited"/>
        <s v="IDFC FIRST BANK LIMITED"/>
        <s v="Esaar (India) Ltd."/>
        <s v="INFIBEAM AVENUES LIMITED"/>
        <s v="Nectar Lifesciences Limited"/>
        <s v="MSP STEEL &amp; POWER LTD."/>
        <s v="SPL INDUSTRIES LIMITED"/>
        <s v="Pilani Investment And Industries Corporation Limited"/>
        <s v="McLeod Russel India Limited"/>
        <s v="FACOR Alloys Limited"/>
        <s v="RBL Bank Limited"/>
        <s v="Rane (Madras)  Ltd."/>
        <s v="HT Media Ltd"/>
        <s v="Sasken Technologies Limited"/>
        <s v="FCS Software Solutions Ltd."/>
        <s v="ICICI Prudential Life Insurance Company Limited"/>
        <s v="PNB Housing Finance Limited"/>
        <s v="Housing &amp;Urban Development Corporation Ltd."/>
        <s v="K. M. Sugar Mills Ltd."/>
        <s v="Bannari Amman Spinning Mills Ltd"/>
        <s v="PBA INFRASTRUCTURE LTD."/>
        <s v="AU Small Finance Bank Limited"/>
        <s v="Everest Kanto Cylinders Ltd."/>
        <s v="Gemstone Investments Ltd."/>
        <s v="Repro India Ltd."/>
        <s v="Aditya Birla Capital Ltd"/>
        <s v="Bartronics India Ltd."/>
        <s v="Celebrity Fashions Ltd."/>
        <s v="Nitin Spinners Ltd."/>
        <s v="Royal Orchid Hotels Ltd"/>
        <s v="Entertainment Network (India) Ltd"/>
        <s v="CELLA SPACE LIMITED"/>
        <s v="ICICI Lombard General Insurance Company Limited"/>
        <s v="Jagran Prakashan Limited"/>
        <s v="Dynemic Products Ltd."/>
        <s v="GVK Power &amp; Infrastructure Ltd"/>
        <s v="Sadbhav Engineering Ltd."/>
        <s v="Sun Retail Limited"/>
        <s v="SBI Life Insurance Company Limited"/>
        <s v="Gillanders Arbuthnot &amp; Co. Ltd."/>
        <s v="Indo Tech Transformers Limited"/>
        <s v="B L Kashyap and Sons Ltd"/>
        <s v="Share India Securities Limited"/>
        <s v="Visa Steel Limited"/>
        <s v="Nitco Ltd."/>
        <s v="MPDL LIMITED"/>
        <s v="MAS Financial Services Limited"/>
        <s v="Indian Energy Exchange Limited"/>
        <s v="Malu Paper Mills Limited"/>
        <s v="Uttam Sugar Mills Ltd"/>
        <s v="STL Global Ltd"/>
        <s v="Kewal Kiran Clothing Ltd."/>
        <s v="General Insurance Corporation of India"/>
        <s v="NIPPON LIFE INDIA ASSET MANAGEMENT LIMITED"/>
        <s v="The New India Assurance Company Limited"/>
        <s v="Emkay Global Financial Services Ltd"/>
        <s v="Tantia Constructions Limited"/>
        <s v="Lokesh Machines Limited"/>
        <s v="Kamdhenu Limited"/>
        <s v="PAUSHAK LIMITED (formerly known as Darshak Limited)"/>
        <s v="GTN Textiles Ltd. (formerly known as GTN Industries Ltd.)"/>
        <s v="Inditrade Capital Limited"/>
        <s v="Prime Focus Limited"/>
        <s v="Coastal Roadways Ltd."/>
        <s v="SRU Steels Limited"/>
        <s v="HDFC LIFE INSURANCE COMPANY LIMITED"/>
        <s v="Bandhan Bank Limited"/>
        <s v="ICICI Securities Limited"/>
        <s v="Photon Capital Advisors Ltd"/>
        <s v="DEEP ENERGY RESOURCES LIMITED"/>
        <s v="HOV Services Limited"/>
        <s v="HDFC Asset Management Company Limited"/>
        <s v="GeeCee Ventures Limited"/>
        <s v="Richa Industries Limited"/>
        <s v="FIEM INDUSTRIES LIMITED"/>
        <s v="JHS Svendgaard Laboratories Ltd."/>
        <s v="DCB Bank Limited"/>
        <s v="Universal Office Automation Limited"/>
        <s v="Inspirisys Solutions Limited"/>
        <s v="GTL Infrastructure Limited"/>
        <s v="SHIVAM AUTOTECH LIMITED"/>
        <s v="CreditAccess Grameen Ltd."/>
        <s v="AAVAS Financiers Limited"/>
        <s v="Parsvnath Developers Ltd."/>
        <s v="SUTLEJ TEXTILES &amp; INDUSTRIES LIMITED"/>
        <s v="Spandana Sphoorty Financial Limited"/>
        <s v="IIFL Securities Limited"/>
        <s v="Ruchira Papers Ltd"/>
        <s v="CSB Bank Limited"/>
        <s v="Zee Media Corporation Limited"/>
        <s v="Siti Networks Limited"/>
        <s v="Lumax Auto Technologies Ltd."/>
        <s v="AUTOLINE INDUSTRIES LTD."/>
        <s v="Ujjivan Small Finance Bank Limited"/>
        <s v="Hubtown Limited"/>
        <s v="SBI CARDS AND PAYMENT SERVICES LIMITED"/>
        <s v="Cambridge Technology Enterprises Ltd."/>
        <s v="Computer Age Management Services Limited"/>
        <s v="Risa International Limited"/>
        <s v="AI CHAMPDANY INDUSTRIES LIMITED"/>
        <s v="Cineline India Limited"/>
        <s v="Pearl Global Industries Limited"/>
        <s v="ZINEMA MEDIA AND ENTERTAINMENT LIMITED"/>
        <s v="ANGEL ONE LIMITED"/>
        <s v="UTI Asset Management Company Limited"/>
        <s v="Transwarranty Finance Limited"/>
        <s v="Equitas Small Finance Bank Limited"/>
        <s v="SMS Pharmaceuticals Ltd"/>
        <s v="Oriental Trimex Limited"/>
        <s v="E-Land Apparel Limited"/>
        <s v="Indian Railway Finance Corporation"/>
        <s v="JAGJANANI TEXTILES LIMITED"/>
        <s v="Raj Television Network Ltd"/>
        <s v="Home First Finance Company India Limited"/>
        <s v="AMD Industries Ltd"/>
        <s v="LEHAR FOOTWEARS LIMITED"/>
        <s v="Aptus Value Housing Finance India Limited"/>
        <s v="Aditya Birla Sun Life AMC Limited"/>
        <s v="Camlin Fine Sciences Ltd"/>
        <s v="PB Fintech Limited"/>
        <s v="Dish TV India Limited"/>
        <s v="SAHYADRI INDUSTRIES LTD."/>
        <s v="Sree Rayalaseema Hi-Strength Hypo Limited"/>
        <s v="One 97 Communications Limited"/>
        <s v="TGB Banquets and Hotels Limited"/>
        <s v="HILTON METAL FORGING LIMITED"/>
        <s v="Delta Corp Limited"/>
        <s v="MIC Electronics Limited"/>
        <s v="Insecticides India Ltd."/>
        <s v="Asahi Songwon Colors Ltd."/>
        <s v="Haryana Capfin Ltd."/>
        <s v="Star Health and Allied Insurance Company Limited"/>
        <s v="DHYAANI TRADEVENTTURES LIMITED"/>
        <s v="Nelcast Limited"/>
        <s v="V2 Retail Limited"/>
        <s v="Anand Rathi Wealth Limited"/>
        <s v="Tarmat Limited"/>
        <s v="Ankit Metal  &amp; Power Limited"/>
        <s v="LIFE INSURANCE CORPORATION OF INDIA"/>
        <s v="Allied Digital Services Limited"/>
        <s v="Alpa Laboratories Limited"/>
        <s v="Sir Shadi Lal Enterprises Ltd"/>
        <s v="OMAXE LIMITED"/>
        <s v="Refex Industries Limited"/>
        <s v="Prudent Corporate Advisory Services Limited"/>
        <s v="SEL Manufacturing Company Limited"/>
        <s v="ASIAN GRANITO INDIA LIMITED"/>
        <s v="Tamilnad Mercantile Bank Limited"/>
        <s v="Take Solutions Ltd"/>
        <s v="Five-Star Business Finance Ltd."/>
        <s v="KFin Technologies Limited"/>
        <s v="VTM Ltd"/>
        <s v="Indowind Energy Ltd."/>
        <s v="Nagreeka Capital &amp; Infrastructure Limited"/>
        <s v="MAGNUM VENTURES LIMITED"/>
        <s v="Jio Financial Services Limited"/>
        <s v="Kaveri Seed Company Ltd"/>
        <s v="UTKARSH SMALL FINANCE BANK LIMITED"/>
        <s v="Supreme Infrastructure India Limited"/>
        <s v="MAAN ALUMINIUM LIMITED"/>
        <s v="IL&amp;FS Engineering and Construction Company Ltd"/>
        <s v="Aravali Securities &amp; Finance Ltd."/>
        <s v="SBFC Finance Limited"/>
        <s v="BARAK VALLEY CEMENTS LIMITED"/>
        <s v="RATHI BARS LIMITED"/>
        <s v="Mukta Agriculture Limited"/>
        <s v="Nuvama Wealth Management Limited"/>
        <s v="RENAISSANCE GLOBAL LIMITED"/>
        <s v="Kolte-Patil Developers Ltd"/>
        <s v="Kaushalya Infrastructure Development Corporation Ltd"/>
        <s v="Indian Renewable Energy Development Agency Limited"/>
        <s v="WORLDWIDE ALUMINIUM LIMITED"/>
        <s v="India Shelter Finance Corporation Limited"/>
        <s v="JANA SMALL FINANCE BANK LIMITED"/>
        <s v="BGR ENERGY SYSTEMS LIMITED"/>
        <s v="Burnpur Cement Limited"/>
        <s v="MANAKSIA LIMITED"/>
        <s v="PORWAL AUTO COMPONENTS LIMITED"/>
        <s v="PPAP Automotive Limited"/>
        <s v="Aries Agro Limited"/>
        <s v="Kuantum Papers Limited"/>
        <s v="Aadhar Housing Finance Limited"/>
        <s v="Go Digit General Insurance Limited"/>
        <s v="Cords Cable Industries Limited"/>
        <s v="Karur Vysya Bank Ltd."/>
        <s v="OnMobile Global Ltd."/>
        <s v="SEPC LIMITED"/>
        <s v="Bang Overseas Ltd"/>
        <s v="IRB Infrastructure Developers Limited"/>
        <s v="GSS Infotech Ltd"/>
        <s v="Nahar Capital &amp; Financial Services Ltd."/>
        <s v="SUNDARAM FINANCE LTD"/>
        <s v="BSE"/>
        <s v="GOKAK TEXTILES LTD."/>
        <s v="Dhani Services Limited"/>
        <s v="C D S L"/>
        <s v="KIRI INDUSTRIES LIMITED"/>
        <s v="Aditya Birla  Money Ltd"/>
        <s v="TELOGICA LIMITED"/>
        <s v="Sundaram Fin.Hol"/>
        <s v="Cipla Ltd."/>
        <s v="Dr. Reddy's Laboratories Ltd."/>
        <s v="Gokul Refoils and Solvent Limited"/>
        <s v="RPG Life Sciences Limited"/>
        <s v="Kotak Mahindra Mutual Fund"/>
        <s v="Niraj Cement Structurals Limited"/>
        <s v="Rane Brake Lining Limited"/>
        <s v="Rane Engine Valve Limited"/>
        <s v="CHL Limited"/>
        <s v="SEJAL GLASS LIMITED"/>
        <s v="Archidply Industries Limited"/>
        <s v="Lotus Eye Hospital And Institute Limited"/>
        <s v="SOMI CONVEYOR BELTINGS LIMITED"/>
        <s v="LGB Forge Limited"/>
        <s v="Landmark Property Development Company Ltd."/>
        <s v="Vaxfab Enterprises Limited"/>
        <s v="SIMPLEX MILLS COMPANY LIMITED"/>
        <s v="SIMPLEX PAPERS LTD."/>
        <s v="20 Microns Limited"/>
        <s v="PROCTER &amp; GAMBLE HEALTH LIMITED"/>
        <s v="Alkali Metals Limited"/>
        <s v="Lupin Ltd"/>
        <s v="Indian Metals &amp; Ferro Alloys Limited"/>
        <s v="Teamo Productions HQ Limited"/>
        <s v="VEDAVAAG Systems Limited"/>
        <s v="Manjeera Constructions Limited"/>
        <s v="Mold-Tek Packaging Limited"/>
        <s v="Torrent Pharmaceuticals Ltd."/>
        <s v="Wagend Infra Venture Limited"/>
        <s v="RAJ OIL MILLS LIMITED"/>
        <s v="Abbott India Ltd."/>
        <s v="GlaxoSmithkline Pharmaceuticals Ltd."/>
        <s v="Sanofi India Ltd"/>
        <s v="Suryaamba Spinning Mills Limited"/>
        <s v="Globus Spirits Limited"/>
        <s v="Pfizer Ltd."/>
        <s v="Bhilwara Technical Textiles Limited"/>
        <s v="Shree Precoated Steels Limited"/>
        <s v="EXPLEO SOLUTIONS LIMITED"/>
        <s v="AstraZeneca Pharma India Ltd."/>
        <s v="DEN Networks Limited"/>
        <s v="ASTEC LIFESCIENCES LIMITED"/>
        <s v="D-Link (India) Ltd"/>
        <s v="J.B. Chemicals &amp; Pharmaceuticals Lt"/>
        <s v="Yunik Managing Advisors Limited"/>
        <s v="Apollo Hospitals Enterprises Ltd."/>
        <s v="Orchid Pharma Limited"/>
        <s v="MBL Infrastructure Ltd"/>
        <s v="Marksans Pharma Ltd."/>
        <s v="Vascon Engineers Limited"/>
        <s v="Thangamayil Jewellery Limited"/>
        <s v="Ipca Laboratories Ltd."/>
        <s v="Emmbi Industries Limited"/>
        <s v="Hathway Cable &amp; Datacom Limited"/>
        <s v="Texmo Pipes and Products Limited"/>
        <s v="Sundaram Multi Pap Ltd."/>
        <s v="Rossell India Limited"/>
        <s v="Neuland Laboratories Limited."/>
        <s v="TAMBOLI INDUSTRIES LIMITED"/>
        <s v="IL&amp;FS Transportation Networks Limited"/>
        <s v="Sun Pharmaceutical Industries Ltd."/>
        <s v="Intrasoft Technologies Limited"/>
        <s v="Goenka Diamond &amp; Jewels Ltd"/>
        <s v="K C P SUGAR AND INDUSTRIES CORPORATION LTD."/>
        <s v="KIRLOSKAR ELECTRIC COMPANY LTD."/>
        <s v="SATCHMO HOLDINGS LIMITED"/>
        <s v="TARAPUR TRANSFORMERS LIMITED"/>
        <s v="Caplin Point Laboratories Ltd."/>
        <s v="Emami Paper Mills Ltd."/>
        <s v="Kriti Nutrients Ltd"/>
        <s v="GKB Ophthalmics Ltd."/>
        <s v="Hindustan Media Ventures Limited"/>
        <s v="EMAMI REALTY LIMITED"/>
        <s v="Asian Hotels (East) Limited"/>
        <s v="BAJAJ CONSUMER CARE LIMITED"/>
        <s v="Prakash Steelage Limited"/>
        <s v="Mystic Electronics Limited"/>
        <s v="Welspun Investments and Commercials Ltd."/>
        <s v="Sastasundar Ventures Limited"/>
        <s v="Career Point Limited"/>
        <s v="Eros International Media Limited"/>
        <s v="Ramky Infrastructure Limited"/>
        <s v="Orient Green Power Company Limited"/>
        <s v="CANTABIL RETAIL INDIA LIMITED"/>
        <s v="SEA TV Network Limited"/>
        <s v="Aurobindo Pharma Ltd."/>
        <s v="Bedmutha Industries Limited"/>
        <s v="Natco Pharma Ltd."/>
        <s v="JUBILANT PHARMOVA LIMITED"/>
        <s v="Shilpa Medicare Ltd."/>
        <s v="FDC Ltd."/>
        <s v="SHAH METACORP LIMITED"/>
        <s v="Poly Medicure Ltd"/>
        <s v="Glenmark Pharmaceuticals ltd"/>
        <s v="RPP INFRA PROJECTS LIMITED"/>
        <s v="RDB Realty &amp; Infrastructure Limited"/>
        <s v="Wockhardt Ltd"/>
        <s v="ZEE LEARN LIMITED"/>
        <s v="Enterprise International Limited"/>
        <s v="A2Z Infra Engineering Limited"/>
        <s v="Zydus Lifesciences Limited"/>
        <s v="Ravi Kumar Distilleries Limited"/>
        <s v="Ajanta Pharma Ltd."/>
        <s v="Mahan Industries Ltd."/>
        <s v="Surana Solar Limited"/>
        <s v="Shekhawati Poly-Yarn Limited"/>
        <s v="Kalyani Investment Company Limited"/>
        <s v="BF Investment Limited"/>
        <s v="SUMMIT SECURITIES LTD."/>
        <s v="Innovassynth Investments Limited"/>
        <s v="STEL HoldingsÂ Limited"/>
        <s v="OMKAR SPECIALITY CHEMICALS LIMITED"/>
        <s v="Jubilant Industries Limited"/>
        <s v="Granules India Ltd."/>
        <s v="Indian Terrain Fashions Limited"/>
        <s v="Fineotex Chemical Limited"/>
        <s v="Dhunseri Investments Ltd"/>
        <s v="Divi's Laboratories Ltd."/>
        <s v="Lovable Lingerie Limited"/>
        <s v="PTC India Financial Services Limited"/>
        <s v="Biocon Ltd."/>
        <s v="CIL Nova Petrochemicals Limited"/>
        <s v="Beeyu Overseas Ltd."/>
        <s v="Karma Energy Limited"/>
        <s v="DELPHI WORLD MONEY LIMITED"/>
        <s v="Rushil Decor Limited"/>
        <s v="Enkei wheels (India) Limited"/>
        <s v="Kridhan Infra Limited"/>
        <s v="INVENTURE GROWTH &amp; SECURITIES LIMITED"/>
        <s v="STRIDES PHARMA SCIENCE LIMITED"/>
        <s v="Ganon Products Limited"/>
        <s v="Tree House Education &amp; Accessories Limited"/>
        <s v="BROOKS LABORATORIES LIMITED"/>
        <s v="RUPA &amp; COMPANY LIMITED"/>
        <s v="Fortis Healthcare Ltd"/>
        <s v="Sun Pharma Advanced Research Company Ltd."/>
        <s v="Vaswani Industries Limited"/>
        <s v="ALEMBIC PHARMACEUTICALS LIMITED"/>
        <s v="Quasar India Limited"/>
        <s v="RDB Rasayans Limited"/>
        <s v="TIJARIA POLYPIPES LIMITED"/>
        <s v="Onelife Capital Advisors Ltd"/>
        <s v="FLEXITUFF VENTURES INTERNATIONAL LIMITED"/>
        <s v="Syngene International Limited"/>
        <s v="Indo Thai Securities Limited"/>
        <s v="AMBASSADOR INTRA HOLDINGS LIMITED"/>
        <s v="Alkem Laboratories Limited"/>
        <s v="GPT Infraprojects limited"/>
        <s v="Shamrock Industrial Co. Ltd."/>
        <s v="THOMAS SCOTT (INDIA) LIMITED"/>
        <s v="Tera Software Ltd."/>
        <s v="PMC Fincorp Limited"/>
        <s v="Futuristic Solutions Ltd."/>
        <s v="Alliance Integrated Metaliks Limited"/>
        <s v="Dr. Lal Pathlabs Limited"/>
        <s v="Narayana Hrudayalaya Limited"/>
        <s v="Pyxis Finvest Limited"/>
        <s v="HealthCare Global Enterprises Limited"/>
        <s v="Olympic Cards Limited"/>
        <s v="Laurus Labs Limited"/>
        <s v="MT EDUCARE LIMITED"/>
        <s v="Hexa Tradex Limited"/>
        <s v="Maxheights Infrastructure Limited"/>
        <s v="Tribhovandas Bhimji Zaveri Limited"/>
        <s v="Vardhman Special Steels Ltd"/>
        <s v="Looks Health Services Limited"/>
        <s v="Speciality Restaurants Limited"/>
        <s v="Lypsa Gems &amp; Jewellery Limited"/>
        <s v="Eris Lifesciences Limited"/>
        <s v="Sampann Utpadan India Limited"/>
        <s v="JTL INDUSTRIES LIMITED"/>
        <s v="ADVANCE METERING TECHNOLOGY LIMITED"/>
        <s v="Jainco Projects (India) Ltd."/>
        <s v="Aster DM Healthcare Limited"/>
        <s v="Jupiter Infomedia Limited"/>
        <s v="VINAYAK POLYCON INTERNATIONAL LIMITED"/>
        <s v="Jointeca Education Solutions Limited"/>
        <s v="Ducon Infratechnologies Limited"/>
        <s v="PROZONE REALTY LIMITED"/>
        <s v="SRG Housing Finance Limited"/>
        <s v="Comfort Commotrade Limited"/>
        <s v="SHANTI GURU INDUSTRIES LIMITED"/>
        <s v="CASPIAN CORPORATE SERVICES LIMITED"/>
        <s v="Aerpace Industries Limited"/>
        <s v="VIRTUAL GLOBAL EDUCATION LTD."/>
        <s v="ZUARI AGRO CHEMICALS LIMITED"/>
        <s v="Steel Exchange India Ltd."/>
        <s v="Trio Mercantile &amp; Trading Limited"/>
        <s v="Cigniti Technologies Ltd"/>
        <s v="CDG PETCHEM LIMITED"/>
        <s v="CARE Ratings Limited"/>
        <s v="PC JEWELLER LIMITED"/>
        <s v="Metropolis Healthcare Limited"/>
        <s v="SUVEN PHARMACEUTICALS LIMITED"/>
        <s v="NIBE LIMITED"/>
        <s v="Ramasigns Industries Limited"/>
        <s v="Explicit Finance Limited"/>
        <s v="COMFORT FINCAP LIMITED"/>
        <s v="Bothra Metals &amp; Alloys Limited"/>
        <s v="Repco Home Finance Limited"/>
        <s v="LAKHOTIA POLYESTERS (INDIA) LIMITED"/>
        <s v="GCM Securities Limited"/>
        <s v="NRB INDUSTRIAL BEARINGS LIMITED"/>
        <s v="Prime Capital Market Limited"/>
        <s v="KIFS Financial Services Ltd"/>
        <s v="Sreeleathers Limited"/>
        <s v="Max Healthcare Institute Limited"/>
        <s v="S V Global Mill Limited"/>
        <s v="SDC TECHMEDIA LIMITED"/>
        <s v="Gland Pharma Limited"/>
        <s v="ObjectOne Information Systems Ltd"/>
        <s v="India Finsec Limited"/>
        <s v="BRAHMAPUTRA INFRASTRUCTURE LIMITED"/>
        <s v="QUEST SOFTECH (INDIA) LIMITED"/>
        <s v="Khoobsurat Ltd."/>
        <s v="Krishna Institute of Medical Sciences Limited"/>
        <s v="Glenmark Life Sciences Limited"/>
        <s v="Ami Organics Limited"/>
        <s v="Money Masters Leasing &amp; Finance Limited"/>
        <s v="Alacrity Securities Limited"/>
        <s v="GCM Commodity &amp; Derivatives Limited"/>
        <s v="Integra Essentia Limited"/>
        <s v="JULIEN AGRO INFRATECH LIMITED"/>
        <s v="Kaarya Facilities and Services Limited"/>
        <s v="JK Agri Genetics Limited"/>
        <s v="Future Lifestyle Fashions Limited"/>
        <s v="PVV Infra Limited"/>
        <s v="VCU Data Management Limited"/>
        <s v="IND Renewable Energy Ltd"/>
        <s v="S R G SECURITIES FINANCE LIMITED"/>
        <s v="Amrapali Capital and Finance Services Limited"/>
        <s v="STELLAR CAPITAL SERVICES LIMITED"/>
        <s v="JINDAL POLY INVESTMENT AND FINANCE COMPANY LIMITED"/>
        <s v="Yuranus Infrastructure Ltd"/>
        <s v="CAPTAIN POLYPLAST LIMITED"/>
        <s v="Arnold Holdings Ltd"/>
        <s v="Sunil Healthcare Limited"/>
        <s v="Suyog Telematics Limited"/>
        <s v="Nath Biogene India Ltd."/>
        <s v="Agri-Tech India Ltd."/>
        <s v="CHEMTECH INDUSTRIAL VALVES LIMITED"/>
        <s v="Denis Chem Lab Limited"/>
        <s v="Polymac Thermoformers Limited"/>
        <s v="Unishire Urban Infra Limited"/>
        <s v="LAXMIPATI ENGINEERING WORKS LIMITED"/>
        <s v="ETT Limited"/>
        <s v="SHREE HANUMAN SUGAR &amp; INDUSTRIES LTD."/>
        <s v="Kiran Vyapar Limited"/>
        <s v="B.C. Power Controls Limited"/>
        <s v="Diksha Greens Limited"/>
        <s v="RACE ECO CHAIN LIMITED"/>
        <s v="Mangalam Industrial Finance Limited"/>
        <s v="VIJI FINANCE LIMITED"/>
        <s v="PHOENIX TOWNSHIP LIMITED"/>
        <s v="INFRONICS SYSTEMS LIMITED"/>
        <s v="Haria Apparels Limited"/>
        <s v="SHRI VASUPRADA PLANTATIONS LIMITED"/>
        <s v="R&amp;B Denims Limited"/>
        <s v="SHARP INVESTMENTS LTD"/>
        <s v="Vijaya Diagnostic Centre Limited"/>
        <s v="Response Informatics Limited"/>
        <s v="GCM Capital Advisors Limited"/>
        <s v="Shiva Suitings Ltd."/>
        <s v="INCREDIBLE INDUSTRIES LIMITED"/>
        <s v="WEST LEISURE RESORTS LIMITED"/>
        <s v="Nam Securities Ltd."/>
        <s v="MAESTROS ELECTRONICS &amp; TELECOMMUNICATIONS SYSTEMS LTD"/>
        <s v="SPS Finquest Limited"/>
        <s v="Jackson Investments Limited"/>
        <s v="MONEYBOXX FINANCE LIMITED"/>
        <s v="Worth Investment &amp; Trading Co Limited"/>
        <s v="Kanel Industries Limited"/>
        <s v="Thirani Projects Limited"/>
        <s v="Amarnath Securities Ltd."/>
        <s v="Capital Trade Links Limited"/>
        <s v="Gold Rock Investments Ltd."/>
        <s v="YAAN ENTERPRISES LIMITED"/>
        <s v="J.Taparia Projects Ltd"/>
        <s v="Ramchandra Leasing &amp; Finance Limited"/>
        <s v="GoldCoin Health Foods Limited"/>
        <s v="Bansal Roofing Products Limited"/>
        <s v="Arman Holdings Limited"/>
        <s v="Skipper Limited"/>
        <s v="Peoples Investments Ltd."/>
        <s v="James Warren Tea Limited"/>
        <s v="Vistar Amar Limited"/>
        <s v="Rainbow Children's Medicare Limited"/>
        <s v="Rapid Investments Ltd."/>
        <s v="SPRINGFORM TECHNOLOGY LIMITED"/>
        <s v="Bhanderi Infracon Limited"/>
        <s v="Amalgamated Electricity Co. Ltd."/>
        <s v="Quantum Build-Tech Limited"/>
        <s v="TTI Enterprise Limited"/>
        <s v="Vishal Fabrics Limited"/>
        <s v="TOYAM SPORTS LIMITED"/>
        <s v="Gajanan Securities Services Ltd."/>
        <s v="Unison Metals Ltd"/>
        <s v="Real Touch Finance Limited"/>
        <s v="Vasundhara Rasayans Ltd."/>
        <s v="Indsoya Limited"/>
        <s v="QGO FINANCE LIMITED"/>
        <s v="Purshottam Investofin Limited"/>
        <s v="SW Investments Limited"/>
        <s v="Sharda Cropchem Limited"/>
        <s v="K K Fincorp Limited"/>
        <s v="Meghna Infracon Infrastructure Limited"/>
        <s v="SHEMAROO ENTERTAINMENT LIMITED"/>
        <s v="Ultracab (India) Limited"/>
        <s v="Rajasthan Cylinders &amp; Containers Limited"/>
        <s v="Econo Trade (India) Limited"/>
        <s v="Atishay Limited"/>
        <s v="Sangam Finserv Limited"/>
        <s v="Dhabriya Polywood Limited"/>
        <s v="Aryaman Capital Markets Limited"/>
        <s v="PIRAMAL PHARMA LIMITED"/>
        <s v="HANMAN FIT LIMITED"/>
        <s v="Vibrant Global Capital Limited"/>
        <s v="Starlit Power Systems Limited"/>
        <s v="CEINSYS TECH LIMITED"/>
        <s v="PANABYTE TECHNOLOGIES LIMITED"/>
        <s v="Mudunuru Limited"/>
        <s v="JLA Infraville Shoppers Limited"/>
        <s v="Crane Infrastructure Limited"/>
        <s v="Niyogin Fintech Limited"/>
        <s v="ASIA CAPITAL LIMITED"/>
        <s v="Kalyan Capitals Limited"/>
        <s v="Goenka Business &amp; Finance Limited"/>
        <s v="Gilada Finance &amp; Investments Ltd."/>
        <s v="Jet Infraventure Limited"/>
        <s v="Shree Ajit Pulp And Paper Ltd"/>
        <s v="Captain Pipes Limited"/>
        <s v="KAIZEN AGRO INFRABUILD LIMITED"/>
        <s v="JMJ Fintech Limited"/>
        <s v="Global Health Limited"/>
        <s v="Monte Carlo Fashions Limited"/>
        <s v="Jeevan Scientific Technology Limited"/>
        <s v="Indo Cotspin Limited"/>
        <s v="Scintilla Commercial &amp; Credit  Limited"/>
        <s v="PANAFIC INDUSTRIALS LTD"/>
        <s v="My Money Securities Ltd."/>
        <s v="SRI AMARNATH FINANCE LIMITED"/>
        <s v="Continental Securities Limited"/>
        <s v="NEXUS SURGICAL AND MEDICARE LIMITED"/>
        <s v="Healthy Investments Ltd."/>
        <s v="Galada Finance Limited"/>
        <s v="Emerald Finance Limited"/>
        <s v="M. K. Exim (India) Ltd."/>
        <s v="Aarti Pharmalabs Limited"/>
        <s v="Octal Credit Capital Ltd."/>
        <s v="Shreenath Investments Co. Ltd."/>
        <s v="Kanchi Karpooram Ltd."/>
        <s v="Dhunseri Tea &amp; Industries Ltd"/>
        <s v="Vani Commercials Limited"/>
        <s v="SKYLINE VENTURES INDIA  LIMITED"/>
        <s v="Modella Woollens Ltd."/>
        <s v="Raghuvansh Agrofarms Limited"/>
        <s v="COSYN Limited"/>
        <s v="SOFCOM SYSTEMS LIMITED"/>
        <s v="Naturite Agro Products Limited"/>
        <s v="Karnavati Finance Limited"/>
        <s v="Multipurpose Trading &amp; Agencies Ltd"/>
        <s v="Ganesh Holding Ltd."/>
        <s v="Sonal Mercantile Limited"/>
        <s v="Abhinav Leasing &amp; Finance Limited"/>
        <s v="GENUS PAPER &amp; BOARDS LIMITED"/>
        <s v="Mankind Pharma Limited"/>
        <s v="Mercury Laboratories Limited"/>
        <s v="Concord Drugs Limited"/>
        <s v="WARDWIZARD INNOVATIONS AND MOBILITY LIMITED"/>
        <s v="Shree Securities Ltd."/>
        <s v="Concord Biotech Limited"/>
        <s v="TALBROS ENGINEERING LIMITED"/>
        <s v="Sar  Auto Products Limited"/>
        <s v="HEM Holdings and Trading Ltd."/>
        <s v="Jupiter Life Line Hospitals Limited"/>
        <s v="CHENNAI FERROUS INDUSTRIES LIMITED"/>
        <s v="Kovalam Inv. &amp; Trading Co.Ltd."/>
        <s v="GITA RENEWABLE ENERGY LIMITED"/>
        <s v="Neil Industries Ltd."/>
        <s v="STAR HOUSING FINANCE LIMITED"/>
        <s v="Beekay Steel Industries Ltd."/>
        <s v="SSPN Finance Limited"/>
        <s v="Multiplus Holdings Ltd."/>
        <s v="Tirupati Tyres Ltd."/>
        <s v="Alna Trading &amp; Exports Ltd."/>
        <s v="AGI Infra Limited"/>
        <s v="Manaksia Steels Limited"/>
        <s v="Manaksia Aluminium Company Ltd"/>
        <s v="Manaksia Coated Metals &amp; Industries Ltd"/>
        <s v="IMAGICAAWORLD ENTERTAINMENT LIMITED"/>
        <s v="Blue Jet Healthcare Limited"/>
        <s v="Rajputana Investment and Finance Ltd."/>
        <s v="Consecutive Investments &amp; Trading Company Limited"/>
        <s v="Aananda Lakshmi Spinning Mills Limited"/>
        <s v="VELOX INDUSTRIES LIMITED"/>
        <s v="Filtra Consultants and Engineers Limited"/>
        <s v="Athena Constructions Limited"/>
        <s v="Northlink Fiscal And Capital Services Ltd."/>
        <s v="SHESHADRI INDUSTRIES LIMITED"/>
        <s v="SAB INDUSTRIES LIMITED"/>
        <s v="Paul Merchants Ltd."/>
        <s v="Alan Scott Industries Ltd."/>
        <s v="Sarvamangal Mercantile Co. Ltd."/>
        <s v="Sujala Trading &amp; Holdings Ltd."/>
        <s v="Viksit Engineering Ltd"/>
        <s v="Jain Marmo Industries Ltd."/>
        <s v="Bangalore Fort Farms Limited"/>
        <s v="Palco Metals Limited"/>
        <s v="V B INDUSTRIES LIMITED"/>
        <s v="Sarvottam Finvest Limited"/>
        <s v="Saptak Chem And Business Limited"/>
        <s v="Wardwizard Foods and Beverages Limited"/>
        <s v="UFO Moviez India Limited"/>
        <s v="PANTH INFINITY LIMITED"/>
        <s v="Shivalik Rasayan Ltd."/>
        <s v="THAKKERS GROUP LIMITED"/>
        <s v="Indegene Limited"/>
        <s v="Arfin India Limited"/>
        <s v="Virat Leasing Limited"/>
        <s v="Helpage Finlease Ltd."/>
        <s v="Indra Industries Ltd."/>
        <s v="Hawa Engineers ltd."/>
        <s v="ABB India Limited"/>
        <s v="Adhbhut Infrastructure Ltd."/>
        <s v="Decillion Finance Ltd."/>
        <s v="POCL ENTERPRISES LTD"/>
        <s v="Amba Enterprises Ltd."/>
        <s v="Capfin India Limited"/>
        <s v="SG FINSERVE LIMITED"/>
        <s v="SATIA INDUSTRIES LIMITED"/>
        <s v="GENOMIC VALLEY BIOTECH LIMITED"/>
        <s v="GARMENT MANTRA LIFESTYLE LIMITED"/>
        <s v="Srestha Finvest Limited"/>
        <s v="Saumya Consultants Ltd."/>
        <s v="MAURIA UDYOG LIMITED"/>
        <s v="Mishka Exim Limited"/>
        <s v="Sportking India Ltd."/>
        <s v="Frontier Capital Limited"/>
        <s v="RUDRA GLOBAL INFRA PRODUCTS LIMITED"/>
        <s v="Loyal Equipments Limited"/>
        <s v="Gala Global Products Limited"/>
        <s v="Chemiesynth (Vapi) Limited"/>
        <s v="Transoceanic Properties Ltd."/>
        <s v="Balkrishna Paper Mills Ltd"/>
        <s v="Shyam Century Ferrous Limited"/>
        <s v="Surya India Limited"/>
        <s v="BEML Ltd"/>
        <s v="STAR DELTA TRANSFORMERS LIMITED"/>
        <s v="Amrapali Fincap Limited"/>
        <s v="SAMSRITA LABS LIMITED"/>
        <s v="Bharat Electronics Ltd."/>
        <s v="PECOS Hotels And Pubs Limited"/>
        <s v="Mangalam Seeds Limited"/>
        <s v="Kaya Limited"/>
        <s v="Alstone Textiles (India) Limited"/>
        <s v="Symbiox Investment &amp; Trading Co. Ltd."/>
        <s v="Ortin Laboratories Limited"/>
        <s v="Avi Polymers Ltd."/>
        <s v="Aurum PropTech Limited"/>
        <s v="Oswal Greentech Limited"/>
        <s v="Vasudhagama Enterprises Limited"/>
        <s v="A.K. Spintex Ltd."/>
        <s v="Arvind SmartSpaces Limited"/>
        <s v="CG Power and Industrial Solutions Limited"/>
        <s v="Rama Steel Tubes Limited"/>
        <s v="THINKINK PICTUREZ LIMITED"/>
        <s v="Universal Autofoundry Limited"/>
        <s v="VETO SWITCHGEARS AND CABLES LIMITED"/>
        <s v="TRILIANCE POLYMERS LIMITED"/>
        <s v="Shree Pushkar Chemicals &amp; Fertilisers Limited"/>
        <s v="Bharat Heavy Electricals Ltd."/>
        <s v="WAAREE TECHNOLOGIES LIMITED"/>
        <s v="Sadbhav Infrastructure Project Limited"/>
        <s v="SAL AUTOMOTIVE LIMITED"/>
        <s v="POLYSPIN EXPORTS LIMITED"/>
        <s v="Pritika Auto Industries Limited"/>
        <s v="Soni Medicare Limited"/>
        <s v="Mahaveer Infoway Limited"/>
        <s v="Krishna Capital And Securities Limited"/>
        <s v="Acme Resources Limited"/>
        <s v="Kabra Commercial Limited"/>
        <s v="Vishal Bearings Limited"/>
        <s v="Bella Casa Fashion &amp; Retail Limited"/>
        <s v="MALLCOM (INDIA) LTD."/>
        <s v="Patdiam Jewellery Limited"/>
        <s v="Naksh Precious Metals Limited"/>
        <s v="SATIN CREDITCARE NETWORK LIMITED"/>
        <s v="Decorous Investment and Trading Co. Ltd."/>
        <s v="Oseaspre Consultants Ltd."/>
        <s v="Generic Engineering Construction and Projects Limited"/>
        <s v="Kuber Udyog Limited"/>
        <s v="Technojet Consultants Ltd."/>
        <s v="Tejnaksh Healthcare Limited"/>
        <s v="Brilliant Portfolios Ltd."/>
        <s v="Richfield Financial Services Ltd."/>
        <s v="Coffee Day Enterprises Limited"/>
        <s v="Electrosteel Castings Ltd."/>
        <s v="BEARDSELL LIMITED"/>
        <s v="Kusam Electrical Industies Ltd."/>
        <s v="Jumbo Finance Ltd."/>
        <s v="S H Kelkar and Company Limited"/>
        <s v="Typhoon Financial Services Limited"/>
        <s v="PANORAMA STUDIOS INTERNATIONAL LIMITED"/>
        <s v="Shree Ganesh Biotech (India) Limited"/>
        <s v="GTV Engineering Limited"/>
        <s v="Tirupati Fin-Lease Ltd."/>
        <s v="Garbi Finvest Limited"/>
        <s v="Smart Finsec Limited"/>
        <s v="Rajkot Investment Trust Limited"/>
        <s v="Adcon Capital Services Limited"/>
        <s v="Quint Digital Limited"/>
        <s v="Uday Jewellery Industries Limited."/>
        <s v="Navigant Corporate Advisors Limited"/>
        <s v="Grovy India Limited"/>
        <s v="Esab India Ltd."/>
        <s v="EPL LIMITED"/>
        <s v="RAJVI LOGITRADE LIMITED"/>
        <s v="Creative Castings Limited"/>
        <s v="Aayush Food And Herbs Limited"/>
        <s v="Millennium Online Solutions (India) Ltd"/>
        <s v="LUX Industries Limited"/>
        <s v="Valley Magnesite Company Limited"/>
        <s v="Abhishek Infraventures Limited"/>
        <s v="Apoorva Leasing Finance &amp; Investment Company Limited"/>
        <s v="Sanchay Finvest Ltd"/>
        <s v="Finolex Cables Ltd."/>
        <s v="F MEC INTERNATIONAL FINANCIAL SERVICES LIMITED"/>
        <s v="Deep Diamond India Limited"/>
        <s v="Abhijit Trading Co. Ltd."/>
        <s v="Regency Trust Ltd."/>
        <s v="AARNAV FASHIONS LIMITED"/>
        <s v="Sunshine Capital Ltd."/>
        <s v="Nilkanth Engineering Ltd."/>
        <s v="Shivansh Finserv Limited"/>
        <s v="Mishtann Foods Limited"/>
        <s v="Delta Industrial Resources Limited"/>
        <s v="CREDENT GLOBAL FINANCE LIMITED"/>
        <s v="Kotia Enterprises Limited"/>
        <s v="Blue Cloud Softech Solutions Limited"/>
        <s v="KANORIA ENERGY AND INFRASTRUCTURE LIMITED"/>
        <s v="BCL Enterprises Limited"/>
        <s v="Precision Camshafts Limited"/>
        <s v="Sobhagya Merchantile Ltd."/>
        <s v="Vidli Restaurants Limited"/>
        <s v="BEST AGROLIFE LIMITED"/>
        <s v="ACE MEN ENGG WORKS LIMITED"/>
        <s v="BFL Asset Finvest Limited"/>
        <s v="RGF Capital Markets Limited"/>
        <s v="Radhagobind Commercial Limited"/>
        <s v="Quick Heal Technologies Limited"/>
        <s v="Kapil Raj Finance Ltd."/>
        <s v="Ganga Pharmaceuticals Limited"/>
        <s v="dynamic Archistructures Limited"/>
        <s v="LUCENT INDUSTRIES LIMITED"/>
        <s v="Shivkamal Impex Limited"/>
        <s v="K.P. Energy Limited"/>
        <s v="INTERACTIVE FINANCIAL SERVICES LIMITED"/>
        <s v="HILIKS TECHNOLOGIES LIMITED"/>
        <s v="Gokul Agro Resources Ltd"/>
        <s v="Fredun Pharmaceuticals Limited"/>
        <s v="Simbhaoli Sugars Ltd"/>
        <s v="Relicab Cable Manufacturing Limited"/>
        <s v="Vantage Knowledge Academy Limited"/>
        <s v="MODERN ENGINEERING AND PROJECTS LIMITED"/>
        <s v="Mega Nirman &amp; Industries Limited"/>
        <s v="Darjeeling Ropeway Company Limited"/>
        <s v="Advik Capital Limited"/>
        <s v="Pudumjee Paper Products Limited"/>
        <s v="Hindustan Construction Co. Ltd."/>
        <s v="Khemani Distributors &amp; Marketing Limited"/>
        <s v="Umiya Tubes Limited"/>
        <s v="Bharat Wire Ropes Limited"/>
        <s v="CHD Chemicals Limited"/>
        <s v="HMT Limited"/>
        <s v="Inertia Steel Limited"/>
        <s v="Mudra Financial Services Ltd."/>
        <s v="PH Trading Ltd."/>
        <s v="Superior Finlease Limited"/>
        <s v="RAGHAV PRODUCTIVITY ENHANCERS LIMITED"/>
        <s v="Franklin Leasing and Finance Limited"/>
        <s v="Ventura Guaranty Ltd."/>
        <s v="NINtec Systems Limited"/>
        <s v="Halder Venture Limited"/>
        <s v="Thyrocare Technologies Limited"/>
        <s v="Bajaj Healthcare Limited"/>
        <s v="RSD Finance Limited"/>
        <s v="Ingersoll-Rand (India) Ltd."/>
        <s v="Kirloskar Brothers Ltd."/>
        <s v="Darshan Orna Limited"/>
        <s v="Parag Milk Foods Limited"/>
        <s v="Madhav Infra Projects Limited"/>
        <s v="NAGARJUNA FERTILIZERS AND CHEMICALS LTD."/>
        <s v="Shanti Educational Initiatives Limited"/>
        <s v="Sanmitra Commercial Ltd."/>
        <s v="WARDWIZARD HEALTHCARE LIMITED"/>
        <s v="Yash Chemex Limited"/>
        <s v="Bazel International Limited"/>
        <s v="JINDAL LEASEFIN LIMITED"/>
        <s v="VISHVPRABHA VENTURES LIMITED"/>
        <s v="Kirloskar Industries Ltd"/>
        <s v="Zeal Aqua Limited"/>
        <s v="Twin Roses Trades &amp; Agencies Ltd."/>
        <s v="DIGJAM LIMITED"/>
        <s v="HINDUSTHAN URBAN INFRASTRUCTURE LIMITED"/>
        <s v="Titaanium Ten Enterprise Limited"/>
        <s v="Commercial Syn Bags Limited"/>
        <s v="M LAKHAMSI INDUSTRIES LIMITED"/>
        <s v="KSB LIMITED"/>
        <s v="Kwality Pharmaceuticals Limited"/>
        <s v="Lakshmi Machine Works Ltd."/>
        <s v="Terraform Realstate Limited"/>
        <s v="Advanced Enzyme Technologies Limited"/>
        <s v="Ladam Affortable Housing Limited"/>
        <s v="Maharashtra Seamless Ltd."/>
        <s v="S.P. Apparels Limited"/>
        <s v="Bigbloc Construction Limited"/>
        <s v="Golden Crest Education &amp; Services Limited"/>
        <s v="ECS Biztech Limited"/>
        <s v="NCC Limited"/>
        <s v="AMS POLYMERS LIMITED"/>
        <s v="Shiva Granito Export Limited"/>
        <s v="Surya Roshni Ltd."/>
        <s v="Mitsu Chem Plast Limited"/>
        <s v="Sprayking Limited"/>
        <s v="Dhatre Udyog Limited"/>
        <s v="Sab Events &amp; Governance Now Media Limited"/>
        <s v="Riddhi Steel and Tube Limited"/>
        <s v="TV VISION LIMITED"/>
        <s v="Visco Trade Associates Ltd"/>
        <s v="TIAAN CONSUMER LIMITED"/>
        <s v="Jindal Saw Ltd."/>
        <s v="G N A Axles Limited"/>
        <s v="Radhika Jeweltech Limited"/>
        <s v="Bentley Commercial Enterprises Ltd."/>
        <s v="Thermax Ltd."/>
        <s v="ISHAAN INFRASTRUCTURE AND SHELTERS LIMITED"/>
        <s v="ARC Finance Limited"/>
        <s v="HPL Electric &amp; Power Limited"/>
        <s v="Sagarsoft (India) Limited"/>
        <s v="Classic Electricals Ltd."/>
        <s v="Valiant Organics Limited"/>
        <s v="ADITYA CONSUMER MARKETING LIMITED"/>
        <s v="Shashijit Infraprojects Limited"/>
        <s v="Bindal Exports Limited"/>
        <s v="Diksat Transworld Limited"/>
        <s v="SKF India Ltd."/>
        <s v="Purple Entertainment Limited"/>
        <s v="Supra Pacific Financial Services Limited"/>
        <s v="Ashok Leyland Ltd."/>
        <s v="Southern Infosys Limited"/>
        <s v="REGENCY FINCORP LIMITED"/>
        <s v="Cummins India Ltd."/>
        <s v="Salem Erode Investments Ltd."/>
        <s v="Nivi Trading Ltd."/>
        <s v="LKP Securities Limited"/>
        <s v="OSIAJEE TEXFAB LIMITED"/>
        <s v="Corporate Merchant Bankers Limited"/>
        <s v="Escorts Kubota Limited"/>
        <s v="EIKO LIFESCIENCES LIMITED"/>
        <s v="Larsen &amp; Toubro Limited"/>
        <s v="Heads UP Ventures Limited"/>
        <s v="Bajaj Global Ltd"/>
        <s v="Tashi India Ltd."/>
        <s v="Siemens Ltd."/>
        <s v="Autoriders International Ltd"/>
        <s v="VEERAM SECURITIES LIMITED"/>
        <s v="MARG TECHNO PROJECTS LIMITED"/>
        <s v="Chambal Breweries &amp; Distilleries Li"/>
        <s v="Mansoon Trading Co. Ltd."/>
        <s v="TruCap Finance Limited"/>
        <s v="SUPER FINE KNITTERS LIMITED"/>
        <s v="CES Limited"/>
        <s v="GARWARE HI-TECH FILMS LIMITED"/>
        <s v="Classic Filaments Limited"/>
        <s v="JITF INFRALOGISTICS LIMITED"/>
        <s v="Sueryaa Knitwear Limited"/>
        <s v="Tanvi Foods (India) Limited"/>
        <s v="RMC SWITCHGEARS LIMITED"/>
        <s v="Parmax Pharma Limited"/>
        <s v="LEADING LEASING FINANCE AND INVESTMENT CO. LIMITED"/>
        <s v="Magnanimous Trade &amp; Finance Ltd."/>
        <s v="Music Broadcast Limited"/>
        <s v="Finolex Industries Ltd."/>
        <s v="Mercury Trade Links Ltd."/>
        <s v="Ontic Finserve Limited"/>
        <s v="Sarthak Metals Limited"/>
        <s v="Chemcrux Enterprises Limited"/>
        <s v="Manomay Tex India Limited"/>
        <s v="Nirav Commercials Ltd."/>
        <s v="Manas Properties Limited"/>
        <s v="CL Educate Limited"/>
        <s v="PRIME FRESH LIMITED"/>
        <s v="Octaware Technologies Limited"/>
        <s v="Shankara Building Products Limited"/>
        <s v="Escorp Asset Management Limited"/>
        <s v="PARMESHWARI SILK MILLS LIMITED"/>
        <s v="KMS Medisurgi Limited"/>
        <s v="Classic Leasing &amp; Finance Ltd."/>
        <s v="STARLINEPS ENTERPRISES LIMITED"/>
        <s v="S Chand And Company Limited"/>
        <s v="KANUNGO FINANCIERS LIMITED"/>
        <s v="Meera Industries Limited"/>
        <s v="BOROSIL RENEWABLES LIMITED"/>
        <s v="PSP Projects Limited"/>
        <s v="Bhakti Gems And Jewellery Limited"/>
        <s v="Yug Decor Limited"/>
        <s v="White Hall Commercial Co.Ltd."/>
        <s v="Bharat Bijlee Ltd."/>
        <s v="Riddhi Corporate Services Limited"/>
        <s v="GMM Pfaudler Ltd."/>
        <s v="Elecon Engineering Co.Ltd."/>
        <s v="GTPL Hathway Limited"/>
        <s v="Kennametal India Limtied"/>
        <s v="Asutosh Enterprise Ltd."/>
        <s v="G G Engineering Limited"/>
        <s v="7NR Retail Limited"/>
        <s v="Salasar Techno Engineering Limited"/>
        <s v="Ganges Securities Ltd."/>
        <s v="Palash Securities Limited"/>
        <s v="AVADH SUGAR &amp; ENERGY LIMITED"/>
        <s v="Magadh Sugar &amp; Energy Limited"/>
        <s v="Jigar Cables Limited"/>
        <s v="Captain Technocast Limited"/>
        <s v="GlobalSpace Technologies Limited"/>
        <s v="Punctual Trading Ltd."/>
        <s v="Grindwell Norton Ltd."/>
        <s v="SMS Lifesciences India Ltd"/>
        <s v="Graphite India Ltd."/>
        <s v="CHOTHANI FOODS LIMITED"/>
        <s v="Smruthi Organics Limited"/>
        <s v="ITD Cementation India Ltd"/>
        <s v="Apex Frozen Foods Limited"/>
        <s v="Shish Industries Limited"/>
        <s v="ANG Lifesciences India Limited"/>
        <s v="Varun Mercantile Ltd."/>
        <s v="HEG Ltd."/>
        <s v="Bharat Road Network Limited"/>
        <s v="Dishman Carbogen Amcis Limited"/>
        <s v="Lasa Supergenerics Limited"/>
        <s v="Vinayak Vanijya Ltd."/>
        <s v="Matrimony.com Limited"/>
        <s v="Reliance Home Finance Limited"/>
        <s v="Capacit'e Infraprojects Limited"/>
        <s v="Sagar Diamonds Limited"/>
        <s v="Supreme Industries Ltd."/>
        <s v="Sita Enterprises LTD."/>
        <s v="AKM CREATIONS LIMITED"/>
        <s v="Jai Corp Limited"/>
        <s v="Prataap Snacks Limited"/>
        <s v="SG MART LIMITED"/>
        <s v="Trident Texofab Limited"/>
        <s v="Poojawestern Metaliks Limited"/>
        <s v="Sayaji Industries Limited"/>
        <s v="Vanta Bioscience Limited"/>
        <s v="Pulsar International Limited"/>
        <s v="IRIS Business Services Limited"/>
        <s v="Shree Ganesh Remedies Limited"/>
        <s v="ASTAL LABORATORIES LIMITED"/>
        <s v="Carborundum Universal Ltd."/>
        <s v="Usha Martin Ltd."/>
        <s v="Honeywell Automation India Ltd."/>
        <s v="KEI Industries Ltd."/>
        <s v="Regent Enterprises Limited"/>
        <s v="SHEETAL COOL PRODUCTS LIMITED"/>
        <s v="Ratnamani Metals &amp; Tubes Ltd"/>
        <s v="Vesuvius India Ltd."/>
        <s v="Jeet Machine Tools Ltd."/>
        <s v="Elgi Equipments Ltd."/>
        <s v="IFGL Refractories Limited"/>
        <s v="Khadim India Limited"/>
        <s v="5paisa Capital Limited"/>
        <s v="Timken India Ltd"/>
        <s v="Sanghvi Brands Limited"/>
        <s v="Ramgopal Polytex Ltd"/>
        <s v="Aspira Pathlab &amp; Diagnostics Limited"/>
        <s v="Diligent Media Corporation Limited"/>
        <s v="Dynamic Cables Limited"/>
        <s v="Ratnabhumi Developers Limited"/>
        <s v="Shalby Limited"/>
        <s v="TTL ENTERPRISES LIMITED"/>
        <s v="Yarn Syndicate Ltd."/>
        <s v="Garware Synthetics Ltd."/>
        <s v="SADHNA BROADCAST LTD"/>
        <s v="Astron Paper &amp; Board Mill Limited"/>
        <s v="Oswal Yarns Ltd."/>
        <s v="International Data Managements Ltd."/>
        <s v="Jhandewalas Foods Limited"/>
        <s v="7SEAS ENTERTAINMENT LIMITED"/>
        <s v="Apollo Micro Systems Limited"/>
        <s v="Diamond Power Infrastructure Limited"/>
        <s v="Praxis Home Retail Limited"/>
        <s v="Praj Industries Ltd."/>
        <s v="Pervasive Commodities Limited"/>
        <s v="TIRUPATI FOAM LIMITED"/>
        <s v="KISAAN PARIVAR INDUSTRIES LIMITED"/>
        <s v="Ashoka Metcast Limited"/>
        <s v="GE T&amp;D India Limited"/>
        <s v="Gautam Gems Limited"/>
        <s v="MEDICO REMEDIES LIMITED"/>
        <s v="Gujarat Hy-Spin Limited"/>
        <s v="LORENZINI APPARELS LIMITED"/>
        <s v="Kenvi Jewels Limited"/>
        <s v="The Indian Wood Products Co. Ltd."/>
        <s v="Tasty Dairy Specialities Limited"/>
        <s v="Bhatia Communications &amp; Retail (India) Limited"/>
        <s v="Shiva Mills Limited"/>
        <s v="KALPATARU PROJECTS INTERNATIONAL LIMITED"/>
        <s v="DATIWARE MARITIME INFRA LIMITED"/>
        <s v="KANCO TEA &amp; INDUSTRIES LIMITED"/>
        <s v="Angel Fibers Limited"/>
        <s v="Genus Power Infrastructures Ltd"/>
        <s v="Inflame Appliances Limited"/>
        <s v="Bharat Parenterals Limited"/>
        <s v="Shreeshay Engineers Limited"/>
        <s v="APEX CAPITAL AND FINANCE LIMITED"/>
        <s v="Patel Engineering Ltd"/>
        <s v="Active Clothing Co  Limited"/>
        <s v="NMS RESOURCES GLOBAL LIMITED"/>
        <s v="Shakti Pumps (India) Ltd."/>
        <s v="Welspun Corp Limited"/>
        <s v="KBC GLOBAL LIMITED"/>
        <s v="Sandhar Technologies Limited"/>
        <s v="YASHO INDUSTRIES LIMITED"/>
        <s v="Benara Bearings and Pistons Limited"/>
        <s v="Engineers India Ltd."/>
        <s v="Apar Industries Ltd"/>
        <s v="Otco International Ltd"/>
        <s v="AVI PRODUCTS INDIA LIMITED"/>
        <s v="Taylormade Renewables Limited"/>
        <s v="Astra Microwave Products Ltd."/>
        <s v="Chemfab Alkalis Ltd"/>
        <s v="HARDWYN INDIA LIMITED"/>
        <s v="DR LALCHANDANI LABS LIMITED"/>
        <s v="Welspun Enterprises Limited"/>
        <s v="Norris Medicines Ltd."/>
        <s v="Akshar Spintex Limited"/>
        <s v="Indo US Bio-Tech Limited"/>
        <s v="IndoStar Capital Finance Limited"/>
        <s v="Milestone Furniture Limited"/>
        <s v="U. H. ZAVERI LIMITED"/>
        <s v="Parvati Sweetners and Power Ltd."/>
        <s v="Megastar Foods Limited"/>
        <s v="Innovators Facade Systems Limited"/>
        <s v="UNIFINZ CAPITAL INDIA LIMITED"/>
        <s v="ZIM Laboratories Limited"/>
        <s v="Affordable Robotic &amp; Automation Limited"/>
        <s v="Dollar Industries Limited"/>
        <s v="NAKODA GROUP OF INDUSTRIES LIMITED"/>
        <s v="Revati Organics Ltd."/>
        <s v="Waa Solar Limited"/>
        <s v="SUZLON ENERGY LTD."/>
        <s v="Unick Fix-A- Form and Printers Limited"/>
        <s v="SOLARA ACTIVE PHARMA SCIENCES LIMITED"/>
        <s v="AIA Engineering Ltd."/>
        <s v="KEC International Ltd."/>
        <s v="GALLANTT ISPAT LIMITED"/>
        <s v="Rajnish Wellness Limited"/>
        <s v="Sophia Traexpo Limited"/>
        <s v="Raw Edge Industrial Solutions Limited"/>
        <s v="TCNS Clothing Co. Limited"/>
        <s v="Supershakti Metaliks Limited"/>
        <s v="Priya Limited."/>
        <s v="RACONTEUR GLOBAL RESOURCES LIMITED"/>
        <s v="GODAWARI POWER AND ISPAT LTD."/>
        <s v="Vivanta Industries Limited"/>
        <s v="Hemo Organic Limited"/>
        <s v="VOLTAMP TRANSFORMERS LIMITED"/>
        <s v="AMIN TANNERY LIMITED"/>
        <s v="Deep Polymers Limited"/>
        <s v="Sungold Media and Entertainment Limited"/>
        <s v="Add-Shop E-Retail Limited"/>
        <s v="Space Incubatrics Technologies Limited"/>
        <s v="Synergy Green Industries Limited"/>
        <s v="Ranjeet Mechatronics Limited"/>
        <s v="Action Construction Equipments Ltd."/>
        <s v="SKY GOLD LIMITED"/>
        <s v="Mac Hotels Limited"/>
        <s v="Manorama Industries Limited"/>
        <s v="Parker Agro Chem Export Ltd."/>
        <s v="Technocraft Industries (India) Ltd."/>
        <s v="Ahluwalia Contracts (India) Ltd"/>
        <s v="A-1 Acid Limited"/>
        <s v="Dolfin Rubbers Limited"/>
        <s v="Shubham Polyspin Limited"/>
        <s v="AKI India Limited"/>
        <s v="Bijoy Hans Ltd"/>
        <s v="S. M. Gold Limited"/>
        <s v="VIVID MERCANTILE LIMITED"/>
        <s v="BCPL Railway Infrastructure Limited"/>
        <s v="ASTRAL LIMITED"/>
        <s v="The Phosphate Company Limited"/>
        <s v="Time Technoplast Limited"/>
        <s v="Ambitious Plastomac Ltd."/>
        <s v="Shree Krishna Infrastructure Limited"/>
        <s v="Mahasagar Travels Ltd."/>
        <s v="Aryan Share &amp; Stock Brokers Ltd."/>
        <s v="NIVAKA FASHIONS LIMITED"/>
        <s v="Transformers and Rectifiers (India) Limited"/>
        <s v="Nila Spaces Ltd"/>
        <s v="Shankar Lal Rampal Dye-Chem Limited"/>
        <s v="Trejhara Solutions Limited"/>
        <s v="Deccan Health Care Limited"/>
        <s v="Axita Cotton Limited"/>
        <s v="J. Kumar Infraprojects Limited"/>
        <s v="Hi-Klass Trading and Investment Limited"/>
        <s v="Siddheswari Garments Ltd."/>
        <s v="Spencer's Retail Limited"/>
        <s v="Gloster Ltd"/>
        <s v="Xelpmoc Design and Tech Limited"/>
        <s v="SPA Capital Services Limited"/>
        <s v="Aar Shyam India Investment Company Limited"/>
        <s v="Harmony Capital Services Ltd."/>
        <s v="KNR Constructions Limited"/>
        <s v="Anmol India Limited"/>
        <s v="Garodia Chemicals Ltd."/>
        <s v="Kranti Industries Limited"/>
        <s v="The Anup Engineering Ltd"/>
        <s v="Inter State Oil Carrier Ltd"/>
        <s v="TITAGARH RAIL SYSTEMS LIMITED"/>
        <s v="S.P.Capital Financing Ltd."/>
        <s v="Jyot International Marketing Limited"/>
        <s v="Ashapuri Gold Ornament Limited"/>
        <s v="Aartech Solonics Limited"/>
        <s v="Humming Bird Education Limited"/>
        <s v="STRATMONT INDUSTRIES LIMITED"/>
        <s v="Roopshri Resorts Limited"/>
        <s v="Ekam Leasing &amp; Finance Co. Ltd."/>
        <s v="Shree Ganesh Elastoplast Ltd"/>
        <s v="ISGEC Heavy Engineering Limited"/>
        <s v="MAN INFRACONSTRUCTION LIMITED"/>
        <s v="Ashoka Buildcon Limited"/>
        <s v="JUPITER WAGONS LIMITED"/>
        <s v="V R FILMS &amp; STUDIOS LIMITED"/>
        <s v="S.I.Capital And Financial Services"/>
        <s v="Neogen Chemicals Limited"/>
        <s v="G. K. P. Printing &amp; Packaging Limited"/>
        <s v="R.R.Securities Ltd."/>
        <s v="Euro Asia Exports Ltd."/>
        <s v="BMW INDUSTRIES LIMITED"/>
        <s v="Artemis Electricals and Projects Limited"/>
        <s v="Cian Healthcare Limited"/>
        <s v="Dhanashree Electronics Limited"/>
        <s v="Harish Textile Engineers Limited"/>
        <s v="Prakash Pipes Limited"/>
        <s v="Digicontent Limited"/>
        <s v="Arihants Securities ltd."/>
        <s v="Anand Rayons Limited"/>
        <s v="Murae Organisor Limited"/>
        <s v="SBC EXPORTS LIMITED"/>
        <s v="Kirloskar Oil Engines Limited"/>
        <s v="City Pulse Multiplex Limited"/>
        <s v="SK International Export Limited"/>
        <s v="DCM NOUVELLE LIMITED"/>
        <s v="Texmaco Rail &amp; Engineering Limited"/>
        <s v="TRADEWELL HOLDINGS LIMITED"/>
        <s v="Zen Technologies Ltd."/>
        <s v="TD Power Systems Ltd"/>
        <s v="Alphalogic Techsys Limited"/>
        <s v="Novateor Research Laboratories Limited"/>
        <s v="360 ONE WAM LIMITED"/>
        <s v="Triveni Turbine Limited"/>
        <s v="MUFIN GREEN FINANCE LIMITED"/>
        <s v="Misquita Engineering Limited"/>
        <s v="Galactico Corporate Services Limited"/>
        <s v="Vikalp Securities Ltd."/>
        <s v="APL Apollo Tubes Limited"/>
        <s v="RHI MAGNESITA INDIA LIMITED"/>
        <s v="GOBLIN INDIA LIMITED"/>
        <s v="Gensol Engineering Limited"/>
        <s v="Vishwaraj Sugar Industries Limited"/>
        <s v="Greenpanel Industries Limited"/>
        <s v="Shahlon Silk Industries Limited"/>
        <s v="MOUNT HOUSING AND INFRASTRUCTURE LIMITED"/>
        <s v="Anuroop Packaging Limited"/>
        <s v="COLAB CLOUD PLATFORMS LIMITED"/>
        <s v="SCHNEIDER ELECTRIC INFRASTRUCTURE LIMITED"/>
        <s v="NBCC (India) Limited"/>
        <s v="Hindware Home Innovation Limited"/>
        <s v="Easun Capital Markets Limited"/>
        <s v="PTC Industries Ltd."/>
        <s v="Assam Entrade Limited"/>
        <s v="Gian Life Care Limited"/>
        <s v="Artemis Medicare Services Limited"/>
        <s v="Inox Wind Limited"/>
        <s v="Janus Corporation Limited"/>
        <s v="Vardhan Capital &amp; Finance Limited"/>
        <s v="UNIVERSUS PHOTO IMAGINGS LIMITED"/>
        <s v="Chandra Bhagat Pharma Limited"/>
        <s v="Octavius Plantations Limited"/>
        <s v="PNC Infratech Limited"/>
        <s v="SM Auto Stamping Limited"/>
        <s v="Power Mech Projects Limited"/>
        <s v="RO Jewels Limited"/>
        <s v="Cospower Engineering Limited"/>
        <s v="LLOYDS ENGINEERING WORKS LIMITED"/>
        <s v="LWS Knitwear Ltd"/>
        <s v="Natural Biocon (India) Limited"/>
        <s v="REGIS INDUSTRIES LIMITED"/>
        <s v="Billwin Industries Limited"/>
        <s v="Aarti Surfactants Limited"/>
        <s v="BONLON INDUSTRIES LIMITED"/>
        <s v="Borosil Limited"/>
        <s v="ROSSARI BIOTECH LIMITED"/>
        <s v="NDR Auto Components Limited"/>
        <s v="SURATWWALA BUSINESS GROUP LIMITED"/>
        <s v="Dilip Buildcon Limited"/>
        <s v="Max India Limited"/>
        <s v="Cochin Shipyard Limited"/>
        <s v="H.G. Infra Engineering Limited"/>
        <s v="Samrat Forgings Limited"/>
        <s v="Advait Infratech Limited"/>
        <s v="Archidply Decor Limited"/>
        <s v="Bharat Dynamics Limited"/>
        <s v="Chemcon Speciality Chemicals Limited"/>
        <s v="Secmark Consultancy Limited"/>
        <s v="Hindustan Aeronautics Limited"/>
        <s v="Atam Valves Limited"/>
        <s v="Mishra Dhatu Nigam Limited"/>
        <s v="RITES Limited"/>
        <s v="G M Polyplast Limited"/>
        <s v="Likhitha Infrastructure Limited"/>
        <s v="Veer Global Infraconstruction Limited"/>
        <s v="Nouveau Global Ventures Limited"/>
        <s v="IRCON International Ltd"/>
        <s v="Shine Fashions (India) Limited"/>
        <s v="Garden Reach Shipbuilders &amp; Engineers Limited"/>
        <s v="Restaurant Brands Asia Limited"/>
        <s v="Techno Electric &amp; Engineering Company Limited"/>
        <s v="Ravinder Heights Limited"/>
        <s v="Fairchem Organics Limited"/>
        <s v="Rail Vikas Nigam Limited"/>
        <s v="Antony Waste Handling Cell Limited"/>
        <s v="RITA FINANCE AND LEASING LIMITED"/>
        <s v="Polycab India Limited"/>
        <s v="STERLING AND WILSON RENEWABLE ENERGY LIMITED"/>
        <s v="Prince Pipes and Fittings Limited"/>
        <s v="STOVE KRAFT LIMITED"/>
        <s v="MRP Agro Limited"/>
        <s v="SMC Global Securities Limited"/>
        <s v="Nureca Limited"/>
        <s v="HITACHI ENERGY INDIA LIMITED"/>
        <s v="Heranba Industries Limited"/>
        <s v="Davangere Sugar Company Limited"/>
        <s v="DRC Systems India Limited"/>
        <s v="Mazagon Dock Shipbuilders Limited"/>
        <s v="MTAR Technologies Limited"/>
        <s v="Inox Wind Energy Limited"/>
        <s v="Shukra Bullions Limited"/>
        <s v="SUUMAYA CORPORATION LIMITED"/>
        <s v="Shyam Metalics and Energy Limited"/>
        <s v="G R Infraprojects Limited"/>
        <s v="Paras Defence and Space Technologies Limited"/>
        <s v="Tega Industries Limited"/>
        <s v="Suryoday Small Finance Bank Limited"/>
        <s v="Data Patterns (India) Limited"/>
        <s v="Suvidhaa Infoserve Limited"/>
        <s v="BARBEQUE-NATION HOSPITALITY LIMITED"/>
        <s v="Jyothi Infraventures Ltd."/>
        <s v="Rajeshwari Cans Limited"/>
        <s v="Jetmall Spices and Masala Limited"/>
        <s v="Syrma SGS Technology Limited"/>
        <s v="Deep Industries Limited"/>
        <s v="KAYNES TECHNOLOGY INDIA LIMITED"/>
        <s v="Vineet Laboratories Limited"/>
        <s v="Cyient DLM Limited"/>
        <s v="R R KABEL LIMITED"/>
        <s v="Devine Impex Limited"/>
        <s v="INOX India Limited"/>
        <s v="Happy Forgings Limited"/>
        <s v="Adeshwar Meditex Limited"/>
        <s v="Times Green Energy (India) Limited"/>
        <s v="India Pesticides Limited"/>
        <s v="Focus Business Solution Limited"/>
        <s v="Azad Engineering Limited"/>
        <s v="Jyoti CNC Automation Limited"/>
        <s v="VSD Confin ltd."/>
        <s v="EXICOM TELE-SYSTEMS LIMITED"/>
        <s v="Tatva Chintan Pharma Chem Limited"/>
        <s v="Gretex Corporate Services Limited"/>
        <s v="Infosys Ltd"/>
        <s v="Exxaro Tiles Limited"/>
        <s v="Krsnaa Diagnostics Limited"/>
        <s v="Windlas Biotech Limited"/>
        <s v="Tata Elxsi Ltd"/>
        <s v="Meghmani Organics Limited"/>
        <s v="BLACK BOX LIMITED"/>
        <s v="CarTrade Tech Limited"/>
        <s v="Zensar Technologies Ltd."/>
        <s v="Wipro  Ltd."/>
        <s v="Mastek Limited"/>
        <s v="SHARPLINE BROADCAST LIMITED"/>
        <s v="Aashka Hospitals Limited"/>
        <s v="Mphasis Limited"/>
        <s v="Cyient Limited"/>
        <s v="SVA India Ltd"/>
        <s v="Sonata Software Ltd."/>
        <s v="Prevest Denpro Limited"/>
        <s v="Markolines Pavement Technologies Limited"/>
        <s v="SBL Infratech Limited"/>
        <s v="HCL Technologies Ltd"/>
        <s v="Hindustan Appliances Ltd"/>
        <s v="Shri Venkatesh Refineries Limited"/>
        <s v="BIRLASOFT LIMITED"/>
        <s v="Promax Power Limited"/>
        <s v="Samor Reality Limited"/>
        <s v="Adishakti Loha and Ispat Limited"/>
        <s v="MOSCHIP TECHNOLOGIES LIMITED"/>
        <s v="Fino Payments Bank Limited"/>
        <s v="S.J.S. Enterprises Limited"/>
        <s v="Sigachi Industries Limited"/>
        <s v="Oracle Financial Services Software Limited"/>
        <s v="Suyog Gurbaxani Funicular Ropeways Limited"/>
        <s v="Tata Consultancy Services Ltd."/>
        <s v="COFORGE LIMITED"/>
        <s v="Aurionpro Solutions Ltd."/>
        <s v="Tarsons Products Limited"/>
        <s v="Omnipotent Industries Limited"/>
        <s v="R Systems International Limited"/>
        <s v="Shree Vatsaa Finance &amp; Leasing Ltd."/>
        <s v="HI-TECH PIPES LIMITED"/>
        <s v="Tech Mahindra Limited"/>
        <s v="TANLA PLATFORMS LIMITED"/>
        <s v="Persistent Systems Limited"/>
        <s v="Zodiac Energy Limited"/>
        <s v="INTELLECT DESIGN ARENA LIMITED"/>
        <s v="Shriram Properties Limited"/>
        <s v="Shri Kalyan Holdings Ltd."/>
        <s v="MAGELLANIC CLOUD LIMITED"/>
        <s v="LTIMindtree Limited"/>
        <s v="L&amp;T Technology Services Limited"/>
        <s v="Newgen Software Technologies Limited"/>
        <s v="HP Adhesives Limited"/>
        <s v="Supriya Lifescience Limited"/>
        <s v="CLARA INDUSTRIES LIMITED"/>
        <s v="Brandbucket Media &amp; Technology Limited"/>
        <s v="Sicagen India Limited"/>
        <s v="Brand Concepts Limited"/>
        <s v="Fabino Life Sciences Limited"/>
        <s v="WONDER ELECTRICALS LIMITED"/>
        <s v="AGS TRANSACT TECHNOLOGIES LIMITED"/>
        <s v="ALKOSIGN LIMITED"/>
        <s v="KPIT Technologies Ltd"/>
        <s v="Quality RO Industries Limited"/>
        <s v="Karnimata Cold Storage Limited"/>
        <s v="DEV INFORMATION TECHNOLOGY LIMITED"/>
        <s v="Affle (India) Limited"/>
        <s v="Maruti Interior Products Limited"/>
        <s v="SoftTech Engineers Limited"/>
        <s v="Ekennis Software Service Limited"/>
        <s v="Happiest Minds Technologies Limited"/>
        <s v="Adarsh Mercantile Limited"/>
        <s v="Latent View Analytics Limited"/>
        <s v="Bhatia Colour Chem Limited"/>
        <s v="RateGain Travel Technologies Limited"/>
        <s v="Achyut Healthcare Limited"/>
        <s v="HIND COMMERCE LIMITED"/>
        <s v="Avro India Limited"/>
        <s v="Sirohia &amp; Sons Limited"/>
        <s v="Veranda Learning Solutions Limited"/>
        <s v="Mihika Industries Ltd."/>
        <s v="Abhishek Finlease limited"/>
        <s v="Hariom Pipe Industries Limited"/>
        <s v="Eighty Jewellers Limited"/>
        <s v="Shashwat Furnishing Solutions Limited"/>
        <s v="Global Longlife Hospital and Research Limited"/>
        <s v="Fone4 Communications (India) Limited"/>
        <s v="Nanavati Ventures Limited"/>
        <s v="C.E. Info Systems Limited"/>
        <s v="eMudhra Limited"/>
        <s v="Silver Touch Technologies Limited"/>
        <s v="NETWEB TECHNOLOGIES INDIA LIMITED"/>
        <s v="Tata Technologies Limited"/>
        <s v="Venus Pipes &amp; Tubes Limited"/>
        <s v="JAYATMA ENTERPRISES LIMITED"/>
        <s v="Adani Ports and Special Economic Zone Ltd"/>
        <s v="Tierra Agrotech Limited"/>
        <s v="InterGlobe Aviation Limited"/>
        <s v="JSW Infrastructure Limited"/>
        <s v="Container Corporation Of India Ltd."/>
        <s v="Fraser And Company Limited"/>
        <s v="Silver Pearl Hospitality &amp; Luxury Spaces Limited"/>
        <s v="Scarnose International Limited"/>
        <s v="Goel Food Products Limited"/>
        <s v="MODIâ€™S NAVNIRMAN LIMITED"/>
        <s v="Pearl Green Clubs and Resorts Limited"/>
        <s v="SAILANI TOURS N TRAVELS LIMITED"/>
        <s v="KESAR INDIA LIMITED"/>
        <s v="B-RIGHT REALESTATE LIMITED"/>
        <s v="JAYANT INFRATECH LIMITED"/>
        <s v="Veerkrupa Jewellers Limited"/>
        <s v="HEALTHY LIFE AGRITEC LIMITED"/>
        <s v="DDEV PLASTIKS INDUSTRIES LIMITED"/>
        <s v="GMR AIRPORTS INFRASTRUCTURE LIMITED"/>
        <s v="Olatech Solutions Limited"/>
        <s v="NATURO INDIABULL LIMITED"/>
        <s v="Rhetan TMT Limited"/>
        <s v="Integrated Capital Services Ltd"/>
        <s v="Dhampur Bio Organics Limited"/>
        <s v="DIPNA PHARMACHEM LIMITED"/>
        <s v="EP BIOCOMPOSITES LIMITED"/>
        <s v="Delhivery Limited"/>
        <s v="Virtuoso Optoelectronics Limited"/>
        <s v="SHANTIDOOT INFRA SERVICES LIMITED"/>
        <s v="Ksolves India Limited"/>
        <s v="Harsha Engineers International Limited"/>
        <s v="CONTAINE TECHNOLOGIES LIMITED"/>
        <s v="MAFIA TRENDS LIMITED"/>
        <s v="Tips Films Limited"/>
        <s v="Jyotirgamya Enterprises Limited"/>
        <s v="Trident Lifeline Limited"/>
        <s v="REETECH INTERNATIONAL CARGO AND COURIER LIMITED"/>
        <s v="Swagtam Trading &amp; Services Limited"/>
        <s v="Concord Control Systems Limited"/>
        <s v="Blue Dart Express Ltd."/>
        <s v="IGC Industries Limited"/>
        <s v="STEELMAN TELECOM LIMITED"/>
        <s v="VEDANT ASSET LIMITED"/>
        <s v="MAAGH ADVERTISING AND MARKETING SERVICES LIMITED"/>
        <s v="ELITECON INTERNATIONAL LIMITED"/>
        <s v="Great Eastern Shipping Co. Ltd."/>
        <s v="Redington Limited"/>
        <s v="Dc Infotech and Communication Limited"/>
        <s v="PACE E-COMMERCE VENTURES LIMITED"/>
        <s v="SHARANAM INFRAPROJECT AND TRADING LIMITED"/>
        <s v="Narmada Agrobase Limited"/>
        <s v="InfoBeans Technologies Limited"/>
        <s v="HINDPRAKASH INDUSTRIES LIMITED"/>
        <s v="DCX Systems Limited"/>
        <s v="DAPS ADVERTISING LIMITED"/>
        <s v="Fusion Micro Finance Limited"/>
        <s v="Firstsource Solutions Ltd."/>
        <s v="MMTC Ltd."/>
        <s v="Technopack Polymers Limited"/>
        <s v="Shipping Corporation Of India Ltd"/>
        <s v="eClerx Services Limited"/>
        <s v="Gujarat Pipavav Port Limited"/>
        <s v="Quess Corp Limited"/>
        <s v="B&amp;B Triplewall Containers Limited"/>
        <s v="TVS Supply Chain Solutions Limited"/>
        <s v="VINNY OVERSEAS LIMITED"/>
        <s v="Medico Intercontinental Limited"/>
        <s v="AMBO AGRITEC LIMITED"/>
        <s v="Sirca Paints India Limited"/>
        <s v="Dharmaj Crop Guard Limited"/>
        <s v="Sarveshwar Foods Limited"/>
        <s v="Uniparts India Limited"/>
        <s v="PNGS GARGI FASHION JEWELLERY LIMITED"/>
        <s v="Sula Vineyards Limited"/>
        <s v="Abans Holdings Limited"/>
        <s v="Sabrimala Industries India Limited"/>
        <s v="LANDMARK CARS LIMITED"/>
        <s v="Franklin Industries Limited"/>
        <s v="CMS Info Systems Limited"/>
        <s v="Elin Electronics Limited"/>
        <s v="Shashank Traders Limited"/>
        <s v="Aveer Foods Limited"/>
        <s v="Sah Polymers Limited"/>
        <s v="Rex Sealing and Packing Industries Limited"/>
        <s v="SVS VENTURES LIMITED"/>
        <s v="LOGICA INFOWAY LIMITED"/>
        <s v="Kamdhenu Ventures Limited"/>
        <s v="Transport Corporation of India Ltd"/>
        <s v="DHARNI CAPITAL SERVICES LIMITED"/>
        <s v="NEW LIGHT APPARELS LIMTED"/>
        <s v="Earthstahl &amp; Alloys Limited"/>
        <s v="Ashika Credit Capital Ltd."/>
        <s v="BODHI TREE MULTIMEDIA LIMITED"/>
        <s v="NMDC Steel Limited"/>
        <s v="INDONG TEA COMPANY LIMITED"/>
        <s v="Sealmatic India Limited"/>
        <s v="Macfos Limited"/>
        <s v="Patron Exim Limited"/>
        <s v="S.V.J.ENTERPRISES LIMITED"/>
        <s v="AMANAYA VENTURES LIMITED"/>
        <s v="RESGEN LIMITED"/>
        <s v="SHANGAR DECOR LIMITED"/>
        <s v="AIRAN LIMITED"/>
        <s v="DIVGI TORQTRANSFER SYSTEMS LIMITED"/>
        <s v="Prospect Commodities Limited"/>
        <s v="SUDARSHAN PHARMA INDUSTRIES LIMITED"/>
        <s v="Global Surfaces Limited"/>
        <s v="LABELKRAFT TECHNOLOGIES LIMITED"/>
        <s v="Bright Outdoor Media Limited"/>
        <s v="Command Polymers Limited"/>
        <s v="Dev Labtech Venture Limited"/>
        <s v="J.A. Finance Limited"/>
        <s v="Udayshivakumar infra Limited"/>
        <s v="Maiden Forgings Limited"/>
        <s v="Exhicon Events Media Solutions Limited"/>
        <s v="Avalon Technologies Limited"/>
        <s v="Sancode Technologies Limited"/>
        <s v="BEML Land Assets Limited"/>
        <s v="ROBUST HOTELS LIMITED"/>
        <s v="Retina Paints Limited"/>
        <s v="SIS LIMITED"/>
        <s v="INNOKAIZ INDIA LIMITED"/>
        <s v="Flora Corporation Limited"/>
        <s v="Atal Realtech Limited"/>
        <s v="Power &amp; Instrumentation (Gujarat) Limited"/>
        <s v="Swati Projects Limited"/>
        <s v="Pavna Industries Limited"/>
        <s v="Hemant Surgical Industries Limited"/>
        <s v="SIGMA SOLVE LIMITED"/>
        <s v="GHCL Textiles Limited"/>
        <s v="M.K.Proteins Limited"/>
        <s v="CFF FLUID CONTROL LIMITED"/>
        <s v="Comrade Appliances Limited"/>
        <s v="IKIO Lighting Limited"/>
        <s v="Sonalis Consumer Products Limited"/>
        <s v="Bizotic Commercial Limited"/>
        <s v="Asian Warehousing Limited"/>
        <s v="Cosmic CRF Limited"/>
        <s v="HMA Agro Industries Limited"/>
        <s v="URAVI T AND WEDGE LAMPS LIMITED"/>
        <s v="VEEFIN SOLUTIONS LIMITED"/>
        <s v="IDEAFORGE TECHNOLOGY LIMITED"/>
        <s v="Nesco Ltd"/>
        <s v="Machhar Industries Limited"/>
        <s v="MSTC Limited"/>
        <s v="ALPHALOGIC INDUSTRIES LIMITED"/>
        <s v="ACCELERATEBS INDIA LIMITED"/>
        <s v="Kaka Industries Limited"/>
        <s v="Allcargo Logistics Ltd"/>
        <s v="AHASOLAR TECHNOLOGIES LIMITED"/>
        <s v="Hemisphere Properties India Limited"/>
        <s v="ASARFI HOSPITAL LIMITED"/>
        <s v="VRL Logistics Limited"/>
        <s v="YATHARTH HOSPITAL &amp; TRAUMA CARE SERVICES LIMITED"/>
        <s v="Innovatus Entertainment Networks Limited"/>
        <s v="Gateway Distriparks Limited"/>
        <s v="Khazanchi Jewellers Limited"/>
        <s v="Raideep Industries Limited"/>
        <s v="KCD INDUSTRIES INDIA LIMITED"/>
        <s v="HFCL LIMITED"/>
        <s v="VL E-Governance &amp; IT Solutions Limited"/>
        <s v="Tata Communications Limited"/>
        <s v="ITI Limited (Indian Teleph.Ind.Ltd)"/>
        <s v="D.P. WIRES LIMITED"/>
        <s v="SHELTER PHARMA LIMITED"/>
        <s v="PRO CLB GLOBAL LIMITED"/>
        <s v="Pyramid Technoplast Limited"/>
        <s v="Shoora Designs Limited"/>
        <s v="Tata Teleservices (Maharashtra) Ltd."/>
        <s v="Aeroflex Industries Limited"/>
        <s v="VISHNU PRAKASH R PUNGLIA LIMITED"/>
        <s v="Shradha AI Technologies Limited"/>
        <s v="Rishabh Instruments Limited"/>
        <s v="Ratnaveer Precision Engineering Limited"/>
        <s v="Kahan Packaging Limited"/>
        <s v="Sterlite Technologies Limited."/>
        <s v="Bharti Airtel  Ltd."/>
        <s v="Meson Valves India Limited"/>
        <s v="EMS LIMITED"/>
        <s v="Samhi Hotels Limited"/>
        <s v="ZAGGLE PREPAID OCEAN SERVICES LIMITED"/>
        <s v="South West Pinnacle Exploration Limited"/>
        <s v="VODAFONE IDEA LIMITED"/>
        <s v="Sai Silks (Kalamandir) Limited"/>
        <s v="INDUS TOWERS LIMITED"/>
        <s v="Chandrima Mercantiles limited"/>
        <s v="YATRA ONLINE LIMITED"/>
        <s v="ARCL Organics Ltd"/>
        <s v="Jonjua Overseas Limited"/>
        <s v="MANOJ VAIBHAV GEMS 'N' JEWELLERS LIMITED"/>
        <s v="Gleam Fabmat Limited"/>
        <s v="ORGANIC RECYCLING SYSTEMS LIMITED"/>
        <s v="Valiant Laboratories Limited"/>
        <s v="CITY CROPS AGRO LIMITED"/>
        <s v="Sunita Tools Limited"/>
        <s v="Vivaa Tradecom Limited"/>
        <s v="Plaza Wires Limited"/>
        <s v="IRM ENERGY LIMITED"/>
        <s v="Tejas Networks Limited"/>
        <s v="Route Mobile Limited"/>
        <s v="Chandni Machines Limited"/>
        <s v="RailTel Corporation of India Limited"/>
        <s v="KK Shah Hospitals Limited"/>
        <s v="Bondada Engineering Limited"/>
        <s v="Mish Designs Limited"/>
        <s v="ESAF Small Finance Bank Ltd"/>
        <s v="Protean eGov Technologies Limited"/>
        <s v="Bharti Hexacom Limited"/>
        <s v="Kalyani Cast-Tech Limited"/>
        <s v="Arrowhead Seperation Engineering Limited"/>
        <s v="CESC Limited"/>
        <s v="Fedbank Financial Services Limited"/>
        <s v="Ion Exchange (India) Ltd"/>
        <s v="Gandhar Oil Refinery (India) Limited"/>
        <s v="Flair Writing Industries Limited"/>
        <s v="Swashthik Plascon Limited"/>
        <s v="DEEPAK CHEMTEX LIMITED"/>
        <s v="Amic Forging Limited"/>
        <s v="Bajel Projects Limited"/>
        <s v="Reliance Infrastructure Ltd"/>
        <s v="Tata Power Co. Ltd"/>
        <s v="NAVA LIMITED"/>
        <s v="Siyaram Recycling Industries Limited"/>
        <s v="Benchmark Computer Solutions Limited"/>
        <s v="Motisons Jewellers Limited"/>
        <s v="Suraj Estate Developers Limited"/>
        <s v="Muthoot Microfin Limited"/>
        <s v="Navoday Enterprises Limited"/>
        <s v="NLC India Limited"/>
        <s v="Credo Brands Marketing Limited"/>
        <s v="SHANTI SPINTEX LIMITED"/>
        <s v="RBZ Jewellers Limited"/>
        <s v="PTC India Ltd"/>
        <s v="SUNDARAM-CLAYTON LIMITED"/>
        <s v="INNOVA CAPTAB LIMITED"/>
        <s v="AIK Pipes and Polymers Limited"/>
        <s v="Manoj Ceramic Limited"/>
        <s v="Shri Balaji Valve Components Limited"/>
        <s v="DIGIDRIVE DISTRIBUTORS LIMITED"/>
        <s v="Sayaji Hotels (Indore) Limited"/>
        <s v="NTPC Limited"/>
        <s v="New Swan Multitech Limited"/>
        <s v="Shree Marutinandan Tubes Limited"/>
        <s v="Medi Assist Healthcare Services Limited"/>
        <s v="Sayaji Hotels (Pune) Limited"/>
        <s v="AA Plus Tradelink Limited"/>
        <s v="Euphoria Infotech (India) Limited"/>
        <s v="EPACK Durable Limited"/>
        <s v="Nova Agritech Limited"/>
        <s v="Brisk Technovision Limited"/>
        <s v="HARSHDEEP HORTICO LIMITED"/>
        <s v="Mayank Cattle Food Limited"/>
        <s v="BLS E-Services Limited"/>
        <s v="Gabriel Pet Straps Limited"/>
        <s v="Apeejay Surrendra Park Hotels Limited"/>
        <s v="JASCH GAUGING TECHNOLOGIES LIMITED"/>
        <s v="Signpost India Limited"/>
        <s v="Jaiprakash Power Ventures Limited"/>
        <s v="Rashi Peripherals Limited"/>
        <s v="Capital Small Finance Bank Ltd"/>
        <s v="Rudra Gas Enterprise Limited"/>
        <s v="Entero Healthcare Solutions Limited"/>
        <s v="VIBHOR STEEL TUBES LIMITED"/>
        <s v="TORRENT POWER LIMITED"/>
        <s v="GPT Healthcare Limited"/>
        <s v="POWER GRID CORPORATION OF INDIA LIMITED"/>
        <s v="Platinum Industries Limited"/>
        <s v="Mukka Proteins Limited"/>
        <s v="R K Swamy Limited"/>
        <s v="J.G.Chemicals Limited"/>
        <s v="KOURA FINE DIAMOND JEWELRY LIMITED"/>
        <s v="Gopal Snacks Limited"/>
        <s v="Pune E - Stock Broking Limited"/>
        <s v="Shipping Corporation of India Land and Assets Limited"/>
        <s v="Royal Sense Limited"/>
        <s v="Popular Vehicles and Services Limited"/>
        <s v="PlatinumOne Business Services Limited"/>
        <s v="KP GREEN ENGINEERING LIMITED"/>
        <s v="CHATHA FOODS LIMITED"/>
        <s v="Evoq Remedies Limited"/>
        <s v="Vruddhi Engineering Works Limited"/>
        <s v="SRM CONTRACTORS LIMITED"/>
        <s v="Jay Kailash Namkeen Limited"/>
        <s v="D P ABHUSHAN LIMITED"/>
        <s v="Reliance Power Limited"/>
        <s v="Greenhitech Ventures Limited"/>
        <s v="Faalcon Concepts Limited"/>
        <s v="SHIVAM CHEMICALS LIMITED"/>
        <s v="EMMFORCE AUTOTECH LIMITED"/>
        <s v="JNK India Limited"/>
        <s v="VARYAA CREATIONS LIMITED"/>
        <s v="Amkay Products Limited"/>
        <s v="Sai Swami Metals and Alloys Limited"/>
        <s v="Storage Technologies and Automation Limited"/>
        <s v="Adani Power Limited"/>
        <s v="Finelistings Technologies Limited"/>
        <s v="NHPC Limited"/>
        <s v="TGIF AGRIBUSINESS LIMITED"/>
        <s v="RattanIndia Power Limited"/>
        <s v="Aztec Fluids &amp; Machinery Limited"/>
        <s v="PIOTEX INDUSTRIES LIMITED"/>
        <s v="JSW Energy Limited"/>
        <s v="Qualitek Labs Limited"/>
        <s v="Associated Coaters Limited"/>
        <s v="Borosil Scientific Limited"/>
        <s v="ADTECH SYSTEMS LIMITED"/>
        <s v="Forbes Precision Tools and Machine Parts Limited"/>
        <s v="KRONOX LAB SCIENCES LIMITED"/>
        <s v="Magenta Lifecare Limited"/>
        <s v="SATTRIX INFORMATION SECURITY LIMITED"/>
        <s v="3C IT Solutions and Telecoms (India) Limited"/>
        <s v="Purple Finance Limited"/>
        <s v="Le Travenues Technology Limited"/>
        <s v="United Cotfab Limited"/>
        <s v="JHS SVENDGAARD RETAIL VENTURES LIMITED"/>
        <s v="DEE DEVELOPMENT ENGINEERS LIMITED"/>
        <s v="GEM Enviro Management Limited"/>
        <s v="Akme Fintrade (India) Limited"/>
        <s v="DINDIGUL FARM PRODUCT LIMITED"/>
        <s v="ICICI Prudential Mutual Fund"/>
        <s v="SJVN LIMITED"/>
        <s v="VA Tech Wabag Limited"/>
        <s v="WAAREE RENEWABLE TECHNOLOGIES LIMITED"/>
        <s v="Tide Water Oil (India) Ltd."/>
        <s v="Amrutanjan Health Care Limited"/>
        <s v="Xpro India Ltd."/>
        <s v="Hisar Metal Industries Ltd."/>
        <s v="Bharat Rasayan Limited"/>
        <s v="Adani Energy Solutions Limited"/>
        <s v="Ginni Filaments Ltd."/>
        <s v="Southern Petrochemical Industries Corporation Limited"/>
        <s v="De Nora India Limited"/>
        <s v="KAVERI TELECOM PRODUCTS LTD."/>
        <s v="Saksoft Limited"/>
        <s v="Salona Cotspin Ltd."/>
        <s v="EQUIPPP SOCIAL IMPACT TECHNOLOGIES LIMITED"/>
        <s v="The Andhra Sugars Ltd."/>
        <s v="INDIA MOTOR PARTS &amp; ACCESSORIES LTD"/>
        <s v="K.C.P. LTD"/>
        <s v="Khaitan (India) Ltd."/>
        <s v="RADAAN MEDIAWORKS (I) LIMITED"/>
        <s v="Adani Green Energy Limited"/>
        <s v="SUNDARAM BRAKE LININGS LTD"/>
        <s v="WHEELS INDIA LTD"/>
        <s v="Lambodhara Textiles Ltd."/>
        <s v="Maithan Alloys Limited"/>
        <s v="Orissa Minerals Development Company Limited"/>
        <s v="Reliance Mutual Fund-Permitted"/>
        <s v="Kotak Mahindra Mutual Fund - Permitted"/>
        <s v="Quantum Asset Management Co. Pvt. Ltd."/>
        <s v="Motilal Oswal Mutual Fund-Permitted"/>
        <s v="Madras Fertilizers Ltd"/>
        <s v="KPI Green Energy Limited"/>
        <s v="Bombay Super Hyb"/>
        <s v="GMR Power and Urban Infra Limited"/>
        <s v="IRB Infra. Trust"/>
        <s v="Jash Engineering"/>
        <s v="M B Agro Prod."/>
        <s v="NDR INVIT Trust"/>
        <s v="Oriana Power Ltd"/>
        <s v="INSOLATION ENERGY LIMITED"/>
        <s v="Spectrum Electr."/>
        <s v="INOX GREEN ENERGY SERVICES LIMITED"/>
        <s v="Thejo Engg."/>
        <s v="Vertoz Advertis."/>
      </sharedItems>
    </cacheField>
    <cacheField name="NSE Code" numFmtId="0">
      <sharedItems>
        <s v="ATUL"/>
        <s v="CENTURYTEX"/>
        <s v="BASF"/>
        <s v="AMBALALSA"/>
        <s v="ANDHRAPET"/>
        <s v="ANSALAPI"/>
        <s v="UTIQUE"/>
        <s v="ARUNAHTEL"/>
        <s v="BOMDYEING"/>
        <s v="ASIANHOTNR"/>
        <s v="CHAMBLFERT"/>
        <s v="ATVPR"/>
        <s v="SAIL"/>
        <s v="ELANTAS"/>
        <s v="EIDPARRY"/>
        <s v="GHCL"/>
        <s v="HSCL"/>
        <s v="BANCOINDIA"/>
        <s v="HINDZINC"/>
        <s v="BANARISUG"/>
        <s v="JSWSTEEL"/>
        <s v="KIRLFER"/>
        <s v="RAMCOCEM"/>
        <s v="VEDL"/>
        <s v="BEPL"/>
        <s v="BIHSPONG"/>
        <s v="BINANIIND"/>
        <s v="BIRLACABLE"/>
        <s v="GRASIM"/>
        <s v="DISAQ"/>
        <s v="QUESTCAP"/>
        <s v="BPL"/>
        <s v="OAL"/>
        <s v="CENTEXT"/>
        <s v="PIDILITIND"/>
        <s v="BIRLACORPN"/>
        <s v="PRSMJOHNSN"/>
        <s v="RAIN"/>
        <s v="DICIND"/>
        <s v="RALLIS"/>
        <s v="JKLAKSHMI"/>
        <s v="SHREECEM"/>
        <s v="DALMIASUG"/>
        <s v="SPLPETRO"/>
        <s v="ACC"/>
        <s v="AMBUJACEM"/>
        <s v="HINDALCO"/>
        <s v="MTNL"/>
        <s v="TATASTEEL"/>
        <s v="DEEPAKFERT"/>
        <s v="GNFC"/>
        <s v="GSFC"/>
        <s v="TATACHEM"/>
        <s v="KESORAMIND"/>
        <s v="DCW"/>
        <s v="DHAMPURSUG"/>
        <s v="DIAMINESQ"/>
        <s v="SRF"/>
        <s v="SARDAEN"/>
        <s v="BAYERCROP"/>
        <s v="COROMANDEL"/>
        <s v="DEEPAKNTR"/>
        <s v="PCBL"/>
        <s v="SUDARSCHEM"/>
        <s v="ESTER"/>
        <s v="FGP"/>
        <s v="PHCAP"/>
        <s v="ALKYLAMINE"/>
        <s v="COCKERILL"/>
        <s v="UFLEX"/>
        <s v="FOSECOIND"/>
        <s v="GOLDENTOBC"/>
        <s v="GANESHBE"/>
        <s v="DHANUKA"/>
        <s v="GTL"/>
        <s v="UPL"/>
        <s v="LLOYDSME"/>
        <s v="ADANIENT"/>
        <s v="GOODRICKE"/>
        <s v="GOODYEAR"/>
        <s v="GTNINDS"/>
        <s v="HINDCOPPER"/>
        <s v="GFLLIMITED"/>
        <s v="GLFL"/>
        <s v="HCL-INSYS"/>
        <s v="LINDEINDIA"/>
        <s v="NFL"/>
        <s v="PIIND"/>
        <s v="VINATIORGA"/>
        <s v="AARTIIND"/>
        <s v="HINDOILEXP"/>
        <s v="AGI"/>
        <s v="RCF"/>
        <s v="NDLVENTURE"/>
        <s v="NMDC"/>
        <s v="PRAGBOS"/>
        <s v="HLVLTD"/>
        <s v="IGPL"/>
        <s v="INDIAGLYCO"/>
        <s v="INDLEASE"/>
        <s v="MARGOFIN"/>
        <s v="INDORAMA"/>
        <s v="GUJALKALI"/>
        <s v="INDIACEM"/>
        <s v="ITHL"/>
        <s v="PRIVISCL"/>
        <s v="ATFL"/>
        <s v="JISLJALEQS"/>
        <s v="JASCH"/>
        <s v="JINDALPOLY"/>
        <s v="BALAMINES"/>
        <s v="UMANGDAIRY"/>
        <s v="JKPAPER"/>
        <s v="KAKATCEM"/>
        <s v="KSL"/>
        <s v="GMDCLTD"/>
        <s v="NATIONALUM"/>
        <s v="KGDENIM"/>
        <s v="KINETICENG"/>
        <s v="JINDALSTEL"/>
        <s v="NAVINFLUOR"/>
        <s v="JSL"/>
        <s v="ENVAIREL"/>
        <s v="ULTRACEMCO"/>
        <s v="KRIFILIND"/>
        <s v="JKCEMENT"/>
        <s v="LGBBROSLTD"/>
        <s v="SOLARINDS"/>
        <s v="JAIBALAJI"/>
        <s v="GRAVITA"/>
        <s v="MOIL"/>
        <s v="LYKALABS"/>
        <s v="ORIENTCEM"/>
        <s v="HYBRIDFIN"/>
        <s v="MAFATIND"/>
        <s v="STARCEMENT"/>
        <s v="KIOCL"/>
        <s v="GALAXYSURF"/>
        <s v="MANALIPETC"/>
        <s v="BARODARY"/>
        <s v="FINEORG"/>
        <s v="MIDINDIA"/>
        <s v="MIRCELECTR"/>
        <s v="CENTENKA"/>
        <s v="MODTHREAD"/>
        <s v="LORDSCHLO"/>
        <s v="DALBHARAT"/>
        <s v="MOREPENLAB"/>
        <s v="FLUOROCHEM"/>
        <s v="HEIDELBERG"/>
        <s v="SUMICHEM"/>
        <s v="JUBLINGREA"/>
        <s v="NAHARSPING"/>
        <s v="NAPEROL"/>
        <s v="ANURAS"/>
        <s v="LXCHEM"/>
        <s v="NIITLTD"/>
        <s v="JAYKAY"/>
        <s v="CLEAN"/>
        <s v="EPIGRAL"/>
        <s v="OILCOUNTUB"/>
        <s v="ORIENTHOT"/>
        <s v="NUVOCO"/>
        <s v="INDSUCR"/>
        <s v="PANCM"/>
        <s v="CHEMPLASTS"/>
        <s v="PILITA"/>
        <s v="PARADEEP"/>
        <s v="AETHER"/>
        <s v="PIXTRANS"/>
        <s v="ACI"/>
        <s v="FACT"/>
        <s v="PRIMESECU"/>
        <s v="ARE&amp;M"/>
        <s v="BAJAJELEC"/>
        <s v="PRUDMOULI"/>
        <s v="AMJLAND"/>
        <s v="PUNJCOMMU"/>
        <s v="RSWM"/>
        <s v="RAJSREESUG"/>
        <s v="FORCEMOT"/>
        <s v="RAMANEWS"/>
        <s v="RAMAPPR-B"/>
        <s v="RAPICUT"/>
        <s v="WELSPLSOL"/>
        <s v="RUBFILA"/>
        <s v="BATAINDIA"/>
        <s v="BLUESTARCO"/>
        <s v="EXIDEIND"/>
        <s v="ARVIND"/>
        <s v="TITAN"/>
        <s v="SKPMIL"/>
        <s v="KANSAINER"/>
        <s v="HEROMOTOCO"/>
        <s v="SPMLINFRA"/>
        <s v="KAJARIACER"/>
        <s v="SUNFLAG"/>
        <s v="WHIRLPOOL"/>
        <s v="SWARAJENG"/>
        <s v="TRENT"/>
        <s v="MRF"/>
        <s v="RAYMOND"/>
        <s v="TIRUMALCHM"/>
        <s v="SUNDRMFAST"/>
        <s v="TIMEX"/>
        <s v="TOKYOPLAST"/>
        <s v="THOMASCOOK"/>
        <s v="TPINDIA"/>
        <s v="TRANSCHEM"/>
        <s v="BHARATFORG"/>
        <s v="UTLINDS"/>
        <s v="UNIENTER"/>
        <s v="VHL"/>
        <s v="M&amp;M"/>
        <s v="WSTCSTPAPR"/>
        <s v="HOCL"/>
        <s v="MPILCORPL"/>
        <s v="PASUPTAC"/>
        <s v="KORE"/>
        <s v="BOSCHLTD"/>
        <s v="MUKANDLTD"/>
        <s v="TATAMOTORS"/>
        <s v="UCAL"/>
        <s v="HARRMALAYA"/>
        <s v="VOLTAS"/>
        <s v="AKZOINDIA"/>
        <s v="ASIANPAINT"/>
        <s v="EIHOTEL"/>
        <s v="INDHOTEL"/>
        <s v="APOLLOTYRE"/>
        <s v="CEATLTD"/>
        <s v="BALKRISIND"/>
        <s v="VTL"/>
        <s v="PHOENIXLTD"/>
        <s v="HINDMOTORS"/>
        <s v="NATIONSTD"/>
        <s v="EICHERMOT"/>
        <s v="RESPONIND"/>
        <s v="PREMIER"/>
        <s v="WESTLIFE"/>
        <s v="ZEEL"/>
        <s v="GABRIEL"/>
        <s v="IFBIND"/>
        <s v="SCHAEFFLER"/>
        <s v="VIPIND"/>
        <s v="EXCELINDUS"/>
        <s v="BERGEPAINT"/>
        <s v="GARFIBRES"/>
        <s v="SUNTECK"/>
        <s v="NOVARTIND"/>
        <s v="WELSPUNLIV"/>
        <s v="ASAHIINDIA"/>
        <s v="ANANTRAJ"/>
        <s v="HBLPOWER"/>
        <s v="MOTHERSON"/>
        <s v="NOCIL"/>
        <s v="HAVELLS"/>
        <s v="TNPETRO"/>
        <s v="ZUARIIND"/>
        <s v="SYMPHONY"/>
        <s v="TTKPRESTIG"/>
        <s v="JTEKTINDIA"/>
        <s v="ICIL"/>
        <s v="TRIDENT"/>
        <s v="ALOKINDS"/>
        <s v="SAFARI"/>
        <s v="JCHAC"/>
        <s v="GANESHHOUC"/>
        <s v="JKTYRE"/>
        <s v="RELAXO"/>
        <s v="MODIRUBBER"/>
        <s v="RAJESHEXPO"/>
        <s v="SUNRINV"/>
        <s v="JINDWORLD"/>
        <s v="VAIBHAVGBL"/>
        <s v="DSINVEST"/>
        <s v="CENTRUM"/>
        <s v="TCIFINANCE"/>
        <s v="SAREGAMA"/>
        <s v="ANTARIKSH"/>
        <s v="IITL"/>
        <s v="INDPRUD"/>
        <s v="ITDC"/>
        <s v="JAYBHCR"/>
        <s v="MAHLIFE"/>
        <s v="TVSMOTOR"/>
        <s v="TIPSINDLTD"/>
        <s v="OLECTRA"/>
        <s v="ZSWASTSA"/>
        <s v="WHBRADY"/>
        <s v="TECHNVISN"/>
        <s v="SHAILY"/>
        <s v="CERA"/>
        <s v="MARUTI"/>
        <s v="GREAVESCOT"/>
        <s v="SUPRAJIT"/>
        <s v="RKFORGE"/>
        <s v="UNOMINDA"/>
        <s v="ANANDPROJ"/>
        <s v="INDIANVSH"/>
        <s v="COASTCORP"/>
        <s v="CENTURYPLY"/>
        <s v="JBMA"/>
        <s v="ASIIL"/>
        <s v="SAGCEM"/>
        <s v="HEMACEM"/>
        <s v="DECCANCE"/>
        <s v="MANGLMCEM"/>
        <s v="NCLIND"/>
        <s v="SAURASHCEM"/>
        <s v="SHREDIGCEM"/>
        <s v="GOKEX"/>
        <s v="LERTHAI"/>
        <s v="TRIVENIGQ"/>
        <s v="NILACHAL"/>
        <s v="ANDHRAPAP"/>
        <s v="SHOPERSTOP"/>
        <s v="ORIENTPPR"/>
        <s v="CITADEL"/>
        <s v="ROLLT"/>
        <s v="SESHAPAPER"/>
        <s v="NATHIND"/>
        <s v="VAPIENTER"/>
        <s v="DCM"/>
        <s v="ZGAEKWAR"/>
        <s v="FORBESCO"/>
        <s v="HPCOTTON"/>
        <s v="UNITEDINT"/>
        <s v="JAMSHRI"/>
        <s v="KATRSPG"/>
        <s v="PVRINOX"/>
        <s v="LAKSHMIMIL"/>
        <s v="SUNTV"/>
        <s v="PENINLAND"/>
        <s v="PASUSPG"/>
        <s v="CIEINDIA"/>
        <s v="MARATHON"/>
        <s v="RAJABAH"/>
        <s v="RELCHEMQ"/>
        <s v="RUBYMILLS"/>
        <s v="SIMPLXREA"/>
        <s v="NAUKRI"/>
        <s v="VICTMILL"/>
        <s v="ZSVTRADI"/>
        <s v="ZSVARAJT"/>
        <s v="KSHITIJ"/>
        <s v="SALSAIN"/>
        <s v="SOBHA"/>
        <s v="NETWORK18"/>
        <s v="VEERENRGY"/>
        <s v="TV18BRDCST"/>
        <s v="TILAK"/>
        <s v="PAGEIND"/>
        <s v="UNIJOLL"/>
        <s v="TEAMLEASE"/>
        <s v="ELCIDIN"/>
        <s v="MEDIAONE"/>
        <s v="TCIEXP"/>
        <s v="SPICEJET"/>
        <s v="BANSWRAS"/>
        <s v="HGS"/>
        <s v="MODIPON"/>
        <s v="SHRIDINE"/>
        <s v="IBREALEST"/>
        <s v="SIYSIL"/>
        <s v="SWADPOL"/>
        <s v="SHRAJSYNQ"/>
        <s v="ZSATYASL"/>
        <s v="DLF"/>
        <s v="ELPROINTL"/>
        <s v="GEE"/>
        <s v="HIRECT"/>
        <s v="NIPPOBATRY"/>
        <s v="KPRMILL"/>
        <s v="JYOTI"/>
        <s v="JSLINDL"/>
        <s v="KAYCEEI"/>
        <s v="INDOKEM"/>
        <s v="PANAENERG"/>
        <s v="NELCO"/>
        <s v="PERMAGN"/>
        <s v="HIGHENE"/>
        <s v="STDBAT"/>
        <s v="UNIVCABLES"/>
        <s v="WSI"/>
        <s v="DLTNCBL"/>
        <s v="LAKSELEC"/>
        <s v="MODULEX"/>
        <s v="DELTAMAGNT"/>
        <s v="CONFINT"/>
        <s v="RELTD"/>
        <s v="GDTRAGN"/>
        <s v="EMPOWER"/>
        <s v="NIRLON"/>
        <s v="RIDHISYN"/>
        <s v="MAHLOG"/>
        <s v="SOFTBPO"/>
        <s v="AWFIS"/>
        <s v="DREDGECORP"/>
        <s v="KRISHNA"/>
        <s v="BFUTILITIE"/>
        <s v="UNIABEXAL"/>
        <s v="PURVA"/>
        <s v="BGWTATO"/>
        <s v="BOMBWIR"/>
        <s v="IBRIGST"/>
        <s v="INDIANHUME"/>
        <s v="INVPRECQ"/>
        <s v="VERITAS"/>
        <s v="KAIRA"/>
        <s v="ORIENTCER"/>
        <s v="BRIGADE"/>
        <s v="RATHIST"/>
        <s v="DUNCANENG"/>
        <s v="VGUARD"/>
        <s v="STOVACQ"/>
        <s v="TATAYODOGA"/>
        <s v="BAJAJ-AUTO"/>
        <s v="ZWELCAST"/>
        <s v="WMINIMT"/>
        <s v="AUTOAXLES"/>
        <s v="AUTOPRD"/>
        <s v="ACGL"/>
        <s v="SETCO"/>
        <s v="INRADIA"/>
        <s v="TALBROAUTO"/>
        <s v="ZFSTEERING"/>
        <s v="SMLISUZU"/>
        <s v="TIL"/>
        <s v="ZFCVINDIA"/>
        <s v="JAINEX"/>
        <s v="ALFREDHE"/>
        <s v="VELJAN"/>
        <s v="DYNAMATECH"/>
        <s v="GGDPROP"/>
        <s v="MHRIL"/>
        <s v="KIRLPNU"/>
        <s v="TULIVE"/>
        <s v="KPT"/>
        <s v="LXMIATO"/>
        <s v="MANUGRAPH"/>
        <s v="HARSHILAGR"/>
        <s v="SEAMECLTD"/>
        <s v="SPRIGHT"/>
        <s v="INTEGRAEN"/>
        <s v="SEMAC"/>
        <s v="DREAMFOLKS"/>
        <s v="WENDT"/>
        <s v="PSITINFRA"/>
        <s v="SINDUVA"/>
        <s v="GODREJPROP"/>
        <s v="SHYMINV"/>
        <s v="RPSGVENT"/>
        <s v="UDS"/>
        <s v="DOLATALGO"/>
        <s v="DBCORP"/>
        <s v="JUBLFOOD"/>
        <s v="RIIL"/>
        <s v="SVPGLOB"/>
        <s v="TEXINFRA"/>
        <s v="SKYLMILAR"/>
        <s v="BIMETAL"/>
        <s v="TAPARIA"/>
        <s v="BHARATGEAR"/>
        <s v="BRADYM"/>
        <s v="LATIMMETAL"/>
        <s v="DBREALTY"/>
        <s v="DECANBRG"/>
        <s v="GRAUWEIL"/>
        <s v="HIMTEK"/>
        <s v="OBEROIRLTY"/>
        <s v="HERCULES"/>
        <s v="AQFINTECH"/>
        <s v="PRESTIGE"/>
        <s v="SINGER"/>
        <s v="INTLCOMBQ"/>
        <s v="FMGOETZE"/>
        <s v="JOSTS"/>
        <s v="PGEL"/>
        <s v="MPCOSEMB"/>
        <s v="RANEHOLDIN"/>
        <s v="ROLCOEN"/>
        <s v="SNL"/>
        <s v="JAIPAN"/>
        <s v="MANCREDIT"/>
        <s v="TRF"/>
        <s v="WPIL"/>
        <s v="RTNINDIA"/>
        <s v="HINDHARD"/>
        <s v="TRITONV"/>
        <s v="SUDAI"/>
        <s v="PRAKASH"/>
        <s v="HVL"/>
        <s v="ZPRBHSTE"/>
        <s v="NAVKARCORP"/>
        <s v="VMART"/>
        <s v="LAKPRE"/>
        <s v="STANROS"/>
        <s v="GENESYS"/>
        <s v="ALLSEC"/>
        <s v="PANKAJPIYUS"/>
        <s v="PARNAXLAB"/>
        <s v="GOURMET"/>
        <s v="VIVIDHA"/>
        <s v="ISHWATR"/>
        <s v="TERRAFORM"/>
        <s v="APIS"/>
        <s v="TINNATFL"/>
        <s v="EMERGENT"/>
        <s v="KANANIIND"/>
        <s v="GCKL"/>
        <s v="YSL"/>
        <s v="ARIHANTSUP"/>
        <s v="PQIF"/>
        <s v="BLISSGVS"/>
        <s v="STYRENIX"/>
        <s v="ALEMBICLTD"/>
        <s v="AMNPLST"/>
        <s v="ANUHPHR"/>
        <s v="MODISONLTD"/>
        <s v="SHARDAMOTR"/>
        <s v="CHEMOPH"/>
        <s v="HEUBACHIND"/>
        <s v="JUSTDIAL"/>
        <s v="ABFRL"/>
        <s v="DMCC"/>
        <s v="FERMENTA"/>
        <s v="GOCLCORP"/>
        <s v="JAYCH"/>
        <s v="KANORICHEM"/>
        <s v="KELENRG"/>
        <s v="KMEW"/>
        <s v="NITTAGELA"/>
        <s v="MPAGI"/>
        <s v="OCCL"/>
        <s v="WONDERLA"/>
        <s v="AMAL"/>
        <s v="POLYCHEM"/>
        <s v="PUNJABCHEM"/>
        <s v="GUJCMDS"/>
        <s v="SADHNANIQ"/>
        <s v="PDSL"/>
        <s v="TECILCHEM"/>
        <s v="ULTRAMAR"/>
        <s v="TRANSPEK"/>
        <s v="UNICHEMLAB"/>
        <s v="MYSORPETRO"/>
        <s v="MINDACORP"/>
        <s v="TUTIALKA"/>
        <s v="GREENLAM"/>
        <s v="PRIMO"/>
        <s v="TANFACIND"/>
        <s v="GUJPETR"/>
        <s v="GUJTHEM"/>
        <s v="SNOWMAN"/>
        <s v="MAKERSL"/>
        <s v="CONTCHM"/>
        <s v="CROMPTON"/>
        <s v="IGLFXPL-B"/>
        <s v="RAJSPTR"/>
        <s v="APTPACK"/>
        <s v="BLUECHIPT"/>
        <s v="JAGAJITIND"/>
        <s v="KESARENT"/>
        <s v="TI"/>
        <s v="EMERALL"/>
        <s v="RAVALSUGAR"/>
        <s v="SAKHTISUG"/>
        <s v="WALCHANNAG"/>
        <s v="IFBAGRO"/>
        <s v="KFBL"/>
        <s v="CAPRO"/>
        <s v="GMBREW"/>
        <s v="RANASUG"/>
        <s v="PICCASUG"/>
        <s v="SDBL"/>
        <s v="CJGEL"/>
        <s v="ASALCBR"/>
        <s v="ACLGATI"/>
        <s v="CORAGRO"/>
        <s v="FOODSIN"/>
        <s v="IVP"/>
        <s v="KLRFM"/>
        <s v="OLYOI"/>
        <s v="MLKFOOD"/>
        <s v="POLSON"/>
        <s v="SAGRSOY-B"/>
        <s v="BLS"/>
        <s v="ORIBEVER"/>
        <s v="ENDURANCE"/>
        <s v="TTKHLTCARE"/>
        <s v="TGVSL"/>
        <s v="LIMECHM"/>
        <s v="KANPRPLA"/>
        <s v="TAINWALCHM"/>
        <s v="JAGSNPHARM"/>
        <s v="KHAICHEM"/>
        <s v="UNTTEMI"/>
        <s v="NOL"/>
        <s v="SFL"/>
        <s v="WIREFABR"/>
        <s v="ANSALHSG"/>
        <s v="COMPUPN"/>
        <s v="MCCHRLS-B"/>
        <s v="ADDIND"/>
        <s v="PIONRINV"/>
        <s v="ASHNOOR"/>
        <s v="UNITECH"/>
        <s v="AVL"/>
        <s v="FIBERWEB"/>
        <s v="LKPFIN"/>
        <s v="MNPLFIN"/>
        <s v="BAJAJST"/>
        <s v="KIDUJA"/>
        <s v="KEYCORP"/>
        <s v="SHIKHARLETR"/>
        <s v="GUJHOTE"/>
        <s v="RAJATH"/>
        <s v="RASRESOR"/>
        <s v="PARMCOS-B"/>
        <s v="JINDHOT"/>
        <s v="JPTRLES"/>
        <s v="SIMMOND"/>
        <s v="BNALTD"/>
        <s v="HAWKINCOOK"/>
        <s v="WARRENTEA"/>
        <s v="COCHMAL"/>
        <s v="BESTEAST"/>
        <s v="NEAGI"/>
        <s v="ISTLTD"/>
        <s v="COSMOFIRST"/>
        <s v="PRICOLLTD"/>
        <s v="NITINCAST"/>
        <s v="SMIFS"/>
        <s v="EVERESTIND"/>
        <s v="IRONWOOD"/>
        <s v="MSRINDIA"/>
        <s v="AYMSYNTEX"/>
        <s v="PANCARBON"/>
        <s v="FINKURVE"/>
        <s v="HBLEAS"/>
        <s v="SHRICON"/>
        <s v="STRLGUA"/>
        <s v="SULABEN"/>
        <s v="TCC"/>
        <s v="NAVNETEDUL"/>
        <s v="KEDIACN"/>
        <s v="SATRAPROP"/>
        <s v="ATL"/>
        <s v="AUSOMENT"/>
        <s v="THAKRAL"/>
        <s v="LANCER"/>
        <s v="VJTFEDU"/>
        <s v="VOLLF"/>
        <s v="NETLINK"/>
        <s v="KRYSTAL"/>
        <s v="LANCORHOL"/>
        <s v="INDINFO"/>
        <s v="BANASFN"/>
        <s v="VISAKAIND"/>
        <s v="HATHWAYB"/>
        <s v="GUFICBIO"/>
        <s v="TREL"/>
        <s v="GRPLTD"/>
        <s v="INDAG"/>
        <s v="MMRUBBR-B"/>
        <s v="SICALLOG"/>
        <s v="TVSSRICHAK"/>
        <s v="SEL"/>
        <s v="BENARAS"/>
        <s v="BHAGWOX"/>
        <s v="BOMOXY-B1"/>
        <s v="SAKUMA"/>
        <s v="DMART"/>
        <s v="CAPRIHANS"/>
        <s v="DIXON"/>
        <s v="TIINDIA"/>
        <s v="EMPIND"/>
        <s v="GRAVISSHO"/>
        <s v="AMBER"/>
        <s v="GARWAMAR"/>
        <s v="GOACARBON"/>
        <s v="HARDCAS"/>
        <s v="LEMONTREE"/>
        <s v="HINDCOMPOS"/>
        <s v="ZHINDHSG"/>
        <s v="HIL"/>
        <s v="INDIANCARD"/>
        <s v="INTLCONV"/>
        <s v="JAYSREETEA"/>
        <s v="KOTIC"/>
        <s v="MODRNSH"/>
        <s v="STCINDIA"/>
        <s v="HUHTAMAKI"/>
        <s v="PREMSYN"/>
        <s v="RJSHAH"/>
        <s v="SHAHCON"/>
        <s v="SHALPAINTS"/>
        <s v="SINNAR"/>
        <s v="HINDMILL"/>
        <s v="ZSOUTGAS"/>
        <s v="ESSARSHPNG"/>
        <s v="ORIENTELEC"/>
        <s v="THACKER"/>
        <s v="UPHOT"/>
        <s v="VARROC"/>
        <s v="SWASTIVI"/>
        <s v="MADHUSE"/>
        <s v="YAMNINV"/>
        <s v="PREMCAP"/>
        <s v="VIKASLIFE"/>
        <s v="JINDRILL"/>
        <s v="TRACXN"/>
        <s v="EKI"/>
        <s v="SAKTHIFIN"/>
        <s v="EASYFIN"/>
        <s v="SATINDLTD"/>
        <s v="JMDVL"/>
        <s v="TVOLCON"/>
        <s v="SHIVATEX"/>
        <s v="VBDESAI"/>
        <s v="QUADRANT"/>
        <s v="1STCUS"/>
        <s v="KAMANWALA"/>
        <s v="WSFX"/>
        <s v="ANJANIFOODS"/>
        <s v="PARSHWANA"/>
        <s v="TAALENT"/>
        <s v="NEWINFRA"/>
        <s v="RADIANTCMS"/>
        <s v="CHALET"/>
        <s v="MUNCAPM"/>
        <s v="IVC"/>
        <s v="ARVINDFASN"/>
        <s v="INDIAMART"/>
        <s v="BOMTALKIES"/>
        <s v="SAGARSYST"/>
        <s v="IDINFO"/>
        <s v="VLSFINANCE"/>
        <s v="INDCEMCAP"/>
        <s v="ADMANUM"/>
        <s v="MEHIF"/>
        <s v="INTRGLB"/>
        <s v="MCLTD"/>
        <s v="SHRISTI"/>
        <s v="CREST"/>
        <s v="VAKRANGEE"/>
        <s v="GUJCRED"/>
        <s v="SYLPH"/>
        <s v="DHARFIN"/>
        <s v="ALEXANDER"/>
        <s v="INDBANK"/>
        <s v="SHRYDUS"/>
        <s v="BHARAT"/>
        <s v="CAPTRUST"/>
        <s v="USHAKIRA"/>
        <s v="VIVOBIOT"/>
        <s v="VEERHEALTH"/>
        <s v="PANINDIAC"/>
        <s v="SAHARAHOUS"/>
        <s v="NDASEC"/>
        <s v="GSBFIN"/>
        <s v="MORARKFI"/>
        <s v="MONARCH"/>
        <s v="VINCOFE"/>
        <s v="TIMESGTY"/>
        <s v="RITCO"/>
        <s v="SODFC"/>
        <s v="SHREYAS"/>
        <s v="AVONMORE"/>
        <s v="LIBORDFIN"/>
        <s v="KERNEX"/>
        <s v="ARIHANTCAP"/>
        <s v="ISLCONSUL"/>
        <s v="DCMFINSERV"/>
        <s v="RRFIN"/>
        <s v="IMCAP"/>
        <s v="SAMBHAAV"/>
        <s v="DUGARHOU"/>
        <s v="OMEGAIN"/>
        <s v="SUGALDAM"/>
        <s v="NETTLINX"/>
        <s v="BGIL"/>
        <s v="SCANSTL"/>
        <s v="GICHSGFIN"/>
        <s v="MATHEWE"/>
        <s v="AJCON"/>
        <s v="CHRTEDCA"/>
        <s v="STANCAP"/>
        <s v="YOGI"/>
        <s v="CUBIFIN"/>
        <s v="RELICTEC"/>
        <s v="NIMBSPROJ"/>
        <s v="BAIDFIN"/>
        <s v="VIPULLTD"/>
        <s v="KZLFIN"/>
        <s v="PASUFIN"/>
        <s v="MEHSECU"/>
        <s v="MEHTAHG"/>
        <s v="UGROCAP"/>
        <s v="SAHLIBHFI"/>
        <s v="ABIRAFN"/>
        <s v="MANSIFIN"/>
        <s v="SEVENHILL"/>
        <s v="AASTAFIN"/>
        <s v="MUTHOOTCAP"/>
        <s v="MASTERTR"/>
        <s v="REMLIFE"/>
        <s v="EFCIL"/>
        <s v="AVG"/>
        <s v="CNIRESLTD"/>
        <s v="ZSARACOM"/>
        <s v="WINROC"/>
        <s v="PTL"/>
        <s v="OSWALAGRO"/>
        <s v="KAPILCO"/>
        <s v="ALANKIT"/>
        <s v="ROYALIND"/>
        <s v="LUHARUKA"/>
        <s v="JETAIRWAYS"/>
        <s v="RIDDHI"/>
        <s v="KOTHARIPRO"/>
        <s v="TIGERLOGS"/>
        <s v="MRUTR"/>
        <s v="DECNGOLD"/>
        <s v="IRCTC"/>
        <s v="ANSHNCO"/>
        <s v="CRANESSOFT"/>
        <s v="MAJESAUT"/>
        <s v="EY"/>
        <s v="TRIPR"/>
        <s v="NIDHGRN"/>
        <s v="VARIMAN"/>
        <s v="ATLANTAA"/>
        <s v="DJML"/>
        <s v="KAJALSY"/>
        <s v="AVANCE"/>
        <s v="DRONACHRYA"/>
        <s v="NSL"/>
        <s v="SECURKLOUD"/>
        <s v="ABANSENT"/>
        <s v="VAMA"/>
        <s v="TARC"/>
        <s v="MERCANTILE"/>
        <s v="UMAEXPORTS"/>
        <s v="PRISMMEDI"/>
        <s v="SPVGLOBAL"/>
        <s v="GLOBALVECT"/>
        <s v="INDIGOPNTS"/>
        <s v="RUCHINFRA"/>
        <s v="ASHCAP"/>
        <s v="SVARTCORP"/>
        <s v="CFEL"/>
        <s v="MMWL"/>
        <s v="SEACOAST"/>
        <s v="SIGIND"/>
        <s v="ZSPEEDCO"/>
        <s v="BHAGYANGR"/>
        <s v="SHANTAI"/>
        <s v="NECCLTD"/>
        <s v="MAXIMUS"/>
        <s v="EASEMYTRIP"/>
        <s v="IEL"/>
        <s v="IIRM"/>
        <s v="YASTF"/>
        <s v="ZSHERAPR"/>
        <s v="NOIDATOLL"/>
        <s v="CRESSAN"/>
        <s v="STARTECK"/>
        <s v="SHARDUL"/>
        <s v="SERA"/>
        <s v="BENGALS"/>
        <s v="UNIWSEC"/>
        <s v="CORALFINAC"/>
        <s v="DHRUV"/>
        <s v="DHOOTIN"/>
        <s v="METROGLOBL"/>
        <s v="APOLLOFI"/>
        <s v="TECHKGREEN"/>
        <s v="SRSOLTD"/>
        <s v="DEVITRD"/>
        <s v="SHRJAGP"/>
        <s v="CRAFTSMAN"/>
        <s v="PARSHVA"/>
        <s v="LLOYDSENT"/>
        <s v="BETXIND"/>
        <s v="VIRYA"/>
        <s v="STL"/>
        <s v="OASISEC"/>
        <s v="GARNETINT"/>
        <s v="SHALPRO"/>
        <s v="MEENST"/>
        <s v="GLOBOFFS"/>
        <s v="MOTOGENFIN"/>
        <s v="DONEAR"/>
        <s v="SUPER"/>
        <s v="SEQUENT"/>
        <s v="LAHOTIOV"/>
        <s v="ZENITHEXPO"/>
        <s v="KOHINOOR"/>
        <s v="PATINTLOG"/>
        <s v="KALYANKJIL"/>
        <s v="ZODJRDMKJ"/>
        <s v="BNHOLDINGS"/>
        <s v="MEP"/>
        <s v="MANBRO"/>
        <s v="KEYFINSERV"/>
        <s v="NAZARA"/>
        <s v="ANIKINDS"/>
        <s v="HARIAEXPO"/>
        <s v="BHANDARI"/>
        <s v="RLF"/>
        <s v="AAATECH"/>
        <s v="ORBTEXP"/>
        <s v="SAVERA"/>
        <s v="CHROME"/>
        <s v="TCIIND"/>
        <s v="LODHA"/>
        <s v="ZHINUDYP"/>
        <s v="REMIEDEL"/>
        <s v="GSAUTO"/>
        <s v="TRANSFRE"/>
        <s v="SBCL"/>
        <s v="GANDHITUBE"/>
        <s v="AMFORG"/>
        <s v="ORICONENT"/>
        <s v="ACROW"/>
        <s v="STLSTRINF"/>
        <s v="PENIND"/>
        <s v="JYOTISTRUC"/>
        <s v="JAYUSH"/>
        <s v="SSWL"/>
        <s v="MANINDS"/>
        <s v="MDRNSTL"/>
        <s v="SYNTHFO"/>
        <s v="GOLKONDA"/>
        <s v="GUJTLRM"/>
        <s v="AJMERA"/>
        <s v="COCHINM"/>
        <s v="ISWL"/>
        <s v="KVFORGE"/>
        <s v="SONACOMS"/>
        <s v="ARSHIYA"/>
        <s v="VALLABHSQ"/>
        <s v="ASHIS"/>
        <s v="PMTELELIN"/>
        <s v="SMFIL"/>
        <s v="BLOIN"/>
        <s v="MAITRI"/>
        <s v="SHAHALLOYS"/>
        <s v="ELANGO"/>
        <s v="KANSHST"/>
        <s v="MAHALXSE"/>
        <s v="SIMPLEXCAS"/>
        <s v="SSWRL"/>
        <s v="SIZEMASTER"/>
        <s v="SOUTHMG"/>
        <s v="BAROEXT"/>
        <s v="GUJCONT"/>
        <s v="KALYANIFRG"/>
        <s v="PANCHMAHQ"/>
        <s v="ADITYA"/>
        <s v="SRIND"/>
        <s v="STEELCAS"/>
        <s v="PITTIENG"/>
        <s v="GLITTEKG"/>
        <s v="PRADPME"/>
        <s v="GNRL"/>
        <s v="TNSTLTU"/>
        <s v="SHRDAIS"/>
        <s v="MAHASTEEL"/>
        <s v="NOVIS"/>
        <s v="STERPOW"/>
        <s v="FFPL"/>
        <s v="ZOMATO"/>
        <s v="TULSYAN"/>
        <s v="AXELPOLY"/>
        <s v="ROLEXRINGS"/>
        <s v="SPECTRA"/>
        <s v="KAJARIR"/>
        <s v="SOLIDSTON"/>
        <s v="SHILGRAVQ"/>
        <s v="WHITEORG"/>
        <s v="MFSINTRCRP"/>
        <s v="AROGRANITE"/>
        <s v="RUDRAECO"/>
        <s v="RAJKSYN"/>
        <s v="DEEPAKSP"/>
        <s v="LOYALTEX"/>
        <s v="HIMATSEIDE"/>
        <s v="BSL"/>
        <s v="ZMILGFIN"/>
        <s v="PBMPOLY"/>
        <s v="ADINATH"/>
        <s v="KONARKSY"/>
        <s v="SURYALA"/>
        <s v="SURYVANSP"/>
        <s v="TTL"/>
        <s v="DEVYANI"/>
        <s v="INDIANACRY"/>
        <s v="GANECOS"/>
        <s v="CEETAIN"/>
        <s v="VARDMNPOLY"/>
        <s v="BLACKROSE"/>
        <s v="STCORP"/>
        <s v="SANCTRN"/>
        <s v="SANGAMIND"/>
        <s v="LIKHAMI"/>
        <s v="MKVENTURES"/>
        <s v="KUSHIND"/>
        <s v="SRECR"/>
        <s v="SURBHIN"/>
        <s v="SEASONST"/>
        <s v="ZENIFIB"/>
        <s v="BHILSPIN"/>
        <s v="AARVEEDEN"/>
        <s v="SANTETX"/>
        <s v="ASHIMASYN"/>
        <s v="PIONEEREMB"/>
        <s v="VIPPYSP"/>
        <s v="JAIHINDS"/>
        <s v="RAGHUSYN"/>
        <s v="JATTAINDUS"/>
        <s v="KAMADGIRI"/>
        <s v="OMNITEX"/>
        <s v="PATSPINLTD"/>
        <s v="ONEGLOBAL"/>
        <s v="NEOINFRA"/>
        <s v="GENESIS"/>
        <s v="WINSOME"/>
        <s v="PREMIERPOL"/>
        <s v="EVERFIN"/>
        <s v="KRRAIL"/>
        <s v="GOYALALUM"/>
        <s v="GUJCOTEX"/>
        <s v="DYNAVSN"/>
        <s v="ECOHOTELS"/>
        <s v="SARUPINDUS"/>
        <s v="MANORG"/>
        <s v="HINDADH"/>
        <s v="SRIKPRIND"/>
        <s v="JYOTIRES"/>
        <s v="MHLXMIRU"/>
        <s v="SOUTLAT"/>
        <s v="OBCL"/>
        <s v="WINSOMTX"/>
        <s v="MODINSU"/>
        <s v="REGENCERAM"/>
        <s v="SANSERA"/>
        <s v="MURUDCERA"/>
        <s v="SAINTGOBAIN"/>
        <s v="NYKAA"/>
        <s v="MADHUDIN"/>
        <s v="RESTILE"/>
        <s v="MADHAV"/>
        <s v="IFL"/>
        <s v="HINDNATGLS"/>
        <s v="HALDYNGL"/>
        <s v="DUROPLY"/>
        <s v="SHREYANIND"/>
        <s v="AGIOPAPER"/>
        <s v="STARPAPER"/>
        <s v="PAKKA"/>
        <s v="TAHMARENT"/>
        <s v="SOMAPPR"/>
        <s v="ARROWGREEN"/>
        <s v="VISHNU"/>
        <s v="JUMBO"/>
        <s v="NRAIL"/>
        <s v="3PLAND"/>
        <s v="SANPA"/>
        <s v="VENTURA"/>
        <s v="SHKARTP"/>
        <s v="STHINPA"/>
        <s v="FAMILYCARE"/>
        <s v="VINDHYATEL"/>
        <s v="RIR"/>
        <s v="ADORWELD"/>
        <s v="GENPHARMA"/>
        <s v="SALZERELEC"/>
        <s v="JETKINGQ"/>
        <s v="APLAB"/>
        <s v="PCS"/>
        <s v="SAPPHIRE"/>
        <s v="SPELS"/>
        <s v="SUBROS"/>
        <s v="EDVENSWA"/>
        <s v="KTIL"/>
        <s v="GOCOLORS"/>
        <s v="SWITCHTE"/>
        <s v="LUMAXIND"/>
        <s v="DIGISPICE"/>
        <s v="CALCOM"/>
        <s v="KEMP"/>
        <s v="BCCFUBA"/>
        <s v="PRECISIO"/>
        <s v="FINELINE"/>
        <s v="METROBRAND"/>
        <s v="S&amp;SPOWER"/>
        <s v="GUJARATPOLY"/>
        <s v="GIPCL"/>
        <s v="MEDPLUS"/>
        <s v="MINDTECK"/>
        <s v="MANYAVAR"/>
        <s v="ACIIN"/>
        <s v="CRAVATEX"/>
        <s v="INCAP"/>
        <s v="GUJINTRX"/>
        <s v="IGARASHI"/>
        <s v="EUREKAFORBE"/>
        <s v="VINTRON"/>
        <s v="PANELEC"/>
        <s v="VXLINSTR"/>
        <s v="CHLOGIST"/>
        <s v="LEENEE"/>
        <s v="PATELSAI"/>
        <s v="BUTTERFLY"/>
        <s v="INTEGSW"/>
        <s v="ATHENAGLO"/>
        <s v="NARMP"/>
        <s v="DUTRON"/>
        <s v="RSSOFTWARE"/>
        <s v="MAGNAELQ"/>
        <s v="MARSONS"/>
        <s v="ELNET"/>
        <s v="ACCEL"/>
        <s v="WEBELSOLAR"/>
        <s v="ROTO"/>
        <s v="MSUMI"/>
        <s v="DHINDIA"/>
        <s v="RAJRATAN"/>
        <s v="SURANAT&amp;P"/>
        <s v="ONWARDTEC"/>
        <s v="CENTUM"/>
        <s v="ALFATRAN"/>
        <s v="NHCFOODS"/>
        <s v="PVP"/>
        <s v="TRIGYN"/>
        <s v="CAMPUS"/>
        <s v="KEERTHI"/>
        <s v="BHEEMACEM"/>
        <s v="SURAJ"/>
        <s v="APCL"/>
        <s v="MODINATUR"/>
        <s v="PRSNTIN"/>
        <s v="SHAHFOOD"/>
        <s v="ZKHANDEN"/>
        <s v="TASTYBITE"/>
        <s v="RITESHIN"/>
        <s v="AVTNPL"/>
        <s v="ETHOSLTD"/>
        <s v="NAHARINDUS"/>
        <s v="VADILENT"/>
        <s v="VADILALIND"/>
        <s v="ASHAI"/>
        <s v="ADFFOODS"/>
        <s v="RGRL"/>
        <s v="WILLIMFI"/>
        <s v="AJANTSOY"/>
        <s v="WILLAMAGOR"/>
        <s v="CHOWGULSTM"/>
        <s v="SIEL"/>
        <s v="SPTRSHI"/>
        <s v="PRIMAGR"/>
        <s v="TARAI"/>
        <s v="MODAIRY"/>
        <s v="BAMBINO"/>
        <s v="PRIMIND"/>
        <s v="VIKASWSP"/>
        <s v="VSFPROJ"/>
        <s v="POONADAL"/>
        <s v="TRANSFD"/>
        <s v="VMS"/>
        <s v="SHINDL"/>
        <s v="YAARI"/>
        <s v="KMGMILK"/>
        <s v="KSE"/>
        <s v="PIONAGR"/>
        <s v="NARBADA"/>
        <s v="VIRATCRA"/>
        <s v="IBINFO"/>
        <s v="AMBARPIL"/>
        <s v="CHORDIA"/>
        <s v="CIANAGRO"/>
        <s v="LYKISLTD"/>
        <s v="NKIND"/>
        <s v="BKV"/>
        <s v="NCCBLUE"/>
        <s v="NORBTEAEXP"/>
        <s v="SHARIKA"/>
        <s v="EMIL"/>
        <s v="SIMRAN"/>
        <s v="HINDUST"/>
        <s v="RUSTOMJEE"/>
        <s v="KELLTONTEC"/>
        <s v="SURFI"/>
        <s v="INTEGFD"/>
        <s v="MAHAANF"/>
        <s v="RICOAUTO"/>
        <s v="OMAXAUTO"/>
        <s v="MUNJALSHOW"/>
        <s v="JAMNAAUTO"/>
        <s v="SENCO"/>
        <s v="NIITMTS"/>
        <s v="MUNJALAU"/>
        <s v="JAYBARMARU"/>
        <s v="RACLGEAR"/>
        <s v="SAMKRG"/>
        <s v="ECSTSTL"/>
        <s v="EASTWEST"/>
        <s v="REDTAPE"/>
        <s v="SIGNATURE"/>
        <s v="ASAL"/>
        <s v="ARCEEIN"/>
        <s v="EXCEL"/>
        <s v="RAMAVISION"/>
        <s v="AMRAPLIN"/>
        <s v="SIBARAUT"/>
        <s v="LELAVOIR"/>
        <s v="GROWINGTON"/>
        <s v="MEHAI"/>
        <s v="TITANIN"/>
        <s v="EUROTEXIND"/>
        <s v="MAXESTATES"/>
        <s v="MARALOVER"/>
        <s v="SOMATEX"/>
        <s v="SOURCEIND"/>
        <s v="ADVLIFE"/>
        <s v="KAKTEX"/>
        <s v="OCTAVE"/>
        <s v="CELLO"/>
        <s v="HISARSP"/>
        <s v="ASKAUTOLTD"/>
        <s v="PASARI"/>
        <s v="AMARJOTHI"/>
        <s v="OLYMPTX"/>
        <s v="NAGREEKEXP"/>
        <s v="SUDTIND-B"/>
        <s v="SBFL"/>
        <s v="GEMSPIN"/>
        <s v="EUREKAI"/>
        <s v="ADITYASP"/>
        <s v="PRIMEURB"/>
        <s v="DHANFAB"/>
        <s v="SLSTLQ"/>
        <s v="ZODIACLOTH"/>
        <s v="SRMCL"/>
        <s v="SUPERSPIN"/>
        <s v="SILINV"/>
        <s v="SURYALAXMI"/>
        <s v="SAMTEX"/>
        <s v="DHANROTO"/>
        <s v="DAMODARIND"/>
        <s v="SANBLUE"/>
        <s v="UNIROYAL"/>
        <s v="TATIAGLOB"/>
        <s v="BALGOPAL"/>
        <s v="SRINACHA"/>
        <s v="KDL"/>
        <s v="SAMBANDAM"/>
        <s v="KANDAGIRI"/>
        <s v="MKPMOB"/>
        <s v="PARASPETRO"/>
        <s v="KITEX"/>
        <s v="CRANEX"/>
        <s v="BATLIBOI"/>
        <s v="AUSTENG"/>
        <s v="UNIDT"/>
        <s v="FLUIDOM"/>
        <s v="EMAINDIA"/>
        <s v="WINDMACHIN"/>
        <s v="SHANTIGEAR"/>
        <s v="MIVENMACH"/>
        <s v="HONDAPOWER"/>
        <s v="HITECHGEAR"/>
        <s v="JUNIPER"/>
        <s v="UVDRHOR"/>
        <s v="KLBRENG-B"/>
        <s v="BIRLAPREC"/>
        <s v="YUKEN"/>
        <s v="TBOTEK"/>
        <s v="VOITHPAPR"/>
        <s v="SOLIMAC"/>
        <s v="TATAMTRDVR"/>
        <s v="INDSILHYD"/>
        <s v="TMTIND-B1"/>
        <s v="ITL"/>
        <s v="FRONTSP"/>
        <s v="SHRIPISTON"/>
        <s v="RASANDIK"/>
        <s v="YOGISUNG"/>
        <s v="HLEGLAS"/>
        <s v="GUJAPOLLO"/>
        <s v="TANAA"/>
        <s v="CONART"/>
        <s v="WEWIN"/>
        <s v="SHIVAGR"/>
        <s v="MMFL"/>
        <s v="MAYURUNIQ"/>
        <s v="CENLUB"/>
        <s v="RAJOOENG"/>
        <s v="DOLPHIN"/>
        <s v="VJLAXMIE"/>
        <s v="AHMDSTE"/>
        <s v="GODREJIND"/>
        <s v="RAMRAT"/>
        <s v="JAYNECOIND"/>
        <s v="SWANENERGY"/>
        <s v="PHOENXINTL"/>
        <s v="CANDOUR"/>
        <s v="TIGLOB"/>
        <s v="CONTROLPR"/>
        <s v="BEMHY"/>
        <s v="ANSALBU"/>
        <s v="WEIZMANIND"/>
        <s v="BNRSEC"/>
        <s v="RISHITECH"/>
        <s v="SINCLAIR"/>
        <s v="DCMSHRIRAM"/>
        <s v="ZBINTXPP"/>
        <s v="JJFINCOR"/>
        <s v="COSMOFE"/>
        <s v="CROPSTER"/>
        <s v="FUTURSEC"/>
        <s v="MINALIND"/>
        <s v="ADORMUL"/>
        <s v="EIHAHOTELS"/>
        <s v="MEDICAPQ"/>
        <s v="CONSTRONIC"/>
        <s v="MORGANITE"/>
        <s v="BAPACK"/>
        <s v="ABAN"/>
        <s v="KOKUYOCMLN"/>
        <s v="SRMENERGY"/>
        <s v="BHARATSE"/>
        <s v="CONTPTR"/>
        <s v="NBFOOT"/>
        <s v="MACPLASQ"/>
        <s v="PEARLPOLY"/>
        <s v="VENKEYS"/>
        <s v="ADVANIHOTR"/>
        <s v="GVFILM"/>
        <s v="SUPERHOUSE"/>
        <s v="BOMBCYC"/>
        <s v="TCPLPACK"/>
        <s v="SHRIGANG"/>
        <s v="PURITY"/>
        <s v="BALMLAWRIE"/>
        <s v="KOVAI"/>
        <s v="ELDEHSG"/>
        <s v="MICROSE"/>
        <s v="3MINDIA"/>
        <s v="DCMSRIND"/>
        <s v="MAWANASUG"/>
        <s v="MINID"/>
        <s v="MAHAPEXLTD"/>
        <s v="NILKAMAL"/>
        <s v="NAHARPOLY"/>
        <s v="AEGISLOG"/>
        <s v="HINDPETRO"/>
        <s v="MRPL"/>
        <s v="ADCINDIA"/>
        <s v="TNTELE"/>
        <s v="SUNRAJDI"/>
        <s v="EVANS"/>
        <s v="CHENNPETRO"/>
        <s v="INDBNK"/>
        <s v="JAIMATAG"/>
        <s v="LOTUSCHO"/>
        <s v="PACIFICI"/>
        <s v="CMMHOSP"/>
        <s v="SEML"/>
        <s v="APMIN"/>
        <s v="PRECWIRE"/>
        <s v="KRYPTONQ"/>
        <s v="SWISSMLTRY"/>
        <s v="MARBU"/>
        <s v="FEL"/>
        <s v="INDTONER"/>
        <s v="KUNSTOFF"/>
        <s v="GINISILK"/>
        <s v="SIKA"/>
        <s v="ONGC"/>
        <s v="URSUGAR"/>
        <s v="PHRMASI"/>
        <s v="PODDARHOUS"/>
        <s v="RELIANCE"/>
        <s v="IPRINGLTD"/>
        <s v="BPCL"/>
        <s v="PLASTIBLEN"/>
        <s v="EKANSH"/>
        <s v="KKPLASTICK"/>
        <s v="WATERBASE"/>
        <s v="FLEXFO"/>
        <s v="GOLKUNDIA"/>
        <s v="APCOTEXIND"/>
        <s v="FORTISMLR"/>
        <s v="CASTROLIND"/>
        <s v="EIMCOELECO"/>
        <s v="SAYAJIHOTL"/>
        <s v="JMGCORP"/>
        <s v="ASHIANA"/>
        <s v="SVAMSOF"/>
        <s v="ECOBOAR"/>
        <s v="DVL"/>
        <s v="TIHIL"/>
        <s v="MAHEPC"/>
        <s v="ITCONS"/>
        <s v="SHUKJEW"/>
        <s v="MAZDA"/>
        <s v="SOVERDIA"/>
        <s v="MENONBE"/>
        <s v="MUKATPIP"/>
        <s v="GUJRAFFIA"/>
        <s v="SIMPLEXINF"/>
        <s v="INNOVTEC"/>
        <s v="SUPTANERY"/>
        <s v="GANVERSE"/>
        <s v="AXTEL"/>
        <s v="VRWODAR"/>
        <s v="MONOT"/>
        <s v="SANDUMA"/>
        <s v="HINFLUR"/>
        <s v="KINGFA"/>
        <s v="PATIDAR"/>
        <s v="RAMAPHO"/>
        <s v="VENLONENT"/>
        <s v="PETPLST"/>
        <s v="POLYPLEX"/>
        <s v="ALBERTDAVD"/>
        <s v="HARLETH"/>
        <s v="CARYSIL"/>
        <s v="KABRAEXTRU"/>
        <s v="VINYLINDIA"/>
        <s v="PCCOSMA"/>
        <s v="TCMLMTD"/>
        <s v="IOLCP"/>
        <s v="KESARPE"/>
        <s v="IOC"/>
        <s v="LACTOSE"/>
        <s v="TEEAI"/>
        <s v="GAIL"/>
        <s v="PNTKYOR"/>
        <s v="WANBURY"/>
        <s v="RESONANCE"/>
        <s v="IGL"/>
        <s v="PETRONET"/>
        <s v="KOPRAN"/>
        <s v="AIMCOPEST"/>
        <s v="GUJTERC"/>
        <s v="SEYAIND"/>
        <s v="JAYAGROGN"/>
        <s v="BCLIND"/>
        <s v="SHHARICH"/>
        <s v="INDOBORAX"/>
        <s v="AARTIDRUGS"/>
        <s v="BODALCHEM"/>
        <s v="GSPL"/>
        <s v="VIMTALABS"/>
        <s v="BIOFILCHEM"/>
        <s v="ISHITADR"/>
        <s v="OIL"/>
        <s v="UNIVSTAR"/>
        <s v="AAREYDRUGS"/>
        <s v="WALCHPF"/>
        <s v="ASINPET"/>
        <s v="CAMEXLTD"/>
        <s v="EVEXIA"/>
        <s v="INDOEURO"/>
        <s v="SYNCOMF"/>
        <s v="DMR"/>
        <s v="JETFREIGHT"/>
        <s v="COALINDIA"/>
        <s v="KILITCH"/>
        <s v="RAAJMEDI"/>
        <s v="SVCIND"/>
        <s v="CORALAB"/>
        <s v="TULASEEBIOE"/>
        <s v="BACPHAR"/>
        <s v="KREBSBIO"/>
        <s v="KMCSHIL"/>
        <s v="LAFFANSQ"/>
        <s v="BHASKAGR"/>
        <s v="SUKHJITS"/>
        <s v="SATAGRI"/>
        <s v="SHARMEH"/>
        <s v="GULFOILLUB"/>
        <s v="GAYATRIBI"/>
        <s v="PODDARMENT"/>
        <s v="PHARMAID"/>
        <s v="VIVIDIND"/>
        <s v="ABCINDQ"/>
        <s v="TIRUSTA"/>
        <s v="DRA"/>
        <s v="JDORGOCHEM"/>
        <s v="AEONXDIGI"/>
        <s v="AKSHARCHEM"/>
        <s v="BANDARAM"/>
        <s v="ADLINE"/>
        <s v="BERLDRG"/>
        <s v="INDXTRA"/>
        <s v="ISTRNETWK"/>
        <s v="GAGAN"/>
        <s v="ZODIACVEN"/>
        <s v="SHUKRAPHAR"/>
        <s v="ALUFLUOR"/>
        <s v="OXYGENTAPH"/>
        <s v="ARCHITORG"/>
        <s v="SIKOZY"/>
        <s v="INDOAMIN"/>
        <s v="INDSWFTLTD"/>
        <s v="NATCAPSUQ"/>
        <s v="WELCURE"/>
        <s v="BIBCL"/>
        <s v="SOTL"/>
        <s v="HESTERBIO"/>
        <s v="JOHNPHARMA"/>
        <s v="BASANTGL"/>
        <s v="SANDUPHQ"/>
        <s v="NACLIND"/>
        <s v="VISTAPH"/>
        <s v="GUJGASLTD"/>
        <s v="TITANBIO"/>
        <s v="ASHNI"/>
        <s v="SDL"/>
        <s v="JENBURPH"/>
        <s v="HIKAL"/>
        <s v="MGL"/>
        <s v="FISCHER"/>
        <s v="LINKPH"/>
        <s v="DECIPHER"/>
        <s v="EMMESSA"/>
        <s v="NGLFINE"/>
        <s v="EVERESTO"/>
        <s v="ATGL"/>
        <s v="PHYTO"/>
        <s v="BAJAJHIND"/>
        <s v="DYNAMIND"/>
        <s v="PANAMAPET"/>
        <s v="BALPHARMA"/>
        <s v="BDH"/>
        <s v="JAUSPOL"/>
        <s v="GLOBUSCON"/>
        <s v="CUBEXTUB"/>
        <s v="POLYCHMP"/>
        <s v="STELLANT"/>
        <s v="GALXBRG"/>
        <s v="SCAGRO"/>
        <s v="RALEGRA"/>
        <s v="UNRYLMA"/>
        <s v="KARANWO"/>
        <s v="SHERVANI"/>
        <s v="ROSEMER"/>
        <s v="SUPERTEX"/>
        <s v="SHETR"/>
        <s v="TRABI"/>
        <s v="MPL"/>
        <s v="NIKHILAD"/>
        <s v="SPENTA"/>
        <s v="MULTIBASE"/>
        <s v="ANDREWYU"/>
        <s v="LUDLOWJUT"/>
        <s v="ASHRAM"/>
        <s v="ROYALCU"/>
        <s v="SURJIND"/>
        <s v="HITECHCORP"/>
        <s v="BLOOM"/>
        <s v="FILATEX"/>
        <s v="STDSFAC"/>
        <s v="MORGAN"/>
        <s v="PRISMX"/>
        <s v="PREMEXPLN"/>
        <s v="MIDEASTP"/>
        <s v="MOLDTECH"/>
        <s v="CRSTCHM"/>
        <s v="BALRAMCHIN"/>
        <s v="MEDINOV"/>
        <s v="DIVSHKT"/>
        <s v="ORIENTLTD"/>
        <s v="SHREYASI"/>
        <s v="PANJON"/>
        <s v="NIRBHAYIND"/>
        <s v="DUROPACK"/>
        <s v="SWARNSAR"/>
        <s v="DABUR"/>
        <s v="GODFRYPHLP"/>
        <s v="CINDHO"/>
        <s v="BALTE"/>
        <s v="ALPHAGEO"/>
        <s v="HAMPTON"/>
        <s v="KKALPANAIND"/>
        <s v="OKPLA"/>
        <s v="KRITI"/>
        <s v="ASMTEC"/>
        <s v="PERFEPA"/>
        <s v="ERPSOFT"/>
        <s v="VISIONCINE"/>
        <s v="DATASOFT"/>
        <s v="INDRANIB"/>
        <s v="EUROLED"/>
        <s v="WINSOMBR"/>
        <s v="ELEFLOR"/>
        <s v="SKYIND"/>
        <s v="FLOMIC"/>
        <s v="BHUDEVI"/>
        <s v="PRATIK"/>
        <s v="RISHIROOP"/>
        <s v="PROMACT"/>
        <s v="STRGRENWO"/>
        <s v="SYSTMTXC"/>
        <s v="ARTEFACT"/>
        <s v="ALPINEHOU"/>
        <s v="SANGHIIND"/>
        <s v="SALORAINTL"/>
        <s v="KACL"/>
        <s v="SFPIL"/>
        <s v="SCANPGEOM"/>
        <s v="CHOKSILA"/>
        <s v="CCHHL"/>
        <s v="LONTE"/>
        <s v="MIDWEST"/>
        <s v="ICDSLTD"/>
        <s v="TECHIN"/>
        <s v="TPLPLASTEH"/>
        <s v="WIMPLAST"/>
        <s v="PHOTOQUP"/>
        <s v="LIBERTSHOE"/>
        <s v="LIPPISYS"/>
        <s v="ELECTHERM"/>
        <s v="FERVENTSYN"/>
        <s v="EXPOGAS"/>
        <s v="NATPLAS"/>
        <s v="SELLWIN"/>
        <s v="TEXELIN"/>
        <s v="RAYALEMA"/>
        <s v="MIRZAINT"/>
        <s v="TFCILTD"/>
        <s v="THAKDEV"/>
        <s v="ARENTERP"/>
        <s v="BIL"/>
        <s v="KAMATHOTEL"/>
        <s v="CONTILI"/>
        <s v="KEEPLEARN"/>
        <s v="POLOHOT"/>
        <s v="ECOPLAST"/>
        <s v="ELEMARB"/>
        <s v="BITS"/>
        <s v="ADARSHPL"/>
        <s v="HPBL"/>
        <s v="NICCOPAR"/>
        <s v="NTCIND"/>
        <s v="SANDESH"/>
        <s v="GARNET"/>
        <s v="GOLDIAM"/>
        <s v="BRIGHTBR"/>
        <s v="SHAWGELTIN"/>
        <s v="PGFOILQ"/>
        <s v="GRATEXI"/>
        <s v="VELHO"/>
        <s v="HOWARHO"/>
        <s v="PRESSURS"/>
        <s v="VALIANT"/>
        <s v="DRAGARWQ"/>
        <s v="MAHACORP"/>
        <s v="GREENPLY"/>
        <s v="SAICAPI"/>
        <s v="RAGHUNAT"/>
        <s v="CHEVIOT"/>
        <s v="DAICHI"/>
        <s v="RAJINFRA"/>
        <s v="SPICEISLIN"/>
        <s v="CONFIPET"/>
        <s v="SIPL"/>
        <s v="SHAKTIPR"/>
        <s v="ASHSI"/>
        <s v="BANARBEADS"/>
        <s v="AREXMIS"/>
        <s v="BI"/>
        <s v="ISFL"/>
        <s v="RISHILASE"/>
        <s v="SECURCRED"/>
        <s v="KUMPFIN"/>
        <s v="INTECCAP"/>
        <s v="RAJGASES"/>
        <s v="SCTL"/>
        <s v="63MOONS"/>
        <s v="SARLAPOLY"/>
        <s v="MKTCREAT"/>
        <s v="HFIL"/>
        <s v="SONALAD"/>
        <s v="PADMAIND"/>
        <s v="21STCENMGM"/>
        <s v="HRYNSHP"/>
        <s v="ARUNIS"/>
        <s v="TYROON"/>
        <s v="LAOPALA"/>
        <s v="STYLAMIND"/>
        <s v="VENUSREM"/>
        <s v="WOODSVILA"/>
        <s v="LASTMILE"/>
        <s v="GUJCRAFT"/>
        <s v="HEERAISP"/>
        <s v="CHANDRAP"/>
        <s v="CRIMSON"/>
        <s v="SHBAJRG"/>
        <s v="ASHOKRE"/>
        <s v="URJA"/>
        <s v="ASHAPURMIN"/>
        <s v="SHREEPAC"/>
        <s v="PATANJALI"/>
        <s v="PGHH"/>
        <s v="HINDUNILVR"/>
        <s v="MANGCHEFER"/>
        <s v="SIL"/>
        <s v="NESTLEIND"/>
        <s v="THEINVEST"/>
        <s v="LESHAIND"/>
        <s v="AADIIND"/>
        <s v="SANTOSHF"/>
        <s v="SREEJAYA"/>
        <s v="ACKNIT"/>
        <s v="TITANSEC"/>
        <s v="REALECO"/>
        <s v="SAWABUSI"/>
        <s v="VIVANZA"/>
        <s v="YASHRAJC"/>
        <s v="LORDSHOTL"/>
        <s v="CSLFINANCE"/>
        <s v="SANGHVIMOV"/>
        <s v="SELAN"/>
        <s v="FRSHTRP"/>
        <s v="FAZE3Q"/>
        <s v="PRADHIN"/>
        <s v="ANUPAM"/>
        <s v="RAJPACK"/>
        <s v="TATACONSUM"/>
        <s v="NATRAJPR"/>
        <s v="SAMRATPH"/>
        <s v="NPRFIN"/>
        <s v="NILE"/>
        <s v="UDAICEMENT"/>
        <s v="AMCOIND"/>
        <s v="OPTIEMUS"/>
        <s v="KREONFIN"/>
        <s v="GYANDEV"/>
        <s v="KISAN"/>
        <s v="STARLOG"/>
        <s v="KERALAYUR"/>
        <s v="MONGIPA"/>
        <s v="MOHITPPR"/>
        <s v="DAULAT"/>
        <s v="OSCARGLO"/>
        <s v="ODYSSEY"/>
        <s v="SURATRAML"/>
        <s v="ATHARVENT"/>
        <s v="FUNDVISER"/>
        <s v="THEMISMED"/>
        <s v="KALLAM"/>
        <s v="BRAWN"/>
        <s v="KABSON"/>
        <s v="KINGSINFR"/>
        <s v="SUBSM"/>
        <s v="AUROLAB"/>
        <s v="KJMCFIN"/>
        <s v="SUVEN"/>
        <s v="ARYAMAN"/>
        <s v="BRIDGESE"/>
        <s v="MEGRISOFT"/>
        <s v="RAJTUBE"/>
        <s v="KAYPOWR"/>
        <s v="GETALONG"/>
        <s v="GLOBALCA"/>
        <s v="SAINIK"/>
        <s v="ARIGATO"/>
        <s v="QUANTDIA"/>
        <s v="HEMANG"/>
        <s v="PAOS"/>
        <s v="GRANDMA"/>
        <s v="BRITANNIA"/>
        <s v="CLSEL"/>
        <s v="INFORTEC"/>
        <s v="KIMIABL"/>
        <s v="HINDTIN"/>
        <s v="GODAVARI"/>
        <s v="PREMCO"/>
        <s v="MUKESHB"/>
        <s v="COLPAL"/>
        <s v="ASIANENE"/>
        <s v="KBSINDIA"/>
        <s v="PRABHHANS"/>
        <s v="UGARSUGAR"/>
        <s v="ORIENTBELL"/>
        <s v="NRBBEARING"/>
        <s v="VAMSHIRU"/>
        <s v="NILAINFRA"/>
        <s v="DBSTOCKBRO"/>
        <s v="VINYOFL"/>
        <s v="JINDCAP"/>
        <s v="EPIC"/>
        <s v="SUMEDHA"/>
        <s v="KUWERIN"/>
        <s v="CHOKSI"/>
        <s v="ASHISHPO"/>
        <s v="ADORFO"/>
        <s v="SHIVAAGRO"/>
        <s v="SIDDHA"/>
        <s v="KIRANSY-B"/>
        <s v="SSTL"/>
        <s v="RUNGTAIR"/>
        <s v="CINERAD"/>
        <s v="VALSONQ"/>
        <s v="SABOOSOD"/>
        <s v="GSLSEC"/>
        <s v="TINNARUBR"/>
        <s v="VIKRAMTH"/>
        <s v="FMNL"/>
        <s v="AKCAPIT"/>
        <s v="ITC"/>
        <s v="VIRAT"/>
        <s v="RRETAIL"/>
        <s v="TERAI"/>
        <s v="MANRAJH"/>
        <s v="COSCO"/>
        <s v="KENFIN"/>
        <s v="BBTC"/>
        <s v="PARACABLES"/>
        <s v="NCLRESE"/>
        <s v="POPEES"/>
        <s v="BNL"/>
        <s v="LADDERUP"/>
        <s v="UYFINCORP"/>
        <s v="RITHWIKFMS"/>
        <s v="SWASTIKA"/>
        <s v="PRIMAPLA"/>
        <s v="TELECANOR"/>
        <s v="JAGSONFI"/>
        <s v="GARGFUR"/>
        <s v="SAMPRE"/>
        <s v="AAIL"/>
        <s v="VIPULORG"/>
        <s v="ECORECO"/>
        <s v="GOODLUCK"/>
        <s v="GOYALASS"/>
        <s v="ZENITHHE"/>
        <s v="YORKEXP"/>
        <s v="SUPREME"/>
        <s v="GREENCREST"/>
        <s v="PRIMEPRO"/>
        <s v="MARKOBENZ"/>
        <s v="RAJRILTD"/>
        <s v="FLORATX"/>
        <s v="GOWRALE"/>
        <s v="JAGANLAM"/>
        <s v="AJEL"/>
        <s v="ALPSINDUS"/>
        <s v="ASITCFIN"/>
        <s v="ENCODE"/>
        <s v="SUPERBAK"/>
        <s v="OVOBELE"/>
        <s v="CHALLANI"/>
        <s v="CORNE"/>
        <s v="STERTOOLS"/>
        <s v="AGARWAL"/>
        <s v="DYNAMICP"/>
        <s v="INLANPR"/>
        <s v="CEEJAY"/>
        <s v="SUNCITYSY"/>
        <s v="TRANSVOY"/>
        <s v="ANNAINFRA"/>
        <s v="BHAGERIA"/>
        <s v="CARGOSOL"/>
        <s v="ASIANTNE"/>
        <s v="GILLETTE"/>
        <s v="SSPDL"/>
        <s v="DAIKAFFI"/>
        <s v="CILSEC"/>
        <s v="CLIOINFO"/>
        <s v="CUPID"/>
        <s v="SUNSHIEL"/>
        <s v="HIPOLIN"/>
        <s v="GDLLEAS"/>
        <s v="CHEMBOND"/>
        <s v="CIFL"/>
        <s v="ABVL"/>
        <s v="SUCROSA"/>
        <s v="NGIND"/>
        <s v="ASIAPAK"/>
        <s v="DHANCOT"/>
        <s v="FORINTL"/>
        <s v="MFLINDIA"/>
        <s v="REMSONSIND"/>
        <s v="RAMSONS"/>
        <s v="HARAFIN"/>
        <s v="DANUBE"/>
        <s v="STANPACK"/>
        <s v="SABTNL"/>
        <s v="RAMINFO"/>
        <s v="SUNILAGR"/>
        <s v="DIANATEA"/>
        <s v="VIKASECO"/>
        <s v="VSTIND"/>
        <s v="ALFAICA"/>
        <s v="SKCIL"/>
        <s v="INDIAHOME"/>
        <s v="ROOPAIND"/>
        <s v="UNIQUEO"/>
        <s v="AVANTIFEED"/>
        <s v="SWRNASE"/>
        <s v="KRATOSENER"/>
        <s v="VISAGAR"/>
        <s v="LIBORD"/>
        <s v="ERAAYA"/>
        <s v="COMPEAU"/>
        <s v="ZDHJERK"/>
        <s v="NEELKAN"/>
        <s v="VINTAGES"/>
        <s v="OSWALOR"/>
        <s v="SUNILTX"/>
        <s v="VIJSOLX"/>
        <s v="SHRIKRISH"/>
        <s v="INNOVATIVE"/>
        <s v="NIHARINF"/>
        <s v="UNITDCR"/>
        <s v="OMINFRAL"/>
        <s v="CHECKPOINT"/>
        <s v="ISHANCH"/>
        <s v="GOTHIPL"/>
        <s v="BALUFORGE"/>
        <s v="CEENIK"/>
        <s v="HNDFDS"/>
        <s v="INANI"/>
        <s v="TARINI"/>
        <s v="ELFORGE"/>
        <s v="MEDICAMEQ"/>
        <s v="ALICON"/>
        <s v="DILIGENT"/>
        <s v="EPSOMPRO"/>
        <s v="ALFAVIO"/>
        <s v="ORGCOAT"/>
        <s v="LEX"/>
        <s v="ABMKNO"/>
        <s v="HERITGFOOD"/>
        <s v="KEMISTAR"/>
        <s v="ASSOCER"/>
        <s v="SKPSEC"/>
        <s v="SYSCHEM"/>
        <s v="BLSINFOTE"/>
        <s v="MEFCOMCAP"/>
        <s v="DML"/>
        <s v="ARMANFIN"/>
        <s v="GLANCE"/>
        <s v="SHILCTECH"/>
        <s v="ZENLABS"/>
        <s v="GCONNECT"/>
        <s v="NUCLEUS"/>
        <s v="COLINZ"/>
        <s v="NLFL"/>
        <s v="CCL"/>
        <s v="RTSPOWR"/>
        <s v="COMFINTE"/>
        <s v="SHYAMAINFO"/>
        <s v="MAYURFL"/>
        <s v="ANJANI"/>
        <s v="XTGLOBAL"/>
        <s v="DECOMIC"/>
        <s v="RANDER"/>
        <s v="RASIELEC"/>
        <s v="SCOOBEEDAY"/>
        <s v="CITIPOR"/>
        <s v="DHRUVCA"/>
        <s v="MRCAGRO"/>
        <s v="LINC"/>
        <s v="PRIMAIN"/>
        <s v="INDGELA"/>
        <s v="OPTIFIN"/>
        <s v="PARAGONF"/>
        <s v="PRATIKSH"/>
        <s v="ESHAMEDIA"/>
        <s v="REFEXRENEW"/>
        <s v="VSTTILLERS"/>
        <s v="B2BSOFT"/>
        <s v="NIKKIGL"/>
        <s v="RADHEDE"/>
        <s v="ELIXIR"/>
        <s v="TRISHAKT"/>
        <s v="PANKAJPO"/>
        <s v="MARBLE"/>
        <s v="CINDRELL"/>
        <s v="NATPLASTI"/>
        <s v="LEADFIN"/>
        <s v="NATFIT"/>
        <s v="TAIIND"/>
        <s v="AMITINT"/>
        <s v="NUTECGLOB"/>
        <s v="DHPIND"/>
        <s v="RRIL"/>
        <s v="AVAILFC"/>
        <s v="INTCAPL"/>
        <s v="HAVISHA"/>
        <s v="JAYIND"/>
        <s v="ROSELABS"/>
        <s v="KRETTOSYS"/>
        <s v="RONI"/>
        <s v="GAEL"/>
        <s v="WINPRO"/>
        <s v="MILESTONE"/>
        <s v="BERVINL"/>
        <s v="GUJINV"/>
        <s v="SHAHISHIP"/>
        <s v="EASTRED"/>
        <s v="PANACEABIO"/>
        <s v="PEETISEC"/>
        <s v="MERCURYEV"/>
        <s v="PICCADIL"/>
        <s v="SRAMSET"/>
        <s v="SBECSYS"/>
        <s v="FRUTION"/>
        <s v="SPAR"/>
        <s v="BYKE"/>
        <s v="CSURGSU"/>
        <s v="ARIHANT"/>
        <s v="HASTIFIN"/>
        <s v="UPSURGE"/>
        <s v="PADAMCO"/>
        <s v="WOMENNET"/>
        <s v="POLYCON"/>
        <s v="SOURCENTRL"/>
        <s v="GGAUTO"/>
        <s v="ALMONDZ"/>
        <s v="CARGOTRANS"/>
        <s v="ANSINDUS"/>
        <s v="TUNITEX"/>
        <s v="RADIXIND"/>
        <s v="KIRANPR"/>
        <s v="NARPROP"/>
        <s v="MEGACOR"/>
        <s v="TNPL"/>
        <s v="KRBL"/>
        <s v="SYTIXSE"/>
        <s v="SUNGOLD"/>
        <s v="SAFFRON"/>
        <s v="PWASML"/>
        <s v="GOLDTECH"/>
        <s v="VARDHMAN"/>
        <s v="GRMOVER"/>
        <s v="MOHITIND"/>
        <s v="POLYLINK"/>
        <s v="MINAXI"/>
        <s v="CONTICON"/>
        <s v="YASHMGM"/>
        <s v="DUKEOFS"/>
        <s v="CYBELEIND"/>
        <s v="CGVAK"/>
        <s v="NAVKAR"/>
        <s v="MADHUCON"/>
        <s v="SYBLY"/>
        <s v="EMAMILTD"/>
        <s v="PROFINC"/>
        <s v="MARIS"/>
        <s v="INDERGR"/>
        <s v="VPL"/>
        <s v="EVEREADY"/>
        <s v="STEP2COR"/>
        <s v="ORIENTTR"/>
        <s v="OPCHAINS"/>
        <s v="VIKASPROP"/>
        <s v="DESHRAK"/>
        <s v="ACESOFT"/>
        <s v="SOFTRAKV"/>
        <s v="ZYDUSWELL"/>
        <s v="ACCEDERE"/>
        <s v="SARTHAKIND"/>
        <s v="RISHDIGA"/>
        <s v="MAINFRA"/>
        <s v="KOBO"/>
        <s v="HATSUN"/>
        <s v="SOMANYCERA"/>
        <s v="JHACC"/>
        <s v="RAGHUTOB"/>
        <s v="BNRUDY"/>
        <s v="PALMJEWELS"/>
        <s v="ASHUTPM"/>
        <s v="SANJIVIN"/>
        <s v="VASINFRA"/>
        <s v="KMFBLDR"/>
        <s v="BERYLSE"/>
        <s v="RAP"/>
        <s v="GEL"/>
        <s v="BAMPSL"/>
        <s v="NEERAJ"/>
        <s v="INCON"/>
        <s v="MARICO"/>
        <s v="TRIVENI"/>
        <s v="GOGIACAP"/>
        <s v="GORANIN"/>
        <s v="KGPETRO"/>
        <s v="COUNCODOS"/>
        <s v="OROSMITHS"/>
        <s v="TEJASSVI"/>
        <s v="LINCOLN"/>
        <s v="PRAVEG"/>
        <s v="SURAJLTD"/>
        <s v="SICL"/>
        <s v="GODREJCP"/>
        <s v="TOKYOFIN"/>
        <s v="BJDUP"/>
        <s v="NATGENI"/>
        <s v="THIRDFIN"/>
        <s v="HITTCO"/>
        <s v="RRMETAL"/>
        <s v="VISIONCO"/>
        <s v="BISIL"/>
        <s v="INANISEC"/>
        <s v="ANKIN"/>
        <s v="AMERISE"/>
        <s v="PRITHVIEXCH"/>
        <s v="KHYATI"/>
        <s v="RAINBOWF"/>
        <s v="NYSSACORP"/>
        <s v="TRICOMFRU"/>
        <s v="VIDHIING"/>
        <s v="BHAGCHEM"/>
        <s v="GATECH"/>
        <s v="PANCHSHEEL"/>
        <s v="MENNPIS"/>
        <s v="PRISMFN"/>
        <s v="FRONTCORP"/>
        <s v="GENNEX"/>
        <s v="CRPRISK"/>
        <s v="MITSHI"/>
        <s v="PRAENG"/>
        <s v="BIOGEN"/>
        <s v="GKCONS"/>
        <s v="APOLLOPIPE"/>
        <s v="UNJHAFOR"/>
        <s v="UNITDSPR"/>
        <s v="SHRADDHA"/>
        <s v="KACHCHH"/>
        <s v="PADALPO"/>
        <s v="SAMYAKINT"/>
        <s v="KCLINFRA"/>
        <s v="ATULAUTO"/>
        <s v="SCANPRO"/>
        <s v="PRERINFRA"/>
        <s v="METALCO"/>
        <s v="SGNTE"/>
        <s v="GANGAPA"/>
        <s v="TIRSARJ"/>
        <s v="MUNOTHFI"/>
        <s v="RODIUM"/>
        <s v="NAGTECH"/>
        <s v="NATHUEC"/>
        <s v="IECEDU"/>
        <s v="INDUSFINL"/>
        <s v="GOLECHA"/>
        <s v="ZENITHSTL"/>
        <s v="TRINITYLEA"/>
        <s v="ASTAR"/>
        <s v="ORIRAIL"/>
        <s v="JOINDRE"/>
        <s v="BHARATAGRI"/>
        <s v="UNITINT"/>
        <s v="SACHEMT"/>
        <s v="POPULARES"/>
        <s v="ANJANIFIN"/>
        <s v="MULLER"/>
        <s v="RAHME"/>
        <s v="REXNORD"/>
        <s v="IIL"/>
        <s v="KHANDSE"/>
        <s v="WORL"/>
        <s v="CCLINTER"/>
        <s v="GALLOPENT"/>
        <s v="CROISSANCE"/>
        <s v="MADHUVEER"/>
        <s v="GALAGEX"/>
        <s v="GOPAIST"/>
        <s v="OIVL"/>
        <s v="AGARIND"/>
        <s v="DHAMPURE"/>
        <s v="SHAQUAK"/>
        <s v="INNOCORP"/>
        <s v="HIRAUTO"/>
        <s v="SAICOM"/>
        <s v="BLUECHIP"/>
        <s v="SERVOTEACH"/>
        <s v="CHADPAP"/>
        <s v="VERTEX"/>
        <s v="RIBATEX"/>
        <s v="SHYAMTEL"/>
        <s v="KASHYAP"/>
        <s v="SHREMETAL"/>
        <s v="IITLPROJ"/>
        <s v="HARIGOV"/>
        <s v="CATVISION"/>
        <s v="AMBIKCO"/>
        <s v="HINDALUMI"/>
        <s v="SENINFO"/>
        <s v="SPECFOOD"/>
        <s v="AMRAAGRI"/>
        <s v="ODYCORP"/>
        <s v="VUENOW"/>
        <s v="INDCTST"/>
        <s v="SAMINDUS"/>
        <s v="NEELKANTH"/>
        <s v="POOJAENT"/>
        <s v="GRAVITY"/>
        <s v="ESPIRE"/>
        <s v="LCCINFOTEC"/>
        <s v="FILATFASH"/>
        <s v="RBGUPTA"/>
        <s v="SINDHUTRAD"/>
        <s v="UNISTRMU"/>
        <s v="ZENOTECH"/>
        <s v="HINDBIO"/>
        <s v="TIRTPLS"/>
        <s v="SWELECTES"/>
        <s v="WALLFORT"/>
        <s v="KDDL"/>
        <s v="ADIEXRE"/>
        <s v="ABHICAP"/>
        <s v="3BBLACKBIO"/>
        <s v="SUMUKA"/>
        <s v="MONIND"/>
        <s v="ENBETRD"/>
        <s v="VANDANA"/>
        <s v="EPUJA"/>
        <s v="INDOCITY"/>
        <s v="SBECSUG"/>
        <s v="BRIJLEAS"/>
        <s v="BSELALGO"/>
        <s v="RELIABVEN"/>
        <s v="UBL"/>
        <s v="SMCREDT"/>
        <s v="MOHITE"/>
        <s v="ACL"/>
        <s v="SKMEGGPROD"/>
        <s v="RADICO"/>
        <s v="HOTLSILV"/>
        <s v="RENUKA"/>
        <s v="INDRAMEDCO"/>
        <s v="PARLEIND"/>
        <s v="LTFOODS"/>
        <s v="JYOTHYLAB"/>
        <s v="TRESCON"/>
        <s v="GUJSTATFIN"/>
        <s v="VBL"/>
        <s v="GODREJAGRO"/>
        <s v="MINOLTAF"/>
        <s v="OMKARPH"/>
        <s v="ADROITINFO"/>
        <s v="CYBERTECH"/>
        <s v="BECTORFOOD"/>
        <s v="DODLA"/>
        <s v="AWL"/>
        <s v="DHANBANK"/>
        <s v="BIKAJI"/>
        <s v="GAYATRI"/>
        <s v="HONASA"/>
        <s v="DOMS"/>
        <s v="BAJFINANCE"/>
        <s v="CRISIL"/>
        <s v="ARCHIES"/>
        <s v="IFCI"/>
        <s v="HBSL"/>
        <s v="SIELFNS"/>
        <s v="SBIN"/>
        <s v="ENERGYDEV"/>
        <s v="IDBI"/>
        <s v="BENGALT"/>
        <s v="HDFCBANK"/>
        <s v="INDNIPPON"/>
        <s v="NSIL"/>
        <s v="KOTAKBANK"/>
        <s v="YASHINNO"/>
        <s v="ACCELYA"/>
        <s v="ORCHASP"/>
        <s v="LICHSGFIN"/>
        <s v="TCFCFINQ"/>
        <s v="GEOJITFSL"/>
        <s v="MAHSCOOTER"/>
        <s v="BLBLIMITED"/>
        <s v="MFSL"/>
        <s v="PEL"/>
        <s v="INTEGHIT"/>
        <s v="KJMCCORP"/>
        <s v="INDSWFTLAB"/>
        <s v="GEPIL"/>
        <s v="SHREERAMA"/>
        <s v="FEDERALBNK"/>
        <s v="TELESYS"/>
        <s v="VAARAD"/>
        <s v="BAJAJHLDNG"/>
        <s v="SHIVACEM"/>
        <s v="CINEVISTA"/>
        <s v="INTENTECH"/>
        <s v="DANLAW"/>
        <s v="TATAINVEST"/>
        <s v="HBPOR"/>
        <s v="HBESD"/>
        <s v="AMBICAAGAR"/>
        <s v="COMPUSOFT"/>
        <s v="OMNIAX"/>
        <s v="IZMO"/>
        <s v="CHOLAHLDNG"/>
        <s v="SOFTSOL"/>
        <s v="SMARITIME"/>
        <s v="SUBEXLTD"/>
        <s v="AFEL"/>
        <s v="PADMALAYAT"/>
        <s v="AKSHOPTFBR"/>
        <s v="VIRGOGLOB"/>
        <s v="PICTUREHS"/>
        <s v="CANFINHOME"/>
        <s v="MUKTAARTS"/>
        <s v="NAGPI"/>
        <s v="DSSL"/>
        <s v="PNBGILTS"/>
        <s v="RAMCOIND"/>
        <s v="RAMCOSYS"/>
        <s v="SHRIRAMFIN"/>
        <s v="VIRINCHI"/>
        <s v="WEPSOLN"/>
        <s v="CHOLAFIN"/>
        <s v="TVSHLTD"/>
        <s v="MRO-TEK"/>
        <s v="UNIVARTS"/>
        <s v="FIRSTFIN"/>
        <s v="BABA"/>
        <s v="BALAJITELE"/>
        <s v="TYCHE"/>
        <s v="CALSOFT"/>
        <s v="PNC"/>
        <s v="JMFINANCIL"/>
        <s v="TAJGVK"/>
        <s v="CREATIVEYE"/>
        <s v="AXISCADES"/>
        <s v="KONNDOR"/>
        <s v="UMESLTD"/>
        <s v="POONAWALLA"/>
        <s v="USGTECH"/>
        <s v="7TEC"/>
        <s v="AVANTEL"/>
        <s v="MANAPPURAM"/>
        <s v="MEGASOFT"/>
        <s v="TRANSCOR"/>
        <s v="CEREBRAINT"/>
        <s v="NEXTMEDIA"/>
        <s v="SMARTLINK"/>
        <s v="CHOICEIN"/>
        <s v="GENUSPRIME"/>
        <s v="DRL"/>
        <s v="CGCL"/>
        <s v="SANINFRA"/>
        <s v="BANKBARODA"/>
        <s v="MPSLTD"/>
        <s v="BANKINDIA"/>
        <s v="TSPIRITUAL"/>
        <s v="ICICIBANK"/>
        <s v="SHALIWIR"/>
        <s v="GULPOLY"/>
        <s v="PONNIERODE"/>
        <s v="INDUSINDBK"/>
        <s v="J&amp;KBANK"/>
        <s v="HAZOOR"/>
        <s v="CUB"/>
        <s v="APTECHT"/>
        <s v="AXISBANK"/>
        <s v="SOUTHBANK"/>
        <s v="ISMTLTD"/>
        <s v="FSC"/>
        <s v="IOB"/>
        <s v="PNB"/>
        <s v="BLIL"/>
        <s v="POKARNA"/>
        <s v="KAMAHOLD"/>
        <s v="UNIONBANK"/>
        <s v="CANBK"/>
        <s v="UCOBANK"/>
        <s v="RAJPALAYAM"/>
        <s v="MAHABANK"/>
        <s v="IIFL"/>
        <s v="BAGFILMS"/>
        <s v="JSWHL"/>
        <s v="YESBANK"/>
        <s v="TVSELECT"/>
        <s v="KTKBANK"/>
        <s v="TVTODAY"/>
        <s v="PALREDTEC"/>
        <s v="IDFC"/>
        <s v="M&amp;MFIN"/>
        <s v="PFC"/>
        <s v="INDIANB"/>
        <s v="ICRA"/>
        <s v="DATAMATICS"/>
        <s v="NDTV"/>
        <s v="CENTRALBK"/>
        <s v="JPASSOCIAT"/>
        <s v="MOTILALOFS"/>
        <s v="PAISALO"/>
        <s v="RELIGARE"/>
        <s v="EDELWEISS"/>
        <s v="GULFPETRO"/>
        <s v="RECLTD"/>
        <s v="BAJAJFINSV"/>
        <s v="BENGALASM"/>
        <s v="SALSTEEL"/>
        <s v="PSB"/>
        <s v="DWARKESH"/>
        <s v="INDOCO"/>
        <s v="VIPCLOTHNG"/>
        <s v="IMPEXFERRO"/>
        <s v="XCHANGING"/>
        <s v="TRIVENIENT"/>
        <s v="JINDALPHOT"/>
        <s v="POCL"/>
        <s v="MUTHOOTFIN"/>
        <s v="3IINFOLTD"/>
        <s v="MBECL"/>
        <s v="LTF"/>
        <s v="SUMERUIND"/>
        <s v="MCX"/>
        <s v="MANGALAM"/>
        <s v="IBULHSGFIN"/>
        <s v="CYBERMEDIA"/>
        <s v="NDL"/>
        <s v="AIIL"/>
        <s v="IDFCFIRSTB"/>
        <s v="ESARIND"/>
        <s v="INFIBEAM"/>
        <s v="NECLIFE"/>
        <s v="MSPL"/>
        <s v="SPLIL"/>
        <s v="PILANIINVS"/>
        <s v="MCLEODRUSS"/>
        <s v="FACORALL"/>
        <s v="RBLBANK"/>
        <s v="RML"/>
        <s v="HTMEDIA"/>
        <s v="SASKEN"/>
        <s v="FCSSOFT"/>
        <s v="ICICIPRULI"/>
        <s v="PNBHOUSING"/>
        <s v="HUDCO"/>
        <s v="KMSUGAR"/>
        <s v="BASML"/>
        <s v="PBAINFRA"/>
        <s v="AUBANK"/>
        <s v="EKC"/>
        <s v="GEMSI"/>
        <s v="REPRO"/>
        <s v="ABCAPITAL"/>
        <s v="ASMS"/>
        <s v="CELEBRITY"/>
        <s v="NITINSPIN"/>
        <s v="ROHLTD"/>
        <s v="ENIL"/>
        <s v="CELLA"/>
        <s v="ICICIGI"/>
        <s v="JAGRAN"/>
        <s v="DYNPRO"/>
        <s v="GVKPIL"/>
        <s v="SADBHAV"/>
        <s v="SUNRETAIL"/>
        <s v="SBILIFE"/>
        <s v="GILLANDERS"/>
        <s v="INDOTECH"/>
        <s v="BLKASHYAP"/>
        <s v="SHAREINDIA"/>
        <s v="VISASTEEL"/>
        <s v="NITCO"/>
        <s v="MPDL"/>
        <s v="MASFIN"/>
        <s v="IEX"/>
        <s v="MALUPAPER"/>
        <s v="UTTAMSUGAR"/>
        <s v="SGL"/>
        <s v="KKCL"/>
        <s v="GICRE"/>
        <s v="NAM-INDIA"/>
        <s v="NIACL"/>
        <s v="EMKAY"/>
        <s v="TCLCONS"/>
        <s v="LOKESHMACH"/>
        <s v="KAMDHENU"/>
        <s v="PAUSHAKLTD"/>
        <s v="GTNTEX"/>
        <s v="INDICAP"/>
        <s v="PFOCUS"/>
        <s v="COARO"/>
        <s v="SRUSTEELS"/>
        <s v="HDFCLIFE"/>
        <s v="BANDHANBNK"/>
        <s v="ISEC"/>
        <s v="PHOTON"/>
        <s v="DEEPENR"/>
        <s v="HOVS"/>
        <s v="HDFCAMC"/>
        <s v="GEECEE"/>
        <s v="RICHAIND"/>
        <s v="FIEMIND"/>
        <s v="JHS"/>
        <s v="DCBBANK"/>
        <s v="UNIOFFICE"/>
        <s v="INSPIRISYS"/>
        <s v="GTLINFRA"/>
        <s v="SHIVAMAUTO"/>
        <s v="CREDITACC"/>
        <s v="AAVAS"/>
        <s v="PARSVNATH"/>
        <s v="SUTLEJTEX"/>
        <s v="SPANDANA"/>
        <s v="IIFLSEC"/>
        <s v="RUCHIRA"/>
        <s v="CSBBANK"/>
        <s v="ZEEMEDIA"/>
        <s v="SITINET"/>
        <s v="LUMAXTECH"/>
        <s v="AUTOIND"/>
        <s v="UJJIVANSFB"/>
        <s v="HUBTOWN"/>
        <s v="SBICARD"/>
        <s v="CTE"/>
        <s v="CAMS"/>
        <s v="RISAINTL"/>
        <s v="AICHAMP"/>
        <s v="CINELINE"/>
        <s v="PGIL"/>
        <s v="ZINEMA"/>
        <s v="ANGELONE"/>
        <s v="UTIAMC"/>
        <s v="TFL"/>
        <s v="EQUITASBNK"/>
        <s v="SMSPHARMA"/>
        <s v="ORIENTALTL"/>
        <s v="ELAND"/>
        <s v="IRFC"/>
        <s v="JAGJANANI"/>
        <s v="RAJTV"/>
        <s v="HOMEFIRST"/>
        <s v="AMDIND"/>
        <s v="LEHAR"/>
        <s v="APTUS"/>
        <s v="ABSLAMC"/>
        <s v="CAMLINFINE"/>
        <s v="POLICYBZR"/>
        <s v="DISHTV"/>
        <s v="SAHYADRI"/>
        <s v="SRHHYPOLTD"/>
        <s v="PAYTM"/>
        <s v="TGBHOTELS"/>
        <s v="HILTON"/>
        <s v="DELTACORP"/>
        <s v="MICEL"/>
        <s v="INSECTICID"/>
        <s v="ASAHISONG"/>
        <s v="HARYNACAP"/>
        <s v="STARHEALTH"/>
        <s v="DHYAANITR"/>
        <s v="NELCAST"/>
        <s v="V2RETAIL"/>
        <s v="ANANDRATHI"/>
        <s v="TARMAT"/>
        <s v="ANKITMETAL"/>
        <s v="LICI"/>
        <s v="ADSL"/>
        <s v="ALPA"/>
        <s v="SSLEL"/>
        <s v="OMAXE"/>
        <s v="REFEX"/>
        <s v="PRUDENT"/>
        <s v="SELMC"/>
        <s v="ASIANTILES"/>
        <s v="TMB"/>
        <s v="TAKE"/>
        <s v="FIVESTAR"/>
        <s v="KFINTECH"/>
        <s v="VTMLTD"/>
        <s v="INDOWIND"/>
        <s v="NAGREEKCAP"/>
        <s v="MAGNUM"/>
        <s v="JIOFIN"/>
        <s v="KSCL"/>
        <s v="UTKARSHBNK"/>
        <s v="SUPREMEINF"/>
        <s v="MAANALU"/>
        <s v="IL&amp;FSENGG"/>
        <s v="ARAVALIS"/>
        <s v="SBFC"/>
        <s v="BVCL"/>
        <s v="RATHIBAR"/>
        <s v="MUKTA"/>
        <s v="NUVAMA"/>
        <s v="RGL"/>
        <s v="KOLTEPATIL"/>
        <s v="KAUSHALYA"/>
        <s v="IREDA"/>
        <s v="WWALUM"/>
        <s v="INDIASHLTR"/>
        <s v="JSFB"/>
        <s v="BGRENERGY"/>
        <s v="BURNPUR"/>
        <s v="MANAKSIA"/>
        <s v="PORWAL"/>
        <s v="PPAP"/>
        <s v="ARIES"/>
        <s v="KUANTUM"/>
        <s v="AADHARHFC"/>
        <s v="GODIGIT"/>
        <s v="CORDSCABLE"/>
        <s v="KARURVYSYA"/>
        <s v="ONMOBILE"/>
        <s v="SEPC"/>
        <s v="BANG"/>
        <s v="IRB"/>
        <s v="GSS"/>
        <s v="NAHARCAP"/>
        <s v="SUNDARMFIN"/>
        <s v="BSE"/>
        <s v="GOKAKTEX"/>
        <s v="DHANI"/>
        <s v="CDSL"/>
        <s v="KIRIINDUS"/>
        <s v="BIRLAMONEY"/>
        <s v="TELOGICA"/>
        <s v="SUNDARMHLD"/>
        <s v="CIPLA"/>
        <s v="DRREDDY"/>
        <s v="GOKUL"/>
        <s v="RPGLIFE"/>
        <s v="SENSEX1"/>
        <s v="NIRAJ"/>
        <s v="RBL"/>
        <s v="RANEENGINE"/>
        <s v="CHLLTD"/>
        <s v="SEJALLTD"/>
        <s v="ARCHIDPLY"/>
        <s v="LOTUSEYE"/>
        <s v="SOMICONVEY"/>
        <s v="LGBFORGE"/>
        <s v="LPDC"/>
        <s v="VEL"/>
        <s v="SIMPLXMIL"/>
        <s v="SIMPLXPAP"/>
        <s v="20MICRONS"/>
        <s v="PGHL"/>
        <s v="ALKALI"/>
        <s v="LUPIN"/>
        <s v="IMFA"/>
        <s v="TPHQ"/>
        <s v="VEDAVAAG"/>
        <s v="MANJEERA"/>
        <s v="MOLDTKPAC"/>
        <s v="TORNTPHARM"/>
        <s v="WAGEND"/>
        <s v="ROML"/>
        <s v="ABBOTINDIA"/>
        <s v="GLAXO"/>
        <s v="SANOFI"/>
        <s v="SURYAAMBA"/>
        <s v="GLOBUSSPR"/>
        <s v="PFIZER"/>
        <s v="BTTL"/>
        <s v="SPSL"/>
        <s v="EXPLEOSOL"/>
        <s v="ASTRAZEN"/>
        <s v="DEN"/>
        <s v="ASTEC"/>
        <s v="DLINKINDIA"/>
        <s v="JBCHEPHARM"/>
        <s v="YUNIKM"/>
        <s v="APOLLOHOSP"/>
        <s v="ORCHPHARMA"/>
        <s v="MBLINFRA"/>
        <s v="MARKSANS"/>
        <s v="VASCONEQ"/>
        <s v="THANGAMAYL"/>
        <s v="IPCALAB"/>
        <s v="EMMBI"/>
        <s v="HATHWAY"/>
        <s v="TEXMOPIPES"/>
        <s v="SUNDARAM"/>
        <s v="ROSSELLIND"/>
        <s v="NEULANDLAB"/>
        <s v="TAMBOLIIN"/>
        <s v="IL&amp;FSTRANS"/>
        <s v="SUNPHARMA"/>
        <s v="ISFT"/>
        <s v="GOENKA"/>
        <s v="KCPSUGIND"/>
        <s v="KECL"/>
        <s v="SATCH"/>
        <s v="TARAPUR"/>
        <s v="CAPLIPOINT"/>
        <s v="EMAMIPAP"/>
        <s v="KRITINUT"/>
        <s v="GKB"/>
        <s v="HMVL"/>
        <s v="EMAMIREAL"/>
        <s v="AHLEAST"/>
        <s v="BAJAJCON"/>
        <s v="PRAKASHSTL"/>
        <s v="MYSTICELE"/>
        <s v="WELINV"/>
        <s v="SASTASUNDR"/>
        <s v="CAREERP"/>
        <s v="EROSMEDIA"/>
        <s v="RAMKY"/>
        <s v="GREENPOWER"/>
        <s v="CANTABIL"/>
        <s v="SEATV"/>
        <s v="AUROPHARMA"/>
        <s v="BEDMUTHA"/>
        <s v="NATCOPHARM"/>
        <s v="JUBLPHARMA"/>
        <s v="SHILPAMED"/>
        <s v="FDC"/>
        <s v="SHAH"/>
        <s v="POLYMED"/>
        <s v="GLENMARK"/>
        <s v="RPPINFRA"/>
        <s v="RDBRIL"/>
        <s v="WOCKPHARMA"/>
        <s v="ZEELEARN"/>
        <s v="ENTRINT"/>
        <s v="A2ZINFRA"/>
        <s v="ZYDUSLIFE"/>
        <s v="RKDL"/>
        <s v="AJANTPHARM"/>
        <s v="MAHANIN"/>
        <s v="SURANASOL"/>
        <s v="SPYL"/>
        <s v="KICL"/>
        <s v="BFINVEST"/>
        <s v="SUMMITSEC"/>
        <s v="INOVSYNTH"/>
        <s v="STEL"/>
        <s v="OMKARCHEM"/>
        <s v="JUBLINDS"/>
        <s v="GRANULES"/>
        <s v="INDTERRAIN"/>
        <s v="FCL"/>
        <s v="DHUNINV"/>
        <s v="DIVISLAB"/>
        <s v="LOVABLE"/>
        <s v="PFS"/>
        <s v="BIOCON"/>
        <s v="CNOVAPETRO"/>
        <s v="BEEYU"/>
        <s v="KARMAENG"/>
        <s v="DELPHIFX"/>
        <s v="RUSHIL"/>
        <s v="ENKEIWHEL"/>
        <s v="KRIDHANINF"/>
        <s v="INVENTURE"/>
        <s v="STAR"/>
        <s v="GANONPRO"/>
        <s v="TREEHOUSE"/>
        <s v="BROOKS"/>
        <s v="RUPA"/>
        <s v="FORTIS"/>
        <s v="SPARC"/>
        <s v="VASWANI"/>
        <s v="APLLTD"/>
        <s v="QUASAR"/>
        <s v="RDBRL"/>
        <s v="TIJARIA"/>
        <s v="ONELIFECAP"/>
        <s v="FLEXITUFF"/>
        <s v="SYNGENE"/>
        <s v="INDOTHAI"/>
        <s v="AIHL"/>
        <s v="ALKEM"/>
        <s v="GPTINFRA"/>
        <s v="SHAMROIN"/>
        <s v="THOMASCOTT"/>
        <s v="TERASOFT"/>
        <s v="PMCFIN"/>
        <s v="FUTSOL"/>
        <s v="AIML"/>
        <s v="LALPATHLAB"/>
        <s v="NH"/>
        <s v="PYXISFIN"/>
        <s v="HCG"/>
        <s v="OLPCL"/>
        <s v="LAURUSLABS"/>
        <s v="MTEDUCARE"/>
        <s v="HEXATRADEX"/>
        <s v="MAXHEIGHTS"/>
        <s v="TBZ"/>
        <s v="VSSL"/>
        <s v="LOOKS"/>
        <s v="SPECIALITY"/>
        <s v="LYPSAGEMS"/>
        <s v="ERIS"/>
        <s v="SAMPANN"/>
        <s v="JTLIND"/>
        <s v="AMTL"/>
        <s v="JAINCO"/>
        <s v="ASTERDM"/>
        <s v="JUPITERIN"/>
        <s v="VINAYAKPOL"/>
        <s v="JOINTECAED"/>
        <s v="DUCON"/>
        <s v="PROZONER"/>
        <s v="SRGHFL"/>
        <s v="COMCL"/>
        <s v="SHANTIGURU"/>
        <s v="CASPIAN"/>
        <s v="AERPACE"/>
        <s v="VIRTUALG"/>
        <s v="ZUARI"/>
        <s v="STEELXIND"/>
        <s v="TRIOMERC"/>
        <s v="CIGNITITEC"/>
        <s v="CDG"/>
        <s v="CARERATING"/>
        <s v="PCJEWELLER"/>
        <s v="METROPOLIS"/>
        <s v="SUVENPHAR"/>
        <s v="NIBE"/>
        <s v="RAMASIGNS"/>
        <s v="EXPLICITFIN"/>
        <s v="COMFINCAP"/>
        <s v="BMAL"/>
        <s v="REPCOHOME"/>
        <s v="LAKHOTIA"/>
        <s v="GCMSECU"/>
        <s v="NIBL"/>
        <s v="PRIMECAPM"/>
        <s v="KIFS"/>
        <s v="SREEL"/>
        <s v="MAXHEALTH"/>
        <s v="SVGLOBAL"/>
        <s v="SDC"/>
        <s v="GLAND"/>
        <s v="OONE"/>
        <s v="IFINSEC"/>
        <s v="BRAHMINFRA"/>
        <s v="QUEST"/>
        <s v="KHOOBSURAT"/>
        <s v="KIMS"/>
        <s v="GLS"/>
        <s v="AMIORG"/>
        <s v="MMLF"/>
        <s v="ALSL"/>
        <s v="GCMCOMM"/>
        <s v="ESSENTIA"/>
        <s v="JULIEN"/>
        <s v="KAARYAFSL"/>
        <s v="JK AGRI"/>
        <s v="FLFL"/>
        <s v="PVVINFRA"/>
        <s v="VCU"/>
        <s v="INDRENEW"/>
        <s v="SRGSFL"/>
        <s v="ACFSL"/>
        <s v="STELLAR"/>
        <s v="JPOLYINVST"/>
        <s v="YURANUS"/>
        <s v="CPL"/>
        <s v="ARNOLD"/>
        <s v="SUNLOC"/>
        <s v="SUYOG"/>
        <s v="NATHBIOGEN"/>
        <s v="AGRITECH"/>
        <s v="CHEMTECH"/>
        <s v="DENISCHEM"/>
        <s v="POLYMAC"/>
        <s v="UNISHIRE"/>
        <s v="LAXMIPATI"/>
        <s v="ETT"/>
        <s v="HANSUGAR"/>
        <s v="KIRANVYPAR"/>
        <s v="BCP"/>
        <s v="DGL"/>
        <s v="RACE"/>
        <s v="MANGIND"/>
        <s v="VIJIFIN"/>
        <s v="PHOENIXTN"/>
        <s v="INFRONICS"/>
        <s v="HARIAAPL"/>
        <s v="VASUPRADA"/>
        <s v="RNBDENIMS"/>
        <s v="SHARPINV"/>
        <s v="VIJAYA"/>
        <s v="RESPONSINF"/>
        <s v="GCMCAPI"/>
        <s v="SHVSUIT"/>
        <s v="INCREDIBLE"/>
        <s v="WESTLEIRES"/>
        <s v="NAM"/>
        <s v="METSL"/>
        <s v="SPS"/>
        <s v="JACKSON"/>
        <s v="MONEYBOXX"/>
        <s v="WORTH"/>
        <s v="KANELIND"/>
        <s v="TPROJECT"/>
        <s v="AMARSEC"/>
        <s v="CTL"/>
        <s v="ZGOLDINV"/>
        <s v="YAANENT"/>
        <s v="JTAPARIA"/>
        <s v="RLFL"/>
        <s v="GOLDCOINHF"/>
        <s v="BRPL"/>
        <s v="ARMAN"/>
        <s v="SKIPPER"/>
        <s v="PEOPLIN"/>
        <s v="JAMESWARREN"/>
        <s v="VISTARAMAR"/>
        <s v="RAINBOW"/>
        <s v="RAPIDIN"/>
        <s v="SFTL"/>
        <s v="BHANDERI"/>
        <s v="AMALGAM"/>
        <s v="QUANTBUILD"/>
        <s v="TTIENT"/>
        <s v="VISHAL"/>
        <s v="TOYAMSL"/>
        <s v="GAJANANSEC"/>
        <s v="UNISON"/>
        <s v="RTFL"/>
        <s v="VRL"/>
        <s v="INDSOYA"/>
        <s v="QGO"/>
        <s v="PURSHOTTAM"/>
        <s v="SW1"/>
        <s v="SHARDACROP"/>
        <s v="KKFIN"/>
        <s v="MIIL"/>
        <s v="SHEMAROO"/>
        <s v="ULTRACAB"/>
        <s v="RCCL"/>
        <s v="ETIL"/>
        <s v="ATISHAY"/>
        <s v="SANGAMFIN"/>
        <s v="DHABRIYA"/>
        <s v="ARYACAPM"/>
        <s v="PPLPHARMA"/>
        <s v="HANMAN"/>
        <s v="VGCL"/>
        <s v="STARLIT"/>
        <s v="CEINSYSTECH"/>
        <s v="PANABYTE"/>
        <s v="MUDUNURU"/>
        <s v="JSHL"/>
        <s v="CRANEINFRA"/>
        <s v="NIYOGIN"/>
        <s v="ASIACAP"/>
        <s v="KALYANCAP"/>
        <s v="GBFL"/>
        <s v="GILADAFINS"/>
        <s v="JETINFRA"/>
        <s v="SAPPL"/>
        <s v="CAPPIPES"/>
        <s v="KAIZENAGRO"/>
        <s v="JMJFIN"/>
        <s v="MEDANTA"/>
        <s v="MONTECARLO"/>
        <s v="JSTL"/>
        <s v="ICL"/>
        <s v="SCC"/>
        <s v="PANAFIC"/>
        <s v="MYMONEY"/>
        <s v="AMARNATH"/>
        <s v="CSL"/>
        <s v="NEXUSSURGL"/>
        <s v="HEALINV"/>
        <s v="GALADAFIN"/>
        <s v="EMERALD"/>
        <s v="MKEXIM"/>
        <s v="AARTIPHARM"/>
        <s v="OCTAL"/>
        <s v="SHRENTI"/>
        <s v="KANCHI"/>
        <s v="DTIL"/>
        <s v="VANICOM"/>
        <s v="SKILVEN"/>
        <s v="MODWOOL"/>
        <s v="RAFL"/>
        <s v="COSYN"/>
        <s v="SOFCOM"/>
        <s v="NAPL"/>
        <s v="KARNAVATI"/>
        <s v="ZMULTIPU"/>
        <s v="GANHOLD"/>
        <s v="SONAL"/>
        <s v="ALFL"/>
        <s v="GENUSPAPER"/>
        <s v="MANKIND"/>
        <s v="MERCURYLAB"/>
        <s v="CONCORD"/>
        <s v="WARDINMOBI"/>
        <s v="SHREESEC"/>
        <s v="CONCORDBIO"/>
        <s v="TALBROSENG"/>
        <s v="SAPL"/>
        <s v="ZHEMHOLD"/>
        <s v="JLHL"/>
        <s v="CHENFERRO"/>
        <s v="ZKOVALIN"/>
        <s v="GITARENEW"/>
        <s v="NEIL"/>
        <s v="STARHFL"/>
        <s v="BEEKAY"/>
        <s v="SSPNFIN"/>
        <s v="MULTIIN"/>
        <s v="TTIL"/>
        <s v="ALNATRD"/>
        <s v="AGIIL"/>
        <s v="MANAKSTEEL"/>
        <s v="MANAKALUCO"/>
        <s v="MANAKCOAT"/>
        <s v="IMAGICAA"/>
        <s v="BLUEJET"/>
        <s v="RAJPUTANA"/>
        <s v="CITL"/>
        <s v="AANANDALAK"/>
        <s v="VELOXIND"/>
        <s v="FILTRA"/>
        <s v="ATHCON"/>
        <s v="NORTHLINK"/>
        <s v="SHESHAINDS"/>
        <s v="SAB"/>
        <s v="PML"/>
        <s v="ALAN SCOTT"/>
        <s v="ZSARVAMA"/>
        <s v="SUJALA"/>
        <s v="VIKSHEN"/>
        <s v="JAINMARMO"/>
        <s v="BFFL"/>
        <s v="PALCO"/>
        <s v="VBIND"/>
        <s v="SARVOTTAM"/>
        <s v="SCBL"/>
        <s v="WARDWIZFBL"/>
        <s v="UFO"/>
        <s v="PANTH"/>
        <s v="SHIVALIK"/>
        <s v="THAKKERS"/>
        <s v="INDGN"/>
        <s v="ARFIN"/>
        <s v="VLL"/>
        <s v="HELPAGE"/>
        <s v="INDRAIND"/>
        <s v="HAWAENG"/>
        <s v="ABB"/>
        <s v="ADHBHUTIN"/>
        <s v="DFL"/>
        <s v="POEL"/>
        <s v="AEL"/>
        <s v="CAPFIN"/>
        <s v="SGFIN"/>
        <s v="SATIA"/>
        <s v="GVBL"/>
        <s v="GARMNTMNTR"/>
        <s v="SRESTHA"/>
        <s v="SAUMYA"/>
        <s v="MUL"/>
        <s v="MISHKA"/>
        <s v="SPORTKING"/>
        <s v="FRONTCAP"/>
        <s v="RUDRA"/>
        <s v="LOYAL"/>
        <s v="GGPL"/>
        <s v="CHEMIESYNT"/>
        <s v="TRANOCE"/>
        <s v="BALKRISHNA"/>
        <s v="SHYAMCENT"/>
        <s v="SURYAINDIA"/>
        <s v="BEML"/>
        <s v="STARDELTA"/>
        <s v="AMRAFIN"/>
        <s v="SAMSRITA"/>
        <s v="BEL"/>
        <s v="PECOS"/>
        <s v="MSL"/>
        <s v="KAYA"/>
        <s v="ALSTONE"/>
        <s v="SYMBIOX"/>
        <s v="ORTINLAB"/>
        <s v="AVI"/>
        <s v="AURUM"/>
        <s v="OSWALGREEN"/>
        <s v="VASUDHAGAM"/>
        <s v="AKSPINTEX"/>
        <s v="ARVSMART"/>
        <s v="CGPOWER"/>
        <s v="RAMASTEEL"/>
        <s v="THINKINK"/>
        <s v="UNIAUTO"/>
        <s v="VETO"/>
        <s v="TRILIANCE"/>
        <s v="SHREEPUSHK"/>
        <s v="BHEL"/>
        <s v="WAAREE"/>
        <s v="SADBHIN"/>
        <s v="SALAUTO"/>
        <s v="POLYSPIN"/>
        <s v="PRITIKAUTO"/>
        <s v="SML"/>
        <s v="MINFY"/>
        <s v="KRISHNACAP"/>
        <s v="ACME"/>
        <s v="KCL"/>
        <s v="VISHALBL"/>
        <s v="BELLACASA"/>
        <s v="MALLCOM"/>
        <s v="PJL"/>
        <s v="NAKSH"/>
        <s v="SATIN"/>
        <s v="DITCO"/>
        <s v="OSEASPR"/>
        <s v="GENCON"/>
        <s v="KUBERJI"/>
        <s v="TECHCON"/>
        <s v="TEJNAKSH"/>
        <s v="BRIPORT"/>
        <s v="RFSL"/>
        <s v="COFFEEDAY"/>
        <s v="ELECTCAST"/>
        <s v="BEARDSELL"/>
        <s v="KUSUMEL"/>
        <s v="JUMBFNL"/>
        <s v="SHK"/>
        <s v="TFSL"/>
        <s v="PANORAMA"/>
        <s v="SHREEGANES"/>
        <s v="GTV"/>
        <s v="TFLL"/>
        <s v="GARBIFIN"/>
        <s v="SMARTFIN"/>
        <s v="RAJKOTINV"/>
        <s v="ADCON"/>
        <s v="QUINT"/>
        <s v="UDAYJEW"/>
        <s v="NAVIGANT"/>
        <s v="GROVY"/>
        <s v="ESABINDIA"/>
        <s v="EPL"/>
        <s v="RAJVI"/>
        <s v="CREATIVE"/>
        <s v="AAYUSH"/>
        <s v="MILLENNIUM"/>
        <s v="LUXIND"/>
        <s v="VALLEY"/>
        <s v="ABHIINFRA"/>
        <s v="APOORVA"/>
        <s v="SANCF"/>
        <s v="FINCABLES"/>
        <s v="FMEC"/>
        <s v="DDIL"/>
        <s v="ABHIJIT"/>
        <s v="REGTRUS"/>
        <s v="AARNAV"/>
        <s v="SCL"/>
        <s v="ZNILKENG"/>
        <s v="SHIVA"/>
        <s v="MISHTANN"/>
        <s v="DELTA"/>
        <s v="CGFL"/>
        <s v="KEL"/>
        <s v="BLUECLOUDS"/>
        <s v="KEIL"/>
        <s v="BCLENTERPR"/>
        <s v="PRECAM"/>
        <s v="SOBME"/>
        <s v="VIDLI"/>
        <s v="BESTAGRO"/>
        <s v="ACEMEN"/>
        <s v="BFLAFL"/>
        <s v="RGF"/>
        <s v="RCL"/>
        <s v="QUICKHEAL"/>
        <s v="KAPILRAJ"/>
        <s v="GANGAPHARM"/>
        <s v="DAL"/>
        <s v="LUCENT"/>
        <s v="SHIVKAMAL"/>
        <s v="KPEL"/>
        <s v="IFINSER"/>
        <s v="HILIKS"/>
        <s v="GOKULAGRO"/>
        <s v="FREDUN"/>
        <s v="SIMBHALS"/>
        <s v="RELICAB"/>
        <s v="VKAL"/>
        <s v="MEAPL"/>
        <s v="MNIL"/>
        <s v="DARJEELING"/>
        <s v="ADVIKCA"/>
        <s v="PDMJEPAPER"/>
        <s v="HCC"/>
        <s v="KDML"/>
        <s v="UMIYA"/>
        <s v="BHARATWIRE"/>
        <s v="CHDCHEM"/>
        <s v="HMT"/>
        <s v="INERTIAST"/>
        <s v="MUDRA"/>
        <s v="PHTRADING"/>
        <s v="SUPERIOR"/>
        <s v="RPEL"/>
        <s v="FRANKLIN"/>
        <s v="SHYAM"/>
        <s v="NINSYS"/>
        <s v="HALDER"/>
        <s v="THYROCARE"/>
        <s v="BAJAJHCARE"/>
        <s v="RSDFIN"/>
        <s v="INGERRAND"/>
        <s v="KIRLOSBROS"/>
        <s v="DARSHANORNA"/>
        <s v="PARAGMILK"/>
        <s v="MADHAVIPL"/>
        <s v="NAGAFERT"/>
        <s v="SEIL"/>
        <s v="ZSANMCOM"/>
        <s v="WARDHEALTH"/>
        <s v="YASHCHEM"/>
        <s v="BAZELINTER"/>
        <s v="JLL"/>
        <s v="VISVEN"/>
        <s v="KIRLOSIND"/>
        <s v="ZEAL"/>
        <s v="TWIROST"/>
        <s v="DIGJAMLMTD"/>
        <s v="HUIL"/>
        <s v="TITAANIUM"/>
        <s v="COMSYN"/>
        <s v="MLINDLTD"/>
        <s v="KSB"/>
        <s v="KPL"/>
        <s v="LAXMIMACH"/>
        <s v="TERRAREAL"/>
        <s v="ADVENZYMES"/>
        <s v="LAHL"/>
        <s v="MAHSEAMLES"/>
        <s v="SPAL"/>
        <s v="BIGBLOC"/>
        <s v="GOLDENCREST"/>
        <s v="ECS"/>
        <s v="NCC"/>
        <s v="AMS"/>
        <s v="SHIVAEXPO"/>
        <s v="SURYAROSNI"/>
        <s v="MITSU"/>
        <s v="SPRAYKING"/>
        <s v="DHATRE"/>
        <s v="SABEVENTS"/>
        <s v="RSTL"/>
        <s v="TVVISION"/>
        <s v="VISCO"/>
        <s v="TIAANC"/>
        <s v="JINDALSAW"/>
        <s v="GNA"/>
        <s v="RADHIKAJWE"/>
        <s v="BENTCOM"/>
        <s v="THERMAX"/>
        <s v="IISL"/>
        <s v="ARCFIN"/>
        <s v="HPL"/>
        <s v="SAGARSOFT"/>
        <s v="CLASELE"/>
        <s v="VALIANTORG"/>
        <s v="ACML"/>
        <s v="SHASHIJIT"/>
        <s v="BINDALEXPO"/>
        <s v="DIKSAT"/>
        <s v="SKFINDIA"/>
        <s v="PURPLE"/>
        <s v="SUPRAPFSL"/>
        <s v="ASHOKLEY"/>
        <s v="SOUTHERNIN"/>
        <s v="REGENCY"/>
        <s v="CUMMINSIND"/>
        <s v="SALEM"/>
        <s v="ZNIVITRD"/>
        <s v="LKPSEC"/>
        <s v="OSIAJEE"/>
        <s v="CMBL"/>
        <s v="ESCORTS"/>
        <s v="EIKO"/>
        <s v="LT"/>
        <s v="HEADSUP"/>
        <s v="BAJGLOB"/>
        <s v="TASHIND"/>
        <s v="SIEMENS"/>
        <s v="AUTOINT"/>
        <s v="VSL"/>
        <s v="MTPL"/>
        <s v="CHMBBRW"/>
        <s v="ZMANSOON"/>
        <s v="TRU"/>
        <s v="SKL"/>
        <s v="CESL"/>
        <s v="GRWRHITECH"/>
        <s v="CFL"/>
        <s v="JITFINFRA"/>
        <s v="SUERYAAKNI"/>
        <s v="TANVI"/>
        <s v="RMC"/>
        <s v="PARMAX"/>
        <s v="LLFICL"/>
        <s v="MAGANTR"/>
        <s v="RADIOCITY"/>
        <s v="FINPIPE"/>
        <s v="MERCTRD"/>
        <s v="ONTIC"/>
        <s v="SMLT"/>
        <s v="CHEMCRUX"/>
        <s v="MANOMAY"/>
        <s v="NIRAVCOM"/>
        <s v="MANAS"/>
        <s v="CLEDUCATE"/>
        <s v="PRIMEFRESH"/>
        <s v="OCTAWARE"/>
        <s v="SHANKARA"/>
        <s v="ESCORP"/>
        <s v="PARMSILK"/>
        <s v="KMSMEDI"/>
        <s v="CLFL"/>
        <s v="STARLENT"/>
        <s v="SCHAND"/>
        <s v="KANUNGO"/>
        <s v="MEERA"/>
        <s v="BORORENEW"/>
        <s v="PSPPROJECT"/>
        <s v="BGJL"/>
        <s v="YUG"/>
        <s v="WHITHAL"/>
        <s v="BBL"/>
        <s v="RIDDHICORP"/>
        <s v="GMMPFAUDLR"/>
        <s v="ELECON"/>
        <s v="GTPL"/>
        <s v="KENNAMET"/>
        <s v="ASUTENT"/>
        <s v="GGENG"/>
        <s v="7NR"/>
        <s v="SALASAR"/>
        <s v="GANGESSECU"/>
        <s v="PALASHSECU"/>
        <s v="AVADHSUGAR"/>
        <s v="MAGADSUGAR"/>
        <s v="JIGAR"/>
        <s v="CTCL"/>
        <s v="GSTL"/>
        <s v="PUNCTRD"/>
        <s v="GRINDWELL"/>
        <s v="SMSLIFE"/>
        <s v="GRAPHITE"/>
        <s v="CHOTHANI"/>
        <s v="SMRUTHIORG"/>
        <s v="ITDCEM"/>
        <s v="APEX"/>
        <s v="SHISHIND"/>
        <s v="ANG"/>
        <s v="VARUNME"/>
        <s v="HEG"/>
        <s v="BRNL"/>
        <s v="DCAL"/>
        <s v="LASA"/>
        <s v="VINVANI"/>
        <s v="MATRIMONY"/>
        <s v="RHFL"/>
        <s v="CAPACITE"/>
        <s v="SAGAR"/>
        <s v="SUPREMEIND"/>
        <s v="SITAENT"/>
        <s v="AKM"/>
        <s v="JAICORPLTD"/>
        <s v="DIAMONDYD"/>
        <s v="SGMART"/>
        <s v="TTFL"/>
        <s v="POOJA"/>
        <s v="SAYAJIIND"/>
        <s v="VANTABIO"/>
        <s v="PULSRIN"/>
        <s v="IRIS"/>
        <s v="SGRL"/>
        <s v="ASTALLTD"/>
        <s v="CARBORUNIV"/>
        <s v="USHAMART"/>
        <s v="HONAUT"/>
        <s v="KEI"/>
        <s v="REGENTRP"/>
        <s v="SCPL"/>
        <s v="RATNAMANI"/>
        <s v="VESUVIUS"/>
        <s v="ZJEETMAC"/>
        <s v="ELGIEQUIP"/>
        <s v="IFGLEXPOR"/>
        <s v="KHADIM"/>
        <s v="5PAISA"/>
        <s v="TIMKEN"/>
        <s v="SBRANDS"/>
        <s v="RAMGOPOLY"/>
        <s v="ASPIRA"/>
        <s v="DNAMEDIA"/>
        <s v="DYCL"/>
        <s v="RATNABHUMI"/>
        <s v="SHALBY"/>
        <s v="TTLEL"/>
        <s v="YARNSYN"/>
        <s v="GARWSYN"/>
        <s v="SADHNA"/>
        <s v="ASTRON"/>
        <s v="OSWAYRN"/>
        <s v="IDM"/>
        <s v="JFL"/>
        <s v="7SEASL"/>
        <s v="APOLLO"/>
        <s v="DIACABS"/>
        <s v="PRAXIS"/>
        <s v="PRAJIND"/>
        <s v="PERVASIVE"/>
        <s v="TIRUFOAM"/>
        <s v="KISAAN"/>
        <s v="ASHOKAMET"/>
        <s v="GET&amp;D"/>
        <s v="GGL"/>
        <s v="MEDICO"/>
        <s v="GUJHYSPIN"/>
        <s v="LAL"/>
        <s v="KENVI"/>
        <s v="IWP"/>
        <s v="TDSL"/>
        <s v="BHATIA"/>
        <s v="SHIVAMILLS"/>
        <s v="KPIL"/>
        <s v="DATIWARE"/>
        <s v="KANCOTEA"/>
        <s v="ANGEL"/>
        <s v="GENUSPOWER"/>
        <s v="INFLAME"/>
        <s v="BPLPHARMA"/>
        <s v="SHREESHAY"/>
        <s v="ACFL"/>
        <s v="PATELENG"/>
        <s v="ACTIVE"/>
        <s v="NMSRESRC"/>
        <s v="SHAKTIPUMP"/>
        <s v="WELCORP"/>
        <s v="KBCGLOBAL"/>
        <s v="SANDHAR"/>
        <s v="YASHO"/>
        <s v="BENARA"/>
        <s v="ENGINERSIN"/>
        <s v="APARINDS"/>
        <s v="OTCO"/>
        <s v="APIL"/>
        <s v="TRL"/>
        <s v="ASTRAMICRO"/>
        <s v="CHEMFAB"/>
        <s v="HARDWYN"/>
        <s v="DLCL"/>
        <s v="WELENT"/>
        <s v="NORRIS"/>
        <s v="AKSHAR"/>
        <s v="INDOUS"/>
        <s v="INDOSTAR"/>
        <s v="MILEFUR"/>
        <s v="UHZAVERI"/>
        <s v="PARVATI"/>
        <s v="MEGASTAR"/>
        <s v="INNOVATORS"/>
        <s v="UCIL"/>
        <s v="ZIMLAB"/>
        <s v="AFFORDABLE"/>
        <s v="DOLLAR"/>
        <s v="NGIL"/>
        <s v="REVAORG"/>
        <s v="WAA"/>
        <s v="SUZLON"/>
        <s v="UNICK"/>
        <s v="SOLARA"/>
        <s v="AIAENG"/>
        <s v="KEC"/>
        <s v="GALLANTT"/>
        <s v="RAJNISH"/>
        <s v="STRAEXPO"/>
        <s v="RAWEDGE"/>
        <s v="TCNSBRANDS"/>
        <s v="SUPERSHAKT"/>
        <s v="PRIYALT"/>
        <s v="RACONTEUR"/>
        <s v="GPIL"/>
        <s v="VIVANTA"/>
        <s v="HEMORGANIC"/>
        <s v="VOLTAMP"/>
        <s v="AMINTAN"/>
        <s v="DEEP"/>
        <s v="SMEL"/>
        <s v="ASRL"/>
        <s v="SPACEINCUBA"/>
        <s v="SGIL"/>
        <s v="RANJEET"/>
        <s v="ACE"/>
        <s v="SKYGOLD"/>
        <s v="MACH"/>
        <s v="MANORAMA"/>
        <s v="PARKERAC"/>
        <s v="TIIL"/>
        <s v="AHLUCONT"/>
        <s v="AAL"/>
        <s v="DOLFIN"/>
        <s v="SHUBHAM"/>
        <s v="AKI"/>
        <s v="BIJHANS"/>
        <s v="SMGOLD"/>
        <s v="VIVIDM"/>
        <s v="BCPL"/>
        <s v="ASTRAL"/>
        <s v="PHOSPHATE"/>
        <s v="TIMETECHNO"/>
        <s v="AMBIT"/>
        <s v="SKIFL"/>
        <s v="MHSGRMS"/>
        <s v="ARYAN"/>
        <s v="NIVAKA"/>
        <s v="TRIL"/>
        <s v="NILASPACES"/>
        <s v="SRD"/>
        <s v="TREJHARA"/>
        <s v="DECCAN"/>
        <s v="AXITA"/>
        <s v="JKIL"/>
        <s v="HIKLASS"/>
        <s v="SIDDHEGA"/>
        <s v="SPENCERS"/>
        <s v="GLOSTERLTD"/>
        <s v="XELPMOC"/>
        <s v="SPACAPS"/>
        <s v="AARSHYAM"/>
        <s v="HRMNYCP"/>
        <s v="KNRCON"/>
        <s v="ANMOL"/>
        <s v="GARODCH"/>
        <s v="KRANTI"/>
        <s v="ANUP"/>
        <s v="INTSTOIL"/>
        <s v="TITAGARH"/>
        <s v="SPCAPIT"/>
        <s v="JYOTIN"/>
        <s v="AGOL"/>
        <s v="AARTECH"/>
        <s v="HBEL"/>
        <s v="STRATMONT"/>
        <s v="ROOPSHRI"/>
        <s v="EKAMLEA"/>
        <s v="SHGANEL"/>
        <s v="ISGEC"/>
        <s v="MANINFRA"/>
        <s v="ASHOKA"/>
        <s v="JWL"/>
        <s v="VRFILMS"/>
        <s v="SICAPIT"/>
        <s v="NEOGEN"/>
        <s v="GKP"/>
        <s v="RRSECUR"/>
        <s v="EUROASIA"/>
        <s v="BMW"/>
        <s v="AEPL"/>
        <s v="CHCL"/>
        <s v="DEL"/>
        <s v="HARISH"/>
        <s v="PPL"/>
        <s v="DGCONTENT"/>
        <s v="ARISE"/>
        <s v="ARL"/>
        <s v="MURAE"/>
        <s v="SBC"/>
        <s v="KIRLOSENG"/>
        <s v="CPML"/>
        <s v="SKIEL"/>
        <s v="DCMNVL"/>
        <s v="TEXRAIL"/>
        <s v="TRADEWELL"/>
        <s v="ZENTEC"/>
        <s v="TDPOWERSYS"/>
        <s v="ALPHALOGIC"/>
        <s v="NOVATEOR"/>
        <s v="360ONE"/>
        <s v="TRITURBINE"/>
        <s v="MUFIN"/>
        <s v="MISQUITA"/>
        <s v="GALACTICO"/>
        <s v="VIKALPS"/>
        <s v="APLAPOLLO"/>
        <s v="RHIM"/>
        <s v="GOBLIN"/>
        <s v="GENSOL"/>
        <s v="VISHWARAJ"/>
        <s v="GREENPANEL"/>
        <s v="SHAHLON"/>
        <s v="MOUNT"/>
        <s v="ANUROOP"/>
        <s v="COLABCLOUD"/>
        <s v="SCHNEIDER"/>
        <s v="NBCC"/>
        <s v="HINDWAREAP"/>
        <s v="EASUN"/>
        <s v="PTCIL"/>
        <s v="ASSAMENT"/>
        <s v="GIANLIFE"/>
        <s v="ARTEMISMED"/>
        <s v="INOXWIND"/>
        <s v="JANUSCORP"/>
        <s v="VARDHANCFL"/>
        <s v="UNIVPHOTO"/>
        <s v="CBPL"/>
        <s v="OCTAVIUSPL"/>
        <s v="PNCINFRA"/>
        <s v="SMAUTO"/>
        <s v="POWERMECH"/>
        <s v="ROJL"/>
        <s v="COSPOWER"/>
        <s v="LLOYDSENGG"/>
        <s v="LWSKNIT"/>
        <s v="NATURAL"/>
        <s v="REGIS"/>
        <s v="BILLWIN"/>
        <s v="AARTISURF"/>
        <s v="BONLON"/>
        <s v="BOROLTD"/>
        <s v="ROSSARI"/>
        <s v="NDRAUTO"/>
        <s v="SBGLP"/>
        <s v="DBL"/>
        <s v="MAXIND"/>
        <s v="COCHINSHIP"/>
        <s v="HGINFRA"/>
        <s v="SAMRATFORG"/>
        <s v="ADVAIT"/>
        <s v="ADL"/>
        <s v="BDL"/>
        <s v="CHEMCON"/>
        <s v="SECMARK"/>
        <s v="HAL"/>
        <s v="ATAM"/>
        <s v="MIDHANI"/>
        <s v="RITES"/>
        <s v="GMPL"/>
        <s v="LIKHITHA"/>
        <s v="VGIL"/>
        <s v="NOUVEAU"/>
        <s v="IRCON"/>
        <s v="SHINEFASH"/>
        <s v="GRSE"/>
        <s v="RBA"/>
        <s v="TECHNOE"/>
        <s v="RVHL"/>
        <s v="FAIRCHEMOR"/>
        <s v="RVNL"/>
        <s v="AWHCL"/>
        <s v="RFLL"/>
        <s v="POLYCAB"/>
        <s v="SWSOLAR"/>
        <s v="PRINCEPIPE"/>
        <s v="STOVEKRAFT"/>
        <s v="MRP"/>
        <s v="SMCGLOBAL"/>
        <s v="NURECA"/>
        <s v="POWERINDIA"/>
        <s v="HERANBA"/>
        <s v="DAVANGERE"/>
        <s v="DRCSYSTEMS"/>
        <s v="MAZDOCK"/>
        <s v="MTARTECH"/>
        <s v="IWEL"/>
        <s v="SKRABUL"/>
        <s v="SUUMAYA"/>
        <s v="SHYAMMETL"/>
        <s v="GRINFRA"/>
        <s v="PARAS"/>
        <s v="TEGA"/>
        <s v="SURYODAY"/>
        <s v="DATAPATTNS"/>
        <s v="SUVIDHAA"/>
        <s v="BARBEQUE"/>
        <s v="JYOTHI"/>
        <s v="RCAN"/>
        <s v="JETMALL"/>
        <s v="SYRMA"/>
        <s v="DEEPINDS"/>
        <s v="KAYNES"/>
        <s v="VINEETLAB"/>
        <s v="CYIENTDLM"/>
        <s v="RRKABEL"/>
        <s v="DEVINE"/>
        <s v="INOXINDIA"/>
        <s v="HAPPYFORGE"/>
        <s v="ADESHWAR"/>
        <s v="TIMESGREEN"/>
        <s v="IPL"/>
        <s v="FOCUS"/>
        <s v="AZAD"/>
        <s v="JYOTICNC"/>
        <s v="VSDCONF"/>
        <s v="EXICOM"/>
        <s v="TATVA"/>
        <s v="JISLDVREQS"/>
        <s v="GCSL"/>
        <s v="INFY"/>
        <s v="EXXARO"/>
        <s v="KRSNAA"/>
        <s v="WINDLAS"/>
        <s v="TATAELXSI"/>
        <s v="MOL"/>
        <s v="BBOX"/>
        <s v="CARTRADE"/>
        <s v="ZENSARTECH"/>
        <s v="WIPRO"/>
        <s v="MASTEK"/>
        <s v="SHARPLINE"/>
        <s v="AASHKA"/>
        <s v="MPHASIS"/>
        <s v="CYIENT"/>
        <s v="SVAINDIA"/>
        <s v="SONATSOFTW"/>
        <s v="PREVEST"/>
        <s v="MARKOLINES"/>
        <s v="SBLI"/>
        <s v="HCLTECH"/>
        <s v="HINDAPL"/>
        <s v="SVRL"/>
        <s v="BSOFT"/>
        <s v="PROMAX"/>
        <s v="SAMOR"/>
        <s v="ADISHAKTI"/>
        <s v="MOSCHIP"/>
        <s v="FINOPB"/>
        <s v="SJS"/>
        <s v="SIGACHI"/>
        <s v="OFSS"/>
        <s v="SGFRL"/>
        <s v="TCS"/>
        <s v="COFORGE"/>
        <s v="AURIONPRO"/>
        <s v="TARSONS"/>
        <s v="OMNIPOTENT"/>
        <s v="RSYSTEMS"/>
        <s v="SHVFL"/>
        <s v="HITECH"/>
        <s v="TECHM"/>
        <s v="TANLA"/>
        <s v="PERSISTENT"/>
        <s v="ZODIAC"/>
        <s v="INTELLECT"/>
        <s v="SHRIRAMPPS"/>
        <s v="SHKALYN"/>
        <s v="MCLOUD"/>
        <s v="LTIM"/>
        <s v="LTTS"/>
        <s v="NEWGEN"/>
        <s v="HPAL"/>
        <s v="SUPRIYA"/>
        <s v="CLARA"/>
        <s v="BRANDBUCKT"/>
        <s v="SICAGEN"/>
        <s v="BCONCEPTS"/>
        <s v="FABINO"/>
        <s v="WEL"/>
        <s v="AGSTRA"/>
        <s v="ALKOSIGN"/>
        <s v="KPITTECH"/>
        <s v="QRIL"/>
        <s v="KCSL"/>
        <s v="DEVIT"/>
        <s v="AFFLE"/>
        <s v="SPITZE"/>
        <s v="SOFTTECH"/>
        <s v="EKENNIS"/>
        <s v="HAPPSTMNDS"/>
        <s v="ADARSH"/>
        <s v="LATENTVIEW"/>
        <s v="BCCL"/>
        <s v="RATEGAIN"/>
        <s v="ACHYUT"/>
        <s v="HCLTD"/>
        <s v="AVROIND"/>
        <s v="SIROHIA"/>
        <s v="VERANDA"/>
        <s v="MIHIKA"/>
        <s v="ABHIFIN"/>
        <s v="HARIOMPIPE"/>
        <s v="EIGHTY"/>
        <s v="SFSL"/>
        <s v="GLHRL"/>
        <s v="FONE4"/>
        <s v="NVENTURES"/>
        <s v="MAPMYINDIA"/>
        <s v="EMUDHRA"/>
        <s v="SILVERTUC"/>
        <s v="NETWEB"/>
        <s v="TATATECH"/>
        <s v="VENUSPIPES"/>
        <s v="JAYATMA"/>
        <s v="ADANIPORTS"/>
        <s v="TIERRA"/>
        <s v="INDIGO"/>
        <s v="JSWINFRA"/>
        <s v="CONCOR"/>
        <s v="FRASER"/>
        <s v="SILVERPRL"/>
        <s v="SCARNOSE"/>
        <s v="GOEL"/>
        <s v="MODIS"/>
        <s v="PGCRL"/>
        <s v="SAILANI"/>
        <s v="KESAR"/>
        <s v="BRRL"/>
        <s v="JAYANT"/>
        <s v="VEERKRUPA"/>
        <s v="HEALTHYLIFE"/>
        <s v="DDEVPLASTIK"/>
        <s v="GMRINFRA"/>
        <s v="OLATECH"/>
        <s v="NATURO"/>
        <s v="RHETAN"/>
        <s v="ICSL"/>
        <s v="DBOL"/>
        <s v="DPL"/>
        <s v="EPBIO"/>
        <s v="DELHIVERY"/>
        <s v="VOEPL"/>
        <s v="SISL"/>
        <s v="KSOLVES"/>
        <s v="HARSHA"/>
        <s v="CONTAINE"/>
        <s v="MAFIA"/>
        <s v="TIPSFILMS"/>
        <s v="JEL"/>
        <s v="TLL"/>
        <s v="REETECH"/>
        <s v="SWAGTAM"/>
        <s v="CNCRD"/>
        <s v="BLUEDART"/>
        <s v="IGCIL"/>
        <s v="STML"/>
        <s v="VEDANTASSET"/>
        <s v="MAAGHADV"/>
        <s v="ELITECON"/>
        <s v="GESHIP"/>
        <s v="REDINGTON"/>
        <s v="DCI"/>
        <s v="PACE"/>
        <s v="SIPTL"/>
        <s v="NARMADA"/>
        <s v="INFOBEAN"/>
        <s v="HPIL"/>
        <s v="DCXINDIA"/>
        <s v="DAPS"/>
        <s v="FUSION"/>
        <s v="FSL"/>
        <s v="MMTC"/>
        <s v="TECHNOPACK"/>
        <s v="SCI"/>
        <s v="ECLERX"/>
        <s v="GPPL"/>
        <s v="QUESS"/>
        <s v="BBTCL"/>
        <s v="TVSSCS"/>
        <s v="VINNY"/>
        <s v="MIL"/>
        <s v="AMBOAGRI"/>
        <s v="SIRCA"/>
        <s v="DHARMAJ"/>
        <s v="SARVESHWAR"/>
        <s v="UNIPARTS"/>
        <s v="GARGI"/>
        <s v="SULA"/>
        <s v="AHL"/>
        <s v="SIIL"/>
        <s v="LANDMARK"/>
        <s v="FRANKLININD"/>
        <s v="CMSINFO"/>
        <s v="ELIN"/>
        <s v="SHASHANK"/>
        <s v="AVEER"/>
        <s v="SAH"/>
        <s v="REXSEAL"/>
        <s v="SVS"/>
        <s v="LOGICA"/>
        <s v="KAMOPAINTS"/>
        <s v="TCI"/>
        <s v="DHARNI"/>
        <s v="NEWLIGHT"/>
        <s v="EARTH"/>
        <s v="ASHIKA"/>
        <s v="BTML"/>
        <s v="NSLNISP"/>
        <s v="INDONG"/>
        <s v="SEALMATIC"/>
        <s v="ROBU"/>
        <s v="PATRON"/>
        <s v="SVJ"/>
        <s v="AMANAYA"/>
        <s v="RESGEN"/>
        <s v="SHANGAR"/>
        <s v="AIRAN"/>
        <s v="DIVGIITTS"/>
        <s v="PCL"/>
        <s v="SUDARSHAN"/>
        <s v="GSLSU"/>
        <s v="LABELKRAFT"/>
        <s v="BRIGHT"/>
        <s v="COMMAND"/>
        <s v="DEVLAB"/>
        <s v="JAFINANCE"/>
        <s v="USK"/>
        <s v="MAIDEN"/>
        <s v="EXHICON"/>
        <s v="AVALON"/>
        <s v="SANCODE"/>
        <s v="BLAL"/>
        <s v="RHL"/>
        <s v="RETINA"/>
        <s v="SIS"/>
        <s v="INNOKAIZ"/>
        <s v="FLORACORP"/>
        <s v="ATALREAL"/>
        <s v="PIGL"/>
        <s v="SWATIPRO"/>
        <s v="PAVNAIND"/>
        <s v="HSIL"/>
        <s v="SIGMA"/>
        <s v="GHCLTEXTIL"/>
        <s v="MKPL"/>
        <s v="CFF"/>
        <s v="COMRADE"/>
        <s v="IKIO"/>
        <s v="SONALIS"/>
        <s v="BIZOTIC"/>
        <s v="ASIAN"/>
        <s v="COSMICCRF"/>
        <s v="HMAAGRO"/>
        <s v="URAVI"/>
        <s v="VEEFIN"/>
        <s v="IDEAFORGE"/>
        <s v="NESCO"/>
        <s v="MACIND"/>
        <s v="MSTCLTD"/>
        <s v="ALPHAIND"/>
        <s v="ACCELERATE"/>
        <s v="KAKA"/>
        <s v="ALLCARGO"/>
        <s v="AHASOLAR"/>
        <s v="HEMIPROP"/>
        <s v="ASARFI"/>
        <s v="VRLLOG"/>
        <s v="YATHARTH"/>
        <s v="INNOVATUS"/>
        <s v="GATEWAY"/>
        <s v="KHAZANCHI"/>
        <s v="RAIDEEPIND"/>
        <s v="KCDGROUP"/>
        <s v="HFCL"/>
        <s v="VLEGOV"/>
        <s v="TATACOMM"/>
        <s v="ITI"/>
        <s v="DPWIRES"/>
        <s v="SHELTER"/>
        <s v="PROCLB"/>
        <s v="PYRAMID"/>
        <s v="SHOORA"/>
        <s v="TTML"/>
        <s v="AEROFLEX"/>
        <s v="VPRPL"/>
        <s v="SHRAAITECH"/>
        <s v="RISHABH"/>
        <s v="RATNAVEER"/>
        <s v="KAHAN"/>
        <s v="STLTECH"/>
        <s v="BHARTIARTL"/>
        <s v="MESON"/>
        <s v="EMSLIMITED"/>
        <s v="SAMHI"/>
        <s v="ZAGGLE"/>
        <s v="SOUTHWEST"/>
        <s v="IDEA"/>
        <s v="KALAMANDIR"/>
        <s v="INDUSTOWER"/>
        <s v="CHANDRIMA"/>
        <s v="YATRA"/>
        <s v="ARCL"/>
        <s v="JONJUA"/>
        <s v="MVGJL"/>
        <s v="GLEAM"/>
        <s v="ORGANICREC"/>
        <s v="VALIANTLAB"/>
        <s v="CCAL"/>
        <s v="SUNITATOOL"/>
        <s v="VIVAA"/>
        <s v="PLAZACABLE"/>
        <s v="IRMENERGY"/>
        <s v="TEJASNET"/>
        <s v="ROUTE"/>
        <s v="CHANDNIMACH"/>
        <s v="RAILTEL"/>
        <s v="KKSHL"/>
        <s v="BONDADA"/>
        <s v="MISHDESIGN"/>
        <s v="ESAFSFB"/>
        <s v="PROTEAN"/>
        <s v="BHARTIHEXA"/>
        <s v="KALYANI"/>
        <s v="ARROWHEAD"/>
        <s v="CESC"/>
        <s v="FEDFINA"/>
        <s v="IONEXCHANG"/>
        <s v="GANDHAR"/>
        <s v="FLAIR"/>
        <s v="SPL"/>
        <s v="DEEPAKCHEM"/>
        <s v="AMIC"/>
        <s v="BAJEL"/>
        <s v="RELINFRA"/>
        <s v="TATAPOWER"/>
        <s v="NAVA"/>
        <s v="SIYARAM"/>
        <s v="BENCHMARK"/>
        <s v="MOTISONS"/>
        <s v="SURAJEST"/>
        <s v="MUTHOOTMF"/>
        <s v="NAVODAYENT"/>
        <s v="NLCINDIA"/>
        <s v="MUFTI"/>
        <s v="SHANTIDENM"/>
        <s v="RBZJEWEL"/>
        <s v="PTC"/>
        <s v="SUNCLAY"/>
        <s v="INNOVACAP"/>
        <s v="AIKPIPES"/>
        <s v="MCPL"/>
        <s v="SBVCL"/>
        <s v="DIGIDRIVE"/>
        <s v="SHILINDORE"/>
        <s v="NTPC"/>
        <s v="SWANAGRO"/>
        <s v="SHREE"/>
        <s v="MEDIASSIST"/>
        <s v="SHPLPUNE"/>
        <s v="AAPLUSTRAD"/>
        <s v="EUPHORIAIT"/>
        <s v="EPACK"/>
        <s v="NOVAAGRI"/>
        <s v="BRISK"/>
        <s v="HARSHDEEP"/>
        <s v="MCFL"/>
        <s v="BLSE"/>
        <s v="GPSL"/>
        <s v="PARKHOTELS"/>
        <s v="JGTL"/>
        <s v="SIGNPOST"/>
        <s v="JPPOWER"/>
        <s v="RPTECH"/>
        <s v="CAPITALSFB"/>
        <s v="RUDRAGAS"/>
        <s v="ENTERO"/>
        <s v="VSTL"/>
        <s v="TORNTPOWER"/>
        <s v="GPTHEALTH"/>
        <s v="POWERGRID"/>
        <s v="PLATIND"/>
        <s v="MUKKA"/>
        <s v="RKSWAMY"/>
        <s v="JGCHEM"/>
        <s v="KOURA"/>
        <s v="GOPAL"/>
        <s v="PESB"/>
        <s v="SCILAL"/>
        <s v="ROYAL"/>
        <s v="PVSL"/>
        <s v="POBS"/>
        <s v="KPGEL"/>
        <s v="CHATHA"/>
        <s v="EVOQ"/>
        <s v="VRUDDHI"/>
        <s v="SRM"/>
        <s v="JAYKAILASH"/>
        <s v="DPABHUSHAN"/>
        <s v="RPOWER"/>
        <s v="GVL"/>
        <s v="FAALCON"/>
        <s v="SHIVAM"/>
        <s v="EMMFORCE"/>
        <s v="JNKINDIA"/>
        <s v="VARYAA"/>
        <s v="AMKAY"/>
        <s v="SAI"/>
        <s v="STAL"/>
        <s v="ADANIPOWER"/>
        <s v="FTL"/>
        <s v="NHPC"/>
        <s v="TGIF"/>
        <s v="RTNPOWER"/>
        <s v="AZTEC"/>
        <s v="PIOTEX"/>
        <s v="JSWENERGY"/>
        <s v="QLL"/>
        <s v="ASSOCIATED"/>
        <s v="BOROSCI"/>
        <s v="ADTECH"/>
        <s v="TOTEM"/>
        <s v="KRONOX"/>
        <s v="MAGENTA"/>
        <s v="SATTRIX"/>
        <s v="3CIT"/>
        <s v="PURPLEFIN"/>
        <s v="IXIGO"/>
        <s v="COTFAB"/>
        <s v="RETAIL"/>
        <s v="DEEDEV"/>
        <s v="GEMENVIRO"/>
        <s v="AFIL"/>
        <s v="DFPL"/>
        <s v="SENSEXIETF"/>
        <s v="SJVN"/>
        <s v="FELDVR"/>
        <s v="WABAG"/>
        <s v="GATECHDVR"/>
        <s v="WAAREERTL"/>
        <s v="TIDEWATER"/>
        <s v="AMRUTANJAN"/>
        <s v="XPROINDIA"/>
        <s v="HISARMETAL"/>
        <s v="BHARATRAS"/>
        <s v="ADANIENSOL"/>
        <s v="GINNIFILA"/>
        <s v="SPIC"/>
        <s v="DENORA"/>
        <s v="KAVVERITEL"/>
        <s v="SAKSOFT"/>
        <s v="SALONA"/>
        <s v="EQUIPPP"/>
        <s v="ANDHRSUGAR"/>
        <s v="IMPAL"/>
        <s v="KCP"/>
        <s v="KHAITANLTD"/>
        <s v="RADAAN"/>
        <s v="ADANIGREEN"/>
        <s v="SUNDRMBRAK"/>
        <s v="WHEELS"/>
        <s v="LAMBODHARA"/>
        <s v="MAITHANALL"/>
        <s v="ORISSAMINE"/>
        <s v="NIFTYBEES"/>
        <s v="JUNIORBEES"/>
        <s v="BANKBEES"/>
        <s v="PSUBANK"/>
        <s v="PSUBNKBEES"/>
        <s v="SHARIABEES"/>
        <s v="QNIFTY"/>
        <s v="MOM50"/>
        <s v="MADRASFERT"/>
        <s v="KPIGREEN"/>
        <s v="BSHSL"/>
        <s v="GMRP&amp;UI"/>
        <s v="IRBIT"/>
        <s v="JASH"/>
        <s v="MBAPL"/>
        <s v="NDRINVIT"/>
        <s v="ORIANA"/>
        <s v="INA"/>
        <s v="SPECTRUM"/>
        <s v="INOXGREEN"/>
        <s v="THEJO"/>
        <s v="VERTOZ"/>
      </sharedItems>
    </cacheField>
    <cacheField name="Security Name" numFmtId="0">
      <sharedItems>
        <s v="ATUL LTD."/>
        <s v="CENTURY TEXTILES &amp; INDUSTRIES LTD."/>
        <s v="BASF INDIA LTD."/>
        <s v="AMBALAL SARABHAI ENTERPRISES LTD."/>
        <s v="ANDHRA PETROCHEMICALS LTD."/>
        <s v="ANSAL PROPERTIES &amp; INFRASTRUCTURE LTD."/>
        <s v="Utique Enterprises Ltd"/>
        <s v="ARUNA HOTELS LTD."/>
        <s v="BOMBAY DYEING &amp; MFG.CO.LTD."/>
        <s v="Asian Hotels (North) Limited"/>
        <s v="CHAMBAL FERTILISERS &amp; CHEMICALS LTD."/>
        <s v="ATV PROJECTS INDIA LTD."/>
        <s v="STEEL AUTHORITY OF INDIA LTD."/>
        <s v="ELANTAS BECK INDIA LTD.-$"/>
        <s v="E.I.D.-PARRY (INDIA) LTD."/>
        <s v="GHCL LTD."/>
        <s v="Himadri Speciality Chemical Ltd"/>
        <s v="BANCO PRODUCTS (INDIA) LTD.-$"/>
        <s v="HINDUSTAN ZINC LTD."/>
        <s v="BANNARI AMMAN SUGARS LTD."/>
        <s v="JSW STEEL LTD."/>
        <s v="KIRLOSKAR FERROUS INDUSTRIES LTD."/>
        <s v="The Ramco Cements Limited"/>
        <s v="Vedanta Limited"/>
        <s v="BHANSALI ENGINEERING POLYMERS LTD.-$"/>
        <s v="BIHAR SPONGE IRON LTD."/>
        <s v="BINANI INDUSTRIES LTD."/>
        <s v="Birla Cable Ltd"/>
        <s v="GRASIM INDUSTRIES LTD."/>
        <s v="DISA INDIA LTD."/>
        <s v="Quest Capital Markets Ltd"/>
        <s v="BPL LTD."/>
        <s v="Oriental Aromatics Ltd-$"/>
        <s v="CENTURY EXTRUSIONS LTD."/>
        <s v="PIDILITE INDUSTRIES LTD."/>
        <s v="BIRLA CORPORATION LTD."/>
        <s v="Prism Johnson Ltd"/>
        <s v="Rain Industries Ltd"/>
        <s v="DIC INDIA LTD."/>
        <s v="RALLIS INDIA LTD."/>
        <s v="JK LAKSHMI CEMENT LTD."/>
        <s v="SHREE CEMENT LTD."/>
        <s v="Dalmia Bharat Sugar and Industries Ltd"/>
        <s v="SUPREME PETROCHEM LTD."/>
        <s v="ACC LTD."/>
        <s v="AMBUJA CEMENTS LTD."/>
        <s v="HINDALCO INDUSTRIES LTD."/>
        <s v="MAHANAGAR TELEPHONE NIGAM LTD."/>
        <s v="TATA STEEL LTD."/>
        <s v="DEEPAK FERTILISERS &amp; PETROCHEMICALS CORPORATION LTD."/>
        <s v="GUJARAT NARMADA VALLEY FERTILIZERS &amp; CHEMICALS LTD."/>
        <s v="GUJARAT STATE FERTILIZERS &amp; CHEMICALS LTD."/>
        <s v="TATA CHEMICALS LTD."/>
        <s v="KESORAM INDUSTRIES LTD."/>
        <s v="DCW LTD."/>
        <s v="DHAMPUR SUGAR MILLS LTD."/>
        <s v="DIAMINES &amp; CHEMICALS LTD.-$"/>
        <s v="SRF LTD."/>
        <s v="SARDA ENERGY &amp; MINERALS LTD.-$"/>
        <s v="BAYER CROPSCIENCE LTD."/>
        <s v="COROMANDEL INTERNATIONAL LTD."/>
        <s v="DEEPAK NITRITE LTD.-$"/>
        <s v="PCBL Ltd"/>
        <s v="SUDARSHAN CHEMICAL INDUSTRIES LTD."/>
        <s v="ESTER INDUSTRIES LTD."/>
        <s v="FGP LTD."/>
        <s v="PH CAPITAL LTD."/>
        <s v="ALKYL AMINES CHEMICALS LTD.-$"/>
        <s v="John Cockerill India Ltd-$"/>
        <s v="UFLEX LTD."/>
        <s v="FOSECO INDIA LTD."/>
        <s v="GOLDEN TOBACCO LTD."/>
        <s v="GANESH BENZOPLAST LTD."/>
        <s v="DHANUKA AGRITECH LTD."/>
        <s v="GTL LTD."/>
        <s v="UPL Limited"/>
        <s v="LLOYDS METALS AND ENERGY LTD."/>
        <s v="ADANI ENTERPRISES LTD."/>
        <s v="GOODRICKE GROUP LTD."/>
        <s v="GOODYEAR INDIA LTD."/>
        <s v="GTN INDUSTRIES LTD."/>
        <s v="HINDUSTAN COPPER LTD."/>
        <s v="GFL Ltd"/>
        <s v="GUJARAT LEASE FINANCING LTD."/>
        <s v="HCL INFOSYSTEMS LTD."/>
        <s v="Linde India Limited"/>
        <s v="NATIONAL FERTILIZERS LTD."/>
        <s v="PI Industries Ltd"/>
        <s v="VINATI ORGANICS LTD.-$"/>
        <s v="AARTI INDUSTRIES LTD."/>
        <s v="HINDUSTAN OIL EXPLORATION CO.LTD."/>
        <s v="Agi Greenpac Ltd"/>
        <s v="RASHTRIYA CHEMICALS &amp; FERTILIZERS LTD."/>
        <s v="NDL Ventures Ltd"/>
        <s v="NMDC LTD."/>
        <s v="PRAG BOSIMI SYNTHETICS LTD."/>
        <s v="HLV Ltd"/>
        <s v="I G PETROCHEMICALS LTD."/>
        <s v="INDIA GLYCOLS LTD."/>
        <s v="INDIA LEASE DEVELOPMENT LTD."/>
        <s v="Margo Finance Limited"/>
        <s v="INDO RAMA SYNTHETICS (INDIA) LTD."/>
        <s v="GUJARAT ALKALIES &amp; CHEMICALS LTD."/>
        <s v="INDIA CEMENTS LTD."/>
        <s v="INTERNATIONAL TRAVEL HOUSE LTD.-$"/>
        <s v="Privi Speciality Chemicals Ltd"/>
        <s v="AGRO TECH FOODS LTD."/>
        <s v="JAIN IRRIGATION SYSTEMS LTD."/>
        <s v="JASCH INDUSTRIES LTD."/>
        <s v="JINDAL POLY FILMS LTD."/>
        <s v="BALAJI AMINES LTD.-$"/>
        <s v="UMANG DAIRIES LTD."/>
        <s v="JK PAPER LTD."/>
        <s v="KAKATIYA CEMENT SUGAR &amp; INDUSTRIES LTD."/>
        <s v="KALYANI STEELS LTD."/>
        <s v="GUJARAT MINERAL DEVELOPMENT CORPORATION LTD."/>
        <s v="NATIONAL ALUMINIUM CO.LTD."/>
        <s v="KG DENIM LTD."/>
        <s v="KINETIC ENGINEERING LTD."/>
        <s v="JINDAL STEEL &amp; POWER LTD."/>
        <s v="Navin Fluorine International Limited-$"/>
        <s v="JINDAL STAINLESS LTD."/>
        <s v="ENVAIR ELECTRODYNE LTD."/>
        <s v="ULTRATECH CEMENT LTD."/>
        <s v="Krishna Filament Industries Ltd"/>
        <s v="J.K.CEMENT LTD."/>
        <s v="L.G.BALAKRISHNAN &amp; BROS.LTD."/>
        <s v="SOLAR INDUSTRIES INDIA LTD."/>
        <s v="JAI BALAJI INDUSTRIES LTD."/>
        <s v="GRAVITA INDIA LTD."/>
        <s v="MOIL LTD."/>
        <s v="LYKA LABS LTD."/>
        <s v="Orient Cement Ltd"/>
        <s v="Hybrid Financial Services Ltd"/>
        <s v="MAFATLAL INDUSTRIES LTD.-$"/>
        <s v="Star Cement Ltd"/>
        <s v="KIOCL Ltd"/>
        <s v="Galaxy Surfactants Ltd"/>
        <s v="MANALI PETROCHEMICAL LTD."/>
        <s v="BARODA RAYON CORPORATION LTD."/>
        <s v="Fine Organic Industries Ltd"/>
        <s v="MID INDIA INDUSTRIES LTD."/>
        <s v="MIRC ELECTRONICS LTD."/>
        <s v="CENTURY ENKA LTD."/>
        <s v="MODERN THREADS (INDIA) LTD."/>
        <s v="LORDS CHLORO ALKALI LTD."/>
        <s v="Dalmia Bharat Ltd"/>
        <s v="MOREPEN LABORATORIES LTD."/>
        <s v="Gujarat Fluorochemicals Ltd"/>
        <s v="HEIDELBERGCEMENT INDIA LTD."/>
        <s v="Sumitomo Chemical India Ltd"/>
        <s v="Jubilant Ingrevia Ltd"/>
        <s v="NAHAR SPINNING MILLS LTD."/>
        <s v="Naperol Investments Ltd"/>
        <s v="Anupam Rasayan India Ltd"/>
        <s v="Laxmi Organic Industries Ltd"/>
        <s v="NIIT LTD."/>
        <s v="JAYKAY ENTERPRISES LTD."/>
        <s v="Clean Science and Technology Ltd"/>
        <s v="Epigral Ltd"/>
        <s v="OIL COUNTRY TUBULAR LTD."/>
        <s v="ORIENTAL HOTELS LTD."/>
        <s v="Nuvoco Vistas Corporation Ltd"/>
        <s v="INDIAN SUCROSE LTD."/>
        <s v="PANYAM CEMENTS &amp; MINERAL INDUSTRIES LTD."/>
        <s v="Chemplast Sanmar Ltd"/>
        <s v="Pil Italica Lifestyle Ltd"/>
        <s v="Paradeep Phosphates Ltd"/>
        <s v="Aether Industries Ltd"/>
        <s v="PIX TRANSMISSIONS LTD."/>
        <s v="Archean Chemical Industries Ltd"/>
        <s v="FERTILIZERS &amp; CHEMICALS TRAVANCORE LTD."/>
        <s v="PRIME SECURITIES LTD."/>
        <s v="Amara Raja Energy &amp; Mobility Ltd"/>
        <s v="BAJAJ ELECTRICALS LTD.-$"/>
        <s v="PRUDENTIAL SUGAR CORPORATION LTD."/>
        <s v="AMJ Land Holdings Ltd"/>
        <s v="PUNJAB COMMUNICATIONS LTD.-$"/>
        <s v="RSWM LTD."/>
        <s v="RAJSHREE SUGARS &amp; CHEMICALS LTD."/>
        <s v="FORCE MOTORS LTD.-$"/>
        <s v="SHREE RAMA NEWSPRINT LTD."/>
        <s v="RAMA PAPER MILLS LTD."/>
        <s v="RAPICUT CARBIDES LTD."/>
        <s v="Welspun Specialty Solutions Ltd"/>
        <s v="RUBFILA INTERNATIONAL LTD."/>
        <s v="BATA INDIA LTD."/>
        <s v="BLUE STAR LTD."/>
        <s v="EXIDE INDUSTRIES LTD."/>
        <s v="ARVIND LTD."/>
        <s v="Titan Company Limited"/>
        <s v="SHREE KRISHNA PAPER MILLS &amp; INDUSTRIES LTD."/>
        <s v="KANSAI NEROLAC PAINTS LTD."/>
        <s v="HERO MOTOCORP LTD."/>
        <s v="SPML Infra Limited"/>
        <s v="KAJARIA CERAMICS LTD."/>
        <s v="SUNFLAG IRON &amp; STEEL CO.LTD."/>
        <s v="WHIRLPOOL OF INDIA LTD."/>
        <s v="SWARAJ ENGINES LTD."/>
        <s v="TRENT LTD."/>
        <s v="MRF LTD."/>
        <s v="RAYMOND LTD."/>
        <s v="THIRUMALAI CHEMICALS LTD."/>
        <s v="SUNDRAM FASTENERS LTD."/>
        <s v="TIMEX GROUP INDIA LTD.-$"/>
        <s v="TOKYO PLAST INTERNATIONAL LTD."/>
        <s v="THOMAS COOK (INDIA) LTD."/>
        <s v="TPI INDIA LTD."/>
        <s v="TRANSCHEM LTD.-$"/>
        <s v="BHARAT FORGE LTD."/>
        <s v="UTL Industries Limited"/>
        <s v="UNIPHOS ENTERPRISES LTD."/>
        <s v="VARDHMAN HOLDINGS LTD."/>
        <s v="MAHINDRA &amp; MAHINDRA LTD."/>
        <s v="WEST COAST PAPER MILLS LTD."/>
        <s v="HINDUSTAN ORGANIC CHEMICALS LTD."/>
        <s v="MPIL CORPORATION LTD."/>
        <s v="PASUPATI ACRYLON LTD."/>
        <s v="Kore Foods Ltd"/>
        <s v="BOSCH LTD."/>
        <s v="MUKAND LTD."/>
        <s v="TATA MOTORS LTD."/>
        <s v="Ucal  Ltd"/>
        <s v="HARRISONS MALAYALAM LTD."/>
        <s v="VOLTAS LTD."/>
        <s v="Akzo Nobel India Limited"/>
        <s v="ASIAN PAINTS LTD."/>
        <s v="EIH LTD."/>
        <s v="INDIAN HOTELS CO.LTD."/>
        <s v="APOLLO TYRES LTD."/>
        <s v="CEAT LTD."/>
        <s v="BALKRISHNA INDUSTRIES LTD.-$"/>
        <s v="VARDHMAN TEXTILES LTD."/>
        <s v="The Phoenix Mills Ltd"/>
        <s v="HINDUSTAN MOTORS LTD."/>
        <s v="NATIONAL STANDARD (INDIA) LTD."/>
        <s v="EICHER MOTORS LTD."/>
        <s v="RESPONSIVE INDUSTRIES LTD."/>
        <s v="PREMIER LTD."/>
        <s v="Westlife Foodworld Ltd"/>
        <s v="ZEE ENTERTAINMENT ENTERPRISES LTD."/>
        <s v="GABRIEL INDIA LTD.-$"/>
        <s v="IFB INDUSTRIES LTD."/>
        <s v="Schaeffler India Ltd"/>
        <s v="V.I.P.INDUSTRIES LTD.-$"/>
        <s v="EXCEL INDUSTRIES LTD."/>
        <s v="BERGER PAINTS INDIA LTD."/>
        <s v="Garware Technical Fibres Ltd"/>
        <s v="SUNTECK REALTY LTD."/>
        <s v="NOVARTIS INDIA LTD."/>
        <s v="Welspun Living Ltd"/>
        <s v="ASAHI INDIA GLASS LTD."/>
        <s v="Anant Raj Limited-$"/>
        <s v="HBL POWER SYSTEMS LTD.-$"/>
        <s v="Samvardhana Motherson International Ltd"/>
        <s v="NOCIL LTD."/>
        <s v="HAVELLS INDIA LTD."/>
        <s v="TAMILNADU PETROPRODUCTS LTD."/>
        <s v="Zuari Industries Ltd"/>
        <s v="Symphony Limited"/>
        <s v="TTK PRESTIGE LTD."/>
        <s v="Jtekt India Ltd"/>
        <s v="INDO COUNT INDUSTRIES LTD."/>
        <s v="TRIDENT LTD."/>
        <s v="ALOK INDUSTRIES LTD."/>
        <s v="SAFARI INDUSTRIES (INDIA) LTD."/>
        <s v="Johnson Controls-Hitachi Air Conditioning India Ltd"/>
        <s v="GANESH HOUSING CORPORATION LTD.-$"/>
        <s v="JK TYRE &amp; INDUSTRIES LTD."/>
        <s v="RELAXO FOOTWEARS LTD.-$"/>
        <s v="MODI RUBBER LTD."/>
        <s v="RAJESH EXPORTS LTD."/>
        <s v="SUNRISE INDUSTRIAL TRADERS LTD."/>
        <s v="JINDAL WORLDWIDE LTD."/>
        <s v="Vaibhav Global Ltd"/>
        <s v="DALAL STREET INVESTMENTS LTD."/>
        <s v="CENTRUM CAPITAL LTD."/>
        <s v="TCI FINANCE LTD."/>
        <s v="SAREGAMA INDIA LTD."/>
        <s v="Antariksh Industries Ltd"/>
        <s v="INDUSTRIAL INVESTMENT TRUST LTD."/>
        <s v="INDUSTRIAL &amp; PRUDENTIAL INVESTMENTS CO.LTD."/>
        <s v="INDIA TOURISM DEVELOPMENT CORPORATION LTD."/>
        <s v="JAYABHARAT CREDIT LTD.-$"/>
        <s v="MAHINDRA LIFESPACE DEVELOPERS LTD."/>
        <s v="TVS MOTOR COMPANY LTD."/>
        <s v="TIPS INDUSTRIES LTD."/>
        <s v="Olectra Greentech Ltd"/>
        <s v="SWASTIK SAFE DEPOSIT &amp; INVESTMENTS LTD."/>
        <s v="W.H.BRADY &amp; CO.LTD."/>
        <s v="TECHNVISION VENTURES LTD."/>
        <s v="SHAILY ENGINEERING PLASTICS LTD."/>
        <s v="CERA SANITARYWARE LTD."/>
        <s v="MARUTI SUZUKI INDIA LTD."/>
        <s v="GREAVES COTTON LTD."/>
        <s v="SUPRAJIT ENGINEERING LTD.-$"/>
        <s v="RAMKRISHNA FORGINGS LTD."/>
        <s v="UNO Minda Ltd-$"/>
        <s v="Anand Projects Ltd"/>
        <s v="INDIANIVESH LTD."/>
        <s v="COASTAL CORPORATION LTD."/>
        <s v="CENTURY PLYBOARDS (I) LTD.-$"/>
        <s v="JBM AUTO LTD."/>
        <s v="ASI Industries Ltd"/>
        <s v="SAGAR CEMENTS LTD.-$"/>
        <s v="HEMADRI CEMENTS LTD."/>
        <s v="DECCAN CEMENTS LTD.-$"/>
        <s v="MANGALAM CEMENT LTD."/>
        <s v="NCL INDUSTRIES LTD.-$"/>
        <s v="SAURASHTRA CEMENT LTD."/>
        <s v="SHREE DIGVIJAY CEMENT CO.LTD.-$"/>
        <s v="GOKALDAS EXPORTS LTD."/>
        <s v="Lerthai Finance Ltd"/>
        <s v="TRIVENI GLASS LTD.-$"/>
        <s v="NILACHAL REFRACTORIES LTD."/>
        <s v="Andhra Paper Ltd"/>
        <s v="SHOPPERS STOP LTD."/>
        <s v="ORIENT PAPER &amp; INDUSTRIES LTD."/>
        <s v="CITADEL REALTY AND DEVELOPERS LTD."/>
        <s v="ROLLATAINERS LTD."/>
        <s v="SESHASAYEE PAPER &amp; BOARDS LTD."/>
        <s v="Nath Industries Ltd"/>
        <s v="Vapi Enterprise Ltd"/>
        <s v="DCM LTD."/>
        <s v="GAEKWAR MILLS LTD."/>
        <s v="FORBES &amp; COMPANY LTD.-$"/>
        <s v="H.P.COTTON TEXTILE MILLS LTD."/>
        <s v="UNITED INTERACTIVE LTD."/>
        <s v="Jamshri Realty Ltd-$"/>
        <s v="KATARE SPINNING MILLS LTD."/>
        <s v="PVR Inox Ltd"/>
        <s v="LAKSHMI MILLS COMPANY LTD.-$"/>
        <s v="SUN TV NETWORK LTD."/>
        <s v="PENINSULA LAND LTD."/>
        <s v="PASUPATI SPG.&amp; WVG.MILLS LTD."/>
        <s v="CIE Automotive India Ltd"/>
        <s v="MARATHON NEXTGEN REALTY LTD."/>
        <s v="RAJA BAHADUR INTERNATIONAL LTD."/>
        <s v="RELIANCE CHEMOTEX INDUSTRIES LTD.-$"/>
        <s v="RUBY MILLS LTD."/>
        <s v="SIMPLEX REALTY LTD."/>
        <s v="INFO EDGE (INDIA) LTD."/>
        <s v="VICTORIA MILLS LTD."/>
        <s v="S.V.TRADING &amp; AGENCIES LTD."/>
        <s v="SVARAJ TRADING &amp; AGENCIES LTD."/>
        <s v="Kshitij Investments Ltd"/>
        <s v="SHREE SALASAR INVESTMENT LTD."/>
        <s v="Sobha Limited"/>
        <s v="NETWORK18 MEDIA &amp; INVESTMENTS LTD."/>
        <s v="VEER ENERGY &amp; INFRASTRUCTURE LTD."/>
        <s v="TV18 BROADCAST LTD."/>
        <s v="Tilak Ventures Ltd"/>
        <s v="PAGE INDUSTRIES LTD."/>
        <s v="UNIJOLLY INVESTMENTS CO.LTD."/>
        <s v="TeamLease Services Ltd"/>
        <s v="ELCID INVESTMENTS LTD."/>
        <s v="MEDIAONE GLOBAL ENTERTAINMENT LTD."/>
        <s v="TCI Express Ltd"/>
        <s v="SPICEJET LTD."/>
        <s v="BANSWARA SYNTEX LTD.-$"/>
        <s v="HINDUJA GLOBAL SOLUTIONS LTD."/>
        <s v="MODIPON LTD."/>
        <s v="SHRI DINESH MILLS LTD.-$"/>
        <s v="INDIABULLS REAL ESTATE LTD."/>
        <s v="SIYARAM SILK MILLS LTD.-$"/>
        <s v="SWADESHI POLYTEX LTD."/>
        <s v="SHREE RAJASTHAN SYNTEX LTD.-$"/>
        <s v="SATYAM SILK MILLS LTD."/>
        <s v="DLF LTD."/>
        <s v="ELPRO INTERNATIONAL LTD."/>
        <s v="GEE LTD."/>
        <s v="HIND RECTIFIERS LTD."/>
        <s v="INDO-NATIONAL LTD."/>
        <s v="K.P.R. Mill Limited"/>
        <s v="JYOTI LTD.-$"/>
        <s v="JSL INDUSTRIES LTD."/>
        <s v="KAYCEE INDUSTRIES LTD."/>
        <s v="INDOKEM LTD."/>
        <s v="PANASONIC ENERGY INDIA COMPANY LTD.-$"/>
        <s v="NELCO LTD."/>
        <s v="PERMANENT MAGNETS LTD.-$"/>
        <s v="HIGH ENERGY BATTERIES (INDIA) LTD."/>
        <s v="STANDARD BATTERIES LTD."/>
        <s v="UNIVERSAL CABLES LTD."/>
        <s v="W.S.INDUSTRIES (INDIA) LTD.-$"/>
        <s v="DELTON CABLES LTD."/>
        <s v="LAKSHMI ELECTRICAL CONTROL SYSTEMS LTD."/>
        <s v="Modulex Construction Technologies Ltd"/>
        <s v="Delta Manufacturing Ltd"/>
        <s v="Confidence Finance And Trading Limited"/>
        <s v="Ravindra Energy Ltd"/>
        <s v="G.D.TRADING &amp; AGENCIES LTD."/>
        <s v="EMPOWER INDIA LTD."/>
        <s v="NIRLON LTD."/>
        <s v="RIDHI SYNTHETICS LTD."/>
        <s v="Mahindra Logistics Ltd"/>
        <s v="SOFTBPO GLOBAL SERVICES LTD."/>
        <s v="Awfis Space Solutions Ltd"/>
        <s v="DREDGING CORPORATION OF INDIA LTD."/>
        <s v="Krishna Ventures Limited"/>
        <s v="BF UTILITIES LTD.-$"/>
        <s v="UNI ABEX ALLOY PRODUCTS LTD."/>
        <s v="Puravankara Ltd"/>
        <s v="BHAGWATI AUTOCAST LTD."/>
        <s v="BOMBAY WIRE ROPES LTD."/>
        <s v="INDIAN BRIGHT STEEL CO.LTD."/>
        <s v="INDIAN HUME PIPE CO.LTD."/>
        <s v="INVESTMENT &amp; PRECISION CASTINGS LTD."/>
        <s v="VERITAS (INDIA) LTD."/>
        <s v="KAIRA CAN CO.LTD."/>
        <s v="Orient Ceratech Ltd-$"/>
        <s v="BRIGADE ENTERPRISES LTD."/>
        <s v="RATHI STEEL &amp; POWER LTD.-$"/>
        <s v="Duncan Engineering Ltd-$"/>
        <s v="V-GUARD INDUSTRIES LTD."/>
        <s v="STOVEC INDUSTRIES LTD."/>
        <s v="TAYO ROLLS LTD.-$"/>
        <s v="BAJAJ AUTO LTD."/>
        <s v="WELCAST STEELS LTD."/>
        <s v="WESTERN MINISTIL LTD."/>
        <s v="AUTOMOTIVE AXLES LTD."/>
        <s v="AUTOMOBILE PRODUCTS OF INDIA LTD."/>
        <s v="AUTOMOBILE CORPORATION OF GOA LTD.-$"/>
        <s v="SETCO AUTOMOTIVE LTD."/>
        <s v="INDIA RADIATORS LTD."/>
        <s v="TALBROS AUTOMOTIVE COMPONENTS LTD."/>
        <s v="Z.F.STEERING GEAR (INDIA) LTD.-$"/>
        <s v="SML ISUZU LIMITED"/>
        <s v="TIL LTD."/>
        <s v="ZF Commercial Vehicle Control Systems India Ltd"/>
        <s v="JAINEX AAMCOL LTD."/>
        <s v="ALFRED HERBERT (INDIA) LTD."/>
        <s v="Veljan Denison Limited"/>
        <s v="DYNAMATIC TECHNOLOGIES LTD.-$"/>
        <s v="G. G. Dandekar Properties Ltd"/>
        <s v="MAHINDRA HOLIDAYS &amp; RESORTS INDIA LTD."/>
        <s v="KIRLOSKAR PNEUMATIC CO.LTD."/>
        <s v="Tulive Developers Limited"/>
        <s v="KPT Industries Ltd"/>
        <s v="LAKSHMI AUTOMATIC LOOM WORKS LTD."/>
        <s v="MANUGRAPH INDIA LTD.-$"/>
        <s v="Harshil Agrotech Ltd"/>
        <s v="SEAMEC LTD."/>
        <s v="Spright Agro Ltd"/>
        <s v="INTEGRA ENGINEERING INDIA LTD."/>
        <s v="Semac Consultants Ltd-$"/>
        <s v="Dreamfolks Services Ltd"/>
        <s v="WENDT (INDIA) LTD."/>
        <s v="PS IT Infrastructure &amp; Services Limited"/>
        <s v="SINDU VALLEY TECHNOLOGIES LTD."/>
        <s v="Godrej Properties Ltd"/>
        <s v="SHYAMKAMAL INVESTMENTS LTD."/>
        <s v="RPSG Ventures Ltd"/>
        <s v="Updater Services Ltd"/>
        <s v="Dolat Algotech Ltd"/>
        <s v="D B Corp Ltd"/>
        <s v="Jubilant FoodWorks Ltd"/>
        <s v="RELIANCE INDUSTRIAL INFRASTRUCTURE LTD."/>
        <s v="SVP Global Textiles Ltd"/>
        <s v="TEXMACO INFRASTRUCTURE &amp; HOLDINGS LTD."/>
        <s v="SKYLINE MILLARS LTD."/>
        <s v="BIMETAL BEARINGS LTD.-$"/>
        <s v="TAPARIA TOOLS LTD."/>
        <s v="BHARAT GEARS LTD."/>
        <s v="BRADY &amp; MORRIS ENGINEERING CO.LTD."/>
        <s v="La Tim Metal &amp; Industries Ltd"/>
        <s v="Valor Estate Ltd"/>
        <s v="DECCAN BEARINGS LTD."/>
        <s v="GRAUER &amp; WEIL (INDIA) LTD.-$"/>
        <s v="Him Teknoforge Ltd"/>
        <s v="OBEROI REALTY LTD."/>
        <s v="HERCULES HOISTS LTD."/>
        <s v="Algoquant Fintech Ltd"/>
        <s v="PRESTIGE ESTATES PROJECTS LTD."/>
        <s v="SINGER INDIA LTD."/>
        <s v="INTERNATIONAL COMBUSTION (INDIA) LTD."/>
        <s v="FEDERAL-MOGUL GOETZE (INDIA) LTD."/>
        <s v="JOST'S ENGINEERING CO.LTD."/>
        <s v="PG ELECTROPLAST LTD."/>
        <s v="MIPCO SEAMLESS RINGS (GUJARAT) LTD."/>
        <s v="RANE HOLDINGS LTD."/>
        <s v="ROLCON ENGINEERING CO.LTD."/>
        <s v="SNL BEARINGS LTD."/>
        <s v="JAIPAN INDUSTRIES LTD."/>
        <s v="MANGAL CREDIT AND FINCORP LTD."/>
        <s v="TRF LTD.-$"/>
        <s v="WPIL LTD."/>
        <s v="Rattanindia Enterprises Ltd"/>
        <s v="Hindustan Hardy Ltd"/>
        <s v="TRITON VALVES LTD."/>
        <s v="SUDAL INDUSTRIES LTD."/>
        <s v="PRAKASH INDUSTRIES LTD."/>
        <s v="Hariyana Ventures Ltd"/>
        <s v="PRABHU STEEL INDUSTRIES LTD."/>
        <s v="Navkar Corporation Ltd"/>
        <s v="V-MART RETAIL LTD."/>
        <s v="LAKSHMI PRECISION SCREWS LTD."/>
        <s v="STANROSE MAFATLAL INVESTMENTS AND FINANCE LTD."/>
        <s v="GENESYS INTERNATIONAL CORPORATION LTD."/>
        <s v="ALLSEC TECHNOLOGIES LTD."/>
        <s v="Pankaj Piyush Trade &amp; Investment Ltd"/>
        <s v="PARNAX LAB LTD."/>
        <s v="Gourmet Gateway India Ltd"/>
        <s v="VISAGAR POLYTEX LTD."/>
        <s v="ISHWARSHAKTI HOLDINGS &amp; TRADERS LTD."/>
        <s v="TERRAFORM MAGNUM LTD."/>
        <s v="APIS INDIA LTD."/>
        <s v="Tinna Trade Ltd"/>
        <s v="Emergent Industrial Solutions Ltd"/>
        <s v="KANANI INDUSTRIES LTD."/>
        <s v="Galaxy Cloud Kitchens Ltd-$"/>
        <s v="The Yamuna Syndicate Ltd"/>
        <s v="Arihant Superstructures Limited"/>
        <s v="Polo Queen Industrial and Fintech Ltd"/>
        <s v="BLISS GVS PHARMA LTD."/>
        <s v="Styrenix Performance Materials Ltd"/>
        <s v="ALEMBIC LTD."/>
        <s v="AMINES &amp; PLASTICIZERS LTD."/>
        <s v="ANUH PHARMA LTD."/>
        <s v="Modison Ltd-$"/>
        <s v="Sharda Motor Industries Ltd"/>
        <s v="CHEMO PHARMA LABORATORIES LTD."/>
        <s v="Heubach Colorants India Ltd"/>
        <s v="JUST DIAL LTD."/>
        <s v="Aditya Birla Fashion and Retail Ltd"/>
        <s v="DMCC Speciality Chemicals Ltd"/>
        <s v="Fermenta Biotech Ltd"/>
        <s v="GOCL Corporation Ltd-$"/>
        <s v="JAYSHREE CHEMICALS LTD."/>
        <s v="KANORIA CHEMICALS &amp; INDUSTRIES LTD."/>
        <s v="KELTECH ENERGIES LTD."/>
        <s v="Knowledge Marine &amp; Engineering Works Ltd"/>
        <s v="NITTA GELATIN INDIA LTD.-$"/>
        <s v="M.P.AGRO INDUSTRIES LTD."/>
        <s v="ORIENTAL CARBON &amp; CHEMICALS LTD.-$"/>
        <s v="Wonderla Holidays Ltd"/>
        <s v="AMAL LTD."/>
        <s v="POLYCHEM LTD."/>
        <s v="PUNJAB CHEMICALS AND CROP PROTECTION LTD.-$"/>
        <s v="GUJCHEM DISTILLERS INDIA LTD."/>
        <s v="SADHANA NITROCHEM LTD."/>
        <s v="PDS Ltd"/>
        <s v="TECIL CHEMICALS &amp; HYDRO POWER LTD."/>
        <s v="ULTRAMARINE &amp; PIGMENTS LTD.-$"/>
        <s v="TRANSPEK INDUSTRY LTD.-$"/>
        <s v="UNICHEM LABORATORIES LTD."/>
        <s v="MYSORE PETRO CHEMICALS LTD.-$"/>
        <s v="Minda Corporation Ltd"/>
        <s v="Tuticorin Alkali Chemicals And Fertilizers Ltd"/>
        <s v="Greenlam Industries Ltd"/>
        <s v="Primo Chemicals Ltd"/>
        <s v="TANFAC INDUSTRIES LTD.-$"/>
        <s v="GUJARAT PETROSYNTHESE LTD."/>
        <s v="GUJARAT THEMIS BIOSYN LTD."/>
        <s v="Snowman Logistics Ltd"/>
        <s v="MAKERS LABORATORIES LTD.-$"/>
        <s v="CONTINENTAL CHEMICALS LTD."/>
        <s v="Crompton Greaves Consumer Electricals Ltd"/>
        <s v="INDO GULF INDUSTRIES LTD."/>
        <s v="RAJASTHAN PETRO SYNTHETICS LTD."/>
        <s v="APT PACKAGING LTD."/>
        <s v="BLUE CHIP TEX INDUSTRIES LTD."/>
        <s v="JAGATJIT INDUSTRIES LTD."/>
        <s v="KESAR ENTERPRISES LTD.-$"/>
        <s v="TILAKNAGAR INDUSTRIES LTD.-$"/>
        <s v="Emerald Leisures Ltd"/>
        <s v="The Ravalgaon Sugar Farm Ltd"/>
        <s v="SAKTHI SUGARS LTD."/>
        <s v="WALCHANDNAGAR INDUSTRIES LTD."/>
        <s v="IFB AGRO INDUSTRIES LTD."/>
        <s v="KOTHARI FERMENTATION &amp; BIOCHEM LTD."/>
        <s v="CAPROLACTAM CHEMICALS LTD."/>
        <s v="G.M.BREWERIES LTD."/>
        <s v="RANA SUGARS LTD."/>
        <s v="PICCADILY SUGAR &amp; ALLIED INDUSTRIES LTD."/>
        <s v="SOM DISTILLERIES &amp; BREWERIES LTD."/>
        <s v="C.J.GELATINE PRODUCTS LTD."/>
        <s v="ASSOCIATED ALCOHOLS &amp; BREWERIES LTD."/>
        <s v="Allcargo Gati Ltd"/>
        <s v="COROMANDEL AGRO PRODUCTS &amp; OILS LTD."/>
        <s v="FOODS &amp; INNS LTD."/>
        <s v="IVP LTD."/>
        <s v="Kovilpatti Lakshmi Roller Flour Mills Ltd"/>
        <s v="OLYMPIC OIL INDUSTRIES LTD."/>
        <s v="MILKFOOD LTD."/>
        <s v="POLSON LTD."/>
        <s v="SAGAR SOYA PRODUCTS LTD."/>
        <s v="BLS International Services Ltd"/>
        <s v="ORIENT BEVERAGES LTD."/>
        <s v="Endurance Technologies Ltd"/>
        <s v="TTK HEALTHCARE LTD.-$"/>
        <s v="TGV Sraac Ltd"/>
        <s v="LIME CHEMICALS LTD."/>
        <s v="KANPUR PLASTIPACK LTD."/>
        <s v="TAINWALA CHEMICALS &amp; PLASTICS (INDIA) LTD."/>
        <s v="JAGSONPAL PHARMACEUTICALS LTD."/>
        <s v="KHAITAN CHEMICALS &amp; FERTILIZERS LTD."/>
        <s v="UNITED LEASING &amp; INDUSTRIES LTD."/>
        <s v="NATIONAL OXYGEN LTD."/>
        <s v="Sheela Foam Ltd"/>
        <s v="WIRES &amp; FABRIKS (SA) LTD."/>
        <s v="Ansal Housing Ltd-$"/>
        <s v="COMPUTER POINT LTD."/>
        <s v="MAC CHARLES (INDIA) LTD."/>
        <s v="ADDI INDUSTRIES LTD.-$"/>
        <s v="PIONEER INVESTCORP LTD."/>
        <s v="ASHNOOR TEXTILE MILLS LTD."/>
        <s v="UNITECH LTD."/>
        <s v="Aditya Vision Ltd"/>
        <s v="FIBERWEB (INDIA) LTD."/>
        <s v="LKP Finance Limited"/>
        <s v="MANIPAL FINANCE CORPORATION LTD."/>
        <s v="BAJAJ STEEL INDUSTRIES LTD."/>
        <s v="KIDUJA INDIA LTD."/>
        <s v="KEY CORP LTD."/>
        <s v="SHIKHAR LEASING &amp; TRADING LTD."/>
        <s v="GUJARAT HOTELS LTD."/>
        <s v="Rajath Finance Limited"/>
        <s v="RAS RESORTS &amp; APART HOTELS LTD."/>
        <s v="PARAMOUNT COSMETICS (INDIA) LTD."/>
        <s v="JINDAL HOTELS LTD."/>
        <s v="JUPITER INDUSTRIES &amp; LEASING LTD."/>
        <s v="SIMMONDS MARSHALL LTD."/>
        <s v="B &amp; A LTD."/>
        <s v="HAWKINS COOKERS LTD.-$"/>
        <s v="WARREN TEA LTD.-$"/>
        <s v="COCHIN MALABAR ESTATES &amp; INDUSTRIES LTD."/>
        <s v="BEST EASTERN HOTELS LTD."/>
        <s v="NEELAMALAI AGRO INDUSTRIES LTD."/>
        <s v="IST LTD."/>
        <s v="Cosmo First Ltd"/>
        <s v="Pricol Ltd"/>
        <s v="Nitin Castings Ltd"/>
        <s v="SMIFS CAPITAL MARKETS LTD."/>
        <s v="EVEREST INDUSTRIES LTD."/>
        <s v="Ironwood Education Ltd"/>
        <s v="MSR INDIA LTD."/>
        <s v="AYM Syntex Ltd"/>
        <s v="PANASONIC CARBON INDIA CO.LTD.-$"/>
        <s v="Finkurve Financial Services Ltd"/>
        <s v="HB LEASING &amp; FINANCE CO.LTD."/>
        <s v="SHRICON INDUSTRIES LTD."/>
        <s v="STERLING GUARANTY &amp; FINANCE LTD."/>
        <s v="SULABH ENGINEERS &amp; SERVICES LTD."/>
        <s v="TCC Concept Ltd"/>
        <s v="Navneet Education Limited"/>
        <s v="KEDIA CONSTRUCTION CO.LTD."/>
        <s v="SATRA PROPERTIES (INDIA) LTD."/>
        <s v="Allcargo Terminals Ltd"/>
        <s v="AuSom Enterprise Limited"/>
        <s v="THAKRAL SERVICES (INDIA) LTD."/>
        <s v="Lancer Container Lines Ltd"/>
        <s v="VJTF EDUSERVICES LTD."/>
        <s v="VOLTAIRE LEASING &amp; FINANCE LTD."/>
        <s v="NETLINK SOLUTIONS (INDIA) LTD."/>
        <s v="Krystal Integrated Services Ltd"/>
        <s v="LANCOR HOLDINGS LTD."/>
        <s v="INDIAN INFOTECH &amp; SOFTWARE LTD."/>
        <s v="BANAS FINANCE LTD."/>
        <s v="VISAKA INDUSTRIES LTD."/>
        <s v="HATHWAY BHAWANI CABLETEL &amp; DATACOM LTD."/>
        <s v="GUFIC BIOSCIENCES LTD."/>
        <s v="Transindia Real Estate Ltd"/>
        <s v="GRP LTD."/>
        <s v="INDAG RUBBER LTD.-$"/>
        <s v="MM RUBBER COMPANY LTD."/>
        <s v="SICAL LOGISTICS LTD."/>
        <s v="TVS SRICHAKRA LTD.-$"/>
        <s v="Sanathnagar Enterprises Limited"/>
        <s v="BENARES HOTELS LTD."/>
        <s v="BHAGWATI OXYGEN LTD."/>
        <s v="Bombay Oxygen Investments Ltd"/>
        <s v="SAKUMA EXPORTS LTD."/>
        <s v="Avenue Supermarts Ltd"/>
        <s v="CAPRIHANS INDIA LTD.-$"/>
        <s v="Dixon Technologies (India) Ltd"/>
        <s v="Tube Investments of India Ltd"/>
        <s v="EMPIRE INDUSTRIES LTD."/>
        <s v="GRAVISS HOSPITALITY LTD."/>
        <s v="Amber Enterprises India Ltd"/>
        <s v="GARWARE MARINE INDUSTRIES LTD."/>
        <s v="GOA CARBON LTD.-$"/>
        <s v="HARDCASTLE &amp; WAUD MFG.CO.LTD."/>
        <s v="Lemon Tree Hotels Ltd"/>
        <s v="HINDUSTAN COMPOSITES LTD."/>
        <s v="HINDUSTAN HOUSING CO.LTD."/>
        <s v="HIL LTD."/>
        <s v="INDIAN CARD CLOTHING CO.LTD."/>
        <s v="INTERNATIONAL CONVEYORS LTD."/>
        <s v="JAY SHREE TEA &amp; INDUSTRIES LTD."/>
        <s v="KOTHARI INDUSTRIAL CORPORATION LTD."/>
        <s v="MODERN SHARES &amp; STOCKBROKERS LTD."/>
        <s v="STATE TRADING CORPORATION OF INDIA LTD."/>
        <s v="Huhtamaki India Ltd"/>
        <s v="PREMIER SYNTHETICS LTD."/>
        <s v="R.J.SHAH &amp; CO.LTD."/>
        <s v="SHAH CONSTRUCTION CO.LTD."/>
        <s v="SHALIMAR PAINTS LTD.-$"/>
        <s v="SINNAR BIDI UDYOG LTD."/>
        <s v="HINDOOSTAN MILLS LTD."/>
        <s v="SOUTHERN GAS LTD."/>
        <s v="ESSAR SHIPPING LTD."/>
        <s v="Orient Electric Ltd"/>
        <s v="THACKER &amp; CO.LTD."/>
        <s v="U.P.HOTELS LTD."/>
        <s v="Varroc Engineering Ltd"/>
        <s v="SWASTI VINAYAKA SYNTHETICS LTD."/>
        <s v="MADHUSUDAN SECURITIES LTD."/>
        <s v="YAMINI INVESTMENTS COMPANY LTD."/>
        <s v="PREMIER CAPITAL SERVICES LTD."/>
        <s v="Vikas Lifecare Ltd"/>
        <s v="JINDAL DRILLING &amp; INDUSTRIES LTD."/>
        <s v="Tracxn Technologies Ltd"/>
        <s v="EKI Energy Services Ltd"/>
        <s v="SAKTHI FINANCE LTD."/>
        <s v="Easy Fincorp Ltd"/>
        <s v="SAT INDUSTRIES LTD.-$"/>
        <s v="JMD Ventures Ltd"/>
        <s v="TIVOLI CONSTRUCTION LTD."/>
        <s v="SHIVA TEXYARN LTD."/>
        <s v="V.B.DESAI FINANCIAL SERVICES LTD."/>
        <s v="Quadrant Televentures Limited-$"/>
        <s v="FIRST CUSTODIAN FUND (INDIA) LTD."/>
        <s v="KAMANWALA HOUSING CONSTRUCTION LTD."/>
        <s v="WSFx Global Pay Ltd"/>
        <s v="Anjani Foods Ltd"/>
        <s v="PARSHWANATH CORPORATION LTD."/>
        <s v="TAAL Enterprises Ltd"/>
        <s v="Newtime Infrastructure Limited"/>
        <s v="Radiant Cash Management Services Ltd"/>
        <s v="Chalet Hotels Ltd"/>
        <s v="MUNOTH CAPITAL MARKET LTD."/>
        <s v="IL&amp;FS INVESTMENT MANAGERS LTD."/>
        <s v="Arvind Fashions Ltd"/>
        <s v="IndiaMART InterMESH Ltd"/>
        <s v="Bombay Talkies Ltd"/>
        <s v="SAGAR SYSTECH LTD."/>
        <s v="ID Info Business Services Ltd"/>
        <s v="VLS FINANCE LTD."/>
        <s v="INDIA CEMENTS CAPITAL LTD."/>
        <s v="AD-MANUM FINANCE LTD."/>
        <s v="MEHTA INTEGRATED FINANCE LTD."/>
        <s v="INTER GLOBE FINANCE LTD."/>
        <s v="Munoth Communication Ltd"/>
        <s v="SHRISTI INFRASTRUCTURE DEVELOPMENT CORPORATION LTD."/>
        <s v="CREST VENTURES LIMITED"/>
        <s v="Vakrangee Limited-$"/>
        <s v="GUJARAT CREDIT CORPORATION LTD."/>
        <s v="SYLPH TECHNOLOGIES LTD."/>
        <s v="DHARANI FINANCE LTD."/>
        <s v="Alexander Stamps And Coin Ltd"/>
        <s v="INDBANK MERCHANT BANKING SERVICES LTD."/>
        <s v="Shrydus Industries Ltd"/>
        <s v="BHARAT BHUSHAN SHARE &amp; COMMODITY BROKERS LTD."/>
        <s v="CAPITAL TRUST LTD."/>
        <s v="USHAKIRAN FINANCE LTD."/>
        <s v="VIVO BIO TECH LTD."/>
        <s v="Veerhealth Care Limited"/>
        <s v="PAN INDIA CORPORATION LTD."/>
        <s v="SAHARA HOUSINGFINA CORPORATION LTD."/>
        <s v="NDA SECURITIES LTD."/>
        <s v="GSB FINANCE LTD."/>
        <s v="MORARKA FINANCE LTD."/>
        <s v="Monarch Networth Capital Ltd"/>
        <s v="Vintage Coffee And Beverages Ltd"/>
        <s v="TIMES GUARANTY LTD."/>
        <s v="Ritco Logistics Ltd"/>
        <s v="SOM DATT FINANCE CORPORATION LTD."/>
        <s v="SHREYAS SHIPPING &amp; LOGISTICS LTD."/>
        <s v="Avonmore Capital &amp; Management Services Limited"/>
        <s v="Libord Finance Ltd"/>
        <s v="KERNEX MICROSYSTEMS (INDIA) LTD."/>
        <s v="ARIHANT CAPITAL MARKETS LTD."/>
        <s v="ISL CONSULTING LTD."/>
        <s v="DCM FINANCIAL SERVICES LTD."/>
        <s v="RR FINANCIAL CONSULTANTS LTD."/>
        <s v="IM+ Capitals Limited"/>
        <s v="SAMBHAAV MEDIA LTD."/>
        <s v="DUGAR HOUSING DEVELOPMENTS LTD."/>
        <s v="OMEGA INTERACTIVE TECHNOLOGIES LTD."/>
        <s v="SUGAL &amp; DAMANI SHARE BROKERS LTD."/>
        <s v="NETTLINX LTD."/>
        <s v="BGIL FILMS &amp; TECHNOLOGIES LTD."/>
        <s v="Scan Steels Limited"/>
        <s v="GIC HOUSING FINANCE LTD."/>
        <s v="MATHEW EASOW RESEARCH SECURITIES LTD."/>
        <s v="AJCON GLOBAL SERVICES LTD."/>
        <s v="CHARTERED CAPITAL &amp; INVESTMENT LTD."/>
        <s v="STANDARD CAPITAL MARKETS LTD."/>
        <s v="YOGI Ltd"/>
        <s v="CUBICAL FINANCIAL SERVICES LTD."/>
        <s v="RELIC TECHNOLOGIES LTD."/>
        <s v="NIMBUS PROJECTS LTD."/>
        <s v="Baid Finserv Ltd"/>
        <s v="VIPUL LTD."/>
        <s v="K.Z.LEASING &amp; FINANCE LTD."/>
        <s v="PASUPATI FINCAP LTD."/>
        <s v="MEHTA SECURITIES LTD."/>
        <s v="MEHTA HOUSING FINANCE LTD."/>
        <s v="Ugro Capital Ltd"/>
        <s v="SHALIBHADRA FINANCE LTD."/>
        <s v="ABIRAMI FINANCIAL SERVICES (INDIA) LTD."/>
        <s v="MANSI FINANCE (CHENNAI) LTD."/>
        <s v="Seven Hill Industries Limited"/>
        <s v="Aastamangalam Finance Ltd"/>
        <s v="MUTHOOT CAPITAL SERVICES LTD."/>
        <s v="MASTER TRUST LTD."/>
        <s v="Remedium Lifecare Ltd"/>
        <s v="EFC (I) Ltd"/>
        <s v="AVG Logistics Ltd"/>
        <s v="CNI RESEARCH LTD."/>
        <s v="SARASWATI COMMERCIAL (INDIA) LTD."/>
        <s v="WINRO COMMERCIAL (INDIA) LTD."/>
        <s v="PTL ENTERPRISES LTD.-$"/>
        <s v="OSWAL AGRO MILLS LTD."/>
        <s v="KAPIL COTEX LTD."/>
        <s v="Alankit Ltd"/>
        <s v="Royal India Corporation Limited"/>
        <s v="Luharuka Media &amp; Infra Ltd"/>
        <s v="JET AIRWAYS (INDIA) LTD."/>
        <s v="RIDDHI SIDDHI GLUCO BIOLS LTD.-$"/>
        <s v="KOTHARI PRODUCTS LTD."/>
        <s v="Tiger Logistics (India) Ltd"/>
        <s v="MRUGESH TRADING LTD."/>
        <s v="DECCAN GOLD MINES LTD."/>
        <s v="Indian Railway Catering and Tourism Corporation Ltd"/>
        <s v="ANSHUNI COMMERCIALS LTD."/>
        <s v="CRANES SOFTWARE INTERNATIONAL LTD."/>
        <s v="MAJESTIC AUTO LTD.-$"/>
        <s v="Eyantra Ventures Ltd"/>
        <s v="TRIOCHEM PRODUCTS LTD."/>
        <s v="NIDHI GRANITES LTD."/>
        <s v="Variman Global Enterprises Ltd"/>
        <s v="Atlantaa Ltd"/>
        <s v="DJ Mediaprint &amp; Logistics Ltd"/>
        <s v="KAJAL SYNTHETICS &amp; SILK MILLS LTD."/>
        <s v="AVANCE TECHNOLOGIES LTD."/>
        <s v="Droneacharya Aerial Innovations Ltd"/>
        <s v="Northern Spirits Ltd"/>
        <s v="Securekloud Technologies Ltd"/>
        <s v="Abans Enterprises Ltd"/>
        <s v="VAMA INDUSTRIES LTD."/>
        <s v="Tarc Ltd"/>
        <s v="Mercantile Ventures Ltd"/>
        <s v="Uma Exports Ltd"/>
        <s v="PRISM MEDICO AND PHARMACY LTD."/>
        <s v="SPV Global Trading Ltd"/>
        <s v="GLOBAL VECTRA HELICORP LTD."/>
        <s v="Indigo Paints Ltd"/>
        <s v="RUCHI INFRASTRUCTURE LTD."/>
        <s v="ASHIRWAD CAPITAL LTD."/>
        <s v="Swasti Vinayaka Art And Heritage Corporation Ltd"/>
        <s v="Confidence Futuristic Energetech Ltd"/>
        <s v="MEDIA MATRIX WORLDWIDE LTD."/>
        <s v="Seacoast Shipping Services Ltd"/>
        <s v="Signet Industries Limited"/>
        <s v="SPEEDAGE COMMERCIALS LTD."/>
        <s v="BHAGYANAGAR INDIA LTD."/>
        <s v="Shantai Industries Ltd"/>
        <s v="NORTH EASTERN CARRYING CORPORATION LTD."/>
        <s v="Maximus International Ltd"/>
        <s v="Easy Trip Planners Ltd"/>
        <s v="Indiabulls Enterprises Ltd"/>
        <s v="IIRM Holdings India Ltd"/>
        <s v="YASH TRADING &amp; FINANCE LTD."/>
        <s v="SHERATON PROPERTIES &amp; FINANCE LTD."/>
        <s v="NOIDA TOLL BRIDGE COMPANY LTD."/>
        <s v="CRESSANDA SOLUTIONS LTD."/>
        <s v="Starteck Finance Ltd"/>
        <s v="SHARDUL SECURITIES LTD."/>
        <s v="Sera Investments &amp; Finance India Ltd"/>
        <s v="BENGAL STEEL INDUSTRIES LTD."/>
        <s v="UNIWORTH SECURITIES LTD."/>
        <s v="CORAL INDIA FINANCE &amp; HOUSING LTD."/>
        <s v="Dhruv Consultancy Services Ltd"/>
        <s v="DHOOT INDUSTRIAL FINANCE LTD."/>
        <s v="Metroglobal Limited"/>
        <s v="APOLLO FINVEST (INDIA) LTD."/>
        <s v="Techknowgreen Solutions Ltd"/>
        <s v="Silicon Rental Solutions Ltd"/>
        <s v="DEVINSU TRADING LTD."/>
        <s v="SHRI JAGDAMBA POLYMERS LTD."/>
        <s v="Craftsman Automation Ltd"/>
        <s v="Parshva Enterprises Ltd"/>
        <s v="Lloyds Enterprises Ltd"/>
        <s v="BETEX INDIA LTD."/>
        <s v="Virya Resources Ltd"/>
        <s v="Shreeji Translogistics Ltd"/>
        <s v="OASIS SECURITIES LTD."/>
        <s v="GARNET INTERNATIONAL LTD."/>
        <s v="SHALIMAR PRODUCTIONS LTD."/>
        <s v="MEENAKSHI STEEL INDUSTRIES LTD."/>
        <s v="GLOBAL OFFSHORE SERVICES LTD.-$"/>
        <s v="MOTOR &amp; GENERAL FINANCE LTD."/>
        <s v="DONEAR INDUSTRIES LTD.-$"/>
        <s v="SUPER SALES INDIA LTD.-$"/>
        <s v="SEQUENT SCIENTIFIC LTD."/>
        <s v="LAHOTI OVERSEAS LTD.-$"/>
        <s v="ZENITH EXPORTS LTD."/>
        <s v="KOHINOOR FOODS LTD."/>
        <s v="PATEL INTEGRATED LOGISTICS LTD.-$"/>
        <s v="Kalyan Jewellers India Ltd"/>
        <s v="ZODIAC-JRD-MKJ LTD."/>
        <s v="BN Holdings Ltd"/>
        <s v="MEP Infrastructure Developers Ltd"/>
        <s v="Manbro Industries Ltd"/>
        <s v="Keynote Financial Services Ltd"/>
        <s v="Nazara Technologies Ltd"/>
        <s v="ANIK INDUSTRIES LTD."/>
        <s v="HARIA EXPORTS LTD.-$"/>
        <s v="BHANDARI HOSIERY EXPORTS LTD."/>
        <s v="RLF LTD."/>
        <s v="AAA Technologies Ltd"/>
        <s v="ORBIT EXPORTS LTD."/>
        <s v="SAVERA INDUSTRIES LTD."/>
        <s v="Chrome Silicon Ltd-$"/>
        <s v="TCI INDUSTRIES LTD."/>
        <s v="Macrotech Developers Ltd"/>
        <s v="HINDUSTHAN UDYOG LTD."/>
        <s v="Remi Edelstahl Tubulars Limited"/>
        <s v="G.S.AUTO INTERNATIONAL LTD."/>
        <s v="TRANS-FREIGHT CONTAINERS LTD."/>
        <s v="SHIVALIK BIMETAL CONTROLS LTD."/>
        <s v="GANDHI SPECIAL TUBES LTD.-$"/>
        <s v="AMFORGE INDUSTRIES LTD."/>
        <s v="ORICON ENTERPRISES LTD.-$"/>
        <s v="ACROW INDIA LTD."/>
        <s v="STEEL STRIPS INFRASTRUCTURES LTD."/>
        <s v="PENNAR INDUSTRIES LTD.-$"/>
        <s v="JYOTI STRUCTURES LTD."/>
        <s v="JAY USHIN LTD."/>
        <s v="STEEL STRIPS WHEELS LTD.-$"/>
        <s v="MAN INDUSTRIES (INDIA) LTD.-$"/>
        <s v="MODERN STEELS LTD.-$"/>
        <s v="SYNTHIKO FOILS LTD."/>
        <s v="Golkonda Aluminium Extrusions Ltd-$"/>
        <s v="GUJARAT TOOLROOM LTD."/>
        <s v="AJMERA REALTY &amp; INFRA INDIA LTD."/>
        <s v="COCHIN MINERALS &amp; RUTILE LTD.-$"/>
        <s v="INDIA STEEL WORKS LTD."/>
        <s v="Krishanveer Forge Ltd"/>
        <s v="Sona BLW Precision Forgings Ltd"/>
        <s v="Arshiya Limited"/>
        <s v="VALLABH STEELS LTD.-$"/>
        <s v="ASHIANA ISPAT LTD."/>
        <s v="P.M.TELELINNKS LTD."/>
        <s v="Smiths &amp; Founders (India) Limited"/>
        <s v="BLOOM INDUSTRIES LTD."/>
        <s v="Maitri Enterprises Ltd"/>
        <s v="SHAH ALLOYS LTD."/>
        <s v="ELANGO INDUSTRIES LTD."/>
        <s v="KANISHK STEEL INDUSTRIES LTD."/>
        <s v="MAHALAXMI SEAMLESS LTD.-$"/>
        <s v="SIMPLEX CASTINGS LTD."/>
        <s v="SHREE STEEL WIRE ROPES LTD."/>
        <s v="Sizemasters Technology Ltd"/>
        <s v="SOUTHERN MAGNESIUM &amp; CHEMICALS LTD."/>
        <s v="BARODA EXTRUSION LTD."/>
        <s v="GUJARAT CONTAINERS LTD."/>
        <s v="KALYANI FORGE LTD."/>
        <s v="PANCHMAHAL STEEL LTD."/>
        <s v="ADITYA ISPAT LTD."/>
        <s v="S.R.INDUSTRIES LTD."/>
        <s v="STEELCAST LTD."/>
        <s v="Pitti Engineering Ltd-$"/>
        <s v="GLITTEK GRANITES LTD."/>
        <s v="PRADEEP METALS LTD."/>
        <s v="Gujarat Natural Resources Limited"/>
        <s v="TAMILNADU STEEL TUBES LTD."/>
        <s v="SHARDA ISPAT LTD."/>
        <s v="MAHAMAYA STEEL INDUSTRIES LTD."/>
        <s v="NOVA IRON &amp; STEEL LTD."/>
        <s v="Sterling Powergensys Limited"/>
        <s v="FOUNDRY FUEL PRODUCTS LTD."/>
        <s v="Zomato Ltd"/>
        <s v="TULSYAN NEC LTD.-$"/>
        <s v="AXEL POLYMERS LTD."/>
        <s v="Rolex Rings Ltd"/>
        <s v="SPECTRA INDUSTRIES LTD."/>
        <s v="KIC METALIKS LTD."/>
        <s v="SOLID STONE COMPANY LTD."/>
        <s v="SHILP GRAVURES LTD.-$"/>
        <s v="White Organic Agro Ltd"/>
        <s v="MFS INTERCORP LTD."/>
        <s v="ARO GRANITE INDUSTRIES LTD.-$"/>
        <s v="Rudra Ecovation Ltd"/>
        <s v="RAJKAMAL SYNTHETICS LTD."/>
        <s v="DEEPAK SPINNERS LTD.-$"/>
        <s v="LOYAL TEXTILE MILLS LTD.-$"/>
        <s v="HIMATSINGKA SEIDE LTD."/>
        <s v="BSL LTD."/>
        <s v="Milgrey Finance &amp; Investments Ltd"/>
        <s v="PBM POLYTEX LTD.-$"/>
        <s v="ADINATH TEXTILES LTD."/>
        <s v="KONARK SYNTHETIC LTD."/>
        <s v="SURYALATA SPINNING MILLS LTD.-$"/>
        <s v="SURYAVANSHI SPINNING MILLS LTD.-$"/>
        <s v="T T LTD.-$"/>
        <s v="Devyani International Ltd"/>
        <s v="INDIAN ACRYLICS LTD."/>
        <s v="GANESHA ECOSPHERE LTD."/>
        <s v="CEETA INDUSTRIES LTD."/>
        <s v="VARDHMAN POLYTEX LTD."/>
        <s v="BLACK ROSE INDUSTRIES LTD."/>
        <s v="S&amp;T CORPORATION LTD."/>
        <s v="SANCO TRANS LTD."/>
        <s v="SANGAM (INDIA) LTD."/>
        <s v="Likhami Consulting Ltd"/>
        <s v="Mkventures Capital Ltd"/>
        <s v="Kush Industries Ltd"/>
        <s v="SREECHEM RESINS LTD."/>
        <s v="SURBHI INDUSTRIES LTD."/>
        <s v="SEASONS TEXTILES LTD.-$"/>
        <s v="ZENITH FIBRES LTD.-$"/>
        <s v="BHILWARA SPINNERS LTD."/>
        <s v="AARVEE DENIMS &amp; EXPORTS LTD."/>
        <s v="SANRHEA TECHNICAL TEXTILES LTD."/>
        <s v="ASHIMA LTD."/>
        <s v="PIONEER EMBROIDERIES LTD.-$"/>
        <s v="VIPPY SPINPRO LTD."/>
        <s v="JAIHIND SYNTHETICS LTD."/>
        <s v="RAGHUVIR SYNTHETICS LTD."/>
        <s v="JATTASHANKAR INDUSTIES LTD."/>
        <s v="KAMADGIRI FASHION LTD.-$"/>
        <s v="OMNITEX INDUSTRIES (INDIA) LTD."/>
        <s v="PATSPIN INDIA LTD."/>
        <s v="One Global Service Provider Ltd"/>
        <s v="NEO INFRACON LTD."/>
        <s v="Genesis Ibrc India Ltd"/>
        <s v="WINSOME YARNS LTD."/>
        <s v="PREMIER POLYFILM LTD."/>
        <s v="Everlon Financials Ltd"/>
        <s v="K&amp;R Rail Engineering Ltd"/>
        <s v="Goyal Aluminiums Ltd"/>
        <s v="GUJARAT COTEX LTD."/>
        <s v="DYNAVISION LTD."/>
        <s v="Eco Hotels And Resorts Ltd"/>
        <s v="SARUP INDUSTRIES LTD.-$"/>
        <s v="Mangalam Organics Limited"/>
        <s v="HINDUSTAN ADHESIVES LTD."/>
        <s v="SRI KPR INDUSTRIES LTD."/>
        <s v="JYOTI RESINS &amp; ADHESIVES LTD."/>
        <s v="MAHALAXMI RUBTECH LTD."/>
        <s v="SOUTHERN LATEX LTD."/>
        <s v="Orissa Bengal Carrier Ltd"/>
        <s v="WINSOME TEXTILE INDUSTRIES LTD.-$"/>
        <s v="MODERN INSULATORS LTD."/>
        <s v="REGENCY CERAMICS LTD."/>
        <s v="Sansera Engineering Ltd"/>
        <s v="MURUDESHWAR CERAMICS LTD."/>
        <s v="SAINT-GOBAIN SEKURIT INDIA LTD."/>
        <s v="FSN E-Commerce Ventures Ltd"/>
        <s v="MADHUSUDAN INDUSTRIES LTD."/>
        <s v="RESTILE CERAMICS LTD."/>
        <s v="MADHAV MARBLES &amp; GRANITES LTD."/>
        <s v="IFL Enterprises Ltd"/>
        <s v="HINDUSTHAN NATIONAL GLASS &amp; INDUSTRIES LTD.-$"/>
        <s v="Haldyn Glass Ltd-$"/>
        <s v="Duroply Industries Ltd"/>
        <s v="SHREYANS INDUSTRIES LTD.-$"/>
        <s v="AGIO PAPER &amp; INDUSTRIES LTD.-$"/>
        <s v="STAR PAPER MILLS LTD."/>
        <s v="Pakka Ltd-$"/>
        <s v="Tahmar Enterprises Ltd"/>
        <s v="SOMA PAPERS &amp; INDUSTRIES LTD."/>
        <s v="Arrow Greentech Ltd"/>
        <s v="VISHNU CHEMICALS LTD."/>
        <s v="JUMBO BAG LTD."/>
        <s v="N.R.AGARWAL INDUSTRIES LTD."/>
        <s v="3P Land Holdings Ltd"/>
        <s v="SANGAL PAPERS LTD."/>
        <s v="VENTURA TEXTILES LTD."/>
        <s v="SHREE KARTHIK PAPERS LTD."/>
        <s v="SOUTH INDIA PAPER MILLS LTD."/>
        <s v="Family Care Hospitals Ltd"/>
        <s v="VINDHYA TELELINKS LTD."/>
        <s v="RIR Power Electronics Ltd"/>
        <s v="ADOR WELDING LTD."/>
        <s v="Genpharmasec Ltd"/>
        <s v="SALZER ELECTRONICS LTD.-$"/>
        <s v="JETKING INFOTRAIN LTD."/>
        <s v="APLAB LTD.-$"/>
        <s v="PCS TECHNOLOGY LTD."/>
        <s v="Sapphire Foods India Ltd"/>
        <s v="SPEL SEMICONDUCTOR LTD."/>
        <s v="SUBROS LTD."/>
        <s v="Edvenswa Enterprises Ltd"/>
        <s v="KESAR TERMINALS &amp; INFRASTRUCTURE LTD."/>
        <s v="Go Fashion (India) Ltd"/>
        <s v="SWITCHING TECHNOLOGIES GUNTHER LTD."/>
        <s v="LUMAX INDUSTRIES LTD."/>
        <s v="Digispice Technologies Ltd-$"/>
        <s v="CALCOM VISION LTD."/>
        <s v="KEMP &amp; COMPANY LTD."/>
        <s v="BCC FUBA INDIA LTD."/>
        <s v="PRECISION ELECTRONICS LTD."/>
        <s v="FINE-LINE CIRCUITS LTD."/>
        <s v="Metro Brands Ltd"/>
        <s v="S&amp;S POWER SWITCHGEAR LTD."/>
        <s v="Gujarat Poly Electronics Ltd"/>
        <s v="GUJARAT INDUSTRIES POWER CO.LTD."/>
        <s v="Medplus Health Services Ltd"/>
        <s v="MINDTECK (INDIA) LTD."/>
        <s v="Vedant Fashions Ltd"/>
        <s v="ACI INFOCOM LTD."/>
        <s v="CRAVATEX LTD."/>
        <s v="INCAP LTD."/>
        <s v="GUJARAT INTRUX LTD.-$"/>
        <s v="IGARASHI MOTORS INDIA LTD."/>
        <s v="Eureka Forbes Ltd"/>
        <s v="VINTRON INFORMATICS LTD."/>
        <s v="PAN ELECTRONICS INDIA LTD."/>
        <s v="VXL INSTRUMENTS LTD."/>
        <s v="CHARTERED LOGISTICS LTD."/>
        <s v="LEE &amp; NEE SOFTWARES (EXPORTS) LTD."/>
        <s v="PATELS AIRTEMP (INDIA) LTD."/>
        <s v="Butterfly Gandhimathi Appliances Ltd"/>
        <s v="INTEGRA SWITCHGEAR LTD."/>
        <s v="Athena Global Technologies Ltd-$"/>
        <s v="NARMADA MACPLAST DRIP IRRIGATION SYSTEMS LTD."/>
        <s v="DUTRON POLYMERS LTD.-$"/>
        <s v="R.S.SOFTWARE INDIA LTD."/>
        <s v="MAGNA ELECTRO CASTINGS LTD.-$"/>
        <s v="MARSONS LIMITED"/>
        <s v="ELNET TECHNOLOGIES LTD.-$"/>
        <s v="Accel Ltd"/>
        <s v="WEBSOL ENERGY SYSTEM LTD."/>
        <s v="ROTO PUMPS LTD."/>
        <s v="Motherson Sumi Wiring India Ltd"/>
        <s v="D&amp;H India Ltd-$"/>
        <s v="RAJRATAN GLOBAL WIRE LTD."/>
        <s v="Surana Telecom And Power Limited"/>
        <s v="ONWARD TECHNOLOGIES LTD."/>
        <s v="CENTUM ELECTRONICS LTD."/>
        <s v="ALFA TRANSFORMERS LTD."/>
        <s v="NHC FOODS LTD."/>
        <s v="PVP VENTURES LTD."/>
        <s v="TRIGYN TECHNOLOGIES LTD."/>
        <s v="Campus Activewear Ltd"/>
        <s v="KEERTHI INDUSTRIES LTD."/>
        <s v="BHEEMA CEMENTS LTD."/>
        <s v="SURAJ PRODUCTS LTD."/>
        <s v="ANJANI PORTLAND CEMENT LTD.-$"/>
        <s v="Modi Naturals Limited"/>
        <s v="PRASHANT INDIA LTD."/>
        <s v="SHAH FOODS LTD."/>
        <s v="KHANDELWAL EXTRACTION LTD."/>
        <s v="TASTY BITE EATABLES LTD."/>
        <s v="RITESH INTERNATIONAL LTD."/>
        <s v="AVT NATURAL PRODUCTS LTD."/>
        <s v="Ethos Ltd"/>
        <s v="NAHAR INDUSTRIAL ENTERPRISES LTD.-$"/>
        <s v="VADILAL ENTERPRISES LTD."/>
        <s v="VADILAL INDUSTRIES LTD.-$"/>
        <s v="ASHIANA AGRO INDUSTRIES LTD."/>
        <s v="ADF FOODS LTD.-$"/>
        <s v="Retro Green Revolution Ltd"/>
        <s v="WILLIAMSON FINANCIAL SERVICES LTD."/>
        <s v="AJANTA SOYA LTD."/>
        <s v="WILLIAMSON MAGOR &amp; COMPANY LTD."/>
        <s v="CHOWGULE STEAMSHIPS LTD."/>
        <s v="Superior Industrial Enterprises Limited"/>
        <s v="SAPTARISHI AGRO INDUSTRIES LTD."/>
        <s v="PRIMA AGRO LTD."/>
        <s v="TARAI FOODS LTD."/>
        <s v="MODERN DAIRIES LTD."/>
        <s v="BAMBINO AGRO INDUSTRIES LTD."/>
        <s v="PRIME INDUSTRIES LTD."/>
        <s v="VIKAS WSP LTD."/>
        <s v="VSF PROJECTS LTD."/>
        <s v="POONA DAL &amp; OIL INDUSTRIES LTD."/>
        <s v="TRANSGLOBE FOODS LTD."/>
        <s v="VMS INDUSTRIES LTD."/>
        <s v="SHARAT INDUSTRIES LTD."/>
        <s v="Yaari Digital Integrated Services Ltd"/>
        <s v="KMG MILK FOOD LTD."/>
        <s v="KSE LTD.-$"/>
        <s v="PIONEER AGRO EXTRACTS LTD."/>
        <s v="NARBADA GEMS AND JEWELLERY LTD."/>
        <s v="VIRAT CRANE INDUSTRIES LTD."/>
        <s v="IB INFOTECH ENTERPRISES LTD."/>
        <s v="Ambar Protein Industries Ltd"/>
        <s v="CHORDIA FOOD PRODUCTS LTD."/>
        <s v="CIAN Agro Industries &amp; Infrastructure Ltd"/>
        <s v="Lykis Limited"/>
        <s v="N.K.INDUSTRIES LTD."/>
        <s v="BKV INDUSTRIES LTD."/>
        <s v="NCC BLUE WATER PRODUCTS LTD."/>
        <s v="NORBEN TEA &amp; EXPORTS LTD."/>
        <s v="Sharika Enterprises Ltd"/>
        <s v="Electronics Mart India Ltd"/>
        <s v="SIMRAN FARMS LTD."/>
        <s v="HINDUSTAN AGRIGENETICS LTD."/>
        <s v="Keystone Realtors Ltd"/>
        <s v="Kellton Tech Solutions Ltd."/>
        <s v="SURYO FOODS &amp; INDUSTRIES LTD."/>
        <s v="INTEGRATED PROTEINS LTD."/>
        <s v="MAHAAN FOODS LTD."/>
        <s v="RICO AUTO INDUSTRIES LTD."/>
        <s v="OMAX AUTOS LTD."/>
        <s v="MUNJAL SHOWA LTD."/>
        <s v="JAMNA AUTO INDUSTRIES LTD."/>
        <s v="Senco Gold Ltd"/>
        <s v="NIIT Learning Systems Ltd"/>
        <s v="MUNJAL AUTO INDUSTRIES LTD."/>
        <s v="JAY BHARAT MARUTI LTD."/>
        <s v="RACL Geartech Ltd"/>
        <s v="SAMKRG PISTONS &amp; RINGS LTD.-$"/>
        <s v="EAST COAST STEEL LTD."/>
        <s v="East West Holdings Ltd"/>
        <s v="Redtape Ltd"/>
        <s v="Signatureglobal (India) Ltd"/>
        <s v="AUTOMOTIVE STAMPINGS &amp; ASSEMBLIES LTD."/>
        <s v="ARCEE INDUSTRIES LTD."/>
        <s v="Excel Realty N Infra Ltd"/>
        <s v="RAMA VISION LTD."/>
        <s v="AMRAPALI INDUSTRIES LTD."/>
        <s v="SIBAR AUTO PARTS LTD."/>
        <s v="LE Lavoir Ltd"/>
        <s v="Growington Ventures India Ltd"/>
        <s v="Mehai Technology Ltd"/>
        <s v="Titan Intech Ltd"/>
        <s v="EUROTEX INDUSTRIES &amp; EXPORTS LTD."/>
        <s v="Max Estates Ltd"/>
        <s v="MARAL OVERSEAS LTD."/>
        <s v="SOMA TEXTILES &amp; INDUSTRIES LTD."/>
        <s v="SOURCE INDUSTRIES (INDIA) LTD."/>
        <s v="ADVANCE LIFESTYLES LTD."/>
        <s v="KAKATIYA TEXTILES LTD."/>
        <s v="Perfect-Octave Media Projects Ltd"/>
        <s v="Cello World Ltd"/>
        <s v="HISAR SPINNING MILLS LTD."/>
        <s v="ASK Automotive Ltd"/>
        <s v="PASARI SPINNING MILLS LTD."/>
        <s v="AMARJOTHI SPINNING MILLS LTD."/>
        <s v="OLYMPIA INDUSTRIES LTD."/>
        <s v="NAGREEKA EXPORTS LTD.-$"/>
        <s v="SUDITI INDUSTRIES LTD."/>
        <s v="Shree Bhavya Fabrics Ltd"/>
        <s v="GEM SPINNERS INDIA LTD."/>
        <s v="EUREKA INDUSTRIES LTD."/>
        <s v="ADITYA SPINNERS LTD."/>
        <s v="PRIME URBAN DEVELOPMENT INDIA LTD."/>
        <s v="DHANLAXMI FABRICS LTD."/>
        <s v="SRI LAKSHMI SARASWATHI TEXTILES (ARNI) LTD.-$"/>
        <s v="ZODIAC CLOTHING CO.LTD."/>
        <s v="SRI RAMAKRISHNA MILLS (COIMBATORE) LTD.-$"/>
        <s v="SUPER SPINNING MILLS LTD."/>
        <s v="SIL INVESTMENTS LTD."/>
        <s v="SURYALAKSHMI COTTON MILLS LTD."/>
        <s v="SAMTEX FASHIONS LTD.-$"/>
        <s v="DHANALAXMI ROTO SPINNERS LTD."/>
        <s v="DAMODAR INDUSTRIES LTD.-$"/>
        <s v="SANBLUE CORPORATION LTD."/>
        <s v="UNIROYAL INDUSTRIES LTD."/>
        <s v="TATIA GLOBAL VENNTURE LTD."/>
        <s v="Balgopal Commercial Ltd"/>
        <s v="SRI NACHAMMAI COTTON MILLS LTD.-$"/>
        <s v="KKRRAFTON Developers Ltd"/>
        <s v="SAMBANDAM SPINNING MILLS LTD.-$"/>
        <s v="KANDAGIRI SPINNING MILLS LTD.-$"/>
        <s v="MKP Mobility Ltd"/>
        <s v="PARAS PETROFILS LTD."/>
        <s v="KITEX GARMENTS LTD."/>
        <s v="CRANEX LTD."/>
        <s v="BATLIBOI LTD.-$"/>
        <s v="AUSTIN ENGINEERING CO.LTD."/>
        <s v="UNITED DRILLING TOOLS LTD."/>
        <s v="FLUIDOMAT LTD."/>
        <s v="EMA INDIA LTD."/>
        <s v="WINDSOR MACHINES LTD."/>
        <s v="SHANTHI GEARS LTD."/>
        <s v="MIVEN MACHINE TOOLS LTD."/>
        <s v="Honda India Power Products Ltd"/>
        <s v="The Hi-Tech Gears Ltd"/>
        <s v="Juniper Hotels Ltd"/>
        <s v="UNITED VAN DER HORST LTD."/>
        <s v="KILBURN ENGINEERING LTD."/>
        <s v="BIRLA PRECISION TECHNOLOGIES LTD."/>
        <s v="YUKEN INDIA LTD.-$"/>
        <s v="TBO TEK Ltd"/>
        <s v="VOITH PAPER FABRICS INDIA LTD.-$"/>
        <s v="SOLITAIRE MACHINE TOOLS LTD."/>
        <s v="Tata Motors  Ltd - DVR"/>
        <s v="INDSIL HYDRO POWER AND MANGANESE LTD.-$"/>
        <s v="TMT (INDIA) LTD."/>
        <s v="ITL INDUSTRIES LTD.-$"/>
        <s v="FRONTIER SPRINGS LTD."/>
        <s v="Shriram Pistons"/>
        <s v="RASANDIK ENGINEERING INDUSTRIES INDIA LTD.-$"/>
        <s v="YOGI SUNG-WON (INDIA) LTD."/>
        <s v="HLE Glascoat Ltd"/>
        <s v="GUJARAT APOLLO INDUSTRIES LTD."/>
        <s v="TANEJA AEROSPACE &amp; AVIATION LTD.-$"/>
        <s v="CONART ENGINEERS LTD.-$"/>
        <s v="We Win Ltd"/>
        <s v="SHIVAGRICO IMPLEMENTS LTD."/>
        <s v="M.M.FORGINGS LTD.-$"/>
        <s v="MAYUR UNIQUOTERS LTD.-$"/>
        <s v="CENLUB INDUSTRIES LTD."/>
        <s v="RAJOO ENGINEERS LTD.-$"/>
        <s v="DOLPHIN OFFSHORE ENTERPRISES (INDIA) LTD.-$"/>
        <s v="VEEJAY LAKSHMI ENGINEERING WORKS LTD.-$"/>
        <s v="AHMEDABAD STEELCRAFT LTD."/>
        <s v="GODREJ INDUSTRIES LTD."/>
        <s v="RAM RATNA WIRES LTD.-$"/>
        <s v="JAYASWAL NECO INDUSTRIES LTD."/>
        <s v="SWAN ENERGY LTD."/>
        <s v="PHOENIX INTERNATIONAL LTD."/>
        <s v="Candour Techtex Ltd"/>
        <s v="T &amp; I GLOBAL LTD."/>
        <s v="CONTROL PRINT LTD.-$"/>
        <s v="BEMCO HYDRAULICS LTD."/>
        <s v="ANSAL BUILDWELL LTD.-$"/>
        <s v="WEIZMANN LTD."/>
        <s v="B.N.RATHI SECURITIES LTD."/>
        <s v="RISHI TECHTEX LTD."/>
        <s v="SINCLAIRS HOTELS LTD.-$"/>
        <s v="DCM Shriram Limited"/>
        <s v="BINAYAK TEX PROCESSORS LTD."/>
        <s v="J.J.FINANCE CORPORATION LTD."/>
        <s v="COSMO FERRITES LTD.-$"/>
        <s v="Cropster Agro Ltd"/>
        <s v="FUTURISTIC SECURITIES LTD."/>
        <s v="Minal Industries Limited"/>
        <s v="ADOR MULTIPRODUCTS LTD."/>
        <s v="EIH ASSOCIATED HOTELS LTD.-$"/>
        <s v="MEDI-CAPS LTD.-$"/>
        <s v="Constronics Infra Ltd"/>
        <s v="MORGANITE CRUCIBLE (INDIA) LTD."/>
        <s v="B&amp;A Packaging India Limited"/>
        <s v="ABAN OFFSHORE LTD."/>
        <s v="KOKUYO CAMLIN LTD.-$"/>
        <s v="SRM ENERGY LTD."/>
        <s v="BHARAT SEATS LTD.-$"/>
        <s v="CONTINENTAL PETROLEUMS LTD."/>
        <s v="NB FOOTWEAR LTD."/>
        <s v="MACHINO PLASTICS LTD.-$"/>
        <s v="PEARL POLYMERS LTD."/>
        <s v="VENKY'S (INDIA) LTD."/>
        <s v="ADVANI HOTELS &amp; RESORTS (INDIA) LTD."/>
        <s v="GV FILMS LTD."/>
        <s v="SUPERHOUSE LTD."/>
        <s v="BOMBAY CYCLE &amp; MOTOR AGENCY LTD."/>
        <s v="TCPL PACKAGING LTD.-$"/>
        <s v="SHRI GANG INDUSTRIES AND ALLIED PRODUCTS LTD."/>
        <s v="PURITY FLEX PACK LTD."/>
        <s v="BALMER LAWRIE &amp; CO.LTD."/>
        <s v="KOVAI MEDICAL CENTER &amp; HOSPITAL LTD."/>
        <s v="ELDECO HOUSING &amp; INDUSTRIES LTD."/>
        <s v="MICROSE INDIA LTD."/>
        <s v="3M INDIA LTD."/>
        <s v="DCM SHRIRAM INDUSTRIES LTD.-$"/>
        <s v="MAWANA SUGARS LTD."/>
        <s v="MINI DIAMONDS (INDIA) LTD."/>
        <s v="MAHA RASHTRA APEX CORPORATION LTD."/>
        <s v="NILKAMAL LTD."/>
        <s v="NAHAR POLYFILMS LTD."/>
        <s v="AEGIS LOGISTICS LTD."/>
        <s v="HINDUSTAN PETROLEUM CORPORATION LTD."/>
        <s v="MANGALORE REFINERY &amp; PETROCHEMICALS LTD."/>
        <s v="ADC India Communications Limited-$"/>
        <s v="TAMILNADU TELECOMMUNICATIONS LTD."/>
        <s v="SUNRAJ DIAMOND EXPORTS LTD."/>
        <s v="Evans Electric Ltd"/>
        <s v="CHENNAI PETROLEUM CORPORATION LTD."/>
        <s v="IND BANK HOUSING LTD."/>
        <s v="JAI MATA GLASS LTD."/>
        <s v="LOTUS CHOCOLATE CO.LTD."/>
        <s v="PACIFIC INDUSTRIES LTD."/>
        <s v="CHENNAI MEENAKSHI MULTISPECIALITY HOSPITAL LTD.-$"/>
        <s v="Sunrise Efficient Marketing Ltd"/>
        <s v="APM INDUSTRIES LTD.-$"/>
        <s v="PRECISION WIRES INDIA LTD."/>
        <s v="KRYPTON INDUSTRIES LTD."/>
        <s v="Swiss Military Consumer Goods Ltd"/>
        <s v="MARTIN BURN LTD."/>
        <s v="Future Enterprises Ltd"/>
        <s v="INDIAN TONERS &amp; DEVELOPERS LTD.-$"/>
        <s v="KUNSTSTOFFE INDUSTRIES LTD."/>
        <s v="GINI SILK MILLS LTD.-$"/>
        <s v="SIKA INTERPLANT SYSTEMS LTD."/>
        <s v="Oil and Natural Gas Corporation Ltd"/>
        <s v="UR Sugar Industries Ltd"/>
        <s v="PHAARMASIA LTD."/>
        <s v="Poddar Housing and Development Ltd"/>
        <s v="RELIANCE INDUSTRIES LTD."/>
        <s v="IP RINGS LTD.-$"/>
        <s v="BHARAT PETROLEUM CORPORATION LTD."/>
        <s v="PLASTIBLENDS INDIA LTD.-$"/>
        <s v="Ekansh Concepts Ltd"/>
        <s v="Kkalpana Plastick Limited"/>
        <s v="WATERBASE LTD."/>
        <s v="FLEX FOODS LTD.-$"/>
        <s v="GOLKUNDA DIAMONDS &amp; JEWELLERY LTD."/>
        <s v="APCOTEX INDUSTRIES LTD."/>
        <s v="Fortis Malar Hospitals Limited"/>
        <s v="CASTROL INDIA LTD."/>
        <s v="EIMCO ELECON (INDIA) LTD."/>
        <s v="SAYAJI HOTELS LTD."/>
        <s v="JMG CORPORATION LTD."/>
        <s v="ASHIANA HOUSING LTD.-$"/>
        <s v="SVAM SOFTWARE LTD."/>
        <s v="ECOBOARD INDUSTRIES LTD."/>
        <s v="Dhunseri Ventures Ltd-$"/>
        <s v="Trans India House Impex Ltd"/>
        <s v="Mahindra EPC Irrigation Ltd"/>
        <s v="ITCONS E-Solutions Ltd"/>
        <s v="SHUKRA JEWELLERS LTD."/>
        <s v="MAZDA LTD.-$"/>
        <s v="SOVEREIGN DIAMONDS LTD."/>
        <s v="MENON BEARINGS LTD.-$"/>
        <s v="MUKAT PIPES LTD.-$"/>
        <s v="GUJARAT RAFFIA INDUSTRIES LTD."/>
        <s v="SIMPLEX INFRASTRUCTURES LTD."/>
        <s v="INNOVATIVE TECH PACK LTD."/>
        <s v="Super Tannery Limited"/>
        <s v="Ganesha Ecoverse Ltd"/>
        <s v="AXTEL INDUSTRIES LTD."/>
        <s v="V R WOODART LTD."/>
        <s v="MONOTYPE INDIA LTD."/>
        <s v="SANDUR MANGANESE &amp; IRON ORES LTD."/>
        <s v="HINDUSTAN FLUOROCARBONS LTD."/>
        <s v="Kingfa Science &amp; Technology (India) Ltd-$"/>
        <s v="Patidar Buildcon Limited"/>
        <s v="RAMA PHOSPHATES LTD."/>
        <s v="VENLON ENTERPRISES LTD."/>
        <s v="PET PLASTICS LTD."/>
        <s v="POLYPLEX CORPORATION LTD."/>
        <s v="ALBERT DAVID LTD.-$"/>
        <s v="HARYANA LEATHER CHEMICALS LTD."/>
        <s v="Carysil Ltd"/>
        <s v="KABRA EXTRUSIONTECHNIK LTD."/>
        <s v="VINYL CHEMICALS (INDIA) LTD."/>
        <s v="PEE CEE COSMA SOPE LTD."/>
        <s v="TCM LTD."/>
        <s v="IOL CHEMICALS &amp; PHARMACEUTICALS LTD."/>
        <s v="KESAR PETROPRODUCTS LTD."/>
        <s v="INDIAN OIL CORPORATION LTD."/>
        <s v="LACTOSE (INDIA) LTD."/>
        <s v="TEESTA AGRO INDUSTRIES LTD."/>
        <s v="GAIL (INDIA) LTD."/>
        <s v="PENTOKEY ORGANY (INDIA) LTD."/>
        <s v="WANBURY LTD."/>
        <s v="RESONANCE SPECIALTIES LTD.-$"/>
        <s v="INDRAPRASTHA GAS LTD."/>
        <s v="PETRONET LNG LTD."/>
        <s v="KOPRAN LTD."/>
        <s v="AIMCO PESTICIDES LTD."/>
        <s v="GUJARAT TERCE LABORATORIES LTD."/>
        <s v="SEYA INDUSTRIES LTD."/>
        <s v="JAYANT AGRO-ORGANICS LTD."/>
        <s v="BCL Industries Ltd-$"/>
        <s v="SHREE HARI CHEMICALS EXPORT LTD."/>
        <s v="INDO BORAX &amp; CHEMICALS LTD.-$"/>
        <s v="AARTI DRUGS LTD."/>
        <s v="BODAL CHEMICALS LTD."/>
        <s v="GUJARAT STATE PETRONET LTD."/>
        <s v="VIMTA LABS LTD.-$"/>
        <s v="BIOFIL CHEMICALS &amp; PHARMACEUTICALS LTD."/>
        <s v="ISHITA DRUGS &amp; INDUSTRIES LTD."/>
        <s v="OIL INDIA LTD."/>
        <s v="UNIVERSAL STARCH-CHEM ALLIED LTD."/>
        <s v="AAREY DRUGS &amp; PHARMACEUTICALS LTD."/>
        <s v="WALCHAND PEOPLEFIRST LTD."/>
        <s v="ASIAN PETROPRODUCTS &amp; EXPORTS LTD."/>
        <s v="CAMEX LTD."/>
        <s v="Evexia Lifecare Ltd"/>
        <s v="INDO EURO INDCHEM LTD."/>
        <s v="SYNCOM FORMULATIONS (INDIA) LTD.-$"/>
        <s v="DMR Hydroengineering &amp; Infrastructures Ltd"/>
        <s v="Jet Freight Logistics Ltd"/>
        <s v="COAL INDIA LTD."/>
        <s v="KILITCH DRUGS (INDIA) LTD."/>
        <s v="RAAJ MEDISAFE INDIA LTD."/>
        <s v="SVC INDUSTRIES Ltd"/>
        <s v="CORAL LABORATORIES LTD."/>
        <s v="TULASEE BIO-ETHANOL LTD."/>
        <s v="BACIL PHARMA LTD."/>
        <s v="KREBS BIOCHEMICALS &amp; INDUSTRIES LTD.-$"/>
        <s v="KMC SPECIALITY HOSPITALS (INDIA) LTD."/>
        <s v="LAFFANS PETROCHEMICALS LTD.-$"/>
        <s v="BHASKAR AGROCHEMICALS LTD."/>
        <s v="SUKHJIT STARCH &amp; CHEMICALS LTD.-$"/>
        <s v="Satiate Agri Ltd"/>
        <s v="SHARMA EAST INDIA HOSPITALS &amp; MEDICAL RESEARCH LTD."/>
        <s v="Gulf Oil Lubricants India Ltd"/>
        <s v="GAYATRI BIOORGANICS LTD."/>
        <s v="PODDAR PIGMENTS LTD.-$"/>
        <s v="PHARMAIDS PHARMACEUTICALS LTD."/>
        <s v="VIVID GLOBAL INDUSTRIES LTD."/>
        <s v="ABC INDIA LTD.-$"/>
        <s v="TIRUPATI STARCH &amp; CHEMICALS LTD."/>
        <s v="DRA Consultants Ltd"/>
        <s v="JD ORGOCHEM LTD."/>
        <s v="Aeonx Digital Technology Ltd"/>
        <s v="AKSHARCHEM (INDIA) LTD.-$"/>
        <s v="Bandaram Pharma Packtech Ltd"/>
        <s v="Adline Chem Lab Ltd"/>
        <s v="BERYL DRUGS LTD."/>
        <s v="IEL Ltd"/>
        <s v="iStreet Network Limited"/>
        <s v="GAGAN GASES LTD."/>
        <s v="Zodiac Ventures Limited"/>
        <s v="Shukra Pharmaceuticals Ltd"/>
        <s v="ALUFLUORIDE LTD."/>
        <s v="Oxygenta Pharmaceutical Ltd"/>
        <s v="ARCHIT ORGANOSYS LTD."/>
        <s v="Sikozy Realtors Limited"/>
        <s v="INDO AMINES LTD.-$"/>
        <s v="IND-SWIFT LTD."/>
        <s v="NATURAL CAPSULES LTD."/>
        <s v="WELCURE DRUGS &amp; PHARMACEUTICALS LTD."/>
        <s v="BHARAT IMMUNOLOGICALS &amp; BIOLOGICALS CORPORATION LTD.-$"/>
        <s v="SAVITA OIL TECHNOLOGIES LTD."/>
        <s v="HESTER BIOSCIENCES LTD."/>
        <s v="Johnson Pharmacare Ltd"/>
        <s v="BASANT AGRO TECH (INDIA) LTD.-$"/>
        <s v="SANDU PHARMACEUTICALS LTD."/>
        <s v="NACL Industries Ltd"/>
        <s v="VISTA PHARMACEUTICALS LTD."/>
        <s v="Gujarat Gas Ltd"/>
        <s v="TITAN BIOTECH LTD."/>
        <s v="Ashnisha Industries Ltd"/>
        <s v="Span Divergent Ltd-$"/>
        <s v="JENBURKT PHARMACEUTICALS LTD."/>
        <s v="HIKAL LTD."/>
        <s v="Mahanagar Gas Ltd"/>
        <s v="Fischer Medical Ventures Ltd"/>
        <s v="LINK PHARMA CHEM LTD."/>
        <s v="Decipher Labs Ltd"/>
        <s v="EMMESSAR BIOTECH &amp; NUTRITION LTD."/>
        <s v="NGL FINE-CHEM LTD."/>
        <s v="EVEREST ORGANICS LTD."/>
        <s v="Adani Total Gas Ltd"/>
        <s v="PHYTO CHEM (INDIA) LTD."/>
        <s v="Bajaj Hindusthan Sugar Limited"/>
        <s v="DYNAMIC INDUSTRIES LTD.-$"/>
        <s v="PANAMA PETROCHEM LTD."/>
        <s v="BAL PHARMA LTD."/>
        <s v="BDH INDUSTRIES LTD."/>
        <s v="JAUSS POLYMERS LTD."/>
        <s v="Globus Constructors &amp; Developers Limited"/>
        <s v="CUBEX TUBINGS LTD."/>
        <s v="POLYMECHPLAST MACHINES LTD."/>
        <s v="STELLANT SECURITIES (INDIA) LTD."/>
        <s v="GALAXY BEARINGS LTD."/>
        <s v="SC Agrotech Ltd"/>
        <s v="RAVILEELA GRANITES LTD."/>
        <s v="UNIROYAL MARINE EXPORTS LTD."/>
        <s v="KARAN WOO-SIN LTD."/>
        <s v="SHERVANI INDUSTRIAL SYNDICATE LTD."/>
        <s v="ROSE MERC.LTD."/>
        <s v="SUPERTEX INDUSTRIES LTD."/>
        <s v="SHETRON LTD."/>
        <s v="TRANSGENE BIOTEK LTD."/>
        <s v="MPL Plastics Limited"/>
        <s v="NIKHIL ADHESIVES LTD.-$"/>
        <s v="SPENTA INTERNATIONAL LTD."/>
        <s v="MULTIBASE INDIA LTD."/>
        <s v="ANDREW YULE &amp; COMPANY LTD."/>
        <s v="LUDLOW JUTE &amp; SPECIALITIES LTD."/>
        <s v="ASHRAM ONLINE.COM LTD."/>
        <s v="ROYAL CUSHION VINYL PRODUCTS LTD.-$"/>
        <s v="SURAJ INDUSTRIES LTD."/>
        <s v="Hitech Corporation Ltd-$"/>
        <s v="BLOOM DEKOR LTD.-$"/>
        <s v="FILATEX INDIA LTD.-$"/>
        <s v="STANDARD SURFACTANTS LTD."/>
        <s v="MORGAN VENTURES LTD."/>
        <s v="Prismx Global Ventures Ltd"/>
        <s v="PREMIER EXPLOSIVES LTD."/>
        <s v="MID EAST PORTFOLIO MANAGEMENT LTD."/>
        <s v="MOLD-TEK TECHNOLOGIES LTD."/>
        <s v="CRESTCHEM LTD."/>
        <s v="BALRAMPUR CHINI MILLS LTD."/>
        <s v="MEDINOVA DIAGNOSTIC SERVICES LTD."/>
        <s v="Divyashakti Ltd"/>
        <s v="ORIENT PRESS LTD."/>
        <s v="SHREYAS INTERMEDIATES LTD."/>
        <s v="PANJON LTD."/>
        <s v="Nirbhay Colours India Ltd"/>
        <s v="DUROPACK LTD."/>
        <s v="Swarnsarita Jewels India Ltd"/>
        <s v="DABUR INDIA LTD."/>
        <s v="GODFREY PHILLIPS INDIA LTD."/>
        <s v="CINDRELLA HOTELS LTD.-$"/>
        <s v="BALURGHAT TECHNOLOGIES LTD."/>
        <s v="ALPHAGEO (INDIA) LTD.-$"/>
        <s v="Hampton Sky Realty Ltd"/>
        <s v="Kkalpana Industries (India) Ltd"/>
        <s v="OK PLAY INDIA LTD."/>
        <s v="KRITI INDUSTRIES (INDIA) LTD.-$"/>
        <s v="ASM TECHNOLOGIES LTD."/>
        <s v="PERFECTPAC LTD."/>
        <s v="ERP SOFT SYSTEMS LTD."/>
        <s v="VISION CINEMAS LTD."/>
        <s v="DATASOFT APPLICATION SOFTWARE (INDIA) LTD."/>
        <s v="INDRAYANI BIOTECH LTD."/>
        <s v="EURO LEDER FASHION LTD."/>
        <s v="WINSOME BREWERIES LTD."/>
        <s v="ELEGANT FLORICULTURE &amp; AGROTECH (INDIA) LTD."/>
        <s v="SKY INDUSTRIES LTD.-$"/>
        <s v="Flomic Global Logistics Ltd"/>
        <s v="Bhudevi Infra Projects Ltd"/>
        <s v="PRATIK PANELS LTD."/>
        <s v="Rishiroop Ltd"/>
        <s v="Promact Impex Ltd"/>
        <s v="STERLING GREEN WOODS LTD."/>
        <s v="SYSTEMATIX CORPORATE SERVICES LTD."/>
        <s v="ARTEFACT PROJECTS LTD."/>
        <s v="ALPINE HOUSING DEVELOPMENT CORPORATION LTD."/>
        <s v="SANGHI INDUSTRIES LTD."/>
        <s v="SALORA INTERNATIONAL LTD."/>
        <s v="Kaiser Corporation Limited"/>
        <s v="Square Four Projects India Limited"/>
        <s v="SCANPOINT GEOMATICS LTD."/>
        <s v="CHOKSI LABORATORIES LTD."/>
        <s v="Country Club Hospitality &amp; Holidays Ltd"/>
        <s v="LONGVIEW TEA COMPANY LTD."/>
        <s v="MIDWEST GOLD LTD."/>
        <s v="ICDS LTD."/>
        <s v="TECHINDIA NIRMAN LIMITED"/>
        <s v="TPL PLASTECH LTD."/>
        <s v="WIM PLAST LTD.-$"/>
        <s v="PHOTOQUIP INDIA LTD."/>
        <s v="LIBERTY SHOES LTD."/>
        <s v="LIPPI SYSTEMS LTD.-$"/>
        <s v="ELECTROTHERM (INDIA) LTD."/>
        <s v="FERVENT SYNERGIES LTD."/>
        <s v="EXPO GAS CONTAINERS LTD."/>
        <s v="NATIONAL PLASTIC INDUSTRIES LTD."/>
        <s v="Sellwin Traders Ltd"/>
        <s v="TEXEL INDUSTRIES LTD."/>
        <s v="ROYALE MANOR HOTELS &amp; INDUSTRIES LTD."/>
        <s v="MIRZA INTERNATIONAL LTD."/>
        <s v="TOURISM FINANCE CORPORATION OF INDIA LTD."/>
        <s v="THAKKERS DEVELOPERS LTD."/>
        <s v="RAJDARSHAN INDUSTRIES LTD."/>
        <s v="BHARTIYA INTERNATIONAL LTD."/>
        <s v="KAMAT HOTELS (INDIA) LTD."/>
        <s v="CONTIL INDIA LTD."/>
        <s v="DSJ keep Learning Ltd"/>
        <s v="POLO HOTELS LTD."/>
        <s v="ECOPLAST LTD.-$"/>
        <s v="ELEGANT MARBLES &amp; GRANI INDUSTRIES LTD."/>
        <s v="BITS LTD."/>
        <s v="ADARSH PLANT PROTECT LTD."/>
        <s v="HCP Plastene Bulkpack Ltd"/>
        <s v="NICCO PARKS &amp; RESORTS LTD.-$"/>
        <s v="NTC INDUSTRIES LTD."/>
        <s v="SANDESH LTD."/>
        <s v="GARNET CONSTRUCTION LTD."/>
        <s v="GOLDIAM INTERNATIONAL LTD."/>
        <s v="BRIGHT BROTHERS LTD.-$"/>
        <s v="NARMADA GELATINES LTD."/>
        <s v="PG FOILS LTD."/>
        <s v="GRATEX INDUSTRIES LTD."/>
        <s v="VELAN HOTELS LTD."/>
        <s v="HOWARD HOTELS LTD."/>
        <s v="PRESSURE SENSITIVE SYSTEMS (INDIA) LTD."/>
        <s v="VALIANT COMMUNICATIONS LTD.-$"/>
        <s v="DR.AGARWALS EYE HOSPITAL LTD.-$"/>
        <s v="MAHARASHTRA CORPORATION LTD."/>
        <s v="GREENPLY INDUSTRIES LTD."/>
        <s v="SAI CAPITAL LTD."/>
        <s v="RAGHUNATH INTERNATIONAL LTD."/>
        <s v="CHEVIOT CO.LTD.-$"/>
        <s v="DAI-ICHI KARKARIA LTD.-$"/>
        <s v="Rajeswari Infrastructure Limited"/>
        <s v="Spice Islands Industries Ltd-$"/>
        <s v="CONFIDENCE PETROLEUM INDIA LTD."/>
        <s v="SHELTER INFRA PROJECTS LTD.-$"/>
        <s v="SHAKTI PRESS LTD."/>
        <s v="ASHIRWAD STEELS &amp; INDUSTRIES LTD."/>
        <s v="BANARAS BEADS LTD."/>
        <s v="AREX INDUSTRIES LTD."/>
        <s v="BILCARE LTD.-$"/>
        <s v="ISF LIMITED"/>
        <s v="RISHI LASER LTD."/>
        <s v="SecUR Credentials Ltd"/>
        <s v="KUMBHAT FINANCIAL SERVICES LTD."/>
        <s v="INTEC CAPITAL LTD."/>
        <s v="RAJASTHAN GASES LTD."/>
        <s v="Suncare Traders Ltd"/>
        <s v="63 Moons Technologies Ltd"/>
        <s v="SARLA PERFORMANCE FIBERS LTD.-$"/>
        <s v="MARKET CREATORS LTD."/>
        <s v="Himalaya Food International Ltd"/>
        <s v="SONAL ADHESIVES LTD."/>
        <s v="Padmanabh Industries Limited"/>
        <s v="TWENTYFIRST CENTURY MANAGEMENT SERVICES LTD."/>
        <s v="HARIYANA SHIP BREAKERS LTD.-$"/>
        <s v="Arunis Abode Ltd"/>
        <s v="TYROON TEA CO.LTD."/>
        <s v="LA OPALA RG LTD."/>
        <s v="Stylam Industries Limited"/>
        <s v="VENUS REMEDIES LTD."/>
        <s v="WOODSVILLA LTD."/>
        <s v="Last Mile Enterprises Ltd"/>
        <s v="GUJARAT CRAFT INDUSTRIES LTD."/>
        <s v="HEERA ISPAT LTD."/>
        <s v="CHANDRA PRABHU INTERNATIONAL LTD.-$"/>
        <s v="Crimson Metal Engineering Company Ltd"/>
        <s v="Shri Bajrang Alliance Ltd"/>
        <s v="ASHOKA REFINERIES LTD."/>
        <s v="URJA GLOBAL LTD."/>
        <s v="ASHAPURA MINECHEM LTD."/>
        <s v="SHREE PACETRONIX LTD."/>
        <s v="Patanjali Foods Ltd"/>
        <s v="PROCTER &amp; GAMBLE HYGIENE &amp; HEALTH CARE LTD."/>
        <s v="HINDUSTAN UNILEVER LTD."/>
        <s v="MANGALORE CHEMICALS &amp; FERTILIZERS LTD."/>
        <s v="STANDARD INDUSTRIES LTD."/>
        <s v="NESTLE INDIA LTD."/>
        <s v="The Investment Trust Of India Ltd"/>
        <s v="LESHA INDUSTRIES LTD."/>
        <s v="AADI INDUSTRIES LTD."/>
        <s v="SANTOSH FINE-FAB LTD."/>
        <s v="SREE JAYALAKSHMI AUTOSPIN LTD."/>
        <s v="ACKNIT INDUSTRIES LTD."/>
        <s v="TITAN SECURITIES LTD."/>
        <s v="Real Eco-Energy Ltd"/>
        <s v="SAWACA BUSINESS MACHINES LTD."/>
        <s v="Vivanza Biosciences Ltd"/>
        <s v="YASHRAJ CONTAINEURS LTD."/>
        <s v="Lords Ishwar Hotels Limited"/>
        <s v="CSL Finance Ltd"/>
        <s v="SANGHVI MOVERS LTD."/>
        <s v="SELAN EXPLORATION TECHNOLOGY LTD.-$"/>
        <s v="FRESHTROP FRUITS LTD."/>
        <s v="FAZE THREE LTD.-$"/>
        <s v="Pradhin Ltd"/>
        <s v="Anupam Finserv Ltd"/>
        <s v="RAJ PACKAGING INDUSTRIES LTD."/>
        <s v="Tata Consumer Products Ltd"/>
        <s v="NATRAJ PROTEINS LTD."/>
        <s v="SAMRAT PHARMACHEM LTD.-$"/>
        <s v="NPR FINANCE LTD."/>
        <s v="NILE LTD."/>
        <s v="UDAIPUR CEMENT WORKS LTD."/>
        <s v="AMCO INDIA LTD.-$"/>
        <s v="Optiemus Infracom Ltd"/>
        <s v="KREON FINNANCIAL SERVICES LTD."/>
        <s v="GYAN DEVELOPERS &amp; BUILDERS LTD."/>
        <s v="KISAN MOULDINGS LTD.-$"/>
        <s v="Starlog Enterprises Ltd"/>
        <s v="KERALA AYURVEDA LTD."/>
        <s v="MOONGIPA CAPITAL FINANCE LTD."/>
        <s v="MOHIT PAPER MILLS LTD."/>
        <s v="DAULAT SECURITIES LTD."/>
        <s v="OSCAR GLOBAL LTD."/>
        <s v="ODYSSEY TECHNOLOGIES LTD.-$"/>
        <s v="Surat Trade and Mercantile Ltd"/>
        <s v="ATHARV ENTERPRISES LTD."/>
        <s v="Fundviser Capital (India) Ltd"/>
        <s v="THEMIS MEDICARE LTD."/>
        <s v="Kallam Textiles Ltd-$"/>
        <s v="BRAWN BIOTECH LTD."/>
        <s v="KABSONS INDUSTRIES LTD."/>
        <s v="Kings Infra Ventures Limited"/>
        <s v="SUBHASH SILK MILLS LTD."/>
        <s v="AURO LABORATORIES LTD."/>
        <s v="KJMC FINANCIAL SERVICES LTD."/>
        <s v="SUVEN LIFE SCIENCES LTD."/>
        <s v="ARYAMAN FINANCIAL SERVICES LTD."/>
        <s v="BRIDGE SECURITIES LTD."/>
        <s v="Megri Soft Ltd"/>
        <s v="RAJASTHAN TUBE MANUFACTURING CO.LTD."/>
        <s v="KAY POWER AND PAPER LTD."/>
        <s v="Getalong Enterprise Ltd"/>
        <s v="GLOBAL CAPITAL MARKETS LTD."/>
        <s v="SAINIK FINANCE &amp; INDUSTRIES LTD."/>
        <s v="Arigato Universe Ltd"/>
        <s v="QUANTUM DIGITAL VISION (INDIA) LTD."/>
        <s v="Hemang Resources Ltd"/>
        <s v="Paos Industries Ltd"/>
        <s v="GRANDMA TRADING &amp; AGENCIES LTD."/>
        <s v="BRITANNIA INDUSTRIES LTD."/>
        <s v="CHAMAN LAL SETIA EXPORTS LTD.-$"/>
        <s v="INFORMED TECHNOLOGIES INDIA LTD."/>
        <s v="Kimia Biosciences Ltd"/>
        <s v="HINDUSTAN TIN WORKS LTD.-$"/>
        <s v="GODAVARI DRUGS LTD."/>
        <s v="PREMCO GLOBAL LTD.-$"/>
        <s v="MUKESH BABU FINANCIAL SERVICES LTD."/>
        <s v="COLGATE-PALMOLIVE (INDIA) LTD."/>
        <s v="Asian Energy Services Ltd"/>
        <s v="KBS INDIA LIMITED"/>
        <s v="Prabhhans Industries Ltd"/>
        <s v="UGAR SUGAR WORKS LTD.-$"/>
        <s v="ORIENT BELL LIMITED-$"/>
        <s v="NRB BEARINGS LTD."/>
        <s v="VAMSHI RUBBER LTD."/>
        <s v="NILA INFRASTRUCTURES LTD."/>
        <s v="DB (INTERNATIONAL) STOCK BROKERS LTD."/>
        <s v="VINYOFLEX LTD."/>
        <s v="JINDAL CAPITAL LTD."/>
        <s v="EPIC ENERGY LTD.-$"/>
        <s v="SUMEDHA FISCAL SERVICES LTD."/>
        <s v="KUWER INDUSTRIES LTD."/>
        <s v="CHOKSI IMAGING LTD."/>
        <s v="ASHISH POLYPLAST LTD."/>
        <s v="ADOR FONTECH LTD.-$"/>
        <s v="SHIVA GLOBAL AGRO INDUSTRIES LTD."/>
        <s v="SIDDHA VENTURES LTD."/>
        <s v="KIRAN SYNTEX LTD."/>
        <s v="Safa Systems &amp; Technologies Ltd"/>
        <s v="RUNGTA IRRIGATION LTD."/>
        <s v="CINERAD COMMUNICATIONS LTD."/>
        <s v="VALSON INDUSTRIES LTD.-$"/>
        <s v="SABOO SODIUM CHLORO LTD."/>
        <s v="GSL SECURITIES LTD."/>
        <s v="Tinna Rubber and Infrastructure Limited"/>
        <s v="VIKRAM THERMO (INDIA) LTD."/>
        <s v="FUTURE MARKET NETWORKS LTD."/>
        <s v="A.K.CAPITAL SERVICES LTD."/>
        <s v="ITC LTD."/>
        <s v="VIRAT INDUSTRIES LTD."/>
        <s v="Rajnish Retail Ltd"/>
        <s v="TERAI TEA CO.LTD."/>
        <s v="MANRAJ HOUSING FINANCE LTD."/>
        <s v="COSCO (INDIA) LTD.-$"/>
        <s v="KEN FINANCIAL SERVICES LTD."/>
        <s v="BOMBAY BURMAH TRADING CORP.LTD."/>
        <s v="PARAMOUNT COMMUNICATIONS LTD.-$"/>
        <s v="NCL RESEARCH &amp; FINANCIAL SERVICES LTD."/>
        <s v="Popees Cares Ltd"/>
        <s v="Beekay Niryat Ltd"/>
        <s v="LADDERUP FINANCE LTD."/>
        <s v="U. Y. Fincorp Ltd"/>
        <s v="Rithwik Facility Management Services Ltd"/>
        <s v="SWASTIKA INVESTMART LTD."/>
        <s v="PRIMA PLASTICS LTD."/>
        <s v="TELECANOR GLOBAL LTD."/>
        <s v="JAGSONPAL FINANCE &amp; LEASING LTD."/>
        <s v="GARG FURNACE LTD."/>
        <s v="SAMPRE NUTRITIONS LTD."/>
        <s v="Akar Auto Industries Ltd"/>
        <s v="Vipul Organics Ltd"/>
        <s v="ECO RECYCLING LTD."/>
        <s v="Goodluck India Ltd"/>
        <s v="GOYAL ASSOCIATES LTD."/>
        <s v="ZENITH HEALTH CARE LTD."/>
        <s v="YORK EXPORTS LTD."/>
        <s v="SUPREME HOLDINGS &amp; HOSPITALITY (INDIA) LTD."/>
        <s v="Greencrest Financial Services Limited"/>
        <s v="PRIME PROPERTY DEVELOPMENT CORPORATION LTD.-$"/>
        <s v="Markobenz Ventures Ltd"/>
        <s v="Raj Rayon Industries Limited-$"/>
        <s v="FLORA TEXTILES LTD."/>
        <s v="GOWRA LEASING &amp; FINANCE LTD."/>
        <s v="JAGAN LAMPS LTD."/>
        <s v="AJEL LTD."/>
        <s v="ALPS INDUSTRIES LTD."/>
        <s v="ASIT C.MEHTA FINANCIAL SERVICES LTD."/>
        <s v="Encode Packaging India Ltd"/>
        <s v="SUPER BAKERS (INDIA) LTD."/>
        <s v="OVOBEL FOODS LTD."/>
        <s v="Challani Capital Ltd"/>
        <s v="CORAL NEWSPRINTS LTD."/>
        <s v="STERLING TOOLS LTD.-$"/>
        <s v="Agarwal Fortune India Ltd"/>
        <s v="DYNAMIC PORTFOLIO MANAGEMENT &amp; SERVICES LTD."/>
        <s v="INLAND PRINTERS LTD."/>
        <s v="CEEJAY FINANCE LTD."/>
        <s v="SUNCITY SYNTHETICS LTD."/>
        <s v="Transvoy Logistics India Ltd"/>
        <s v="ANNA INFRASTRUCTURES LTD."/>
        <s v="Bhageria Industries Ltd"/>
        <s v="Cargosol Logistics Ltd"/>
        <s v="ASIAN TEA &amp; EXPORTS LTD.-$"/>
        <s v="GILLETTE INDIA LTD."/>
        <s v="SSPDL LTD.-$"/>
        <s v="DAIKAFFIL CHEMICALS INDIA LTD."/>
        <s v="CIL SECURITIES LTD."/>
        <s v="CLIO INFOTECH LTD."/>
        <s v="CUPID LTD.-$"/>
        <s v="SUNSHIELD CHEMICALS LTD."/>
        <s v="HIPOLIN LTD."/>
        <s v="GDL LEASING &amp; FINANCE LTD."/>
        <s v="CHEMBOND CHEMICALS LTD.-$"/>
        <s v="Capital India Finance Ltd"/>
        <s v="Arunjyoti Bio Ventures Ltd"/>
        <s v="SUPER CROP SAFE LTD."/>
        <s v="N.G.INDUSTRIES LTD.-$"/>
        <s v="ASIA PACK LTD."/>
        <s v="DHANLAXMI COTEX LTD."/>
        <s v="FORTUNE INTERNATIONAL LTD."/>
        <s v="MFL INDIA LTD."/>
        <s v="REMSONS INDUSTRIES LTD."/>
        <s v="RAMSONS PROJECTS LTD."/>
        <s v="HARYANA FINANCIAL CORPORATION LTD."/>
        <s v="Danube Industries Ltd"/>
        <s v="STANPACKS (INDIA) LTD."/>
        <s v="SRI ADHIKARI BROTHERS TELEVISION NETWORK LTD."/>
        <s v="RAMINFO LIMITED"/>
        <s v="SUNIL AGRO FOODS LTD.-$"/>
        <s v="DIANA TEA CO.LTD."/>
        <s v="Vikas EcoTech Ltd"/>
        <s v="VST INDUSTRIES LTD."/>
        <s v="ALFA ICA (INDIA) LTD."/>
        <s v="Shri Keshav Cements And Infra Ltd"/>
        <s v="INDIA HOME LOAN LTD."/>
        <s v="ROOPA INDUSTRIES LTD."/>
        <s v="UNIQUE ORGANICS LTD."/>
        <s v="AVANTI FEEDS LTD.-$"/>
        <s v="SWARNA SECURITIES LTD."/>
        <s v="KRATOS ENERGY &amp; INFRASTRUCTURE LTD."/>
        <s v="VISAGAR FINANCIAL SERVICES LTD."/>
        <s v="LIBORD SECURITIES LTD."/>
        <s v="Eraaya Lifespaces Ltd"/>
        <s v="COMPETENT AUTOMOBILES CO.LTD."/>
        <s v="DHANVANTRI JEEVAN REKHA LTD."/>
        <s v="NEELKANTH ROCKMINERALS LTD."/>
        <s v="VINTAGE SECURITIES LTD."/>
        <s v="OSWAL OVERSEAS LTD."/>
        <s v="SUNIL INDUSTRIES LTD."/>
        <s v="VIJAY SOLVEX LTD."/>
        <s v="SHRI KRISHNA DEVCON LTD."/>
        <s v="Innovative Ideals and Services (India) Ltd"/>
        <s v="NIHAR INFO GLOBAL LTD."/>
        <s v="UNITED CREDIT LTD."/>
        <s v="OM Infra Ltd"/>
        <s v="Checkpoint Trends Ltd"/>
        <s v="ISHAN DYES &amp; CHEMICALS LTD."/>
        <s v="GOTHI PLASCON (INDIA) LTD."/>
        <s v="Balu Forge Industries Ltd"/>
        <s v="CEENIK EXPORTS (INDIA) LTD."/>
        <s v="HINDUSTAN FOODS LTD."/>
        <s v="INANI MARBLES &amp; INDUSTRIES LTD."/>
        <s v="Tarini International Ltd"/>
        <s v="EL FORGE LTD.-$"/>
        <s v="MEDICAMEN BIOTECH LTD.-$"/>
        <s v="Alicon Castalloy Limited"/>
        <s v="DILIGENT INDUSTRIES LTD."/>
        <s v="EPSOM PROPERTIES LTD."/>
        <s v="ALFAVISION OVERSEAS (INDIA) LTD."/>
        <s v="ORGANIC COATINGS LTD."/>
        <s v="Lex Nimble Solutions Ltd"/>
        <s v="ABM KNOWLEDGEWARE LTD."/>
        <s v="Heritage Foods Limited"/>
        <s v="Kemistar Corporation Limited"/>
        <s v="ASSOCIATED CERAMICS LTD."/>
        <s v="SKP SECURITIES LTD."/>
        <s v="SYSCHEM (INDIA) LTD."/>
        <s v="BLS INFOTECH LTD."/>
        <s v="MEFCOM CAPITAL MARKETS LTD."/>
        <s v="Diggi Multitrade Ltd"/>
        <s v="ARMAN FINANCIAL SERVICES LTD."/>
        <s v="GLANCE FINANCE LTD."/>
        <s v="SHILCHAR TECHNOLOGIES LTD."/>
        <s v="Zenlabs Ethica Ltd"/>
        <s v="Gconnect Logitech and Supply Chain Ltd"/>
        <s v="NUCLEUS SOFTWARE EXPORTS LTD."/>
        <s v="COLINZ LABORATORIES LTD."/>
        <s v="NALIN LEASE FINANCE LTD."/>
        <s v="CCL PRODUCTS (INDIA) LTD."/>
        <s v="RTS POWER CORPORATION LTD."/>
        <s v="COMFORT INTECH LTD.-$"/>
        <s v="SHYAMA INFOSYS LTD."/>
        <s v="MAYUR FLOORINGS LTD."/>
        <s v="ANJANI SYNTHETICS LTD.-$"/>
        <s v="Xtglobal Infotech Ltd"/>
        <s v="DECO-MICA LTD."/>
        <s v="RANDER CORPORATION LTD."/>
        <s v="RASI ELECTRODES LTD."/>
        <s v="Scoobee Day Garments (India) Ltd"/>
        <s v="CITIPORT FINANCIAL SERVICES LTD."/>
        <s v="DHRUVA CAPITAL SERVICES LTD."/>
        <s v="MRC Agrotech Ltd"/>
        <s v="Linc Ltd-$"/>
        <s v="PRIMA INDUSTRIES LTD."/>
        <s v="INDIA GELATINE &amp; CHEMICALS LTD.-$"/>
        <s v="Optimus Finance Ltd"/>
        <s v="PARAGON FINANCE LTD."/>
        <s v="PRATIKSHA CHEMICALS LTD."/>
        <s v="Esha Media Research Limited"/>
        <s v="Refex Renewables &amp; Infrastructure Ltd"/>
        <s v="V.S.T.TILLERS TRACTORS LTD.-$"/>
        <s v="B2B SOFTWARE TECHNOLOGIES LTD."/>
        <s v="NIKKI GLOBAL FINANCE LTD."/>
        <s v="RADHE DEVELOPERS (INDIA) LTD."/>
        <s v="Elixir Capital Ltd"/>
        <s v="Trishakti Industries Ltd"/>
        <s v="PANKAJ POLYMERS LTD."/>
        <s v="Marble City India Ltd"/>
        <s v="CINDRELLA FINANCIAL SERVICES LTD."/>
        <s v="NATIONAL PLASTIC TECHNOLOGIES LTD."/>
        <s v="LEAD FINANCIAL SERVICES LTD."/>
        <s v="National Fittings Limited"/>
        <s v="TAI INDUSTRIES LTD.-$"/>
        <s v="AMIT INTERNATIONAL LTD."/>
        <s v="NUTECH GLOBAL LTD."/>
        <s v="DHP INDIA LTD."/>
        <s v="RRIL Ltd"/>
        <s v="AVAILABLE FINANCE LTD."/>
        <s v="Integra Capital  Ltd"/>
        <s v="Sri Havisha Hospitality And Infrastructure Ltd"/>
        <s v="Jayatma Industries Ltd"/>
        <s v="ROSELABS FINANCE LTD."/>
        <s v="Kretto Syscon Ltd"/>
        <s v="Roni Households Ltd"/>
        <s v="GUJARAT AMBUJA EXPORTS LTD."/>
        <s v="WinPro Industries Ltd"/>
        <s v="MILESTONE GLOBAL LTD."/>
        <s v="BERVIN INVESTMENT &amp; LEASING LTD."/>
        <s v="GUJARAT INVESTA LTD."/>
        <s v="Shahi Shipping Ltd-$"/>
        <s v="EASTERN TREADS LTD."/>
        <s v="PANACEA BIOTEC LTD."/>
        <s v="PEETI SECURITIES LTD."/>
        <s v="Mercury Ev-Tech Ltd"/>
        <s v="PICCADILY AGRO INDUSTRIES LTD."/>
        <s v="SHRIRAM ASSET MANAGEMENT CO.LTD."/>
        <s v="SBEC SYSTEMS (INDIA) LTD."/>
        <s v="Fruition Venture Ltd"/>
        <s v="Sparc Electrex Ltd"/>
        <s v="THE BYKE HOSPITALITY LTD."/>
        <s v="CENTENIAL SURGICAL SUTURE LTD."/>
        <s v="ARIHANT FOUNDATIONS &amp; HOUSING LTD.-$"/>
        <s v="HASTI FINANCE LTD."/>
        <s v="UPSURGE INVESTMENT &amp; FINANCE LTD."/>
        <s v="PADAM COTTON YARNS LTD."/>
        <s v="WOMEN NETWORKS LTD."/>
        <s v="POLYCON INTERNATIONAL LTD."/>
        <s v="SOURCE NATURAL FOODS &amp; HERBAL SUPPL LTD."/>
        <s v="G.G.AUTOMOTIVE GEARS LTD."/>
        <s v="ALMONDZ GLOBAL SECURITIES LTD."/>
        <s v="Cargotrans Maritime Ltd"/>
        <s v="ANS Industries Ltd"/>
        <s v="TUNI TEXTILE MILLS LTD."/>
        <s v="Radix Industries (India) Limited"/>
        <s v="KIRAN PRINT-PACK LTD."/>
        <s v="NARENDRA PROPERTIES LTD."/>
        <s v="MEGA CORPORATION LTD."/>
        <s v="TAMIL NADU NEWSPRINT &amp; PAPERS LTD."/>
        <s v="KRBL LTD."/>
        <s v="SYSTEMATIX SECURITIES LTD."/>
        <s v="SUNGOLD CAPITAL LTD."/>
        <s v="Saffron Industries Limited"/>
        <s v="Prakash Woollen &amp; Synthetic Mills Ltd"/>
        <s v="Aion-Tech Solutions Ltd"/>
        <s v="Vardhman Concrete Limited"/>
        <s v="GRM OVERSEAS LTD."/>
        <s v="MOHIT INDUSTRIES LTD.-$"/>
        <s v="POLYLINK POLYMERS (INDIA) LTD."/>
        <s v="MINAXI TEXTILES LTD."/>
        <s v="CONTINENTAL CONTROLS LTD."/>
        <s v="YASH MANAGEMENT &amp; SATELLITE LTD."/>
        <s v="DUKE OFFSHORE LTD."/>
        <s v="CYBELE INDUSTRIES LTD."/>
        <s v="CG-VAK SOFTWARE &amp; EXPORTS LTD."/>
        <s v="Navkar Urbanstructure Ltd"/>
        <s v="MADHUCON PROJECTS LTD.-$"/>
        <s v="SYBLY INDUSTRIES LTD.-$"/>
        <s v="EMAMI LTD.-$"/>
        <s v="PRO FIN CAPITAL SERVICES LTD."/>
        <s v="MARIS SPINNERS LTD.-$"/>
        <s v="INDERGIRI FINANCE LTD."/>
        <s v="Vrundavan Plantation Ltd"/>
        <s v="EVEREADY INDUSTRIES INDIA LTD."/>
        <s v="STEP TWO CORPORATION LTD."/>
        <s v="ORIENT TRADELINK LTD."/>
        <s v="O. P. Chains Ltd"/>
        <s v="Vikas Proppant &amp; Granite Ltd"/>
        <s v="DESH RAKSHAK AUSHDHALAYA LTD."/>
        <s v="ACE SOFTWARE EXPORTS LTD.-$"/>
        <s v="SOFTRAK VENTURE INVESTMENT LTD."/>
        <s v="ZYDUS WELLNESS LTD.-$"/>
        <s v="Accedere Ltd"/>
        <s v="SARTHAK INDUSTRIES LTD."/>
        <s v="RISHABH DIGHA STEEL &amp; ALLIED PRODUCTS LTD.-$"/>
        <s v="MARUTI INFRASTRUCTURE LTD."/>
        <s v="Kobo Biotech Ltd-$"/>
        <s v="HATSUN AGRO PRODUCT LTD."/>
        <s v="SOMANY CERAMICS LTD."/>
        <s v="JHAVERI CREDITS &amp; CAPITAL LTD."/>
        <s v="RAGHUNATH TOBACCO CO.LTD."/>
        <s v="BNR UDYOG LTD."/>
        <s v="Palm Jewels Ltd"/>
        <s v="ASHUTOSH PAPER MILLS LTD."/>
        <s v="SANJIVANI PARANTERAL LTD."/>
        <s v="VAS INFRASTRUCTURE LTD."/>
        <s v="KMF BUILDERS &amp; DEVELOPERS LTD."/>
        <s v="BERYL SECURITIES LTD."/>
        <s v="RAP MEDIA LTD."/>
        <s v="Gautam Exim Ltd"/>
        <s v="BAMPSL SECURITIES LTD."/>
        <s v="Neeraj Paper Marketing Ltd"/>
        <s v="INCON ENGINEERS LTD."/>
        <s v="MARICO LTD."/>
        <s v="TRIVENI ENGINEERING &amp; INDUSTRIES LTD."/>
        <s v="Gogia Capital Services Limited"/>
        <s v="GORANI INDUSTRIES LTD."/>
        <s v="KG PETROCHEM LTD."/>
        <s v="COUNTRY CONDO'S LTD."/>
        <s v="OROSIL SMITHS INDIA LTD.-$"/>
        <s v="Tejassvi Aaharam Ltd"/>
        <s v="LINCOLN PHARMACEUTICALS LTD."/>
        <s v="Praveg Ltd"/>
        <s v="SURAJ LTD.-$"/>
        <s v="Suvidha Infraestate Corporation Limited"/>
        <s v="GODREJ CONSUMER PRODUCTS LTD."/>
        <s v="TOKYO FINANCE LTD."/>
        <s v="B.J.DUPLEX BOARDS LTD."/>
        <s v="NATIONAL GENERAL INDUSTRIES LTD."/>
        <s v="THIRDWAVE FINANCIAL INTERMEDIARIES LTD."/>
        <s v="HITTCO TOOLS LTD."/>
        <s v="RR MetalMakers India Ltd"/>
        <s v="VISION CORPORATION LTD."/>
        <s v="Bisil Plast Limited"/>
        <s v="INANI SECURITIES LTD."/>
        <s v="ANKA INDIA LTD."/>
        <s v="Amerise Biosciences Ltd"/>
        <s v="Prithvi Exchange (India) Ltd"/>
        <s v="KHYATI MULTIMEDIA-ENTERTAINMENT LTD."/>
        <s v="RAINBOW FOUNDATIONS LTD."/>
        <s v="Nyssa Corporation Limited"/>
        <s v="Tricom Fruit Products Limited"/>
        <s v="Vidhi Specialty Food Ingredients Ltd-$"/>
        <s v="BHAGIRADHA CHEMICALS &amp; INDUSTRIES LTD."/>
        <s v="GACM Technologies Ltd"/>
        <s v="PANCHSHEEL ORGANICS LTD."/>
        <s v="MENON PISTONS LTD."/>
        <s v="PRISM FINANCE LTD."/>
        <s v="FRONTLINE CORPORATION LTD."/>
        <s v="GENNEX LABORATORIES LTD."/>
        <s v="CRP Risk Management Ltd"/>
        <s v="Mitshi India Ltd"/>
        <s v="PRAJAY ENGINEERS SYNDICATE LTD."/>
        <s v="Biogen Pharmachem Industries Ltd"/>
        <s v="G.K.CONSULTANTS LTD."/>
        <s v="Apollo Pipes Ltd"/>
        <s v="UNJHA FORMULATIONS LTD."/>
        <s v="UNITED SPIRITS LTD."/>
        <s v="Shraddha Prime Projects Ltd"/>
        <s v="KACHCHH MINERALS LTD."/>
        <s v="PADMANABH ALLOYS &amp; POLYMERS LTD."/>
        <s v="SAMYAK INTERNATIONAL LTD."/>
        <s v="KCL Infra Projects Ltd"/>
        <s v="ATUL AUTO LTD.-$"/>
        <s v="SCAN PROJECTS LTD."/>
        <s v="PRERNA INFRABUILD LTD."/>
        <s v="METAL COATINGS (INDIA) LTD."/>
        <s v="SGN TELECOMS LTD."/>
        <s v="GANGA PAPERS INDIA LTD."/>
        <s v="TIRUPATI SARJAN LTD."/>
        <s v="MUNOTH FINANCIAL SERVICES LTD."/>
        <s v="Rodium Realty Limited"/>
        <s v="NAGARJUNA AGRI TECH LTD."/>
        <s v="NATURA HUE CHEM LTD."/>
        <s v="IEC EDUCATION LTD."/>
        <s v="Indus Finance Ltd"/>
        <s v="GOLECHHA GLOBAL FINANCE LTD."/>
        <s v="Zenith Steel Pipes &amp; Industries Ltd-$"/>
        <s v="TRINITY LEAGUE INDIA LTD."/>
        <s v="ASIAN STAR CO.LTD.-$"/>
        <s v="Oriental Rail Infrastructure Ltd"/>
        <s v="JOINDRE CAPITAL SERVICES LTD."/>
        <s v="BHARAT AGRI FERT &amp; REALTY LTD."/>
        <s v="UNITECH INTERNATIONAL LTD."/>
        <s v="SACHETA METALS LTD."/>
        <s v="POPULAR ESTATE MANAGEMENT LTD."/>
        <s v="ANJANI FINANCE LTD."/>
        <s v="MULLER &amp; PHIPPS (INDIA) LTD."/>
        <s v="RAHUL MERCHANDISING LTD."/>
        <s v="REXNORD ELECTRONICS &amp; CONTROLS LTD."/>
        <s v="Integrated Industries Ltd"/>
        <s v="KHANDWALA SECURITIES LTD."/>
        <s v="White Organic Retail Ltd"/>
        <s v="CCL INTERNATIONAL LTD."/>
        <s v="GALLOPS ENTERPRISE LTD."/>
        <s v="Croissance Ltd"/>
        <s v="Madhuveer Com 18 Network Ltd"/>
        <s v="GALAXY AGRICO EXPORTS LTD."/>
        <s v="GOPAL IRON &amp; STEELS CO.(GUJARAT) LTD."/>
        <s v="Onesource Ideas Venture Ltd"/>
        <s v="AGARWAL INDUSTRIAL CORPORATION LTD."/>
        <s v="DHAMPURE SPECIALITY SUGARS LTD."/>
        <s v="SHANTANU SHEOREY AQUAKULT LTD."/>
        <s v="INNOCORP LTD."/>
        <s v="HIRA AUTOMOBILES LTD."/>
        <s v="Saianand Commercial Limited"/>
        <s v="BLUE CHIP INDIA LTD."/>
        <s v="Servoteach Industries Ltd"/>
        <s v="CHADHA PAPERS LTD."/>
        <s v="VERTEX SECURITIES LTD."/>
        <s v="RIBA TEXTILES LTD."/>
        <s v="SHYAM TELECOM LTD."/>
        <s v="Kashyap Tele-Medicines Ltd"/>
        <s v="SHREE METALLOYS LTD."/>
        <s v="IITL PROJECTS LIMITED"/>
        <s v="HARI GOVIND INTERNATIONAL LTD."/>
        <s v="Catvision Limited"/>
        <s v="AMBIKA COTTON MILLS LTD."/>
        <s v="HIND ALUMINIUM INDUSTRIES LTD.-$"/>
        <s v="Senthil Infotek Ltd"/>
        <s v="SPECTRUM FOODS LTD."/>
        <s v="AMRAWORLD AGRICO LTD."/>
        <s v="ODYSSEY CORPORATION LTD."/>
        <s v="Vuenow Infratech Ltd"/>
        <s v="INDUCTO STEEL LTD."/>
        <s v="SAM INDUSTRIES LTD."/>
        <s v="Neelkanth Ltd-$"/>
        <s v="Vashu Bhagnani Industries Ltd"/>
        <s v="GRAVITY (INDIA) LTD.-$"/>
        <s v="Espire Hospitality Limited"/>
        <s v="LCC INFOTECH LTD."/>
        <s v="FILATEX FASHIONS LTD."/>
        <s v="R.B.GUPTA FINANCIALS LTD."/>
        <s v="Sindhu Trade Links Limited"/>
        <s v="UNISTAR MULTIMEDIA LTD."/>
        <s v="ZENOTECH LABORATORIES LTD."/>
        <s v="HINDUSTAN BIO SCIENCES LTD."/>
        <s v="TIRTH PLASTIC LTD."/>
        <s v="Swelect Energy Systems Limited-$"/>
        <s v="WALLFORT FINANCIAL SERVICES LTD."/>
        <s v="KDDL LTD.-$"/>
        <s v="ADINATH EXIM RESOURCES LTD."/>
        <s v="ABHINAV CAPITAL SERVICES LTD."/>
        <s v="3B BlackBio Dx Ltd"/>
        <s v="Sumuka Agro Industries Ltd"/>
        <s v="Monind Ltd"/>
        <s v="ENBEE TRADE &amp; FINANCE LTD."/>
        <s v="VANDANA KNITWEAR LTD."/>
        <s v="Epuja Spiritech Ltd"/>
        <s v="INDO-CITY INFOTECH LTD.-$"/>
        <s v="SBEC SUGAR LTD."/>
        <s v="BRIJLAXMI LEASING &amp; FINANCE LTD."/>
        <s v="BSEL Algo Ltd"/>
        <s v="RELIABLE VENTURES INDIA LTD."/>
        <s v="UNITED BREWERIES LTD.-$"/>
        <s v="SMC CREDITS LTD."/>
        <s v="Mohite Industries Ltd"/>
        <s v="ANDHRA CEMENTS LTD."/>
        <s v="SKM EGG PRODUCTS EXPORT (INDIA) LTD."/>
        <s v="RADICO KHAITAN LTD."/>
        <s v="H.S.INDIA LTD."/>
        <s v="SHREE RENUKA SUGARS LTD."/>
        <s v="INDRAPRASTHA MEDICAL CORP.LTD."/>
        <s v="Parle Industries Ltd"/>
        <s v="LT FOODS LTD."/>
        <s v="Jyothy Labs Ltd"/>
        <s v="Trescon Ltd"/>
        <s v="Gujarat State Financial Corporation"/>
        <s v="Varun Beverages Ltd"/>
        <s v="Godrej Agrovet Ltd"/>
        <s v="MINOLTA FINANCE LTD."/>
        <s v="OMKAR PHARMACHEM LTD."/>
        <s v="Adroit Infotech Ltd"/>
        <s v="CYBERTECH SYSTEMS AND SOFTWARE LTD."/>
        <s v="Mrs. Bectors Food Specialities Ltd"/>
        <s v="Dodla Dairy Ltd"/>
        <s v="Adani Wilmar Ltd"/>
        <s v="Dhanlaxmi Bank Limited"/>
        <s v="Bikaji Foods International Ltd"/>
        <s v="GAYATRI SUGARS LTD."/>
        <s v="Honasa Consumer Ltd"/>
        <s v="DOMS Industries Ltd"/>
        <s v="Bajaj Finance Limited"/>
        <s v="CRISIL LTD."/>
        <s v="ARCHIES LTD."/>
        <s v="IFCI LTD."/>
        <s v="HB STOCKHOLDINGS LTD."/>
        <s v="SIEL FINANCIAL SERVICES LTD."/>
        <s v="STATE BANK OF INDIA"/>
        <s v="ENERGY DEVELOPMENT COMPANY LTD."/>
        <s v="IDBI BANK LTD."/>
        <s v="BENGAL TEA &amp; FABRICS LTD."/>
        <s v="HDFC Bank Ltd"/>
        <s v="INDIA NIPPON ELECTRICALS LTD."/>
        <s v="NALWA SONS INVESTMENTS LTD."/>
        <s v="KOTAK MAHINDRA BANK LTD."/>
        <s v="Yash Innoventures Ltd"/>
        <s v="Accelya Solutions India Ltd"/>
        <s v="Orchasp Ltd"/>
        <s v="LIC HOUSING FINANCE LTD."/>
        <s v="TCFC FINANCE LTD."/>
        <s v="Geojit Financial Services Ltd"/>
        <s v="MAHARASHTRA SCOOTERS LTD."/>
        <s v="BLB LTD."/>
        <s v="Max Financial Services Ltd"/>
        <s v="PIRAMAL ENTERPRISES LTD."/>
        <s v="INTEGRATED HITECH LTD."/>
        <s v="KJMC Corporate Advisors (India) Ltd."/>
        <s v="IND-SWIFT LABORATORIES LTD."/>
        <s v="GE Power India Ltd"/>
        <s v="SHREE RAMA MULTI-TECH LTD."/>
        <s v="FEDERAL BANK LTD."/>
        <s v="TELESYS SOFTWARE LTD."/>
        <s v="Vaarad Ventures Ltd"/>
        <s v="BAJAJ HOLDINGS &amp; INVESTMENT LTD."/>
        <s v="SHIVA CEMENT LTD."/>
        <s v="CINEVISTA LTD."/>
        <s v="INTENSE TECHNOLOGIES LTD.-$"/>
        <s v="DANLAW TECHNOLOGIES INDIA LTD.-$"/>
        <s v="TATA INVESTMENT CORPORATION LTD."/>
        <s v="HB PORTFOLIO LTD."/>
        <s v="HB ESTATE DEVELOPERS LTD."/>
        <s v="AMBICA AGARBATHIES &amp; AROMA INDUSTRIES LTD."/>
        <s v="COMPUCOM SOFTWARE LTD.-$"/>
        <s v="OMNI AXS SOFTWARE LTD."/>
        <s v="IZMO Limited-$"/>
        <s v="Cholamandalam Financial Holdings Ltd"/>
        <s v="SOFTSOL INDIA LTD."/>
        <s v="Sahara Maritime Ltd"/>
        <s v="SUBEX LTD."/>
        <s v="A.F. Enterprises Ltd"/>
        <s v="PADMALAYA TELEFILMS LTD."/>
        <s v="AKSH OPTIFIBRE LTD."/>
        <s v="Virgo Global Ltd"/>
        <s v="PICTUREHOUSE MEDIA LTD."/>
        <s v="CAN FIN HOMES LTD."/>
        <s v="MUKTA ARTS LTD."/>
        <s v="NAGPUR POWER &amp; INDUSTRIES LTD."/>
        <s v="DYNACONS SYSTEMS &amp; SOLUTIONS LTD."/>
        <s v="PNB GILTS LTD."/>
        <s v="RAMCO INDUSTRIES LTD."/>
        <s v="RAMCO SYSTEMS LTD."/>
        <s v="Shriram Finance Ltd"/>
        <s v="Virinchi Ltd"/>
        <s v="WEP SOLUTIONS LTD."/>
        <s v="Cholamandalam Investment and Finance Company Ltd"/>
        <s v="TVS Holdings Ltd"/>
        <s v="MRO-TEK Realty Ltd"/>
        <s v="UNIVERSAL ARTS LTD."/>
        <s v="First Fintec Ltd"/>
        <s v="BABA ARTS LTD.-$"/>
        <s v="BALAJI TELEFILMS LTD."/>
        <s v="TYCHE INDUSTRIES LTD."/>
        <s v="CALIFORNIA SOFTWARE CO.LTD."/>
        <s v="PRITISH NANDY COMMUNICATIONS LTD."/>
        <s v="JM FINANCIAL LTD.-$"/>
        <s v="TAJGVK HOTELS &amp; RESORTS LTD."/>
        <s v="CREATIVE EYE LTD."/>
        <s v="Axiscades Technologies Ltd"/>
        <s v="Konndor Industries Ltd"/>
        <s v="Usha Martin Education &amp; Solutions Limited"/>
        <s v="Poonawalla Fincorp Ltd"/>
        <s v="USG TECH SOLUTIONS LTD."/>
        <s v="SAVEN TECHNOLOGIES LTD."/>
        <s v="AVANTEL LTD."/>
        <s v="MANAPPURAM FINANCE LTD."/>
        <s v="MEGASOFT LTD."/>
        <s v="TRANSCORP INTERNATIONAL LTD."/>
        <s v="CEREBRA INTEGRATED TECHNOLOGIES LTD."/>
        <s v="NEXT MEDIAWORKS LTD."/>
        <s v="Smartlink Holdings Ltd"/>
        <s v="CHOICE INTERNATIONAL LTD."/>
        <s v="Genus Prime Infra Ltd"/>
        <s v="Disha Resources Ltd"/>
        <s v="Capri Global Capital Limited"/>
        <s v="Sanmit Infra Limited"/>
        <s v="BANK OF BARODA"/>
        <s v="MPS LTD."/>
        <s v="BANK OF INDIA"/>
        <s v="T.SPIRITUAL WORLD LTD."/>
        <s v="ICICI BANK LTD."/>
        <s v="SHALIMAR WIRES INDUSTRIES LTD."/>
        <s v="GULSHAN POLYOLS LTD."/>
        <s v="PONNI SUGARS (ERODE) LTD."/>
        <s v="INDUSIND BANK LTD."/>
        <s v="JAMMU &amp; KASHMIR BANK LTD."/>
        <s v="HAZOOR MULTI PROJECTS LTD.-$"/>
        <s v="CITY UNION BANK LTD."/>
        <s v="APTECH LTD."/>
        <s v="AXIS BANK LTD."/>
        <s v="SOUTH INDIAN BANK LTD."/>
        <s v="ISMT LTD."/>
        <s v="Future Supply Chain Solutions Ltd"/>
        <s v="INDIAN OVERSEAS BANK"/>
        <s v="PUNJAB NATIONAL BANK"/>
        <s v="BALMER LAWRIE INVESTMENTS LTD."/>
        <s v="POKARNA LTD."/>
        <s v="Kama Holdings Limited-$"/>
        <s v="UNION BANK OF INDIA"/>
        <s v="CANARA BANK"/>
        <s v="UCO BANK"/>
        <s v="RAJAPALAYAM MILLS LTD.-$"/>
        <s v="BANK OF MAHARASHTRA"/>
        <s v="IIFL Finance Ltd"/>
        <s v="B.A.G.FILMS &amp; MEDIA LTD."/>
        <s v="JSW Holdings Limited"/>
        <s v="YES BANK LTD."/>
        <s v="TVS ELECTRONICS LTD."/>
        <s v="KARNATAKA BANK LTD."/>
        <s v="TV TODAY NETWORK LTD."/>
        <s v="Palred Technologies Limited"/>
        <s v="IDFC LIMITED"/>
        <s v="MAHINDRA &amp; MAHINDRA FINANCIAL SERVICES LTD."/>
        <s v="POWER FINANCE CORPORATION LTD."/>
        <s v="INDIAN BANK"/>
        <s v="ICRA LTD."/>
        <s v="DATAMATICS GLOBAL SERVICES LTD."/>
        <s v="NEW DELHI TELEVISION LTD."/>
        <s v="CENTRAL BANK OF INDIA"/>
        <s v="JAIPRAKASH ASSOCIATES LTD."/>
        <s v="MOTILAL OSWAL FINANCIAL SERVICES LTD."/>
        <s v="Paisalo Digital Ltd"/>
        <s v="RELIGARE ENTERPRISES LTD."/>
        <s v="Edelweiss Financial Services Ltd."/>
        <s v="GP Petroleums Limited"/>
        <s v="REC Ltd"/>
        <s v="BAJAJ FINSERV LTD."/>
        <s v="BENGAL &amp; ASSAM COMPANY LTD."/>
        <s v="S.A.L.STEEL LTD."/>
        <s v="PUNJAB &amp; SIND BANK"/>
        <s v="DWARIKESH SUGAR INDUSTRIES LTD."/>
        <s v="INDOCO REMEDIES LTD."/>
        <s v="VIP Clothing Ltd"/>
        <s v="IMPEX FERRO TECH LTD."/>
        <s v="XCHANGING SOLUTIONS LTD."/>
        <s v="Triveni Enterprises Ltd"/>
        <s v="JINDAL PHOTO LTD."/>
        <s v="PONDY OXIDES &amp; CHEMICALS LTD."/>
        <s v="MUTHOOT FINANCE LTD."/>
        <s v="3I INFOTECH LTD."/>
        <s v="MCNALLY BHARAT ENGINEERING COMPANY LTD."/>
        <s v="L&amp;T Finance Ltd"/>
        <s v="SUMERU INDUSTRIES LTD."/>
        <s v="MULTI COMMODITY EXCHANGE OF INDIA LTD."/>
        <s v="MANGALAM DRUGS &amp; ORGANICS LTD."/>
        <s v="Indiabulls Housing Finance Ltd"/>
        <s v="CYBER MEDIA (INDIA) LTD."/>
        <s v="Nandan Denim Limited"/>
        <s v="Authum Investment &amp; Infrastructure Ltd"/>
        <s v="IDFC First Bank Ltd"/>
        <s v="ESAAR (INDIA) LTD."/>
        <s v="Infibeam Avenues Ltd"/>
        <s v="NECTAR LIFESCIENCES LTD."/>
        <s v="MSP STEEL &amp; POWER LTD."/>
        <s v="SPL INDUSTRIES LTD."/>
        <s v="Pilani Investment and Industries Corporation Ltd"/>
        <s v="MCLEOD RUSSEL INDIA LTD."/>
        <s v="FACOR ALLOYS LTD."/>
        <s v="RBL Bank Ltd"/>
        <s v="RANE (MADRAS) LTD."/>
        <s v="HT MEDIA LTD."/>
        <s v="Sasken Technologies Ltd"/>
        <s v="FCS SOFTWARE SOLUTIONS LTD."/>
        <s v="ICICI Prudential Life Insurance Company Ltd"/>
        <s v="PNB Housing Finance Ltd"/>
        <s v="Housing &amp; Urban Development Corporation Ltd"/>
        <s v="K.M.SUGAR MILLS LTD."/>
        <s v="BANNARI AMMAN SPINNING MILLS LTD."/>
        <s v="PBA INFRASTRUCTURE LTD."/>
        <s v="AU Small Finance Bank Ltd"/>
        <s v="EVEREST KANTO CYLINDER LTD."/>
        <s v="GEMSTONE INVESTMENTS LTD."/>
        <s v="REPRO INDIA LTD."/>
        <s v="Aditya Birla Capital Ltd"/>
        <s v="BARTRONICS INDIA LTD."/>
        <s v="CELEBRITY FASHIONS LTD."/>
        <s v="NITIN SPINNERS LTD."/>
        <s v="ROYAL ORCHID HOTELS LTD."/>
        <s v="ENTERTAINMENT NETWORK (INDIA) LTD."/>
        <s v="Cella Space Ltd"/>
        <s v="ICICI Lombard General Insurance Company Ltd"/>
        <s v="JAGRAN PRAKASHAN LTD."/>
        <s v="DYNEMIC PRODUCTS LTD."/>
        <s v="GVK POWER &amp; INFRASTRUCTURE LTD."/>
        <s v="SADBHAV ENGINEERING LTD."/>
        <s v="Sun Retail Ltd"/>
        <s v="SBI Life Insurance Company Ltd"/>
        <s v="GILLANDERS ARBUTHNOT &amp; CO.LTD."/>
        <s v="INDO TECH TRANSFORMERS LTD."/>
        <s v="B.L.KASHYAP AND SONS LTD."/>
        <s v="Share India Securities Ltd"/>
        <s v="VISA STEEL LTD."/>
        <s v="NITCO LTD."/>
        <s v="MPDL Ltd"/>
        <s v="MAS Financial Services Ltd"/>
        <s v="Indian Energy Exchange Ltd"/>
        <s v="MALU PAPER MILLS LTD."/>
        <s v="UTTAM SUGAR MILLS LTD."/>
        <s v="STL GLOBAL LTD."/>
        <s v="KEWAL KIRAN CLOTHING LTD."/>
        <s v="General Insurance Corporation of India"/>
        <s v="Nippon Life India Asset Management Ltd"/>
        <s v="The New India Assurance Company Ltd"/>
        <s v="EMKAY GLOBAL FINANCIAL SERVICES LTD."/>
        <s v="TANTIA CONSTRUCTIONS LTD."/>
        <s v="LOKESH MACHINES LTD."/>
        <s v="Kamdhenu Ltd"/>
        <s v="PAUSHAK LTD."/>
        <s v="GTN TEXTILES LTD."/>
        <s v="Inditrade Capital Limited"/>
        <s v="PRIME FOCUS LTD."/>
        <s v="COASTAL ROADWAYS LTD."/>
        <s v="SRU Steels Ltd"/>
        <s v="HDFC Life Insurance Company Ltd"/>
        <s v="Bandhan Bank Ltd"/>
        <s v="ICICI Securities Ltd"/>
        <s v="PHOTON CAPITAL ADVISORS LTD."/>
        <s v="Deep Energy Resources Ltd"/>
        <s v="HOV SERVICES LTD."/>
        <s v="HDFC Asset Management Company Ltd"/>
        <s v="GeeCee Ventures Limited"/>
        <s v="RICHA INDUSTRIES LTD."/>
        <s v="FIEM INDUSTRIES LTD."/>
        <s v="JHS SVENDGAARD LABORATORIES LTD."/>
        <s v="DCB Bank Limited"/>
        <s v="UNIVERSAL OFFICE AUTOMATION LTD."/>
        <s v="Inspirisys Solutions Ltd"/>
        <s v="GTL INFRASTRUCTURE LTD."/>
        <s v="SHIVAM AUTOTECH LTD."/>
        <s v="CreditAccess Grameen Ltd"/>
        <s v="AAVAS Financiers Ltd"/>
        <s v="PARSVNATH DEVELOPERS LTD."/>
        <s v="SUTLEJ TEXTILES &amp; INDUSTRIES LTD."/>
        <s v="Spandana Sphoorty Financial Ltd"/>
        <s v="IIFL Securities Ltd"/>
        <s v="RUCHIRA PAPERS LTD."/>
        <s v="CSB Bank Ltd"/>
        <s v="Zee Media Corporation Limited"/>
        <s v="Siti Networks Ltd"/>
        <s v="LUMAX AUTO TECHNOLOGIES LTD."/>
        <s v="AUTOLINE INDUSTRIES LTD."/>
        <s v="Ujjivan Small Finance Bank Ltd"/>
        <s v="HUBTOWN LTD."/>
        <s v="SBI Cards and Payment Services Ltd"/>
        <s v="CAMBRIDGE TECHNOLOGY ENTERPRISES LTD."/>
        <s v="Computer Age Management Services Ltd"/>
        <s v="RISA INTERNATIONAL LTD."/>
        <s v="AI CHAMPDANY INDUSTRIES LTD."/>
        <s v="Cineline India Limited"/>
        <s v="Pearl Global Industries Limited"/>
        <s v="Zinema Media And Entertainment Ltd"/>
        <s v="Angel One Ltd"/>
        <s v="UTI Asset Management Company Ltd"/>
        <s v="TRANSWARRANTY FINANCE LTD."/>
        <s v="Equitas Small Finance Bank Ltd"/>
        <s v="SMS PHARMACEUTICALS LTD."/>
        <s v="ORIENTAL TRIMEX LTD."/>
        <s v="E-Land Apparel Limited"/>
        <s v="Indian Railway Finance Corporation Ltd"/>
        <s v="JAGJANANI TEXTILES LTD."/>
        <s v="RAJ TELEVISION NETWORK LTD."/>
        <s v="Home First Finance Company India Ltd"/>
        <s v="AMD INDUSTRIES LTD."/>
        <s v="Lehar Footwears Ltd"/>
        <s v="Aptus Value Housing Finance India Ltd"/>
        <s v="Aditya Birla Sun Life AMC Ltd"/>
        <s v="CAMLIN FINE SCIENCES LTD."/>
        <s v="PB Fintech Ltd"/>
        <s v="DISH TV INDIA LTD."/>
        <s v="SAHYADRI INDUSTRIES LTD."/>
        <s v="SREE RAYALASEEMA HI-STRENGTH HYPO LTD."/>
        <s v="One 97 Communications Ltd"/>
        <s v="TGB BANQUETS AND HOTELS LTD."/>
        <s v="HILTON METAL FORGING LTD."/>
        <s v="DELTA CORP LTD."/>
        <s v="MIC ELECTRONICS LTD."/>
        <s v="INSECTICIDES (INDIA) LTD."/>
        <s v="ASAHI SONGWON COLORS LTD."/>
        <s v="HARYANA CAPFIN LTD."/>
        <s v="Star Health and Allied Insurance Company Ltd"/>
        <s v="Dhyaani Tradeventtures Ltd"/>
        <s v="NELCAST LTD."/>
        <s v="V2 RETAIL LTD."/>
        <s v="Anand Rathi Wealth Ltd"/>
        <s v="TARMAT LTD."/>
        <s v="ANKIT METAL &amp; POWER LTD."/>
        <s v="Life Insurance Corporation of India"/>
        <s v="ALLIED DIGITAL SERVICES LTD."/>
        <s v="ALPA LABORATORIES LTD."/>
        <s v="SIR SHADI LAL ENTERPRISES LTD."/>
        <s v="OMAXE LTD."/>
        <s v="Refex Industries Limited"/>
        <s v="Prudent Corporate Advisory Services Ltd"/>
        <s v="SEL MANUFACTURING COMPANY LTD."/>
        <s v="ASIAN GRANITO INDIA LTD."/>
        <s v="Tamilnad Mercantile Bank Ltd"/>
        <s v="TAKE SOLUTIONS LTD."/>
        <s v="Five-Star Business Finance Ltd"/>
        <s v="KFin Technologies Ltd"/>
        <s v="VTM LTD."/>
        <s v="INDOWIND ENERGY LTD."/>
        <s v="NAGREEKA CAPITAL &amp; INFRASTRUCTURE LTD."/>
        <s v="MAGNUM VENTURES LTD."/>
        <s v="Jio Financial Services Ltd"/>
        <s v="KAVERI SEED COMPANY LTD."/>
        <s v="Utkarsh Small Finance Bank Ltd"/>
        <s v="SUPREME INFRASTRUCTURE INDIA LTD."/>
        <s v="MAAN ALUMINIUM LTD."/>
        <s v="IL&amp;FS ENGINEERING AND CONSTRUCTION COMPANY LTD."/>
        <s v="ARAVALI SECURITIES &amp; FINANCE LTD."/>
        <s v="SBFC Finance Ltd"/>
        <s v="BARAK VALLEY CEMENTS LTD."/>
        <s v="RATHI BARS LTD."/>
        <s v="Mukta Agriculture Ltd"/>
        <s v="Nuvama Wealth Management Ltd"/>
        <s v="Renaissance Global Ltd"/>
        <s v="KOLTE-PATIL DEVELOPERS LTD."/>
        <s v="KAUSHALYA INFRASTRUCTURE DEVELOPMENT CORPORATION LTD."/>
        <s v="Indian Renewable Energy Development Agency Ltd"/>
        <s v="Worldwide Aluminium Ltd"/>
        <s v="India Shelter Finance Corporation Ltd"/>
        <s v="Jana Small Finance Bank Ltd"/>
        <s v="BGR ENERGY SYSTEMS LTD."/>
        <s v="BURNPUR CEMENT LTD."/>
        <s v="MANAKSIA LTD."/>
        <s v="PORWAL AUTO COMPONENTS LTD."/>
        <s v="PPAP Automotive Limited"/>
        <s v="ARIES AGRO LTD."/>
        <s v="KUANTUM PAPERS LTD."/>
        <s v="Aadhar Housing Finance Ltd"/>
        <s v="Go Digit General Insurance Ltd"/>
        <s v="CORDS CABLE INDUSTRIES LTD."/>
        <s v="KARUR VYSYA BANK LTD."/>
        <s v="OnMobile Global Ltd."/>
        <s v="SEPC Ltd"/>
        <s v="BANG OVERSEAS LTD."/>
        <s v="IRB INFRASTRUCTURE DEVELOPERS LTD."/>
        <s v="GSS INFOTECH LTD."/>
        <s v="NAHAR CAPITAL &amp; FINANCIAL SERVICES LTD."/>
        <s v="SUNDARAM FINANCE LTD."/>
        <s v="BSE"/>
        <s v="GOKAK TEXTILES LTD."/>
        <s v="Dhani Services Ltd"/>
        <s v="C D S L"/>
        <s v="KIRI INDUSTRIES LTD."/>
        <s v="ADITYA BIRLA MONEY LTD.-$"/>
        <s v="Telogica Ltd"/>
        <s v="Sundaram Fin.Hol"/>
        <s v="CIPLA LTD."/>
        <s v="DR.REDDY'S LABORATORIES LTD."/>
        <s v="GOKUL REFOILS &amp; SOLVENT LTD."/>
        <s v="RPG LIFE SCIENCES LTD."/>
        <s v="Kotak S&amp;P BSE Sensex ETF"/>
        <s v="NIRAJ CEMENT STRUCTURALS LTD."/>
        <s v="RANE BRAKE LINING LTD."/>
        <s v="RANE ENGINE VALVE LTD."/>
        <s v="CHL LTD."/>
        <s v="Sejal Glass Ltd"/>
        <s v="ARCHIDPLY INDUSTRIES LTD."/>
        <s v="Lotus Eye Hospital And Institute Ltd"/>
        <s v="SOMI CONVEYOR BELTINGS LTD."/>
        <s v="LGB FORGE LTD."/>
        <s v="LANDMARK PROPERTY DEVELOPMENT COMPANY LTD."/>
        <s v="Vaxfab Enterprises Ltd"/>
        <s v="SIMPLEX MILLS COMPANY LTD."/>
        <s v="SIMPLEX PAPERS LTD."/>
        <s v="20 MICRONS LTD."/>
        <s v="Procter &amp; Gamble Health Ltd"/>
        <s v="ALKALI METALS LTD."/>
        <s v="LUPIN LTD."/>
        <s v="INDIAN METALS &amp; FERRO ALLOYS LTD."/>
        <s v="Teamo Productions HQ Ltd"/>
        <s v="VEDAVAAG SYSTEMS LTD."/>
        <s v="MANJEERA CONSTRUCTIONS LTD."/>
        <s v="Mold-Tek Packaging Limited"/>
        <s v="TORRENT PHARMACEUTICALS LTD."/>
        <s v="Wagend Infra Venture Limited"/>
        <s v="RAJ OIL MILLS LTD."/>
        <s v="ABBOTT INDIA LTD."/>
        <s v="GLAXOSMITHKLINE PHARMACEUTICALS LTD."/>
        <s v="Sanofi India Ltd"/>
        <s v="SURYAAMBA SPINNING MILLS LTD."/>
        <s v="GLOBUS SPIRITS LTD."/>
        <s v="PFIZER LTD."/>
        <s v="BHILWARA TECHNICAL TEXTILES LTD."/>
        <s v="SHREE PRECOATED STEELS LTD."/>
        <s v="Expleo Solutions Ltd"/>
        <s v="ASTRAZENECA PHARMA INDIA LTD."/>
        <s v="Den Networks Ltd"/>
        <s v="ASTEC LIFESCIENCES LIMITED"/>
        <s v="D-Link (India) Ltd"/>
        <s v="J.B.CHEMICALS &amp; PHARMACEUTICALS LTD."/>
        <s v="Yunik Managing Advisors Ltd"/>
        <s v="APOLLO HOSPITALS ENTERPRISE LTD."/>
        <s v="Orchid Pharma Ltd"/>
        <s v="MBL Infrastructure Ltd"/>
        <s v="MARKSANS PHARMA LTD."/>
        <s v="Vascon Engineers Ltd"/>
        <s v="Thangamayil Jewellery Ltd"/>
        <s v="IPCA LABORATORIES LTD."/>
        <s v="Emmbi Industries Ltd"/>
        <s v="Hathway Cable &amp; Datacom Ltd"/>
        <s v="TEXMO PIPES &amp; PRODUCTS LTD."/>
        <s v="SUNDARAM MULTI PAP LTD."/>
        <s v="ROSSELL INDIA LTD."/>
        <s v="NEULAND LABORATORIES LTD."/>
        <s v="Tamboli Industries Ltd"/>
        <s v="IL&amp;FS Transportation Networks Ltd"/>
        <s v="SUN PHARMACEUTICAL INDUSTRIES LTD."/>
        <s v="INTRASOFT TECHNOLOGIES LTD."/>
        <s v="GOENKA DIAMOND &amp; JEWELS LTD."/>
        <s v="KCP SUGAR &amp; INDUSTRIES CORPORATION LTD."/>
        <s v="Kirloskar Electric Company Ltd"/>
        <s v="Satchmo Holdings Ltd"/>
        <s v="Tarapur Transformers Ltd"/>
        <s v="CAPLIN POINT LABORATORIES LTD."/>
        <s v="EMAMI PAPER MILLS LTD."/>
        <s v="Kriti Nutrients Ltd"/>
        <s v="GKB OPHTHALMICS LTD."/>
        <s v="HINDUSTAN MEDIA VENTURES LTD."/>
        <s v="Emami Realty Ltd"/>
        <s v="ASIAN HOTELS (EAST) LTD."/>
        <s v="Bajaj Consumer Care Ltd"/>
        <s v="PRAKASH STEELAGE LTD."/>
        <s v="Mystic Electronics Ltd"/>
        <s v="WELSPUN INVESTMENTS AND COMMERCIALS LTD."/>
        <s v="Sastasundar Ventures Ltd"/>
        <s v="CAREER POINT LTD."/>
        <s v="EROS INTERNATIONAL MEDIA LTD."/>
        <s v="RAMKY INFRASTRUCTURE LTD."/>
        <s v="ORIENT GREEN POWER COMPANY LTD."/>
        <s v="CANTABIL RETAIL INDIA LTD."/>
        <s v="SEA TV NETWORK LTD."/>
        <s v="AUROBINDO PHARMA LTD."/>
        <s v="BEDMUTHA INDUSTRIES LTD."/>
        <s v="NATCO PHARMA LTD."/>
        <s v="Jubilant Pharmova Ltd"/>
        <s v="SHILPA MEDICARE LTD."/>
        <s v="FDC LTD."/>
        <s v="Shah Metacorp Ltd"/>
        <s v="POLY MEDICURE LTD."/>
        <s v="GLENMARK PHARMACEUTICALS LTD."/>
        <s v="RPP INFRA PROJECTS LTD."/>
        <s v="RDB REALTY &amp; INFRASTRUCTURE LTD."/>
        <s v="WOCKHARDT LTD."/>
        <s v="ZEE LEARN LTD."/>
        <s v="ENTERPRISE INTERNATIONAL LTD."/>
        <s v="A2Z Infra Engineering Limited"/>
        <s v="Zydus Lifesciences Ltd"/>
        <s v="RAVI KUMAR DISTILLERIES LTD."/>
        <s v="AJANTA PHARMA LTD."/>
        <s v="MAHAN INDUSTRIES LTD."/>
        <s v="Surana Solar Limited"/>
        <s v="SHEKHAWATI POLY-YARN LTD."/>
        <s v="KALYANI INVESTMENT COMPANY LTD."/>
        <s v="BF INVESTMENT LTD."/>
        <s v="SUMMIT SECURITIES LTD."/>
        <s v="INNOVASSYNTH INVESTMENTS LTD."/>
        <s v="STEL Holdings Ltd"/>
        <s v="OMKAR SPECIALITY CHEMICALS LTD."/>
        <s v="JUBILANT INDUSTRIES LTD."/>
        <s v="GRANULES INDIA LTD.-$"/>
        <s v="INDIAN TERRAIN FASHIONS LTD."/>
        <s v="FINEOTEX CHEMICAL LTD."/>
        <s v="DHUNSERI INVESTMENTS LTD."/>
        <s v="DIVI'S LABORATORIES LTD."/>
        <s v="LOVABLE LINGERIE LTD."/>
        <s v="PTC INDIA FINANCIAL SERVICES LTD."/>
        <s v="BIOCON LTD."/>
        <s v="CIL NOVA PETROCHEMICALS LTD."/>
        <s v="BEEYU OVERSEAS LTD."/>
        <s v="KARMA ENERGY LTD."/>
        <s v="Delphi World Money Ltd"/>
        <s v="RUSHIL DECOR LTD."/>
        <s v="ENKEI WHEELS (INDIA) LTD."/>
        <s v="Kridhan Infra Limited"/>
        <s v="INVENTURE GROWTH &amp; SECURITIES LTD."/>
        <s v="Strides Pharma Science Ltd"/>
        <s v="Ganon Products Ltd"/>
        <s v="TREE HOUSE EDUCATION &amp; ACCESSORIES LTD."/>
        <s v="BROOKS LABORATORIES LTD."/>
        <s v="RUPA &amp; COMPANY LTD."/>
        <s v="FORTIS HEALTHCARE LTD."/>
        <s v="SUN PHARMA ADVANCED RESEARCH COMPANY LTD."/>
        <s v="VASWANI INDUSTRIES LTD."/>
        <s v="ALEMBIC PHARMACEUTICALS LTD."/>
        <s v="Quasar India Ltd"/>
        <s v="RDB RASAYANS LTD."/>
        <s v="TIJARIA POLYPIPES LTD."/>
        <s v="ONELIFE CAPITAL ADVISORS LTD."/>
        <s v="Flexituff Ventures International Ltd"/>
        <s v="Syngene International Ltd"/>
        <s v="INDO THAI SECURITIES LTD."/>
        <s v="Ambassador Intra Holdings Ltd"/>
        <s v="Alkem Laboratories Ltd"/>
        <s v="GPT INFRAPROJECTS LTD."/>
        <s v="SHAMROCK INDUSTRIAL CO.LTD."/>
        <s v="THOMAS SCOTT (INDIA) LIMITED"/>
        <s v="TERA SOFTWARE LTD."/>
        <s v="PMC Fincorp Limited"/>
        <s v="FUTURISTIC SOLUTIONS LTD."/>
        <s v="ALLIANCE INTEGRATED METALIKS LTD."/>
        <s v="Dr. Lal PathLabs Ltd"/>
        <s v="Narayana Hrudayalaya Ltd"/>
        <s v="Pyxis Finvest Ltd"/>
        <s v="HealthCare Global Enterprises Ltd"/>
        <s v="OLYMPIC CARDS LTD."/>
        <s v="Laurus Labs Ltd"/>
        <s v="MT EDUCARE LTD."/>
        <s v="HEXA TRADEX LTD."/>
        <s v="MAXHEIGHTS INFRASTRUCTURE LTD."/>
        <s v="TRIBHOVANDAS BHIMJI ZAVERI LTD."/>
        <s v="VARDHMAN SPECIAL STEELS LTD."/>
        <s v="Looks Health Services Limited"/>
        <s v="SPECIALITY RESTAURANTS LTD."/>
        <s v="Lypsa Gems &amp; Jewellery Ltd"/>
        <s v="Eris Lifesciences Ltd"/>
        <s v="Sampann Utpadan India Ltd"/>
        <s v="JTL Industries Ltd"/>
        <s v="ADVANCE METERING TECHNOLOGY LTD."/>
        <s v="JAINCO PROJECTS (INDIA) LTD."/>
        <s v="Aster DM Healthcare Ltd"/>
        <s v="JUPITER INFOMEDIA LTD."/>
        <s v="VINAYAK POLYCON INTERNATIONAL LTD."/>
        <s v="JOINTECA EDUCATION SOLUTIONS LTD."/>
        <s v="Ducon Infratechnologies Ltd"/>
        <s v="Prozone Realty Ltd"/>
        <s v="SRG HOUSING FINANCE LTD."/>
        <s v="COMFORT COMMOTRADE LTD."/>
        <s v="Shanti Guru Industries Ltd"/>
        <s v="Caspian Corporate Services Ltd"/>
        <s v="Aerpace Industries Ltd"/>
        <s v="VIRTUAL GLOBAL EDUCATION LTD."/>
        <s v="ZUARI AGRO CHEMICALS LTD."/>
        <s v="STEEL EXCHANGE INDIA LTD."/>
        <s v="TRIO MERCANTILE &amp; TRADING LTD."/>
        <s v="CIGNITI TECHNOLOGIES LTD."/>
        <s v="CDG Petchem Ltd"/>
        <s v="CARE Ratings Ltd"/>
        <s v="PC JEWELLER LTD."/>
        <s v="Metropolis Healthcare Ltd"/>
        <s v="Suven Pharmaceuticals Ltd"/>
        <s v="NIBE Ltd"/>
        <s v="Ramasigns Industries Ltd"/>
        <s v="EXPLICIT FINANCE LTD."/>
        <s v="COMFORT FINCAP LTD."/>
        <s v="BOTHRA METALS &amp; ALLOYS LTD."/>
        <s v="REPCO HOME FINANCE LTD."/>
        <s v="LAKHOTIA POLYESTERS (INDIA) LTD."/>
        <s v="GCM Securities Ltd"/>
        <s v="NRB INDUSTRIAL BEARINGS LTD."/>
        <s v="PRIME CAPITAL MARKET LTD."/>
        <s v="KIFS FINANCIAL SERVICES LTD."/>
        <s v="SREELEATHERS LTD."/>
        <s v="Max Healthcare Institute Ltd"/>
        <s v="S V GLOBAL MILL LTD."/>
        <s v="SDC Techmedia Ltd"/>
        <s v="Gland Pharma Ltd"/>
        <s v="OBJECTONE INFORMATION SYSTEMS LTD."/>
        <s v="INDIA FINSEC LTD."/>
        <s v="BRAHMAPUTRA INFRASTRUCTURE LTD."/>
        <s v="Quest Softech (India) Ltd"/>
        <s v="Khoobsurat Ltd"/>
        <s v="Krishna Institute of Medical Sciences Ltd"/>
        <s v="Glenmark Life Sciences Ltd"/>
        <s v="Ami Organics Ltd"/>
        <s v="Money Masters Leasing &amp; Finance Ltd"/>
        <s v="Alacrity Securities Ltd"/>
        <s v="GCM Commodity &amp; Derivatives Ltd"/>
        <s v="Integra Essentia Ltd"/>
        <s v="Julien Agro Infratech Ltd"/>
        <s v="Kaarya Facilities and Services Ltd"/>
        <s v="JK Agri Genetics Ltd"/>
        <s v="Future Lifestyle Fashions Ltd"/>
        <s v="PVV Infra Ltd"/>
        <s v="VCU Data Management Ltd"/>
        <s v="IND Renewable Energy Ltd"/>
        <s v="S R G Securities Finance Ltd"/>
        <s v="Amrapali Capital and Finance Services Ltd"/>
        <s v="Stellar Capital Services Ltd"/>
        <s v="Jindal Poly Investment and Finance Company Ltd"/>
        <s v="Yuranus Infrastructure Ltd"/>
        <s v="Captain Polyplast Ltd"/>
        <s v="Arnold Holdings Ltd"/>
        <s v="Sunil Healthcare Ltd"/>
        <s v="Suyog Telematics Ltd"/>
        <s v="Nath Bio-Genes (India) Ltd"/>
        <s v="Agri- Tech (India) Ltd"/>
        <s v="Chemtech Industrial Valves Ltd"/>
        <s v="Denis Chem Lab Ltd"/>
        <s v="Polymac Thermoformers Ltd"/>
        <s v="Unishire Urban Infra Ltd"/>
        <s v="Laxmipati Engineering Works Ltd"/>
        <s v="ETT Ltd"/>
        <s v="Shree Hanuman Sugar &amp; Industries Ltd"/>
        <s v="Kiran Vyapar Ltd"/>
        <s v="B.C. Power Controls Ltd"/>
        <s v="Diksha Greens Ltd"/>
        <s v="Race Eco Chain Ltd"/>
        <s v="Mangalam Industrial Finance Ltd"/>
        <s v="Viji Finance Ltd"/>
        <s v="Phoenix Township Ltd"/>
        <s v="Infronics Systems Ltd"/>
        <s v="Haria Apparels Ltd"/>
        <s v="Shri Vasuprada Plantations Ltd"/>
        <s v="R&amp;B Denims Ltd"/>
        <s v="Sharp Investments Ltd"/>
        <s v="Vijaya Diagnostic Centre Ltd"/>
        <s v="Response Informatics Ltd"/>
        <s v="GCM Capital Advisors Ltd"/>
        <s v="SHIVA SUITINGS LTD."/>
        <s v="Incredible Industries Ltd"/>
        <s v="West Leisure Resorts Ltd"/>
        <s v="Nam Securities Ltd"/>
        <s v="Maestros Electronics &amp; Telecommunications Systems Ltd"/>
        <s v="SPS Finquest Ltd"/>
        <s v="Jackson Investments Ltd"/>
        <s v="Moneyboxx Finance Ltd"/>
        <s v="Worth Investment &amp; Trading Co Ltd"/>
        <s v="Kanel Industries Limited"/>
        <s v="Thirani Projects Ltd"/>
        <s v="Amarnath Securities Ltd"/>
        <s v="Capital Trade Links Ltd"/>
        <s v="GOLD ROCK INVESTMENTS LTD."/>
        <s v="Yaan Enterprises Ltd"/>
        <s v="J. Taparia Projects Ltd"/>
        <s v="Ramchandra Leasing &amp; Finance Ltd"/>
        <s v="Gold Coin Health Foods Ltd"/>
        <s v="Bansal Roofing Products Ltd"/>
        <s v="Arman Holdings Ltd"/>
        <s v="Skipper Ltd"/>
        <s v="PEOPLES INVESTMENTS LTD."/>
        <s v="James Warren Tea Ltd"/>
        <s v="Vistar Amar Ltd"/>
        <s v="Rainbow Children's Medicare Ltd"/>
        <s v="RAPID INVESTMENTS LTD."/>
        <s v="Springform Technology Ltd"/>
        <s v="Bhanderi Infracon Ltd"/>
        <s v="AMALGAMATED ELECTRICITY CO.LTD."/>
        <s v="Quantum Build-Tech Ltd"/>
        <s v="TTI Enterprise Ltd"/>
        <s v="Vishal Fabrics Ltd"/>
        <s v="Toyam Sports Ltd"/>
        <s v="Gajanan Securities Services Ltd"/>
        <s v="Unison Metals Ltd"/>
        <s v="Real Touch Finance Ltd"/>
        <s v="Vasundhara Rasayans Ltd"/>
        <s v="INDSOYA LTD."/>
        <s v="QGO Finance Ltd"/>
        <s v="Purshottam Investofin Ltd"/>
        <s v="SW Investments Ltd"/>
        <s v="Sharda Cropchem Ltd"/>
        <s v="K K Fincorp Limited"/>
        <s v="Meghna Infracon Infrastructure Ltd"/>
        <s v="Shemaroo Entertainment Ltd"/>
        <s v="Ultracab (India) Ltd"/>
        <s v="Rajasthan Cylinders &amp; Containers Ltd"/>
        <s v="Econo Trade (India) Ltd"/>
        <s v="Atishay Ltd"/>
        <s v="Sangam Finserv Ltd"/>
        <s v="Dhabriya Polywood Ltd"/>
        <s v="Aryaman Capital Markets Ltd"/>
        <s v="Piramal Pharma Ltd"/>
        <s v="Hanman Fit Ltd"/>
        <s v="Vibrant Global Capital Ltd"/>
        <s v="Starlit Power Systems Ltd"/>
        <s v="Ceinsys Tech Ltd"/>
        <s v="Panabyte Technologies Ltd"/>
        <s v="Mudunuru Ltd"/>
        <s v="JLA Infraville Shoppers Ltd"/>
        <s v="Crane Infrastructure Ltd"/>
        <s v="Niyogin Fintech Ltd"/>
        <s v="Asia Capital Ltd"/>
        <s v="Kalyan Capitals Ltd"/>
        <s v="Goenka Business &amp; Finance Ltd"/>
        <s v="Gilada Finance &amp; Investments Ltd"/>
        <s v="Jet Infraventure Ltd"/>
        <s v="Shree Ajit Pulp And Paper Ltd"/>
        <s v="Captain Pipes Ltd"/>
        <s v="Kaizen Agro Infrabuild Ltd"/>
        <s v="JMJ Fintech Ltd"/>
        <s v="Global Health Ltd"/>
        <s v="Monte Carlo Fashions Ltd"/>
        <s v="Jeevan Scientific Technology Ltd"/>
        <s v="Indo Cotspin Ltd"/>
        <s v="Scintilla Commercial &amp; Credit Ltd"/>
        <s v="Panafic Industrials Ltd"/>
        <s v="My Money Securities Ltd"/>
        <s v="Sri Amarnath Finance Ltd"/>
        <s v="Continental Securities Ltd"/>
        <s v="Nexus Surgical And Medicare Ltd"/>
        <s v="HEALTHY INVESTMENTS LTD."/>
        <s v="Galada Finance Ltd"/>
        <s v="Emerald Finance Ltd"/>
        <s v="M.K. Exim (India) Ltd"/>
        <s v="Aarti Pharmalabs Ltd"/>
        <s v="Octal Credit Capital Ltd"/>
        <s v="SHREENATH INVESTMENTS CO.LTD."/>
        <s v="Kanchi Karpooram Ltd"/>
        <s v="Dhunseri Tea &amp; Industries Ltd"/>
        <s v="Vani Commercials Ltd"/>
        <s v="Skyline Ventures India Ltd"/>
        <s v="MODELLA WOOLLENS LTD."/>
        <s v="Raghuvansh Agrofarms Ltd"/>
        <s v="COSYN Ltd"/>
        <s v="Sofcom Systems Ltd"/>
        <s v="Naturite Agro Products Ltd"/>
        <s v="Karnavati Finance Ltd"/>
        <s v="MULTIPURPOSE TRADING &amp; AGENCIES LTD."/>
        <s v="GANESH HOLDINGS LTD."/>
        <s v="Sonal Mercantile Ltd"/>
        <s v="Abhinav Leasing &amp; Finance Ltd"/>
        <s v="Genus Paper &amp; Boards Ltd"/>
        <s v="Mankind Pharma Ltd"/>
        <s v="Mercury Laboratories Ltd"/>
        <s v="Concord Drugs Ltd"/>
        <s v="Wardwizard Innovations &amp; Mobility Ltd"/>
        <s v="Shree Securities Ltd"/>
        <s v="Concord Biotech Ltd"/>
        <s v="Talbros Engineering Ltd"/>
        <s v="SAR Auto Products Ltd"/>
        <s v="HEM HOLDINGS &amp; TRADING LTD."/>
        <s v="Jupiter Life Line Hospitals Ltd"/>
        <s v="Chennai Ferrous Industries Ltd"/>
        <s v="KOVALAM INVESTMENT &amp; TRADING CO.LTD."/>
        <s v="Gita Renewable Energy Ltd"/>
        <s v="Neil Industries Ltd"/>
        <s v="Star Housing Finance Ltd"/>
        <s v="Beekay Steel Industries Ltd"/>
        <s v="SSPN Finance Ltd"/>
        <s v="MULTIPLUS HOLDINGS LTD."/>
        <s v="Tirupati Tyres Ltd"/>
        <s v="ALNA TRADING &amp; EXPORTS LTD."/>
        <s v="AGI Infra Ltd"/>
        <s v="Manaksia Steels Ltd"/>
        <s v="Manaksia Aluminium Company Ltd"/>
        <s v="Manaksia Coated Metals &amp; Industries Ltd"/>
        <s v="Imagicaaworld Entertainment Ltd"/>
        <s v="Blue Jet Healthcare Ltd"/>
        <s v="Rajputana Investment and Finance Ltd"/>
        <s v="Consecutive Investment &amp; Trading Company Ltd"/>
        <s v="Aananda Lakshmi Spinning Mills Ltd"/>
        <s v="Velox Industries Ltd"/>
        <s v="Filtra Consultants and Engineers Ltd"/>
        <s v="Athena Constructions Ltd"/>
        <s v="Northlink Fiscal and Capital Services Ltd"/>
        <s v="Sheshadri Industries Ltd"/>
        <s v="SAB Industries Ltd"/>
        <s v="Paul Merchants Ltd"/>
        <s v="Alan Scott Industries Ltd"/>
        <s v="SARVAMANGAL MERCANTILE CO.LTD."/>
        <s v="Sujala Trading &amp; Holdings Ltd"/>
        <s v="VIKSIT ENGINEERING LTD."/>
        <s v="Jain Marmo Industries Ltd"/>
        <s v="Bangalore Fort Farms Ltd"/>
        <s v="Palco Metals Ltd"/>
        <s v="V B Industries Ltd"/>
        <s v="Sarvottam Finvest Ltd"/>
        <s v="Saptak Chem And Business Ltd"/>
        <s v="Wardwizard Foods and Beverages Ltd"/>
        <s v="UFO Moviez India Ltd"/>
        <s v="Panth Infinity Ltd"/>
        <s v="Shivalik Rasayan Ltd"/>
        <s v="Thakkers Group Ltd"/>
        <s v="Indegene Ltd"/>
        <s v="Arfin India Ltd"/>
        <s v="Virat Leasing Ltd"/>
        <s v="Helpage Finlease Ltd"/>
        <s v="Indra Industries Ltd"/>
        <s v="Hawa Engineers Ltd"/>
        <s v="ABB India Limited"/>
        <s v="Adhbhut Infrastructure Ltd"/>
        <s v="Decillion Finance Ltd"/>
        <s v="POCL Enterprises Ltd"/>
        <s v="Amba Enterprises Ltd"/>
        <s v="Capfin India Ltd"/>
        <s v="SG Finserve Ltd"/>
        <s v="Satia Industries Ltd"/>
        <s v="Genomic Valley Biotech Ltd"/>
        <s v="Garment Mantra Lifestyle Ltd"/>
        <s v="Srestha Finvest Ltd"/>
        <s v="Saumya Consultants Ltd"/>
        <s v="Mauria Udyog Ltd"/>
        <s v="Mishka Exim Ltd"/>
        <s v="Sportking India Ltd"/>
        <s v="Frontier Capital Ltd"/>
        <s v="Rudra Global Infra Products Ltd"/>
        <s v="Loyal Equipments Ltd"/>
        <s v="Gala Global Products Ltd"/>
        <s v="Chemiesynth (Vapi) Ltd"/>
        <s v="TRANSOCEANIC PROPERTIES LTD."/>
        <s v="Balkrishna Paper Mills Ltd"/>
        <s v="Shyam Century Ferrous Ltd"/>
        <s v="Surya India Ltd"/>
        <s v="BEML LTD."/>
        <s v="Star Delta Transformers Ltd"/>
        <s v="Amrapali Fincap Ltd"/>
        <s v="Samsrita Labs Ltd"/>
        <s v="BHARAT ELECTRONICS LTD."/>
        <s v="Pecos Hotels and Pubs Ltd"/>
        <s v="Mangalam Seeds Ltd"/>
        <s v="Kaya Ltd"/>
        <s v="Alstone Textiles (India) Ltd"/>
        <s v="Symbiox Investment &amp; Trading Company Ltd"/>
        <s v="Ortin Laboratories Ltd"/>
        <s v="AVI Polymers Ltd"/>
        <s v="Aurum PropTech Ltd"/>
        <s v="Oswal Greentech Ltd"/>
        <s v="Vasudhagama Enterprises Ltd"/>
        <s v="A.K. Spintex Ltd"/>
        <s v="Arvind SmartSpaces Ltd"/>
        <s v="CG Power and Industrial Solutions Ltd"/>
        <s v="Rama Steel Tubes Ltd"/>
        <s v="Thinkink Picturez Ltd"/>
        <s v="Universal Autofoundry Ltd"/>
        <s v="Veto Switchgears and Cables Ltd"/>
        <s v="Triliance Polymers Ltd"/>
        <s v="Shree Pushkar Chemicals &amp; Fertilisers Ltd"/>
        <s v="BHARAT HEAVY ELECTRICALS LTD."/>
        <s v="Waaree Technologies Ltd"/>
        <s v="Sadbhav Infrastructure Project Ltd"/>
        <s v="Sal Automotive Ltd"/>
        <s v="Polyspin Exports Ltd"/>
        <s v="Pritika Auto Industries Ltd"/>
        <s v="Soni Medicare Ltd"/>
        <s v="Mahaveer Infoway Ltd"/>
        <s v="Krishna Capital and Securities Ltd"/>
        <s v="Acme Resources Ltd"/>
        <s v="Kabra Commercial Ltd"/>
        <s v="Vishal Bearings Ltd"/>
        <s v="Bella Casa Fashion &amp; Retail Ltd"/>
        <s v="Mallcom (India) Ltd"/>
        <s v="Patdiam Jewellery Ltd"/>
        <s v="Naksh Precious Metals Ltd"/>
        <s v="Satin Creditcare Network Ltd"/>
        <s v="Decorous Investment &amp; Trading Co Ltd"/>
        <s v="OSEASPRE CONSULTANTS LTD."/>
        <s v="Generic Engineering Construction and Projects Ltd"/>
        <s v="Kuber Udyog Ltd"/>
        <s v="TECHNOJET CONSULTANTS LTD."/>
        <s v="Tejnaksh Healthcare Ltd"/>
        <s v="Brilliant Portfolios Ltd"/>
        <s v="Richfield Financial Services Ltd"/>
        <s v="Coffee Day Enterprises Ltd"/>
        <s v="ELECTROSTEEL CASTINGS LTD."/>
        <s v="Beardsell Ltd"/>
        <s v="KUSAM ELECTRICAL INDUSTRIES LTD."/>
        <s v="JUMBO FINANCE LTD."/>
        <s v="S H Kelkar and Company Ltd"/>
        <s v="Typhoon Financial Services Ltd"/>
        <s v="Panorama Studios International Ltd"/>
        <s v="Shree Ganesh Biotech (India) Ltd"/>
        <s v="GTV Engineering Ltd"/>
        <s v="Tirupati Finlease Ltd"/>
        <s v="Garbi Finvest Ltd"/>
        <s v="Smart Finsec Ltd"/>
        <s v="Rajkot Investment Trust Ltd"/>
        <s v="Adcon Capital Services Ltd"/>
        <s v="Quint Digital Ltd"/>
        <s v="Uday Jewellery Industries Ltd"/>
        <s v="Navigant Corporate Advisors Ltd"/>
        <s v="Grovy India Ltd"/>
        <s v="ESAB INDIA LTD."/>
        <s v="EPL Ltd"/>
        <s v="Rajvi Logitrade Ltd"/>
        <s v="Creative Castings Ltd"/>
        <s v="Aayush Food and Herbs Ltd"/>
        <s v="Millennium Online Solutions ( India ) Ltd"/>
        <s v="Lux Industries Ltd"/>
        <s v="Valley Magnesite Company Ltd"/>
        <s v="Abhishek Infraventures Ltd"/>
        <s v="Apoorva Leasing Finance and Investment Company Ltd"/>
        <s v="SANCHAY FINVEST LTD."/>
        <s v="FINOLEX CABLES LTD."/>
        <s v="F Mec International Financial Services Ltd"/>
        <s v="Deep Diamond India Ltd"/>
        <s v="Abhijit Trading Company Ltd"/>
        <s v="REGENCY TRUST LTD."/>
        <s v="Aarnav Fashions Ltd"/>
        <s v="Sunshine Capital Ltd"/>
        <s v="NILKANTH ENGINEERING LTD."/>
        <s v="Shivansh Finserve Ltd"/>
        <s v="Mishtann Foods Ltd"/>
        <s v="Delta Industrial Resources Ltd"/>
        <s v="Credent Global Finance Ltd"/>
        <s v="Kotia Enterprises Ltd"/>
        <s v="Blue Cloud Softech Solutions Ltd"/>
        <s v="Kanoria Energy &amp; Infrastructure Ltd"/>
        <s v="BCL Enterprises Ltd"/>
        <s v="Precision Camshafts Ltd"/>
        <s v="SOBHAGYA MERCHANTILE LTD."/>
        <s v="Vidli Restaurants Ltd"/>
        <s v="Best Agrolife Ltd"/>
        <s v="Ace Men Engg Works Ltd"/>
        <s v="BFL Asset Finvest Ltd"/>
        <s v="RGF Capital Markets Ltd"/>
        <s v="Radhagobind Commercial Ltd"/>
        <s v="Quick Heal Technologies Ltd"/>
        <s v="Kapil Raj Finance Ltd"/>
        <s v="Ganga Pharmaceuticals Ltd"/>
        <s v="Dynamic Archistructures Ltd"/>
        <s v="Lucent Industries Ltd"/>
        <s v="Shivkamal Impex Ltd"/>
        <s v="K.P. Energy Ltd"/>
        <s v="Interactive Financial Services Ltd"/>
        <s v="Hiliks Technologies Ltd"/>
        <s v="Gokul Agro Resources Ltd"/>
        <s v="Fredun Pharmaceuticals Ltd"/>
        <s v="Simbhaoli Sugars Ltd"/>
        <s v="Relicab Cable Manufacturing Ltd"/>
        <s v="Vantage Knowledge Academy Ltd"/>
        <s v="Modern Engineering And Projects Ltd"/>
        <s v="Mega Nirman and Industries Ltd"/>
        <s v="Darjeeling Ropeway Company Ltd"/>
        <s v="Advik Capital Ltd"/>
        <s v="Pudumjee Paper Products Ltd"/>
        <s v="HINDUSTAN CONSTRUCTION CO.LTD."/>
        <s v="Khemani Distributors &amp; Marketing Ltd"/>
        <s v="Umiya Tubes Ltd"/>
        <s v="Bharat Wire Ropes Ltd"/>
        <s v="CHD Chemicals Ltd"/>
        <s v="HMT LTD."/>
        <s v="INERTIA STEEL LTD."/>
        <s v="Mudra Financial Services Ltd"/>
        <s v="PH TRADING LTD."/>
        <s v="Superior Finlease Ltd"/>
        <s v="Raghav Productivity Enhancers Ltd"/>
        <s v="Franklin Leasing and Finance Ltd"/>
        <s v="VENTURA GUARANTY LTD."/>
        <s v="NINtec Systems Ltd"/>
        <s v="Halder Venture Ltd"/>
        <s v="Thyrocare Technologies Ltd"/>
        <s v="Bajaj Healthcare Ltd"/>
        <s v="RSD Finance Ltd"/>
        <s v="INGERSOLL-RAND (INDIA) LTD."/>
        <s v="KIRLOSKAR BROTHERS LTD.-$"/>
        <s v="Darshan Orna Ltd"/>
        <s v="Parag Milk Foods Ltd"/>
        <s v="Madhav Infra Projects Ltd"/>
        <s v="Nagarjuna Fertilizers and Chemicals Ltd"/>
        <s v="Shanti Educational Initiatives Ltd"/>
        <s v="SANMITRA COMMERCIAL LTD."/>
        <s v="Wardwizard Healthcare Ltd"/>
        <s v="Yash Chemex Ltd"/>
        <s v="Bazel International Ltd"/>
        <s v="Jindal Leasefin Ltd"/>
        <s v="Vishvprabha Ventures Ltd"/>
        <s v="Kirloskar Industries Ltd"/>
        <s v="Zeal Aqua Ltd"/>
        <s v="TWIN ROSES TRADES &amp; AGENCIES LTD."/>
        <s v="Digjam Ltd"/>
        <s v="Hindusthan Urban Infrastructure Ltd"/>
        <s v="Titaanium Ten Enterprise Ltd"/>
        <s v="Commercial Syn Bags Ltd"/>
        <s v="M Lakhamsi Industries Ltd"/>
        <s v="KSB Ltd"/>
        <s v="Kwality Pharmaceuticals Ltd"/>
        <s v="LAKSHMI MACHINE WORKS LTD."/>
        <s v="Terraform Realstate Limited"/>
        <s v="Advanced Enzyme Technologies Ltd"/>
        <s v="Ladam Affordable Housing Ltd"/>
        <s v="MAHARASHTRA SEAMLESS LTD."/>
        <s v="S.P. Apparels Ltd"/>
        <s v="Bigbloc Construction Ltd"/>
        <s v="Golden Crest Education &amp; Services Ltd"/>
        <s v="ECS Biztech Ltd"/>
        <s v="NCC Limited"/>
        <s v="AMS Polymers Ltd"/>
        <s v="Shiva Granito Export Ltd"/>
        <s v="SURYA ROSHNI LTD."/>
        <s v="Mitsu Chem Plast Ltd"/>
        <s v="Sprayking Ltd"/>
        <s v="Dhatre Udyog Ltd"/>
        <s v="SAB Events &amp; Governance Now Media Ltd"/>
        <s v="Riddhi Steel and Tube Ltd"/>
        <s v="TV Vision Ltd"/>
        <s v="Visco Trade Associates Ltd"/>
        <s v="Tiaan Consumer Ltd"/>
        <s v="JINDAL SAW LTD."/>
        <s v="G N A Axles Ltd"/>
        <s v="Radhika Jeweltech Ltd"/>
        <s v="BENTLEY COMMERCIAL ENTERPRISES LTD."/>
        <s v="THERMAX LTD."/>
        <s v="Ishaan Infrastructures and Shelters Ltd"/>
        <s v="ARC Finance Ltd"/>
        <s v="HPL Electric &amp; Power Ltd"/>
        <s v="Sagarsoft (India) Ltd"/>
        <s v="CLASSIC ELECTRICALS LTD."/>
        <s v="Valiant Organics Ltd"/>
        <s v="Aditya Consumer Marketing Ltd"/>
        <s v="Shashijit Infraprojects Ltd"/>
        <s v="Bindal Exports Ltd"/>
        <s v="Diksat Transworld Ltd"/>
        <s v="SKF India Ltd"/>
        <s v="Purple Entertainment Ltd"/>
        <s v="Supra Pacific Financial Services Ltd"/>
        <s v="ASHOK LEYLAND LTD."/>
        <s v="Southern Infosys Ltd"/>
        <s v="Regency Fincorp Ltd"/>
        <s v="CUMMINS INDIA LTD."/>
        <s v="Salem Erode Investments Ltd"/>
        <s v="NIVI TRADING LTD."/>
        <s v="LKP Securities Ltd"/>
        <s v="Osiajee Texfab Ltd"/>
        <s v="Corporate Merchant Bankers Ltd"/>
        <s v="Escorts Kubota Ltd"/>
        <s v="Eiko Lifesciences Ltd"/>
        <s v="LARSEN &amp; TOUBRO LTD."/>
        <s v="Heads UP Ventures Ltd"/>
        <s v="BAJAJ GLOBAL LTD."/>
        <s v="TASHI INDIA LTD."/>
        <s v="SIEMENS LTD."/>
        <s v="AUTORIDERS INTERNATIONAL LTD."/>
        <s v="Veeram Securities Ltd"/>
        <s v="Marg Techno Projects Ltd"/>
        <s v="CHAMBAL BREWERIES &amp; DISTILLERIES LTD."/>
        <s v="MANSOON TRADING CO.LTD."/>
        <s v="TruCap Finance Ltd"/>
        <s v="Super Fine Knitters Ltd"/>
        <s v="CES Limited"/>
        <s v="Garware Hi-Tech Films Ltd"/>
        <s v="Classic Filaments Ltd"/>
        <s v="JITF Infralogistics Ltd"/>
        <s v="Sueryaa Knitwear Ltd"/>
        <s v="Tanvi Foods (India) Ltd"/>
        <s v="RMC Switchgears Ltd"/>
        <s v="Parmax Pharma Ltd"/>
        <s v="Leading Leasing Finance And Investment Company Ltd"/>
        <s v="MAGNANIMOUS TRADE &amp; FINANCE LTD."/>
        <s v="Music Broadcast Ltd"/>
        <s v="FINOLEX INDUSTRIES LTD."/>
        <s v="MERCURY TRADE LINKS LTD."/>
        <s v="Ontic Finserve Ltd"/>
        <s v="Sarthak Metals Ltd"/>
        <s v="Chemcrux Enterprises Ltd"/>
        <s v="Manomay Tex India Ltd"/>
        <s v="NIRAV COMMERCIALS LTD."/>
        <s v="Manas Properties Ltd"/>
        <s v="CL Educate Ltd"/>
        <s v="Prime Fresh Ltd"/>
        <s v="Octaware Technologies Ltd"/>
        <s v="Shankara Building Products Ltd"/>
        <s v="Escorp Asset Management Ltd"/>
        <s v="Parmeshwari Silk Mills Ltd"/>
        <s v="KMS Medisurgi Ltd"/>
        <s v="Classic Leasing &amp; Finance Ltd"/>
        <s v="Starlineps Enterprises Ltd"/>
        <s v="S Chand and Company Ltd"/>
        <s v="Kanungo Financiers Ltd"/>
        <s v="Meera Industries Ltd"/>
        <s v="Borosil Renewables Ltd"/>
        <s v="PSP Projects Ltd"/>
        <s v="Bhakti Gems and Jewellery Ltd"/>
        <s v="Yug Decor Ltd"/>
        <s v="WHITE HALL COMMERCIAL CO.LTD."/>
        <s v="BHARAT BIJLEE LTD.-$"/>
        <s v="Riddhi Corporate Services Ltd"/>
        <s v="GMM PFAUDLER LTD."/>
        <s v="ELECON ENGINEERING CO.LTD."/>
        <s v="GTPL Hathway Ltd"/>
        <s v="KENNAMETAL INDIA LTD.-$"/>
        <s v="ASUTOSH ENTERPRISES LTD."/>
        <s v="G G Engineering Ltd"/>
        <s v="7NR Retail Ltd"/>
        <s v="Salasar Techno Engineering Ltd"/>
        <s v="Ganges Securities Ltd"/>
        <s v="Palash Securities Ltd"/>
        <s v="Avadh Sugar &amp; Energy Ltd"/>
        <s v="Magadh Sugar &amp; Energy Ltd"/>
        <s v="Jigar Cables Ltd"/>
        <s v="Captain Technocast Ltd"/>
        <s v="Globalspace Technologies Ltd"/>
        <s v="PUNCTUAL TRADING LTD."/>
        <s v="GRINDWELL NORTON LTD.-$"/>
        <s v="SMS Lifesciences India Ltd"/>
        <s v="GRAPHITE INDIA LTD."/>
        <s v="Chothani Foods Ltd"/>
        <s v="Smruthi Organics Ltd"/>
        <s v="ITD CEMENTATION INDIA LTD."/>
        <s v="Apex Frozen Foods Ltd"/>
        <s v="Shish Industries Ltd"/>
        <s v="ANG Lifesciences India Ltd"/>
        <s v="VARUN MERCANTILE LTD."/>
        <s v="HEG LTD."/>
        <s v="Bharat Road Network Ltd"/>
        <s v="Dishman Carbogen Amcis Ltd"/>
        <s v="Lasa Supergenerics Ltd"/>
        <s v="VINAYAK VANIJYA LTD."/>
        <s v="Matrimony.com Ltd"/>
        <s v="Reliance Home Finance Ltd"/>
        <s v="Capacite Infraprojects Ltd"/>
        <s v="Sagar Diamonds Ltd"/>
        <s v="SUPREME INDUSTRIES LTD."/>
        <s v="SITA ENTERPRISES LTD."/>
        <s v="AKM Creations Ltd"/>
        <s v="JAI CORP LTD."/>
        <s v="Prataap Snacks Ltd"/>
        <s v="SG Mart Ltd"/>
        <s v="Trident Texofab Ltd"/>
        <s v="Poojawestern Metaliks Ltd"/>
        <s v="Sayaji Industries Ltd"/>
        <s v="Vanta Bioscience Ltd"/>
        <s v="PULSAR INTERNATIONAL LTD."/>
        <s v="IRIS Business Services Ltd"/>
        <s v="Shree Ganesh Remedies Ltd"/>
        <s v="Astal Laboratories Ltd"/>
        <s v="CARBORUNDUM UNIVERSAL LTD."/>
        <s v="USHA MARTIN LTD."/>
        <s v="HONEYWELL AUTOMATION INDIA LTD."/>
        <s v="KEI INDUSTRIES LTD."/>
        <s v="Regent Enterprises Ltd"/>
        <s v="Sheetal Cool Products Ltd"/>
        <s v="RATNAMANI METALS &amp; TUBES LTD.-$"/>
        <s v="VESUVIUS INDIA LTD."/>
        <s v="JEET MACHINE TOOLS LTD."/>
        <s v="ELGI EQUIPMENTS LTD."/>
        <s v="IFGL Refractories Ltd"/>
        <s v="Khadim India Ltd"/>
        <s v="5paisa Capital Ltd"/>
        <s v="TIMKEN INDIA LTD."/>
        <s v="Sanghvi Brands Ltd"/>
        <s v="RAMGOPAL POLYTEX LTD."/>
        <s v="Aspira Pathlab &amp; Diagnostics Ltd"/>
        <s v="Diligent Media Corporation Ltd"/>
        <s v="Dynamic Cables Ltd"/>
        <s v="Ratnabhumi Developers Ltd"/>
        <s v="Shalby Ltd"/>
        <s v="TTL Enterprises Ltd"/>
        <s v="YARN SYNDICATE LTD."/>
        <s v="GARWARE SYNTHETICS LTD."/>
        <s v="Sadhna Broadcast Ltd"/>
        <s v="Astron Paper &amp; Board Mill Ltd"/>
        <s v="OSWAL YARNS LTD."/>
        <s v="INTERNATIONAL DATA MANAGEMENT LTD."/>
        <s v="Jhandewalas Foods Ltd"/>
        <s v="7Seas Entertainment Ltd"/>
        <s v="Apollo Micro Systems Ltd"/>
        <s v="Diamond Power Infrastructure Limited-$"/>
        <s v="Praxis Home Retail Ltd"/>
        <s v="PRAJ INDUSTRIES LTD."/>
        <s v="Pervasive Commodities Ltd"/>
        <s v="Tirupati Foam Ltd"/>
        <s v="Kisaan Parivar Industries Ltd"/>
        <s v="Ashoka Metcast Ltd"/>
        <s v="GE T&amp;D India Ltd"/>
        <s v="Gautam Gems Ltd"/>
        <s v="Medico Remedies Ltd"/>
        <s v="Gujarat Hy-Spin Ltd"/>
        <s v="Lorenzini Apparels Ltd"/>
        <s v="Kenvi Jewels Ltd"/>
        <s v="The Indian Wood Products Company Ltd"/>
        <s v="Tasty Dairy Specialities Ltd"/>
        <s v="Bhatia Communications &amp; Retail (India) Ltd"/>
        <s v="Shiva Mills Ltd"/>
        <s v="Kalpataru Projects International Ltd"/>
        <s v="Datiware Maritime Infra Ltd"/>
        <s v="Kanco Tea &amp; Industries Ltd"/>
        <s v="Angel Fibers Ltd"/>
        <s v="GENUS POWER INFRASTRUCTURES LTD.-$"/>
        <s v="Inflame Appliances Ltd"/>
        <s v="Bharat Parenterals Ltd"/>
        <s v="Shreeshay Engineers Ltd"/>
        <s v="Apex Capital And Finance Ltd"/>
        <s v="PATEL ENGINEERING LTD.-$"/>
        <s v="Active Clothing Co Ltd"/>
        <s v="NMS Resources Global Ltd"/>
        <s v="SHAKTI PUMPS (INDIA) LTD.-$"/>
        <s v="Welspun Corp Limited"/>
        <s v="KBC Global Ltd"/>
        <s v="Sandhar Technologies Ltd"/>
        <s v="Yasho Industries Ltd"/>
        <s v="Benara Bearings and Pistons Ltd"/>
        <s v="ENGINEERS INDIA LTD."/>
        <s v="APAR INDUSTRIES LTD."/>
        <s v="OTCO INTERNATIONAL LTD."/>
        <s v="Avi Products India Ltd"/>
        <s v="Taylormade Renewables Ltd"/>
        <s v="ASTRA MICROWAVE PRODUCTS LTD."/>
        <s v="Chemfab Alkalis Ltd"/>
        <s v="Hardwyn India Ltd"/>
        <s v="Dr Lalchandani Labs Ltd"/>
        <s v="Welspun Enterprises Ltd"/>
        <s v="NORRIS MEDICINES LTD."/>
        <s v="Akshar Spintex Ltd"/>
        <s v="Indo Us Bio-Tech Ltd"/>
        <s v="Indostar Capital Finance Ltd"/>
        <s v="Milestone Furniture Ltd"/>
        <s v="U. H. Zaveri Ltd"/>
        <s v="Parvati Sweetners and Power Ltd"/>
        <s v="Megastar Foods Ltd"/>
        <s v="Innovators Facade Systems Ltd"/>
        <s v="Unifinz Capital India Ltd"/>
        <s v="Zim Laboratories Ltd"/>
        <s v="Affordable Robotic &amp; Automation Ltd"/>
        <s v="Dollar Industries Ltd"/>
        <s v="Nakoda Group of Industries Ltd"/>
        <s v="REVATI ORGANICS LTD."/>
        <s v="Waa Solar Ltd"/>
        <s v="SUZLON ENERGY LTD."/>
        <s v="Unick Fix-A-Form And Printers Ltd"/>
        <s v="Solara Active Pharma Sciences Ltd"/>
        <s v="AIA ENGINEERING LTD."/>
        <s v="KEC INTERNATIONAL LTD."/>
        <s v="Gallantt Ispat Ltd"/>
        <s v="Rajnish Wellness Ltd"/>
        <s v="Sophia Traexpo Ltd"/>
        <s v="Raw Edge Industrial Solutions Ltd"/>
        <s v="TCNS Clothing Co. Ltd"/>
        <s v="Supershakti Metaliks Ltd"/>
        <s v="PRIYA LTD.-$"/>
        <s v="Raconteur Global Resources Ltd"/>
        <s v="GODAWARI POWER &amp; ISPAT LTD."/>
        <s v="Vivanta Industries Ltd"/>
        <s v="Hemo Organic Limited"/>
        <s v="VOLTAMP TRANSFORMERS LTD."/>
        <s v="Amin Tannery Ltd"/>
        <s v="Deep Polymers Ltd"/>
        <s v="Sungold Media and Entertainment Ltd"/>
        <s v="Add-Shop ERetail Ltd"/>
        <s v="Space Incubatrics Technologies Ltd"/>
        <s v="Synergy Green Industries Ltd"/>
        <s v="Ranjeet Mechatronics Ltd"/>
        <s v="ACTION CONSTRUCTION EQUIPMENT LTD."/>
        <s v="Sky Gold Ltd"/>
        <s v="Mac Hotels Ltd"/>
        <s v="Manorama Industries Ltd"/>
        <s v="PARKER AGROCHEM EXPORTS LTD.-$"/>
        <s v="TECHNOCRAFT INDUSTRIES (INDIA) LTD."/>
        <s v="AHLUWALIA CONTRACTS (INDIA) LTD."/>
        <s v="A-1 Acid Ltd"/>
        <s v="Dolfin Rubbers Ltd"/>
        <s v="Shubham Polyspin Ltd"/>
        <s v="AKI India Ltd"/>
        <s v="BIJOY HANS LTD."/>
        <s v="S. M. Gold Ltd"/>
        <s v="Vivid Mercantile Ltd"/>
        <s v="BCPL Railway Infrastructure Ltd"/>
        <s v="Astral Ltd"/>
        <s v="The Phosphate Company Ltd"/>
        <s v="TIME TECHNOPLAST LTD."/>
        <s v="AMBITIOUS PLASTOMAC COMPANY LTD."/>
        <s v="Shree Krishna Infrastructure Ltd"/>
        <s v="MAHASAGAR TRAVELS LTD."/>
        <s v="Aryan Share and Stock Brokers Ltd"/>
        <s v="Nivaka Fashions Ltd"/>
        <s v="TRANSFORMERS AND RECTIFIERS (INDIA) LTD."/>
        <s v="Nila Spaces Ltd"/>
        <s v="Shankar Lal Rampal Dye-Chem Ltd"/>
        <s v="Trejhara Solutions Ltd"/>
        <s v="Deccan Health Care Ltd"/>
        <s v="Axita Cotton Ltd"/>
        <s v="J.KUMAR INFRAPROJECTS LTD."/>
        <s v="Hi-Klass Trading and Investment Ltd"/>
        <s v="SIDDHESWARI GARMENTS LTD."/>
        <s v="Spencers Retail Ltd"/>
        <s v="Gloster Ltd"/>
        <s v="Xelpmoc Design and Tech Ltd"/>
        <s v="SPA Capital Services Ltd"/>
        <s v="Aar Shyam India Investment Company Ltd"/>
        <s v="HARMONY CAPITAL SERVICES LTD."/>
        <s v="KNR CONSTRUCTIONS LTD."/>
        <s v="Anmol India Ltd"/>
        <s v="GARODIA CHEMICALS LTD."/>
        <s v="Kranti Industries Ltd"/>
        <s v="The Anup Engineering Ltd"/>
        <s v="INTER STATE OIL CARRIER LTD."/>
        <s v="Titagarh Rail Systems Ltd"/>
        <s v="SP CAPITAL FINANCING LTD."/>
        <s v="Jyot International Marketing Ltd"/>
        <s v="Ashapuri Gold Ornament Ltd"/>
        <s v="Aartech Solonics Ltd"/>
        <s v="Humming Bird Education Ltd"/>
        <s v="Stratmont Industries Ltd"/>
        <s v="Roopshri Resorts Ltd"/>
        <s v="EKAM LEASING &amp; FINANCE CO.LTD."/>
        <s v="SHREE GANESH ELASTOPLAST LTD."/>
        <s v="ISGEC Heavy Engineering Ltd"/>
        <s v="MAN INFRACONSTRUCTION LTD."/>
        <s v="ASHOKA BUILDCON LTD."/>
        <s v="Jupiter Wagons Ltd"/>
        <s v="V R Films &amp; Studios Ltd"/>
        <s v="SI CAPITAL &amp; FINANCIAL SERVICES LTD."/>
        <s v="Neogen Chemicals Ltd"/>
        <s v="G. K. P. Printing &amp; Packaging Ltd"/>
        <s v="R.R.SECURITIES LTD."/>
        <s v="EURO ASIA EXPORTS LTD."/>
        <s v="BMW Industries Ltd"/>
        <s v="Artemis Electricals and Projects Ltd"/>
        <s v="Cian Healthcare Ltd"/>
        <s v="Dhanashree Electronics Ltd"/>
        <s v="Harish Textile Engineers Ltd"/>
        <s v="Prakash Pipes Ltd"/>
        <s v="Digicontent Ltd"/>
        <s v="ARIHANT'S SECURITIES LTD."/>
        <s v="Anand Rayons Ltd"/>
        <s v="Murae Organisor Ltd"/>
        <s v="SBC Exports Ltd"/>
        <s v="KIRLOSKAR OIL ENGINES LTD."/>
        <s v="City Pulse Multiplex Ltd"/>
        <s v="SK International Export Ltd"/>
        <s v="DCM Nouvelle Ltd"/>
        <s v="TEXMACO RAIL &amp; ENGINEERING LTD."/>
        <s v="Tradewell Holdings Ltd"/>
        <s v="ZEN TECHNOLOGIES LTD."/>
        <s v="T D POWER SYSTEMS LTD."/>
        <s v="Alphalogic Techsys Ltd"/>
        <s v="Novateor Research Laboratories Ltd"/>
        <s v="360 ONE WAM LTD"/>
        <s v="TRIVENI TURBINE LTD."/>
        <s v="Mufin Green Finance Ltd"/>
        <s v="Misquita Engineering Ltd"/>
        <s v="Galactico Corporate Services Ltd"/>
        <s v="VIKALP SECURITIES LTD."/>
        <s v="APL APOLLO TUBES LTD."/>
        <s v="Rhi Magnesita India Ltd"/>
        <s v="Goblin India Ltd"/>
        <s v="Gensol Engineering Ltd"/>
        <s v="Vishwaraj Sugar Industries Ltd"/>
        <s v="Greenpanel Industries Ltd"/>
        <s v="Shahlon Silk Industries Ltd"/>
        <s v="Mount Housing and Infrastructure Ltd"/>
        <s v="Anuroop Packaging Ltd"/>
        <s v="Colab Cloud Platforms Ltd"/>
        <s v="SCHNEIDER ELECTRIC INFRASTRUCTURE LTD."/>
        <s v="NBCC (India) Ltd"/>
        <s v="Hindware Home Innovation Ltd"/>
        <s v="Easun Capital Markets Ltd"/>
        <s v="PTC Industries Ltd"/>
        <s v="Assam Entrade Ltd"/>
        <s v="Gian Life Care Ltd"/>
        <s v="Artemis Medicare Services Ltd"/>
        <s v="Inox Wind Ltd"/>
        <s v="Janus Corporation Ltd"/>
        <s v="Vardhan Capital &amp; Finance Ltd"/>
        <s v="Universus Photo Imagings Ltd"/>
        <s v="Chandra Bhagat Pharma Ltd"/>
        <s v="Octavius Plantations Ltd"/>
        <s v="PNC Infratech Ltd"/>
        <s v="SM Auto Stamping Ltd"/>
        <s v="Power Mech Projects Ltd"/>
        <s v="RO Jewels Ltd"/>
        <s v="Cospower Engineering Ltd"/>
        <s v="Lloyds Engineering Works Ltd"/>
        <s v="LWS KNITWEAR LTD."/>
        <s v="Natural Biocon (India) Ltd"/>
        <s v="Regis Industries Ltd"/>
        <s v="Billwin Industries Ltd"/>
        <s v="Aarti Surfactants Ltd"/>
        <s v="Bonlon Industries Ltd"/>
        <s v="Borosil Ltd"/>
        <s v="Rossari Biotech Ltd"/>
        <s v="NDR Auto Components Ltd"/>
        <s v="Suratwwala Business Group Ltd"/>
        <s v="Dilip Buildcon Ltd"/>
        <s v="Max India Ltd"/>
        <s v="Cochin Shipyard Ltd"/>
        <s v="H.G. Infra Engineering Ltd"/>
        <s v="Samrat Forgings Ltd"/>
        <s v="Advait Infratech Ltd"/>
        <s v="Archidply Decor Ltd"/>
        <s v="Bharat Dynamics Ltd"/>
        <s v="Chemcon Speciality Chemicals Ltd"/>
        <s v="SecMark Consultancy Ltd"/>
        <s v="Hindustan Aeronautics Ltd"/>
        <s v="Atam Valves Ltd"/>
        <s v="Mishra Dhatu Nigam Ltd"/>
        <s v="RITES Ltd"/>
        <s v="G M Polyplast Ltd"/>
        <s v="Likhitha Infrastructure Ltd"/>
        <s v="Veer Global Infraconstruction Ltd"/>
        <s v="NOUVEAU GLOBAL VENTURES LTD."/>
        <s v="IRCON International Ltd"/>
        <s v="Shine Fashions (India) Ltd"/>
        <s v="Garden Reach Shipbuilders &amp; Engineers Ltd"/>
        <s v="Restaurant Brands Asia Ltd"/>
        <s v="Techno Electric &amp; Engineering Company Ltd"/>
        <s v="Ravinder Heights Ltd"/>
        <s v="Fairchem Organics Ltd"/>
        <s v="Rail Vikas Nigam Ltd"/>
        <s v="Antony Waste Handling Cell Ltd"/>
        <s v="Rita Finance and Leasing Ltd"/>
        <s v="Polycab India Ltd"/>
        <s v="Sterling and Wilson Renewable Energy Ltd"/>
        <s v="Prince Pipes and Fittings Ltd"/>
        <s v="Stove Kraft Ltd"/>
        <s v="MRP Agro Ltd"/>
        <s v="SMC Global Securities Ltd"/>
        <s v="Nureca Ltd"/>
        <s v="Hitachi Energy India Ltd"/>
        <s v="Heranba Industries Ltd"/>
        <s v="Davangere Sugar Company Ltd"/>
        <s v="DRC Systems India Ltd"/>
        <s v="Mazagon Dock Shipbuilders Ltd"/>
        <s v="MTAR Technologies Ltd"/>
        <s v="Inox Wind Energy Ltd"/>
        <s v="SHUKRA BULLIONS LTD."/>
        <s v="Suumaya Corporation Ltd"/>
        <s v="Shyam Metalics and Energy Ltd"/>
        <s v="G R Infraprojects Ltd"/>
        <s v="Paras Defence and Space Technologies Ltd"/>
        <s v="Tega Industries Ltd"/>
        <s v="Suryoday Small Finance Bank Ltd"/>
        <s v="Data Patterns (India) Ltd"/>
        <s v="Suvidhaa Infoserve Ltd"/>
        <s v="Barbeque-Nation Hospitality Ltd"/>
        <s v="JYOTHI INFRAVENTURES LTD."/>
        <s v="Rajeshwari Cans Ltd"/>
        <s v="Jetmall Spices and Masala Ltd"/>
        <s v="Syrma SGS Technology Ltd"/>
        <s v="Deep Industries Ltd"/>
        <s v="Kaynes Technology India Ltd"/>
        <s v="Vineet Laboratories Ltd"/>
        <s v="Cyient DLM Ltd"/>
        <s v="R R Kabel Ltd"/>
        <s v="DEVINE IMPEX LTD."/>
        <s v="INOX India Ltd"/>
        <s v="Happy Forgings Ltd"/>
        <s v="Adeshwar Meditex Ltd"/>
        <s v="Times Green Energy (India) Ltd"/>
        <s v="India Pesticides Ltd"/>
        <s v="Focus Business Solution Ltd"/>
        <s v="Azad Engineering Ltd"/>
        <s v="Jyoti CNC Automation Ltd"/>
        <s v="VSD CONFIN LTD."/>
        <s v="Exicom Tele-Systems Ltd"/>
        <s v="Tatva Chintan Pharma Chem Ltd"/>
        <s v="Gretex Corporate Services Ltd"/>
        <s v="INFOSYS LTD."/>
        <s v="Exxaro Tiles Ltd"/>
        <s v="Krsnaa Diagnostics Ltd"/>
        <s v="Windlas Biotech Ltd"/>
        <s v="TATA ELXSI LTD."/>
        <s v="Meghmani Organics Ltd"/>
        <s v="Black Box Ltd"/>
        <s v="CarTrade Tech Ltd"/>
        <s v="ZENSAR TECHNOLOGIES LTD."/>
        <s v="WIPRO LTD."/>
        <s v="MASTEK LTD."/>
        <s v="Sharpline Broadcast Ltd"/>
        <s v="Aashka Hospitals Ltd"/>
        <s v="MPHASIS LTD."/>
        <s v="Cyient Limited"/>
        <s v="SVA INDIA LTD."/>
        <s v="SONATA SOFTWARE LTD."/>
        <s v="Prevest Denpro Ltd"/>
        <s v="Markolines Pavement Technologies Ltd"/>
        <s v="SBL Infratech Ltd"/>
        <s v="HCL TECHNOLOGIES LTD."/>
        <s v="HINDUSTAN APPLIANCES LTD."/>
        <s v="Shri Venkatesh Refineries Ltd"/>
        <s v="Birlasoft Ltd"/>
        <s v="Promax Power Ltd"/>
        <s v="Samor Reality Ltd"/>
        <s v="Adishakti Loha and Ispat Ltd"/>
        <s v="Moschip Technologies Ltd"/>
        <s v="Fino Payments Bank Ltd"/>
        <s v="S.J.S. Enterprises Ltd"/>
        <s v="Sigachi Industries Ltd"/>
        <s v="ORACLE FINANCIAL SERVICES SOFTWARE LTD."/>
        <s v="Suyog Gurbaxani Funicular Ropeways Ltd"/>
        <s v="TATA CONSULTANCY SERVICES LTD."/>
        <s v="Coforge Ltd"/>
        <s v="AURIONPRO SOLUTIONS LTD."/>
        <s v="Tarsons Products Ltd"/>
        <s v="Omnipotent Industries Ltd"/>
        <s v="R Systems International Limited"/>
        <s v="SHREEVATSAA FINANCE &amp; LEASING LTD."/>
        <s v="Hi-Tech Pipes Ltd"/>
        <s v="TECH MAHINDRA LTD."/>
        <s v="Tanla Platforms Ltd"/>
        <s v="PERSISTENT SYSTEMS LTD."/>
        <s v="Zodiac Energy Ltd"/>
        <s v="Intellect Design Arena Ltd"/>
        <s v="Shriram Properties Ltd"/>
        <s v="SHRI KALYAN HOLDINGS LTD."/>
        <s v="Magellanic Cloud Ltd"/>
        <s v="LTIMindtree Ltd"/>
        <s v="L&amp;T Technology Services Ltd"/>
        <s v="Newgen Software Technologies Ltd"/>
        <s v="HP Adhesives Ltd"/>
        <s v="Supriya Lifescience Ltd"/>
        <s v="Clara Industries Ltd"/>
        <s v="Brandbucket Media &amp; Technology Ltd"/>
        <s v="SICAGEN INDIA LTD."/>
        <s v="Brand Concepts Ltd"/>
        <s v="Fabino Life Sciences Ltd"/>
        <s v="Wonder Electricals Ltd"/>
        <s v="AGS Transact Technologies Ltd"/>
        <s v="Alkosign Ltd"/>
        <s v="KPIT Technologies Ltd"/>
        <s v="Quality RO Industries Ltd"/>
        <s v="Karnimata Cold Storage Ltd"/>
        <s v="Dev Information Technology Ltd"/>
        <s v="Affle (India) Ltd"/>
        <s v="Maruti Interior Products Ltd"/>
        <s v="Softtech Engineers Ltd"/>
        <s v="Ekennis Software Service Ltd"/>
        <s v="Happiest Minds Technologies Ltd"/>
        <s v="Adarsh Mercantile Ltd"/>
        <s v="Latent View Analytics Ltd"/>
        <s v="Bhatia Colour Chem Ltd"/>
        <s v="RateGain Travel Technologies Ltd"/>
        <s v="Achyut Healthcare Ltd"/>
        <s v="Hind Commerce Ltd"/>
        <s v="Avro India Ltd"/>
        <s v="Sirohia &amp; Sons Ltd"/>
        <s v="Veranda Learning Solutions Ltd"/>
        <s v="Mihika Industries Ltd"/>
        <s v="Abhishek Finlease Ltd"/>
        <s v="Hariom Pipe Industries Ltd"/>
        <s v="Eighty Jewellers Ltd"/>
        <s v="Shashwat Furnishing Solutions Ltd"/>
        <s v="Global Longlife Hospital and Research Ltd"/>
        <s v="Fone4 Communications (India) Ltd"/>
        <s v="Nanavati Ventures Ltd"/>
        <s v="C.E. Info Systems Ltd"/>
        <s v="eMudhra Ltd"/>
        <s v="Silver Touch Technologies Ltd"/>
        <s v="Netweb Technologies India Ltd"/>
        <s v="Tata Technologies Ltd"/>
        <s v="Venus Pipes &amp; Tubes Ltd"/>
        <s v="Jayatma Enterprises Ltd"/>
        <s v="ADANI PORTS AND SPECIAL ECONOMIC ZONE LTD."/>
        <s v="Tierra Agrotech Ltd"/>
        <s v="InterGlobe Aviation Ltd"/>
        <s v="JSW Infrastructure Ltd"/>
        <s v="CONTAINER CORPORATION OF INDIA LTD."/>
        <s v="Fraser and Company Ltd"/>
        <s v="Silver Pearl Hospitality &amp; Luxury Spaces Ltd"/>
        <s v="Scarnose International Ltd"/>
        <s v="Goel Food Products Ltd"/>
        <s v="Modis Navnirman Ltd"/>
        <s v="Pearl Green Clubs and Resorts Ltd"/>
        <s v="Sailani Tours N Travels Ltd"/>
        <s v="Kesar India Ltd"/>
        <s v="B-Right Realestate Ltd"/>
        <s v="Jayant Infratech Ltd"/>
        <s v="Veerkrupa Jewellers Ltd"/>
        <s v="Healthy Life Agritec Ltd"/>
        <s v="Ddev Plastiks Industries Ltd"/>
        <s v="GMR Airports Infrastructure Ltd"/>
        <s v="Olatech Solutions Ltd"/>
        <s v="Naturo Indiabull Ltd"/>
        <s v="Rhetan TMT Ltd"/>
        <s v="Integrated Capital Services Ltd"/>
        <s v="Dhampur Bio Organics Ltd"/>
        <s v="Dipna Pharmachem Ltd"/>
        <s v="EP Biocomposites Ltd"/>
        <s v="Delhivery Ltd"/>
        <s v="Virtuoso Optoelectronics Ltd"/>
        <s v="Shantidoot Infra Services Ltd"/>
        <s v="Ksolves India Ltd"/>
        <s v="Harsha Engineers International Ltd"/>
        <s v="Containe Technologies Ltd"/>
        <s v="Mafia Trends Ltd"/>
        <s v="Tips Films Ltd"/>
        <s v="Jyotirgamya Enterprises Ltd"/>
        <s v="Trident Lifeline Ltd"/>
        <s v="Reetech International Cargo and Courier Ltd"/>
        <s v="Swagtam Trading &amp; Services Ltd"/>
        <s v="Concord Control Systems Ltd"/>
        <s v="BLUE DART EXPRESS LTD."/>
        <s v="IGC Industries Ltd"/>
        <s v="Steelman Telecom Ltd"/>
        <s v="Vedant Asset Ltd"/>
        <s v="Maagh Advertising and Marketing Services Ltd"/>
        <s v="Elitecon International Ltd"/>
        <s v="GREAT EASTERN SHIPPING CO.LTD."/>
        <s v="Redington Ltd"/>
        <s v="Dc Infotech and Communication Ltd"/>
        <s v="Pace E-Commerce Ventures Ltd"/>
        <s v="Sharanam Infraproject and Trading Ltd"/>
        <s v="Narmada Agrobase Ltd"/>
        <s v="Infobeans Technologies Ltd"/>
        <s v="Hindprakash Industries Ltd"/>
        <s v="DCX Systems Ltd"/>
        <s v="DAPS Advertising Ltd"/>
        <s v="Fusion Micro Finance Ltd"/>
        <s v="FIRSTSOURCE SOLUTIONS LTD."/>
        <s v="MMTC LTD."/>
        <s v="Technopack Polymers Ltd"/>
        <s v="SHIPPING CORPORATION OF INDIA LTD."/>
        <s v="ECLERX SERVICES LTD."/>
        <s v="GUJARAT PIPAVAV PORT LTD."/>
        <s v="Quess Corp Ltd"/>
        <s v="B&amp;B Triplewall Containers Ltd"/>
        <s v="TVS Supply Chain Solutions Ltd"/>
        <s v="Vinny Overseas Ltd"/>
        <s v="Medico Intercontinental Ltd"/>
        <s v="Ambo Agritec Ltd"/>
        <s v="Sirca Paints India Ltd"/>
        <s v="Dharmaj Crop Guard Ltd"/>
        <s v="Sarveshwar Foods Ltd"/>
        <s v="Uniparts India Ltd"/>
        <s v="PNGS Gargi Fashion Jewellery Ltd"/>
        <s v="Sula Vineyards Ltd"/>
        <s v="Abans Holdings Ltd"/>
        <s v="Sabrimala Industries India Ltd"/>
        <s v="Landmark Cars Ltd"/>
        <s v="Franklin Industries Ltd"/>
        <s v="CMS Info Systems Ltd"/>
        <s v="Elin Electronics Ltd"/>
        <s v="Shashank Traders Ltd"/>
        <s v="Aveer Foods Ltd"/>
        <s v="Sah Polymers Ltd"/>
        <s v="Rex Sealing and Packing Industries Ltd"/>
        <s v="SVS Ventures Ltd"/>
        <s v="Logica Infoway Ltd"/>
        <s v="Kamdhenu Ventures Ltd"/>
        <s v="TRANSPORT CORPORATION OF INDIA LTD."/>
        <s v="Dharni Capital Services Ltd"/>
        <s v="New Light Apparels Ltd"/>
        <s v="Earthstahl &amp; Alloys Ltd"/>
        <s v="Ashika Credit Capital Ltd"/>
        <s v="Bodhi Tree Multimedia Ltd"/>
        <s v="NMDC Steel Ltd"/>
        <s v="Indong Tea Company Ltd"/>
        <s v="Sealmatic India Ltd"/>
        <s v="Macfos Ltd"/>
        <s v="Patron Exim Ltd"/>
        <s v="S. V. J. ENTERPRISES Ltd"/>
        <s v="Amanaya Ventures Ltd"/>
        <s v="Resgen Ltd"/>
        <s v="Shangar Decor Ltd"/>
        <s v="Airan Ltd"/>
        <s v="DIVGI TORQTRANSFER SYSTEMS Ltd"/>
        <s v="Prospect Commodities Ltd"/>
        <s v="Sudarshan Pharma Industries Ltd"/>
        <s v="Global Surfaces Ltd"/>
        <s v="Labelkraft Technologies Ltd"/>
        <s v="Bright Outdoor Media Ltd"/>
        <s v="Command Polymers Ltd"/>
        <s v="Dev Labtech Venture Ltd"/>
        <s v="J.A. Finance Ltd"/>
        <s v="Udayshivakumar Infra Ltd"/>
        <s v="Maiden Forgings Ltd"/>
        <s v="Exhicon Events Media Solutions Ltd"/>
        <s v="Avalon Technologies Ltd"/>
        <s v="Sancode Technologies Ltd"/>
        <s v="BEML Land Assets Ltd"/>
        <s v="Robust Hotels Ltd"/>
        <s v="Retina Paints Ltd"/>
        <s v="SIS Ltd"/>
        <s v="Innokaiz India Ltd"/>
        <s v="Flora Corporation Ltd"/>
        <s v="Atal Realtech Ltd"/>
        <s v="Power and Instrumentation (Gujarat) Ltd"/>
        <s v="Swati Projects Ltd"/>
        <s v="Pavna Industries Ltd"/>
        <s v="Hemant Surgical Industries Ltd"/>
        <s v="Sigma Solve Ltd"/>
        <s v="GHCL Textiles Ltd"/>
        <s v="M. K. Proteins Ltd"/>
        <s v="CFF Fluid Control Ltd"/>
        <s v="Comrade Appliances Ltd"/>
        <s v="IKIO Lighting Ltd"/>
        <s v="Sonalis Consumer Products Ltd"/>
        <s v="Bizotic Commercial Ltd"/>
        <s v="Asian Warehousing Ltd"/>
        <s v="Cosmic CRF Ltd"/>
        <s v="HMA Agro Industries Ltd"/>
        <s v="Uravi T And Wedge Lamps Ltd"/>
        <s v="Veefin Solutions Ltd"/>
        <s v="Ideaforge Technology Ltd"/>
        <s v="NESCO LTD."/>
        <s v="Machhar Industries Ltd"/>
        <s v="MSTC Ltd"/>
        <s v="Alphalogic Industries Ltd"/>
        <s v="Acceleratebs India Ltd"/>
        <s v="Kaka Industries Ltd"/>
        <s v="ALLCARGO LOGISTICS LTD."/>
        <s v="Ahasolar Technologies Ltd"/>
        <s v="Hemisphere Properties India Ltd"/>
        <s v="Asarfi Hospital Ltd"/>
        <s v="VRL Logistics Ltd"/>
        <s v="Yatharth Hospital &amp; Trauma Care Services Ltd"/>
        <s v="Innovatus Entertainment Networks Ltd"/>
        <s v="Gateway Distriparks Ltd"/>
        <s v="Khazanchi Jewellers Ltd"/>
        <s v="Raideep Industries Ltd"/>
        <s v="KCD Industries India Ltd"/>
        <s v="HFCL Ltd"/>
        <s v="VL E-Governance &amp; IT Solutions Ltd"/>
        <s v="TATA COMMUNICATIONS LTD."/>
        <s v="ITI LTD."/>
        <s v="D.P. Wires Ltd"/>
        <s v="Shelter Pharma Ltd"/>
        <s v="Pro Clb Global Ltd"/>
        <s v="Pyramid Technoplast Ltd"/>
        <s v="Shoora Designs Ltd"/>
        <s v="TATA TELESERVICES (MAHARASHTRA) LTD."/>
        <s v="Aeroflex Industries Ltd"/>
        <s v="Vishnu Prakash R Punglia Ltd"/>
        <s v="Shradha AI Technologies Ltd"/>
        <s v="Rishabh Instruments Ltd"/>
        <s v="Ratnaveer Precision Engineering Ltd"/>
        <s v="Kahan Packaging Ltd"/>
        <s v="STERLITE TECHNOLOGIES LTD."/>
        <s v="BHARTI AIRTEL LTD."/>
        <s v="Meson Valves India Ltd"/>
        <s v="EMS Ltd"/>
        <s v="Samhi Hotels Ltd"/>
        <s v="Zaggle Prepaid Ocean Services Ltd"/>
        <s v="South West Pinnacle Exploration Ltd"/>
        <s v="Vodafone Idea Ltd"/>
        <s v="Sai Silks (Kalamandir) Ltd"/>
        <s v="Indus Towers Ltd"/>
        <s v="Chandrima Mercantiles Ltd"/>
        <s v="Yatra Online Ltd"/>
        <s v="ARCL Organics Ltd"/>
        <s v="Jonjua Overseas Ltd"/>
        <s v="Manoj Vaibhav Gems N Jewellers Ltd"/>
        <s v="Gleam Fabmat Ltd"/>
        <s v="Organic Recycling Systems Ltd"/>
        <s v="Valiant Laboratories Ltd"/>
        <s v="City Crops Agro Ltd"/>
        <s v="Sunita Tools Ltd"/>
        <s v="Vivaa Tradecom Ltd"/>
        <s v="Plaza Wires Ltd"/>
        <s v="IRM Energy Ltd"/>
        <s v="Tejas Networks Ltd"/>
        <s v="Route Mobile Ltd"/>
        <s v="Chandni Machines Ltd"/>
        <s v="RailTel Corporation of India Ltd"/>
        <s v="KK Shah Hospitals Ltd"/>
        <s v="Bondada Engineering Ltd"/>
        <s v="Mish Designs Ltd"/>
        <s v="ESAF Small Finance Bank Ltd"/>
        <s v="Protean eGov Technologies Ltd"/>
        <s v="Bharti Hexacom Ltd"/>
        <s v="Kalyani Cast-Tech Ltd"/>
        <s v="Arrowhead Seperation Engineering Ltd"/>
        <s v="CESC LTD."/>
        <s v="Fedbank Financial Services Ltd"/>
        <s v="ION EXCHANGE (INDIA) LTD.-$"/>
        <s v="Gandhar Oil Refinery (India) Ltd"/>
        <s v="Flair Writing Industries Ltd"/>
        <s v="Swashthik Plascon Ltd"/>
        <s v="Deepak Chemtex Ltd"/>
        <s v="Amic Forging Ltd"/>
        <s v="Bajel Projects Ltd"/>
        <s v="RELIANCE INFRASTRUCTURE LTD."/>
        <s v="TATA POWER CO.LTD."/>
        <s v="Nava Ltd"/>
        <s v="Siyaram Recycling Industries Ltd"/>
        <s v="Benchmark Computer Solutions Ltd"/>
        <s v="Motisons Jewellers Ltd"/>
        <s v="Suraj Estate Developers Ltd"/>
        <s v="Muthoot Microfin Ltd"/>
        <s v="Navoday Enterprises Ltd"/>
        <s v="NLC India Ltd"/>
        <s v="Credo Brands Marketing Ltd"/>
        <s v="Shanti Spintex Ltd"/>
        <s v="RBZ Jewellers Ltd"/>
        <s v="PTC INDIA LTD."/>
        <s v="Sundaram-Clayton Ltd"/>
        <s v="Innova Captab Ltd"/>
        <s v="AIK Pipes and Polymers Ltd"/>
        <s v="Manoj Ceramic Ltd"/>
        <s v="Shri Balaji Valve Components Ltd"/>
        <s v="Digidrive Distributors Ltd"/>
        <s v="Sayaji Hotels (Indore) Ltd"/>
        <s v="NTPC LTD."/>
        <s v="New Swan Multitech Ltd"/>
        <s v="Shree Marutinandan Tubes Ltd"/>
        <s v="Medi Assist Healthcare Services Ltd"/>
        <s v="Sayaji Hotels (Pune) Ltd"/>
        <s v="AA Plus Tradelink Ltd"/>
        <s v="Euphoria Infotech (India) Ltd"/>
        <s v="EPACK Durable Ltd"/>
        <s v="Nova Agritech Ltd"/>
        <s v="Brisk Technovision Ltd"/>
        <s v="Harshdeep Hortico Ltd"/>
        <s v="Mayank Cattle Food Ltd"/>
        <s v="BLS E-Services Ltd"/>
        <s v="Gabriel Pet Straps Ltd"/>
        <s v="Apeejay Surrendra Park Hotels Ltd"/>
        <s v="Jasch Gauging Technologies Ltd"/>
        <s v="Signpost India Ltd"/>
        <s v="Jaiprakash Power Ventures Limited"/>
        <s v="Rashi Peripherals Ltd"/>
        <s v="Capital Small Finance Bank Ltd"/>
        <s v="Rudra Gas Enterprise Ltd"/>
        <s v="Entero Healthcare Solutions Ltd"/>
        <s v="Vibhor Steel Tubes Ltd"/>
        <s v="TORRENT POWER LTD."/>
        <s v="GPT Healthcare Ltd"/>
        <s v="POWER GRID CORPORATION OF INDIA LTD."/>
        <s v="Platinum Industries Ltd"/>
        <s v="Mukka Proteins Ltd"/>
        <s v="R K Swamy Ltd"/>
        <s v="J.G.Chemicals Ltd"/>
        <s v="Koura Fine Diamond Jewelry Ltd"/>
        <s v="Gopal Snacks Ltd"/>
        <s v="Pune E - Stock Broking Ltd"/>
        <s v="Shipping Corporation of India Land and Assets Ltd"/>
        <s v="Royal Sense Ltd"/>
        <s v="Popular Vehicles and Services Ltd"/>
        <s v="PlatinumOne Business Services Ltd"/>
        <s v="KP Green Engineering Ltd"/>
        <s v="Chatha Foods Ltd"/>
        <s v="Evoq Remedies Ltd"/>
        <s v="Vruddhi Engineering Works Ltd"/>
        <s v="SRM Contractors Ltd"/>
        <s v="Jay Kailash Namkeen Ltd"/>
        <s v="D.P. Abhushan Ltd"/>
        <s v="RELIANCE POWER LTD."/>
        <s v="Greenhitech Ventures Ltd"/>
        <s v="Faalcon Concepts Ltd"/>
        <s v="Shivam Chemicals Ltd"/>
        <s v="Emmforce Autotech Ltd"/>
        <s v="JNK India Ltd"/>
        <s v="Varyaa Creations Ltd"/>
        <s v="Amkay Products Ltd"/>
        <s v="Sai Swami Metals and Alloys Ltd"/>
        <s v="Storage Technologies and Automation Ltd"/>
        <s v="ADANI POWER LTD."/>
        <s v="Finelistings Technologies Ltd"/>
        <s v="NHPC LTD."/>
        <s v="TGIF Agribusiness Ltd"/>
        <s v="RattanIndia Power Limited"/>
        <s v="Aztec Fluids &amp; Machinery Ltd"/>
        <s v="Piotex Industries Ltd"/>
        <s v="JSW Energy Ltd"/>
        <s v="Qualitek Labs Ltd"/>
        <s v="Associated Coaters Ltd"/>
        <s v="Borosil Scientific Ltd"/>
        <s v="Adtech Systems Ltd"/>
        <s v="Forbes Precision Tools and Machine Parts Ltd"/>
        <s v="Kronox Lab Sciences Ltd"/>
        <s v="Magenta Lifecare Ltd"/>
        <s v="Sattrix Information Security Ltd"/>
        <s v="3C IT Solutions and Telecoms (India) Ltd"/>
        <s v="Purple Finance Ltd"/>
        <s v="Le Travenues Technology Ltd"/>
        <s v="United Cotfab Ltd"/>
        <s v="JHS Svendgaard Retail Ventures Ltd"/>
        <s v="Dee Development Engineers Ltd"/>
        <s v="GEM Enviro Management Ltd"/>
        <s v="Akme Fintrade (India) Ltd"/>
        <s v="Dindigul Farm Product Ltd"/>
        <s v="ICICI Prudential S&amp;P BSE Sensex ETF"/>
        <s v="SJVN Ltd"/>
        <s v="Future Enterprises Ltd_DVR"/>
        <s v="VA TECH WABAG LTD."/>
        <s v="Waaree Renewable Technologies Ltd"/>
        <s v="TIDE WATER OIL (INDIA) LTD."/>
        <s v="AMRUTANJAN HEALTH CARE LTD.-$"/>
        <s v="XPRO INDIA LTD."/>
        <s v="HISAR METAL INDUSTRIES LTD.-$"/>
        <s v="BHARAT RASAYAN LTD."/>
        <s v="Adani Energy Solutions Ltd"/>
        <s v="GINNI FILAMENTS LTD."/>
        <s v="SOUTHERN PETROCHEMICALS LTD."/>
        <s v="DE NORA INDIA LTD."/>
        <s v="KAVVERI TELECOM PRODUCTS LTD.-$"/>
        <s v="SAKSOFT LTD."/>
        <s v="SALONA COTSPIN LTD."/>
        <s v="Equippp Social Impact Technologies Ltd"/>
        <s v="ANDHRA SUGARS LTD."/>
        <s v="INDIA MOTOR PARTS &amp; ACCESSORIES LTD."/>
        <s v="K.C.P.LTD."/>
        <s v="KHAITAN (INDIA) LTD."/>
        <s v="RADAAN MEDIAWORKS (I) LTD."/>
        <s v="Adani Green Energy Ltd"/>
        <s v="SUNDARAM BRAKE LININGS LTD."/>
        <s v="WHEELS INDIA LTD."/>
        <s v="LAMBODHARA TEXTILES LTD.-$"/>
        <s v="MAITHAN ALLOYS LTD."/>
        <s v="ORISSA MINERALS DEVELOPMENT COMPANY LTD."/>
        <s v="Nippon India ETF Nifty 50 BeES"/>
        <s v="Nippon India ETF Nifty Next 50 Junior BeES"/>
        <s v="Nippon India ETF Nifty Bank BeES"/>
        <s v="Kotak Nifty PSU Bank ETF"/>
        <s v="Nippon India ETF Nifty PSU Bank BeES"/>
        <s v="Nippon India ETF Nifty 50 Shariah BeES"/>
        <s v="Quantum Nifty 50 ETF"/>
        <s v="Motilal Oswal MOSt Shares M50 ETF"/>
        <s v="Madras Fertilizers Ltd"/>
        <s v="KPI Green Energy Ltd"/>
        <s v="Bombay Super Hyb"/>
        <s v="GMR Power and Urban Infra Ltd"/>
        <s v="IRB Infra. Trust"/>
        <s v="Jash Engineering"/>
        <s v="M B Agro Prod."/>
        <s v="NDR INVIT Trust"/>
        <s v="Oriana Power Ltd"/>
        <s v="Insolation Energy Ltd"/>
        <s v="Spectrum Electr."/>
        <s v="Inox Green Energy Services Ltd"/>
        <s v="Thejo Engg."/>
        <s v="Vertoz Advertis."/>
      </sharedItems>
    </cacheField>
    <cacheField name="Status" numFmtId="0">
      <sharedItems>
        <s v="Active"/>
      </sharedItems>
    </cacheField>
    <cacheField name="Group" numFmtId="0">
      <sharedItems containsBlank="1">
        <s v="A"/>
        <s v="X"/>
        <s v="Z"/>
        <s v="XT"/>
        <s v="T"/>
        <s v="B"/>
        <s v="P"/>
        <s v="ZP"/>
        <s v="M"/>
        <m/>
        <s v="MT"/>
      </sharedItems>
    </cacheField>
    <cacheField name="Face Value" numFmtId="0">
      <sharedItems containsString="0" containsBlank="1" containsNumber="1">
        <n v="10.0"/>
        <n v="5.0"/>
        <n v="2.0"/>
        <n v="1.0"/>
        <n v="6.0"/>
        <n v="4.0"/>
        <n v="1000.0"/>
        <n v="100.0"/>
        <n v="50.0"/>
        <n v="3.0"/>
        <n v="25.0"/>
        <m/>
        <n v="2.5"/>
        <n v="8.0"/>
        <n v="1.25"/>
        <n v="7.0"/>
      </sharedItems>
    </cacheField>
    <cacheField name="isin no2" numFmtId="0">
      <sharedItems>
        <s v="INE100A01010"/>
        <s v="INE055A01016"/>
        <s v="INE373A01013"/>
        <s v="INE432A01017"/>
        <s v="INE714B01016"/>
        <s v="INE436A01026"/>
        <s v="INE096A01010"/>
        <s v="INE957C01019"/>
        <s v="INE032A01023"/>
        <s v="INE363A01022"/>
        <s v="INE085A01013"/>
        <s v="INE447A01015"/>
        <s v="INE114A01011"/>
        <s v="INE280B01018"/>
        <s v="INE126A01031"/>
        <s v="INE539A01019"/>
        <s v="INE019C01026"/>
        <s v="INE213C01025"/>
        <s v="INE267A01025"/>
        <s v="INE459A01010"/>
        <s v="INE019A01038"/>
        <s v="INE884B01025"/>
        <s v="INE331A01037"/>
        <s v="INE205A01025"/>
        <s v="INE922A01025"/>
        <s v="INE819C01011"/>
        <s v="INE071A01013"/>
        <s v="INE800A01015"/>
        <s v="INE047A01021"/>
        <s v="INE131C01011"/>
        <s v="INE418C01012"/>
        <s v="INE110A01019"/>
        <s v="INE959C01023"/>
        <s v="INE281A01026"/>
        <s v="INE318A01026"/>
        <s v="INE340A01012"/>
        <s v="INE010A01011"/>
        <s v="INE855B01025"/>
        <s v="INE303A01010"/>
        <s v="INE613A01020"/>
        <s v="INE786A01032"/>
        <s v="INE070A01015"/>
        <s v="INE495A01022"/>
        <s v="INE663A01033"/>
        <s v="INE012A01025"/>
        <s v="INE079A01024"/>
        <s v="INE038A01020"/>
        <s v="INE153A01019"/>
        <s v="INE081A01020"/>
        <s v="INE501A01019"/>
        <s v="INE113A01013"/>
        <s v="INE026A01025"/>
        <s v="INE092A01019"/>
        <s v="INE087A01019"/>
        <s v="INE500A01029"/>
        <s v="INE041A01016"/>
        <s v="INE591D01014"/>
        <s v="INE647A01010"/>
        <s v="INE385C01021"/>
        <s v="INE462A01022"/>
        <s v="INE169A01031"/>
        <s v="INE288B01029"/>
        <s v="INE602A01031"/>
        <s v="INE659A01023"/>
        <s v="INE778B01029"/>
        <s v="INE512A01016"/>
        <s v="INE160F01013"/>
        <s v="INE150B01039"/>
        <s v="INE515A01019"/>
        <s v="INE516A01017"/>
        <s v="INE519A01011"/>
        <s v="INE973A01010"/>
        <s v="INE388A01029"/>
        <s v="INE435G01025"/>
        <s v="INE043A01012"/>
        <s v="INE628A01036"/>
        <s v="INE281B01032"/>
        <s v="INE423A01024"/>
        <s v="INE300A01016"/>
        <s v="INE533A01012"/>
        <s v="INE537A01013"/>
        <s v="INE531E01026"/>
        <s v="INE538A01037"/>
        <s v="INE540A01017"/>
        <s v="INE236A01020"/>
        <s v="INE473A01011"/>
        <s v="INE870D01012"/>
        <s v="INE603J01030"/>
        <s v="INE410B01037"/>
        <s v="INE769A01020"/>
        <s v="INE345A01011"/>
        <s v="INE415A01038"/>
        <s v="INE027A01015"/>
        <s v="INE353A01023"/>
        <s v="INE584A01023"/>
        <s v="INE962B01011"/>
        <s v="INE102A01024"/>
        <s v="INE204A01010"/>
        <s v="INE560A01015"/>
        <s v="INE333C01013"/>
        <s v="INE680B01019"/>
        <s v="INE156A01020"/>
        <s v="INE186A01019"/>
        <s v="INE383A01012"/>
        <s v="INE262B01016"/>
        <s v="INE959A01019"/>
        <s v="INE209A01019"/>
        <s v="INE175A01038"/>
        <s v="INE711C01028"/>
        <s v="INE197D01010"/>
        <s v="INE050E01027"/>
        <s v="INE864B01027"/>
        <s v="INE789E01012"/>
        <s v="INE437B01014"/>
        <s v="INE907A01026"/>
        <s v="INE131A01031"/>
        <s v="INE139A01034"/>
        <s v="INE104A01012"/>
        <s v="INE266B01017"/>
        <s v="INE749A01030"/>
        <s v="INE048G01026"/>
        <s v="INE220G01021"/>
        <s v="INE601C01013"/>
        <s v="INE481G01011"/>
        <s v="INE073A01019"/>
        <s v="INE823G01014"/>
        <s v="INE337A01034"/>
        <s v="INE343H01029"/>
        <s v="INE091G01018"/>
        <s v="INE024L01027"/>
        <s v="INE490G01020"/>
        <s v="INE933A01014"/>
        <s v="INE876N01018"/>
        <s v="INE965B01022"/>
        <s v="INE270B01035"/>
        <s v="INE460H01021"/>
        <s v="INE880L01014"/>
        <s v="INE600K01018"/>
        <s v="INE201A01024"/>
        <s v="INE461A01024"/>
        <s v="INE686Y01026"/>
        <s v="INE401C01018"/>
        <s v="INE831A01028"/>
        <s v="INE485A01015"/>
        <s v="INE794W01014"/>
        <s v="INE846D01012"/>
        <s v="INE00R701025"/>
        <s v="INE083A01026"/>
        <s v="INE09N301011"/>
        <s v="INE578A01017"/>
        <s v="INE258G01013"/>
        <s v="INE0BY001018"/>
        <s v="INE290A01027"/>
        <s v="INE585A01020"/>
        <s v="INE930P01018"/>
        <s v="INE576O01020"/>
        <s v="INE161A01038"/>
        <s v="INE903A01025"/>
        <s v="INE227W01023"/>
        <s v="INE071N01016"/>
        <s v="INE591A01010"/>
        <s v="INE750A01020"/>
        <s v="INE118D01016"/>
        <s v="INE557C01017"/>
        <s v="INE167E01037"/>
        <s v="INE488A01050"/>
        <s v="INE600A01035"/>
        <s v="INE088F01024"/>
        <s v="INE0BWX01014"/>
        <s v="INE751B01018"/>
        <s v="INE128X01021"/>
        <s v="INE188A01015"/>
        <s v="INE032B01021"/>
        <s v="INE885A01032"/>
        <s v="INE193E01025"/>
        <s v="INE024D01016"/>
        <s v="INE606A01024"/>
        <s v="INE609A01010"/>
        <s v="INE611A01016"/>
        <s v="INE562B01019"/>
        <s v="INE451A01017"/>
        <s v="INE278B01020"/>
        <s v="INE425E01013"/>
        <s v="INE350D01015"/>
        <s v="INE731F01037"/>
        <s v="INE642C01025"/>
        <s v="INE176A01028"/>
        <s v="INE472A01039"/>
        <s v="INE302A01020"/>
        <s v="INE034A01011"/>
        <s v="INE280A01028"/>
        <s v="INE970C01012"/>
        <s v="INE531A01024"/>
        <s v="INE158A01026"/>
        <s v="INE937A01023"/>
        <s v="INE217B01036"/>
        <s v="INE947A01014"/>
        <s v="INE716A01013"/>
        <s v="INE277A01016"/>
        <s v="INE849A01020"/>
        <s v="INE883A01011"/>
        <s v="INE301A01014"/>
        <s v="INE338A01024"/>
        <s v="INE387A01021"/>
        <s v="INE064A01026"/>
        <s v="INE932C01012"/>
        <s v="INE332A01027"/>
        <s v="INE578C01021"/>
        <s v="INE019B01010"/>
        <s v="INE465A01025"/>
        <s v="INE184E01024"/>
        <s v="INE037A01022"/>
        <s v="INE701A01023"/>
        <s v="INE101A01026"/>
        <s v="INE976A01021"/>
        <s v="INE048A01011"/>
        <s v="INE844C01027"/>
        <s v="INE818B01023"/>
        <s v="INE601A01017"/>
        <s v="INE323A01026"/>
        <s v="INE304A01026"/>
        <s v="INE155A01022"/>
        <s v="INE139B01016"/>
        <s v="INE544A01019"/>
        <s v="INE226A01021"/>
        <s v="INE133A01011"/>
        <s v="INE021A01026"/>
        <s v="INE230A01023"/>
        <s v="INE053A01029"/>
        <s v="INE438A01022"/>
        <s v="INE482A01020"/>
        <s v="INE787D01026"/>
        <s v="INE825A01020"/>
        <s v="INE211B01039"/>
        <s v="INE253A01025"/>
        <s v="INE166R01015"/>
        <s v="INE066A01021"/>
        <s v="INE688D01026"/>
        <s v="INE342A01018"/>
        <s v="INE274F01020"/>
        <s v="INE256A01028"/>
        <s v="INE524A01029"/>
        <s v="INE559A01017"/>
        <s v="INE513A01022"/>
        <s v="INE054A01027"/>
        <s v="INE369A01029"/>
        <s v="INE463A01038"/>
        <s v="INE276A01018"/>
        <s v="INE805D01034"/>
        <s v="INE234A01025"/>
        <s v="INE192B01031"/>
        <s v="INE439A01020"/>
        <s v="INE242C01024"/>
        <s v="INE292B01021"/>
        <s v="INE775A01035"/>
        <s v="INE163A01018"/>
        <s v="INE176B01034"/>
        <s v="INE148A01019"/>
        <s v="INE217A01012"/>
        <s v="INE225D01027"/>
        <s v="INE690A01028"/>
        <s v="INE643A01035"/>
        <s v="INE483B01026"/>
        <s v="INE064C01022"/>
        <s v="INE270A01029"/>
        <s v="INE429E01023"/>
        <s v="INE782A01015"/>
        <s v="INE460C01014"/>
        <s v="INE573A01042"/>
        <s v="INE131B01039"/>
        <s v="INE832A01018"/>
        <s v="INE343B01030"/>
        <s v="INE371U01015"/>
        <s v="INE247D01039"/>
        <s v="INE884A01027"/>
        <s v="INE422D01012"/>
        <s v="INE660C01027"/>
        <s v="INE911B01018"/>
        <s v="INE979A01025"/>
        <s v="INE825M01017"/>
        <s v="INE886A01014"/>
        <s v="INE620D01011"/>
        <s v="INE353K01014"/>
        <s v="INE998D01011"/>
        <s v="INE813A01018"/>
        <s v="INE494B01023"/>
        <s v="INE716B01029"/>
        <s v="INE260D01016"/>
        <s v="INE094R01019"/>
        <s v="INE855A01019"/>
        <s v="INE314H01012"/>
        <s v="INE151G01028"/>
        <s v="INE739E01017"/>
        <s v="INE585B01010"/>
        <s v="INE224A01026"/>
        <s v="INE399C01030"/>
        <s v="INE399G01023"/>
        <s v="INE405E01023"/>
        <s v="INE134R01013"/>
        <s v="INE131H01028"/>
        <s v="INE377E01016"/>
        <s v="INE348B01021"/>
        <s v="INE927D01044"/>
        <s v="INE443A01030"/>
        <s v="INE229C01021"/>
        <s v="INE07BK01011"/>
        <s v="INE583C01021"/>
        <s v="INE347A01017"/>
        <s v="INE732C01016"/>
        <s v="INE626A01014"/>
        <s v="INE232A01011"/>
        <s v="INE887G01027"/>
        <s v="INE347D01011"/>
        <s v="INE094C01011"/>
        <s v="INE416N01013"/>
        <s v="INE435A01028"/>
        <s v="INE498B01024"/>
        <s v="INE592A01026"/>
        <s v="INE906D01014"/>
        <s v="INE927A01040"/>
        <s v="INE630A01024"/>
        <s v="INE777A01023"/>
        <s v="INE464D01014"/>
        <s v="INE498A01018"/>
        <s v="INE837X01027"/>
        <s v="INE518A01013"/>
        <s v="INE950C01014"/>
        <s v="INE706D01018"/>
        <s v="INE462D01026"/>
        <s v="INE498G01015"/>
        <s v="INE191H01014"/>
        <s v="INE938C01019"/>
        <s v="INE424H01027"/>
        <s v="INE138A01028"/>
        <s v="INE909B01020"/>
        <s v="INE536H01010"/>
        <s v="INE182D01020"/>
        <s v="INE491N01016"/>
        <s v="INE750D01016"/>
        <s v="INE301D01026"/>
        <s v="INE167H01014"/>
        <s v="INE663F01024"/>
        <s v="INE203D01016"/>
        <s v="INE404N01019"/>
        <s v="INE406N01014"/>
        <s v="INE733N01011"/>
        <s v="INE315N01017"/>
        <s v="INE671H01015"/>
        <s v="INE870H01013"/>
        <s v="INE255E01030"/>
        <s v="INE886H01027"/>
        <s v="INE026L01022"/>
        <s v="INE761H01022"/>
        <s v="INE130N01010"/>
        <s v="INE985S01024"/>
        <s v="INE927X01018"/>
        <s v="INE828I01019"/>
        <s v="INE586V01016"/>
        <s v="INE285B01017"/>
        <s v="INE629D01020"/>
        <s v="INE170I01016"/>
        <s v="INE170C01019"/>
        <s v="INE204C01024"/>
        <s v="INE069I01010"/>
        <s v="INE076B01028"/>
        <s v="INE243N01029"/>
        <s v="INE796C01011"/>
        <s v="INE07MC01015"/>
        <s v="INE271C01023"/>
        <s v="INE579B01039"/>
        <s v="INE064H01021"/>
        <s v="INE835D01023"/>
        <s v="INE567A01028"/>
        <s v="INE930H01031"/>
        <s v="INE511D01012"/>
        <s v="INE581L01018"/>
        <s v="INE813G01015"/>
        <s v="INE716F01012"/>
        <s v="INE795A01017"/>
        <s v="INE045B01015"/>
        <s v="INE418E01018"/>
        <s v="INE783E01023"/>
        <s v="INE502C01039"/>
        <s v="INE279A01012"/>
        <s v="INE100D01014"/>
        <s v="INE872E01016"/>
        <s v="INE284C01018"/>
        <s v="INE064R01012"/>
        <s v="INE393A01011"/>
        <s v="INE180M01033"/>
        <s v="INE206N01018"/>
        <s v="INE713N01013"/>
        <s v="INE507F01023"/>
        <s v="INE910A01012"/>
        <s v="INE07LK01010"/>
        <s v="INE766P01016"/>
        <s v="INE459E01012"/>
        <s v="INE108V01019"/>
        <s v="INE506A01018"/>
        <s v="INE537L01010"/>
        <s v="INE243D01012"/>
        <s v="INE361D01012"/>
        <s v="INE323I01011"/>
        <s v="INE106G01014"/>
        <s v="INE089T01023"/>
        <s v="INE566M01017"/>
        <s v="INE323C01030"/>
        <s v="INE155E01016"/>
        <s v="INE379J01029"/>
        <s v="INE375D01012"/>
        <s v="INE569C01020"/>
        <s v="INE791I01019"/>
        <s v="INE336C01016"/>
        <s v="INE340F01011"/>
        <s v="INE951I01027"/>
        <s v="INE755D01015"/>
        <s v="INE895C01011"/>
        <s v="INE917I01010"/>
        <s v="INE380G01015"/>
        <s v="INE187U01015"/>
        <s v="INE449A01011"/>
        <s v="INE0NY101012"/>
        <s v="INE451C01013"/>
        <s v="INE878E01021"/>
        <s v="INE461Y01016"/>
        <s v="INE187D01029"/>
        <s v="INE116C01012"/>
        <s v="INE294B01019"/>
        <s v="INE806C01018"/>
        <s v="INE342J01019"/>
        <s v="INE280F01019"/>
        <s v="INE782D01027"/>
        <s v="INE232E01013"/>
        <s v="INE221B01012"/>
        <s v="INE631D01026"/>
        <s v="INE998I01010"/>
        <s v="INE811A01020"/>
        <s v="INE637D01015"/>
        <s v="INE731D01024"/>
        <s v="INE718M01022"/>
        <s v="INE867A01022"/>
        <s v="INE098E01018"/>
        <s v="INE497B01018"/>
        <s v="INE179O01031"/>
        <s v="INE984B01023"/>
        <s v="INE617A01013"/>
        <s v="INE0JS101016"/>
        <s v="INE274C01019"/>
        <s v="INE953M01033"/>
        <s v="INE809Q01012"/>
        <s v="INE484J01027"/>
        <s v="INE203N01015"/>
        <s v="INE425Y01011"/>
        <s v="INE851I01011"/>
        <s v="INE966A01022"/>
        <s v="INE950I01011"/>
        <s v="INE797F01020"/>
        <s v="INE046A01015"/>
        <s v="INE308E01029"/>
        <s v="INE435C01024"/>
        <s v="INE178E01026"/>
        <s v="INE469A01019"/>
        <s v="INE614R01014"/>
        <s v="INE561C01019"/>
        <s v="INE856A01017"/>
        <s v="INE501N01020"/>
        <s v="INE879I01012"/>
        <s v="INE498D01012"/>
        <s v="INE266D01021"/>
        <s v="INE705G01021"/>
        <s v="INE093I01010"/>
        <s v="INE688E01024"/>
        <s v="INE598D01027"/>
        <s v="INE811K01011"/>
        <s v="INE638A01035"/>
        <s v="INE403C01014"/>
        <s v="INE529A01010"/>
        <s v="INE636D01033"/>
        <s v="INE457L01011"/>
        <s v="INE860N01012"/>
        <s v="INE384A01010"/>
        <s v="INE775R01013"/>
        <s v="INE568F01017"/>
        <s v="INE058D01030"/>
        <s v="INE545L01039"/>
        <s v="INE391D01019"/>
        <s v="INE765D01014"/>
        <s v="INE834M01019"/>
        <s v="INE724D01011"/>
        <s v="INE440G01017"/>
        <s v="INE618D01015"/>
        <s v="INE603A01013"/>
        <s v="INE219D01012"/>
        <s v="INE821R01015"/>
        <s v="INE278M01019"/>
        <s v="INE665J01013"/>
        <s v="INE651C01018"/>
        <s v="INE441L01015"/>
        <s v="INE727B01026"/>
        <s v="INE835G01018"/>
        <s v="INE820M01018"/>
        <s v="INE383L01019"/>
        <s v="INE512D01028"/>
        <s v="INE370E01029"/>
        <s v="INE073I01012"/>
        <s v="INE122V01010"/>
        <s v="INE070K01014"/>
        <s v="INE401Z01019"/>
        <s v="INE668L01013"/>
        <s v="INE879E01037"/>
        <s v="INE403B01016"/>
        <s v="INE868X01014"/>
        <s v="INE643K01018"/>
        <s v="INE689M01025"/>
        <s v="INE416D01022"/>
        <s v="INE189B01011"/>
        <s v="INE426A01027"/>
        <s v="INE275D01022"/>
        <s v="INE489G01022"/>
        <s v="INE737D01021"/>
        <s v="INE597I01028"/>
        <s v="INE320M01019"/>
        <s v="INE492A01029"/>
        <s v="INE599M01018"/>
        <s v="INE647O01011"/>
        <s v="INE505A01010"/>
        <s v="INE225B01021"/>
        <s v="INE077F01035"/>
        <s v="INE693E01016"/>
        <s v="INE138C01024"/>
        <s v="INE881E01017"/>
        <s v="INE0CJD01011"/>
        <s v="INE265B01019"/>
        <s v="INE468C01017"/>
        <s v="INE321D01016"/>
        <s v="INE066O01014"/>
        <s v="INE841D01013"/>
        <s v="INE752B01024"/>
        <s v="INE277B01014"/>
        <s v="INE218N01021"/>
        <s v="INE888C01040"/>
        <s v="INE111Q01021"/>
        <s v="INE014B01011"/>
        <s v="INE405A01021"/>
        <s v="INE687A01016"/>
        <s v="INE351A01035"/>
        <s v="INE741A01011"/>
        <s v="INE842C01021"/>
        <s v="INE400A01014"/>
        <s v="INE544R01021"/>
        <s v="INE607A01022"/>
        <s v="INE639B01015"/>
        <s v="INE636P01011"/>
        <s v="INE942C01045"/>
        <s v="INE734N01019"/>
        <s v="INE987A01010"/>
        <s v="INE423K01015"/>
        <s v="INE299U01018"/>
        <s v="INE684U01011"/>
        <s v="INE374C01017"/>
        <s v="INE046E01025"/>
        <s v="INE472D01017"/>
        <s v="INE574A01016"/>
        <s v="INE133B01019"/>
        <s v="INE133E01013"/>
        <s v="INE044N01021"/>
        <s v="INE615A01025"/>
        <s v="INE623A01011"/>
        <s v="INE711A01022"/>
        <s v="INE076C01018"/>
        <s v="INE991B01010"/>
        <s v="INE470N01010"/>
        <s v="INE075D01018"/>
        <s v="INE625B01014"/>
        <s v="INE544C01023"/>
        <s v="INE480C01038"/>
        <s v="INE557D01015"/>
        <s v="INE073G01016"/>
        <s v="INE152B01027"/>
        <s v="INE495D01018"/>
        <s v="INE976E01023"/>
        <s v="INE043C01018"/>
        <s v="INE014E01015"/>
        <s v="INE286E01019"/>
        <s v="INE588G01013"/>
        <s v="INE339F01021"/>
        <s v="INE131O01024"/>
        <s v="INE153T01027"/>
        <s v="INE247F01018"/>
        <s v="INE913H01037"/>
        <s v="INE910C01018"/>
        <s v="INE284B01028"/>
        <s v="INE891G01011"/>
        <s v="INE694E01014"/>
        <s v="INE123C01018"/>
        <s v="INE048B01027"/>
        <s v="INE745B01028"/>
        <s v="INE357P01014"/>
        <s v="INE296D01010"/>
        <s v="INE916U01025"/>
        <s v="INE469D01013"/>
        <s v="INE880B01015"/>
        <s v="INE607B01012"/>
        <s v="INE435D01014"/>
        <s v="INE757C01021"/>
        <s v="INE746D01014"/>
        <s v="INE372I01018"/>
        <s v="INE694A01020"/>
        <s v="INE679V01019"/>
        <s v="INE296C01020"/>
        <s v="INE724A01017"/>
        <s v="INE798E01013"/>
        <s v="INE704G01024"/>
        <s v="INE845A01010"/>
        <s v="INE130F01016"/>
        <s v="INE02BV01019"/>
        <s v="INE621C01011"/>
        <s v="INE455H01013"/>
        <s v="INE651D01016"/>
        <s v="INE143I01013"/>
        <s v="INE726D01016"/>
        <s v="INE990E01016"/>
        <s v="INE657D01021"/>
        <s v="INE489D01011"/>
        <s v="INE979B01015"/>
        <s v="INE712A01012"/>
        <s v="INE788M01017"/>
        <s v="INE553F01035"/>
        <s v="INE605D01012"/>
        <s v="INE684B01029"/>
        <s v="INE757A01017"/>
        <s v="INE726V01018"/>
        <s v="INE861H01020"/>
        <s v="INE641A01013"/>
        <s v="INE295A01018"/>
        <s v="INE791H01011"/>
        <s v="INE331L01026"/>
        <s v="INE193B01039"/>
        <s v="INE013E01017"/>
        <s v="INE734I01027"/>
        <s v="INE549B01016"/>
        <s v="INE753D01010"/>
        <s v="INE668Y01016"/>
        <s v="INE673M01029"/>
        <s v="INE887D01016"/>
        <s v="INE060A01024"/>
        <s v="INE511J01027"/>
        <s v="INE086E01021"/>
        <s v="INE0NN701020"/>
        <s v="INE218C01016"/>
        <s v="INE190F01028"/>
        <s v="INE359U01028"/>
        <s v="INE117F01013"/>
        <s v="INE763D01019"/>
        <s v="INE040F01033"/>
        <s v="INE0QN801017"/>
        <s v="INE572G01025"/>
        <s v="INE300B01022"/>
        <s v="INE521L01030"/>
        <s v="INE392A01021"/>
        <s v="INE525B01016"/>
        <s v="INE742B01025"/>
        <s v="INE0O3901029"/>
        <s v="INE137I01015"/>
        <s v="INE802D01023"/>
        <s v="INE159E01026"/>
        <s v="INE075B01020"/>
        <s v="INE421C01016"/>
        <s v="INE367E01033"/>
        <s v="INE664D01019"/>
        <s v="INE026I01010"/>
        <s v="INE01TL01014"/>
        <s v="INE190H01024"/>
        <s v="INE192R01011"/>
        <s v="INE479A01018"/>
        <s v="INE935N01020"/>
        <s v="INE974X01010"/>
        <s v="INE515H01014"/>
        <s v="INE214F01026"/>
        <s v="INE371P01015"/>
        <s v="INE925D01014"/>
        <s v="INE426D01013"/>
        <s v="INE722D01015"/>
        <s v="INE970X01018"/>
        <s v="INE310C01029"/>
        <s v="INE083O01019"/>
        <s v="INE557A01011"/>
        <s v="INE061A01014"/>
        <s v="INE575C01027"/>
        <s v="INE364A01020"/>
        <s v="INE972A01020"/>
        <s v="INE370A01019"/>
        <s v="INE655A01013"/>
        <s v="INE275B01026"/>
        <s v="INE940N01012"/>
        <s v="INE712Z01019"/>
        <s v="INE02C301011"/>
        <s v="INE849C01026"/>
        <s v="INE896E01023"/>
        <s v="INE832D01020"/>
        <s v="INE532U01012"/>
        <s v="INE122M01019"/>
        <s v="INE142Z01019"/>
        <s v="INE077P01034"/>
        <s v="INE726E01014"/>
        <s v="INE665L01035"/>
        <s v="INE804A01025"/>
        <s v="INE856D01011"/>
        <s v="INE457N01025"/>
        <s v="INE946K01023"/>
        <s v="INE161L01027"/>
        <s v="INE742C01031"/>
        <s v="INE0HMF01019"/>
        <s v="INE0CPR01018"/>
        <s v="INE302E01014"/>
        <s v="INE407F01018"/>
        <s v="INE065D01027"/>
        <s v="INE047E01031"/>
        <s v="INE747V01014"/>
        <s v="INE705C01020"/>
        <s v="INE848D01018"/>
        <s v="INE527B01020"/>
        <s v="INE609B01018"/>
        <s v="INE344D01018"/>
        <s v="INE549D01012"/>
        <s v="INE096I01021"/>
        <s v="INE635I01018"/>
        <s v="INE524T01011"/>
        <s v="INE997D01021"/>
        <s v="INE855R01021"/>
        <s v="INE427F01016"/>
        <s v="INE910G01027"/>
        <s v="INE050B01023"/>
        <s v="INE955V01021"/>
        <s v="INE933S01016"/>
        <s v="INE910D01024"/>
        <s v="INE771Z01015"/>
        <s v="INE088P01015"/>
        <s v="INE709A01018"/>
        <s v="INE429D01017"/>
        <s v="INE556D01017"/>
        <s v="INE240B01012"/>
        <s v="INE661M01016"/>
        <s v="INE410E01015"/>
        <s v="INE472C01027"/>
        <s v="INE559D01011"/>
        <s v="INE051B01021"/>
        <s v="INE034B01019"/>
        <s v="INE706F01021"/>
        <s v="INE899D01011"/>
        <s v="INE191N01012"/>
        <s v="INE841B01017"/>
        <s v="INE488C01015"/>
        <s v="INE900A01013"/>
        <s v="INE707C01018"/>
        <s v="INE697C01011"/>
        <s v="INE380K01017"/>
        <s v="INE882C01035"/>
        <s v="INE376A01032"/>
        <s v="INE135C01012"/>
        <s v="INE026C01013"/>
        <s v="INE777C01011"/>
        <s v="INE367A01015"/>
        <s v="INE903D01011"/>
        <s v="INE498Q01014"/>
        <s v="INE289C01025"/>
        <s v="INE01EG01016"/>
        <s v="INE754C01010"/>
        <s v="INE757B01015"/>
        <s v="INE323B01024"/>
        <s v="INE212B01011"/>
        <s v="INE202H01019"/>
        <s v="INE420B01036"/>
        <s v="INE569B01022"/>
        <s v="INE891B01012"/>
        <s v="INE229D01011"/>
        <s v="INE417D01012"/>
        <s v="INE699B01027"/>
        <s v="INE919M01026"/>
        <s v="INE113B01029"/>
        <s v="INE309D01011"/>
        <s v="INE027D01019"/>
        <s v="INE443D01018"/>
        <s v="INE099G01011"/>
        <s v="INE289B01019"/>
        <s v="INE963B01019"/>
        <s v="INE759C01019"/>
        <s v="INE953B01010"/>
        <s v="INE625D01028"/>
        <s v="INE290E01011"/>
        <s v="INE717D01023"/>
        <s v="INE452B01013"/>
        <s v="INE875B01015"/>
        <s v="INE020D01022"/>
        <s v="INE946H01037"/>
        <s v="INE006C01015"/>
        <s v="INE527C01010"/>
        <s v="INE241B01010"/>
        <s v="INE239B01014"/>
        <s v="INE583D01011"/>
        <s v="INE861D01011"/>
        <s v="INE195I01013"/>
        <s v="INE094E01017"/>
        <s v="INE518D01025"/>
        <s v="INE819K01014"/>
        <s v="INE296G01013"/>
        <s v="INE677D01029"/>
        <s v="INE549S01036"/>
        <s v="INE886D01026"/>
        <s v="INE680Z01018"/>
        <s v="INE135H01029"/>
        <s v="INE967G01019"/>
        <s v="INE837E01019"/>
        <s v="INE034D01049"/>
        <s v="INE142A01012"/>
        <s v="INE393H01016"/>
        <s v="INE914E01040"/>
        <s v="INE510H01015"/>
        <s v="INE195E01020"/>
        <s v="INE802G01018"/>
        <s v="INE249D01019"/>
        <s v="INE823A01017"/>
        <s v="INE906O01029"/>
        <s v="INE738D01011"/>
        <s v="INE945F01025"/>
        <s v="INE335Y01020"/>
        <s v="INE425H01016"/>
        <s v="INE234B01023"/>
        <s v="INE201B01022"/>
        <s v="INE750G01019"/>
        <s v="INE331E01013"/>
        <s v="INE276H01013"/>
        <s v="INE717F01028"/>
        <s v="INE285H01022"/>
        <s v="INE0B1K01014"/>
        <s v="INE956V01011"/>
        <s v="INE758A01072"/>
        <s v="INE0MQD01015"/>
        <s v="INE01BL01012"/>
        <s v="INE650K01021"/>
        <s v="INE365O01010"/>
        <s v="INE685D01022"/>
        <s v="INE0EK901012"/>
        <s v="INE689O01013"/>
        <s v="INE0GIU01018"/>
        <s v="INE730E01016"/>
        <s v="INE177E01010"/>
        <s v="INE792H01019"/>
        <s v="INE09VQ01012"/>
        <s v="INE413B01023"/>
        <s v="INE894A01026"/>
        <s v="INE895A01023"/>
        <s v="INE700F01024"/>
        <s v="INE200D01020"/>
        <s v="INE277T01024"/>
        <s v="INE529F01035"/>
        <s v="INE497M01015"/>
        <s v="INE458B01036"/>
        <s v="INE408F01016"/>
        <s v="INE553C01016"/>
        <s v="INE544W01021"/>
        <s v="INE07O001026"/>
        <s v="INE059901020"/>
        <s v="INE670C01026"/>
        <s v="INE745A01012"/>
        <s v="INE495M01019"/>
        <s v="INE781B01015"/>
        <s v="INE716D01033"/>
        <s v="INE992I01013"/>
        <s v="INE037B01012"/>
        <s v="INE017I01027"/>
        <s v="INE523W01017"/>
        <s v="INE728J01019"/>
        <s v="INE558D01021"/>
        <s v="INE506Z01015"/>
        <s v="INE313G01016"/>
        <s v="INE085D01033"/>
        <s v="INE412D01013"/>
        <s v="INE0P4P01011"/>
        <s v="INE0MNV01014"/>
        <s v="INE07LH01016"/>
        <s v="INE564J01026"/>
        <s v="INE00LO01017"/>
        <s v="INE05MV01019"/>
        <s v="INE080I01025"/>
        <s v="INE765L01017"/>
        <s v="INE661K01010"/>
        <s v="INE402Y01028"/>
        <s v="INE876A01015"/>
        <s v="INE590B01010"/>
        <s v="INE435E01020"/>
        <s v="INE721V01019"/>
        <s v="INE446C01013"/>
        <s v="INE861B01023"/>
        <s v="INE668D01028"/>
        <s v="INE091C01017"/>
        <s v="INE807F01027"/>
        <s v="INE515C01023"/>
        <s v="INE058B01018"/>
        <s v="INE080B01012"/>
        <s v="INE529D01014"/>
        <s v="INE303R01014"/>
        <s v="INE077B01018"/>
        <s v="INE00HZ01011"/>
        <s v="INE776I01010"/>
        <s v="INE348N01034"/>
        <s v="INE681C01015"/>
        <s v="INE418L01021"/>
        <s v="INE087B01017"/>
        <s v="INE772B01014"/>
        <s v="INE474E01029"/>
        <s v="INE629C01014"/>
        <s v="INE0D0U01013"/>
        <s v="INE231G01010"/>
        <s v="INE104E01014"/>
        <s v="INE114E01013"/>
        <s v="INE920B01019"/>
        <s v="INE670K01029"/>
        <s v="INE582K01018"/>
        <s v="INE158G01015"/>
        <s v="INE736H01024"/>
        <s v="INE360D01014"/>
        <s v="INE386D01027"/>
        <s v="INE524B01027"/>
        <s v="INE991A01020"/>
        <s v="INE730A01022"/>
        <s v="INE950D01012"/>
        <s v="INE205F01016"/>
        <s v="INE932A01024"/>
        <s v="INE197A01024"/>
        <s v="INE289D01015"/>
        <s v="INE802C01033"/>
        <s v="INE993A01026"/>
        <s v="INE001F01019"/>
        <s v="INE363L01029"/>
        <s v="INE327C01031"/>
        <s v="INE145J01032"/>
        <s v="INE298G01027"/>
        <s v="INE105D01013"/>
        <s v="INE072A01029"/>
        <s v="INE013J01016"/>
        <s v="INE073K01018"/>
        <s v="INE968D01022"/>
        <s v="INE457E01016"/>
        <s v="INE587D01012"/>
        <s v="INE092C01015"/>
        <s v="INE728B01032"/>
        <s v="INE373E01015"/>
        <s v="INE501L01024"/>
        <s v="INE640C01011"/>
        <s v="INE594D01018"/>
        <s v="INE791E01018"/>
        <s v="INE257F01017"/>
        <s v="INE658D01011"/>
        <s v="INE387D01025"/>
        <s v="INE235U01012"/>
        <s v="INE308N01012"/>
        <s v="INE927K01023"/>
        <s v="INE276I01011"/>
        <s v="INE314G01014"/>
        <s v="INE798F01010"/>
        <s v="INE570B01012"/>
        <s v="INE329C01011"/>
        <s v="INE124E01020"/>
        <s v="INE450D01021"/>
        <s v="INE741B01027"/>
        <s v="INE770A01010"/>
        <s v="INE207H01018"/>
        <s v="INE176E01012"/>
        <s v="INE385M01012"/>
        <s v="INE451L01014"/>
        <s v="INE608C01026"/>
        <s v="INE067E01013"/>
        <s v="INE617C01027"/>
        <s v="INE758T01015"/>
        <s v="INE463D01016"/>
        <s v="INE197C01012"/>
        <s v="INE645S01016"/>
        <s v="INE848B01012"/>
        <s v="INE434C01027"/>
        <s v="INE584G01012"/>
        <s v="INE960A01017"/>
        <s v="INE146C01019"/>
        <s v="INE614F01019"/>
        <s v="INE210C01013"/>
        <s v="INE723D01021"/>
        <s v="INE376L01013"/>
        <s v="INE272C01013"/>
        <s v="INE970D01010"/>
        <s v="INE049A01027"/>
        <s v="INE594B01012"/>
        <s v="INE679T01013"/>
        <s v="INE501F01018"/>
        <s v="INE207C01019"/>
        <s v="INE517D01019"/>
        <s v="INE132C01027"/>
        <s v="INE431C01023"/>
        <s v="INE592B01016"/>
        <s v="INE872J01023"/>
        <s v="INE862B01013"/>
        <s v="INE845D01014"/>
        <s v="INE760J01012"/>
        <s v="INE835A01029"/>
        <s v="INE761G01016"/>
        <s v="INE110Q01023"/>
        <s v="INE391G01012"/>
        <s v="INE495C01010"/>
        <s v="INE920T01011"/>
        <s v="INE874A01010"/>
        <s v="INE979D01011"/>
        <s v="INE377C01010"/>
        <s v="INE899E01019"/>
        <s v="INE707B01010"/>
        <s v="INE106C01013"/>
        <s v="INE436C01014"/>
        <s v="INE273D01019"/>
        <s v="INE589J01015"/>
        <s v="INE440A01010"/>
        <s v="INE156C01018"/>
        <s v="INE660D01017"/>
        <s v="INE156E01014"/>
        <s v="INE969C01022"/>
        <s v="INE722N01014"/>
        <s v="INE535C01013"/>
        <s v="INE814D01010"/>
        <s v="INE790C01014"/>
        <s v="INE670O01013"/>
        <s v="INE216I01017"/>
        <s v="INE194N01016"/>
        <s v="INE784B01035"/>
        <s v="INE309M01012"/>
        <s v="INE339D01034"/>
        <s v="INE078T01026"/>
        <s v="INE705X01026"/>
        <s v="INE004C01028"/>
        <s v="INE083E01010"/>
        <s v="INE638N01012"/>
        <s v="INE305D01019"/>
        <s v="INE370D01013"/>
        <s v="INE074C01013"/>
        <s v="INE009C01019"/>
        <s v="INE577D01013"/>
        <s v="INE112D01035"/>
        <s v="INE410M01018"/>
        <s v="INE426Z01016"/>
        <s v="INE837B01031"/>
        <s v="INE219W01012"/>
        <s v="INE277C01012"/>
        <s v="INE953O01021"/>
        <s v="INE692B01014"/>
        <s v="INE068B01017"/>
        <s v="INE388Y01029"/>
        <s v="INE469C01023"/>
        <s v="INE298E01022"/>
        <s v="INE925C01016"/>
        <s v="INE714U01024"/>
        <s v="INE952A01022"/>
        <s v="INE506D01020"/>
        <s v="INE932D01010"/>
        <s v="INE231C01019"/>
        <s v="INE112C01011"/>
        <s v="INE733A01018"/>
        <s v="INE551D01018"/>
        <s v="INE385D01029"/>
        <s v="INE737E01011"/>
        <s v="INE570D01018"/>
        <s v="INE270I01022"/>
        <s v="INE699D01015"/>
        <s v="INE740D01017"/>
        <s v="INE105C01023"/>
        <s v="INE384D01022"/>
        <s v="INE810C01044"/>
        <s v="INE538D01015"/>
        <s v="INE088G01014"/>
        <s v="INE146N01016"/>
        <s v="INE707A01012"/>
        <s v="INE302D01016"/>
        <s v="INE045A01017"/>
        <s v="INE861N01036"/>
        <s v="INE457F01013"/>
        <s v="INE919C01019"/>
        <s v="INE273A01015"/>
        <s v="INE834B01012"/>
        <s v="INE806T01012"/>
        <s v="INE252A01019"/>
        <s v="INE287B01021"/>
        <s v="INE125G01014"/>
        <s v="INE096L01025"/>
        <s v="INE0BJS01011"/>
        <s v="INE311D01017"/>
        <s v="INE162B01018"/>
        <s v="INE927C01020"/>
        <s v="INE216C01010"/>
        <s v="INE060E01018"/>
        <s v="INE788D01016"/>
        <s v="INE143C01024"/>
        <s v="INE087E01011"/>
        <s v="INE317I01021"/>
        <s v="INE902B01017"/>
        <s v="INE541F01022"/>
        <s v="INE162A01010"/>
        <s v="INE804L01022"/>
        <s v="INE110B01017"/>
        <s v="INE825V01034"/>
        <s v="INE167B01025"/>
        <s v="INE145E01017"/>
        <s v="INE437C01012"/>
        <s v="INE877E01015"/>
        <s v="INE188B01013"/>
        <s v="INE0KCE01017"/>
        <s v="INE043B01028"/>
        <s v="INE648E01010"/>
        <s v="INE756A01019"/>
        <s v="INE558F01026"/>
        <s v="INE791B01014"/>
        <s v="INE082C01024"/>
        <s v="INE295F01017"/>
        <s v="INE0IPL01018"/>
        <s v="INE576B01019"/>
        <s v="INE060D01010"/>
        <s v="INE940C01015"/>
        <s v="INE165B01029"/>
        <s v="INE437D01010"/>
        <s v="INE415B01044"/>
        <s v="INE033C01019"/>
        <s v="INE258C01038"/>
        <s v="INE855C01015"/>
        <s v="INE535D01029"/>
        <s v="INE0FS801015"/>
        <s v="INE589D01018"/>
        <s v="INE451D01029"/>
        <s v="INE130B01031"/>
        <s v="INE229A01017"/>
        <s v="INE320B01020"/>
        <s v="INE209C01015"/>
        <s v="INE141C01028"/>
        <s v="INE362A01016"/>
        <s v="INE948A01012"/>
        <s v="INE278Y01022"/>
        <s v="INE145L01012"/>
        <s v="INE333H01020"/>
        <s v="INE069E01019"/>
        <s v="INE071F01012"/>
        <s v="INE537F01012"/>
        <s v="INE100E01012"/>
        <s v="INE455D01012"/>
        <s v="INE687W01010"/>
        <s v="INE488B01017"/>
        <s v="INE534D01014"/>
        <s v="INE488D01021"/>
        <s v="INE04TZ01018"/>
        <s v="INE289A01011"/>
        <s v="INE693D01018"/>
        <s v="INE694D01016"/>
        <s v="INE709D01012"/>
        <s v="INE982B01027"/>
        <s v="INE601N01010"/>
        <s v="INE188E01017"/>
        <s v="INE601B01023"/>
        <s v="INE210A01017"/>
        <s v="INE490A01015"/>
        <s v="INE843L01012"/>
        <s v="INE233P01017"/>
        <s v="INE297D01018"/>
        <s v="INE906C01016"/>
        <s v="INE617B01011"/>
        <s v="INE921D01013"/>
        <s v="INE543F01028"/>
        <s v="INE706A01022"/>
        <s v="INE923K01014"/>
        <s v="INE809E01018"/>
        <s v="INE213P01027"/>
        <s v="INE932K01015"/>
        <s v="INE220Z01013"/>
        <s v="INE126M01010"/>
        <s v="INE873N01015"/>
        <s v="INE953E01014"/>
        <s v="INE062E01014"/>
        <s v="INE540C01021"/>
        <s v="INE295C01014"/>
        <s v="INE678B01021"/>
        <s v="INE072V01017"/>
        <s v="INE975C01011"/>
        <s v="INE052V01019"/>
        <s v="INE624M01014"/>
        <s v="INE542C01019"/>
        <s v="INE356C01022"/>
        <s v="INE630N01019"/>
        <s v="INE369C01017"/>
        <s v="INE669Y01022"/>
        <s v="INE02YR01019"/>
        <s v="INE354D01017"/>
        <s v="INE092301014"/>
        <s v="INE263M01029"/>
        <s v="INE164B01022"/>
        <s v="INE565E01016"/>
        <s v="INE177M01013"/>
        <s v="INE734D01010"/>
        <s v="INE209B01025"/>
        <s v="INE090B01011"/>
        <s v="INE577A01027"/>
        <s v="INE039C01032"/>
        <s v="INE602W01019"/>
        <s v="INE342G01023"/>
        <s v="INE672B01032"/>
        <s v="INE571B01036"/>
        <s v="INE704B01017"/>
        <s v="INE706B01012"/>
        <s v="INE315F01013"/>
        <s v="INE595R01023"/>
        <s v="INE0LXT01019"/>
        <s v="INE903U01023"/>
        <s v="INE900C01027"/>
        <s v="INE276D01012"/>
        <s v="INE688J01023"/>
        <s v="INE763B01013"/>
        <s v="INE762C01021"/>
        <s v="INE441C01014"/>
        <s v="INE204S01012"/>
        <s v="INE451S01027"/>
        <s v="INE062Y01012"/>
        <s v="INE807M01023"/>
        <s v="INE022C01012"/>
        <s v="INE03EI01018"/>
        <s v="INE882A01013"/>
        <s v="INE314C01013"/>
        <s v="INE695C01015"/>
        <s v="INE900E01015"/>
        <s v="INE092E01011"/>
        <s v="INE814L01013"/>
        <s v="INE0LMW01024"/>
        <s v="INE689E01014"/>
        <s v="INE491J01022"/>
        <s v="INE604F01010"/>
        <s v="INE484D01012"/>
        <s v="INE482O01021"/>
        <s v="INE123B01028"/>
        <s v="INE691D01012"/>
        <s v="INE363D01018"/>
        <s v="INE165F01020"/>
        <s v="INE958A01011"/>
        <s v="INE122D01026"/>
        <s v="INE419E01024"/>
        <s v="INE953D01016"/>
        <s v="INE456D01010"/>
        <s v="INE206B01013"/>
        <s v="INE306D01017"/>
        <s v="INE662A01027"/>
        <s v="INE923A01015"/>
        <s v="INE713B01026"/>
        <s v="INE931D01020"/>
        <s v="INE220C01012"/>
        <s v="INE497D01022"/>
        <s v="INE602D01027"/>
        <s v="INE980D01019"/>
        <s v="INE083G01031"/>
        <s v="INE119R01014"/>
        <s v="INE443E01016"/>
        <s v="INE893C01032"/>
        <s v="INE304D01012"/>
        <s v="INE292D01019"/>
        <s v="INE676G01024"/>
        <s v="INE162C01024"/>
        <s v="INE602G01020"/>
        <s v="INE608B01010"/>
        <s v="INE177C01022"/>
        <s v="INE759F01012"/>
        <s v="INE961D01019"/>
        <s v="INE459C01016"/>
        <s v="INE279D01016"/>
        <s v="INE052A01021"/>
        <s v="INE631A01022"/>
        <s v="INE338P01014"/>
        <s v="INE634A01018"/>
        <s v="INE127B01011"/>
        <s v="INE696F01016"/>
        <s v="INE890G01021"/>
        <s v="INE338F01015"/>
        <s v="INE372E01025"/>
        <s v="INE384C01016"/>
        <s v="INE673O01025"/>
        <s v="INE285C01015"/>
        <s v="INE410A01013"/>
        <s v="IN9155A01020"/>
        <s v="INE867D01018"/>
        <s v="INE182E01010"/>
        <s v="INE478D01014"/>
        <s v="INE572D01014"/>
        <s v="INE526E01018"/>
        <s v="INE682D01011"/>
        <s v="INE429B01011"/>
        <s v="INE461D01028"/>
        <s v="INE826C01016"/>
        <s v="INE692C01020"/>
        <s v="INE714D01012"/>
        <s v="INE082W01014"/>
        <s v="INE092H01014"/>
        <s v="INE227C01017"/>
        <s v="INE040D01038"/>
        <s v="INE627F01011"/>
        <s v="INE535F01024"/>
        <s v="INE920A01037"/>
        <s v="INE466D01019"/>
        <s v="INE868C01018"/>
        <s v="INE233A01035"/>
        <s v="INE207E01023"/>
        <s v="INE854B01010"/>
        <s v="INE665A01038"/>
        <s v="INE245B01011"/>
        <s v="INE713D01055"/>
        <s v="INE811B01010"/>
        <s v="INE663B01015"/>
        <s v="INE142E01014"/>
        <s v="INE030C01015"/>
        <s v="INE080A01014"/>
        <s v="INE710D01010"/>
        <s v="INE989D01010"/>
        <s v="INE985A01022"/>
        <s v="INE499A01024"/>
        <s v="INE626H01019"/>
        <s v="INE584C01011"/>
        <s v="INE124B01018"/>
        <s v="INE293E01023"/>
        <s v="INE425D01015"/>
        <s v="INE097E01028"/>
        <s v="INE628D01014"/>
        <s v="INE276C01014"/>
        <s v="INE442D01010"/>
        <s v="INE537B01011"/>
        <s v="INE599F01020"/>
        <s v="INE00FM01013"/>
        <s v="INE421A01028"/>
        <s v="INE760A01029"/>
        <s v="INE173J01018"/>
        <s v="INE415D01024"/>
        <s v="INE369D01023"/>
        <s v="INE006F01018"/>
        <s v="INE082B01018"/>
        <s v="INE844A01013"/>
        <s v="INE398A01010"/>
        <s v="INE199C01026"/>
        <s v="INE395B01048"/>
        <s v="INE712B01010"/>
        <s v="INE691K01017"/>
        <s v="INE822C01015"/>
        <s v="INE241V01018"/>
        <s v="INE898O01010"/>
        <s v="INE164A01016"/>
        <s v="INE177F01017"/>
        <s v="INE668G01021"/>
        <s v="INE809F01015"/>
        <s v="INE470A01017"/>
        <s v="INE843D01027"/>
        <s v="INE636A01039"/>
        <s v="INE281E01010"/>
        <s v="INE843B01013"/>
        <s v="INE310A01015"/>
        <s v="INE308A01027"/>
        <s v="INE208C01025"/>
        <s v="INE094A01015"/>
        <s v="INE103A01014"/>
        <s v="INE833A01016"/>
        <s v="INE141D01018"/>
        <s v="INE459D01014"/>
        <s v="INE06TD01010"/>
        <s v="INE178A01016"/>
        <s v="INE969D01012"/>
        <s v="INE250C01027"/>
        <s v="INE026D01011"/>
        <s v="INE883C01025"/>
        <s v="INE889F01017"/>
        <s v="INE0KPY01017"/>
        <s v="INE170D01025"/>
        <s v="INE372C01037"/>
        <s v="INE951B01014"/>
        <s v="INE010C01025"/>
        <s v="INE199D01016"/>
        <s v="INE623B01027"/>
        <s v="INE826B01018"/>
        <s v="INE638D01021"/>
        <s v="INE548B01018"/>
        <s v="INE438E01016"/>
        <s v="INE213A01029"/>
        <s v="INE904R01027"/>
        <s v="INE486I01016"/>
        <s v="INE888B01018"/>
        <s v="INE002A01018"/>
        <s v="INE558A01019"/>
        <s v="INE029A01011"/>
        <s v="INE083C01022"/>
        <s v="INE005E01013"/>
        <s v="INE465K01016"/>
        <s v="INE054C01015"/>
        <s v="INE954B01018"/>
        <s v="INE798D01015"/>
        <s v="INE116A01032"/>
        <s v="INE842B01015"/>
        <s v="INE172A01027"/>
        <s v="INE158B01016"/>
        <s v="INE318C01014"/>
        <s v="INE745F01011"/>
        <s v="INE365D01021"/>
        <s v="INE119B01018"/>
        <s v="INE866A01016"/>
        <s v="INE477B01010"/>
        <s v="INE502D01011"/>
        <s v="INE215D01010"/>
        <s v="INE0O6A01019"/>
        <s v="INE344E01016"/>
        <s v="INE885E01034"/>
        <s v="INE959D01013"/>
        <s v="INE071D01033"/>
        <s v="INE862C01029"/>
        <s v="INE610B01024"/>
        <s v="INE059B01024"/>
        <s v="INE965C01038"/>
        <s v="INE460D01038"/>
        <s v="INE369Q01017"/>
        <s v="INE767C01012"/>
        <s v="INE317D01014"/>
        <s v="INE811D01024"/>
        <s v="INE149K01016"/>
        <s v="INE806J01013"/>
        <s v="INE473D01015"/>
        <s v="INE637N01014"/>
        <s v="INE809A01024"/>
        <s v="INE204D01022"/>
        <s v="INE704F01018"/>
        <s v="INE633B01018"/>
        <s v="INE155C01010"/>
        <s v="INE681F01018"/>
        <s v="INE482D01024"/>
        <s v="INE900B01029"/>
        <s v="INE250B01029"/>
        <s v="INE417E01010"/>
        <s v="INE034F01010"/>
        <s v="INE485C01011"/>
        <s v="INE133C01033"/>
        <s v="INE242A01010"/>
        <s v="INE058I01013"/>
        <s v="INE757D01011"/>
        <s v="INE129A01019"/>
        <s v="INE702E01015"/>
        <s v="INE107F01022"/>
        <s v="INE486D01017"/>
        <s v="INE203G01027"/>
        <s v="INE347G01014"/>
        <s v="INE082A01010"/>
        <s v="INE008B01013"/>
        <s v="INE499G01013"/>
        <s v="INE573R01012"/>
        <s v="INE785A01026"/>
        <s v="INE412G01024"/>
        <s v="INE065E01017"/>
        <s v="INE803D01021"/>
        <s v="INE767A01016"/>
        <s v="INE338D01028"/>
        <s v="INE246F01010"/>
        <s v="INE579C01029"/>
        <s v="INE829A01014"/>
        <s v="INE806D01016"/>
        <s v="INE274J01014"/>
        <s v="INE113E01015"/>
        <s v="INE198H01019"/>
        <s v="INE695D01021"/>
        <s v="INE810M01019"/>
        <s v="INE198C01010"/>
        <s v="INE313M01030"/>
        <s v="INE319N01019"/>
        <s v="INE312C01025"/>
        <s v="INE07L501010"/>
        <s v="INE982V01025"/>
        <s v="INE522F01014"/>
        <s v="INE729D01010"/>
        <s v="INE548H01015"/>
        <s v="INE038B01010"/>
        <s v="INE683E01017"/>
        <s v="INE276N01011"/>
        <s v="INE711D01018"/>
        <s v="INE268B01013"/>
        <s v="INE879K01018"/>
        <s v="INE919B01011"/>
        <s v="INE972C01018"/>
        <s v="INE450E01011"/>
        <s v="INE06DM01015"/>
        <s v="INE465H01012"/>
        <s v="INE635Q01029"/>
        <s v="INE052E01015"/>
        <s v="INE371C01013"/>
        <s v="INE117D01018"/>
        <s v="INE737C01023"/>
        <s v="INE125D01011"/>
        <s v="INE314D01011"/>
        <s v="INE746V01016"/>
        <s v="INE263B01022"/>
        <s v="INE994D01010"/>
        <s v="INE542B01011"/>
        <s v="INE875N01036"/>
        <s v="INE276T01018"/>
        <s v="INE415H01017"/>
        <s v="INE056E01024"/>
        <s v="INE532B01020"/>
        <s v="INE076D01016"/>
        <s v="INE945J01027"/>
        <s v="INE551C01028"/>
        <s v="INE058F01019"/>
        <s v="INE102E01018"/>
        <s v="INE078I01011"/>
        <s v="INE528E01022"/>
        <s v="INE760F01028"/>
        <s v="INE788B01028"/>
        <s v="INE936B01015"/>
        <s v="INE331C01017"/>
        <s v="INE994B01014"/>
        <s v="INE035D01020"/>
        <s v="INE782E01017"/>
        <s v="INE560F01022"/>
        <s v="INE473E01021"/>
        <s v="INE751D01014"/>
        <s v="INE295D01020"/>
        <s v="INE427C01021"/>
        <s v="INE844O01030"/>
        <s v="INE150C01011"/>
        <s v="INE694W01024"/>
        <s v="INE004E01016"/>
        <s v="INE354A01013"/>
        <s v="INE475B01022"/>
        <s v="INE002S01010"/>
        <s v="INE771F01025"/>
        <s v="INE302F01011"/>
        <s v="INE643N01012"/>
        <s v="INE634B01016"/>
        <s v="INE887E01022"/>
        <s v="INE334C01029"/>
        <s v="INE399L01023"/>
        <s v="INE037C01010"/>
        <s v="INE306A01021"/>
        <s v="INE457C01010"/>
        <s v="INE305C01029"/>
        <s v="INE083D01012"/>
        <s v="INE278D01018"/>
        <s v="INE593O01017"/>
        <s v="INE064L01015"/>
        <s v="INE144D01012"/>
        <s v="INE809B01014"/>
        <s v="INE395F01023"/>
        <s v="INE020S01012"/>
        <s v="INE895E01017"/>
        <s v="INE427E01027"/>
        <s v="INE602H01010"/>
        <s v="INE327D01013"/>
        <s v="INE011D01013"/>
        <s v="INE649C01012"/>
        <s v="INE881B01054"/>
        <s v="INE278C01010"/>
        <s v="INE773D01018"/>
        <s v="INE343A01016"/>
        <s v="INE926C01022"/>
        <s v="INE175C01018"/>
        <s v="INE678F01014"/>
        <s v="INE449C01025"/>
        <s v="INE983C01015"/>
        <s v="INE293C01019"/>
        <s v="INE618A01011"/>
        <s v="INE170U01011"/>
        <s v="INE120D01012"/>
        <s v="INE253C01013"/>
        <s v="INE816B01035"/>
        <s v="INE307D01015"/>
        <s v="INE902C01015"/>
        <s v="INE286N01028"/>
        <s v="INE863B01029"/>
        <s v="INE033E01015"/>
        <s v="INE835B01035"/>
        <s v="INE293N01016"/>
        <s v="INE119A01028"/>
        <s v="INE047C01019"/>
        <s v="INE410G01010"/>
        <s v="INE609C01024"/>
        <s v="INE115F01017"/>
        <s v="INE744D01019"/>
        <s v="INE218T01010"/>
        <s v="INE138B01018"/>
        <s v="INE967A01012"/>
        <s v="INE016A01026"/>
        <s v="INE260B01028"/>
        <s v="INE908C01012"/>
        <s v="INE654B01014"/>
        <s v="INE137C01018"/>
        <s v="INE299D01022"/>
        <s v="INE301C01028"/>
        <s v="INE870B01024"/>
        <s v="INE479D01038"/>
        <s v="INE867C01010"/>
        <s v="INE759I01024"/>
        <s v="INE308B01017"/>
        <s v="INE515B01025"/>
        <s v="INE072B01027"/>
        <s v="INE007C01021"/>
        <s v="INE940E01011"/>
        <s v="INE391C01011"/>
        <s v="INE152E01013"/>
        <s v="INE765B01018"/>
        <s v="INE952M01019"/>
        <s v="INE432N01010"/>
        <s v="INE206C01029"/>
        <s v="INE582D01013"/>
        <s v="INE818D01011"/>
        <s v="INE398F01019"/>
        <s v="INE356B01016"/>
        <s v="INE885B01014"/>
        <s v="INE840D01015"/>
        <s v="INE999B01013"/>
        <s v="INE924A01013"/>
        <s v="INE229G01022"/>
        <s v="INE716K01020"/>
        <s v="INE967B01028"/>
        <s v="INE493D01013"/>
        <s v="INE652F01027"/>
        <s v="INE696E01019"/>
        <s v="INE519N01014"/>
        <s v="INE613B01010"/>
        <s v="INE778A01021"/>
        <s v="INE413G01022"/>
        <s v="INE015B01018"/>
        <s v="INE813B01016"/>
        <s v="INE557B01019"/>
        <s v="INE845B01018"/>
        <s v="INE822G01016"/>
        <s v="INE258M01011"/>
        <s v="INE561D01025"/>
        <s v="INE233D01013"/>
        <s v="INE195F01019"/>
        <s v="INE594V01028"/>
        <s v="INE008C01011"/>
        <s v="INE771A01026"/>
        <s v="INE305A01015"/>
        <s v="INE403F01017"/>
        <s v="INE610C01014"/>
        <s v="INE828A01016"/>
        <s v="INE967C01018"/>
        <s v="INE080G01011"/>
        <s v="INE055C01020"/>
        <s v="INE084C01012"/>
        <s v="INE423D01010"/>
        <s v="INE095B01010"/>
        <s v="INE839A01021"/>
        <s v="INE627D01016"/>
        <s v="INE136C01044"/>
        <s v="INE653C01022"/>
        <s v="INE920C01017"/>
        <s v="INE583B01015"/>
        <s v="INE797D01017"/>
        <s v="INE025B01025"/>
        <s v="INE630D01010"/>
        <s v="INE869A01010"/>
        <s v="INE078D01012"/>
        <s v="INE915E01013"/>
        <s v="INE548D01014"/>
        <s v="INE931B01016"/>
        <s v="INE891E01024"/>
        <s v="INE760B01019"/>
        <s v="INE934C01018"/>
        <s v="INE272E01027"/>
        <s v="INE461C01038"/>
        <s v="INE531X01018"/>
        <s v="INE753B01014"/>
        <s v="INE974B01016"/>
        <s v="INE928C01010"/>
        <s v="INE016C01014"/>
        <s v="INE882D01017"/>
        <s v="INE552D01024"/>
        <s v="INE413C01013"/>
        <s v="INE794C01016"/>
        <s v="INE338C01012"/>
        <s v="INE655B01011"/>
        <s v="INE480H01011"/>
        <s v="INE986A01012"/>
        <s v="INE973B01026"/>
        <s v="INE988D01012"/>
        <s v="INE195Y01010"/>
        <s v="INE795E01019"/>
        <s v="INE017E01018"/>
        <s v="INE184D01026"/>
        <s v="INE452S01025"/>
        <s v="INE111B01023"/>
        <s v="INE453D01025"/>
        <s v="INE944C01017"/>
        <s v="INE552B01010"/>
        <s v="INE344I01017"/>
        <s v="INE743D01011"/>
        <s v="INE253B01015"/>
        <s v="INE400G01011"/>
        <s v="INE377D01018"/>
        <s v="INE945B01016"/>
        <s v="INE059D01020"/>
        <s v="INE239C01020"/>
        <s v="INE411B01019"/>
        <s v="INE374J01020"/>
        <s v="INE404B01014"/>
        <s v="INE372D01019"/>
        <s v="INE025D01013"/>
        <s v="INE368D01025"/>
        <s v="INE318P01016"/>
        <s v="INE402H01015"/>
        <s v="INE760M01016"/>
        <s v="INE550C01020"/>
        <s v="INE348A01023"/>
        <s v="INE847D01010"/>
        <s v="INE619A01035"/>
        <s v="INE179A01014"/>
        <s v="INE030A01027"/>
        <s v="INE558B01017"/>
        <s v="INE173A01025"/>
        <s v="INE239A01024"/>
        <s v="INE924D01017"/>
        <s v="INE050L01048"/>
        <s v="INE563D01013"/>
        <s v="INE612D01018"/>
        <s v="INE618F01010"/>
        <s v="INE326C01017"/>
        <s v="INE090D01017"/>
        <s v="INE055E01026"/>
        <s v="INE248B01023"/>
        <s v="INE984E01035"/>
        <s v="INE095C01018"/>
        <s v="INE689J01013"/>
        <s v="INE718F01018"/>
        <s v="INE989A01024"/>
        <s v="INE818A01017"/>
        <s v="INE795D01011"/>
        <s v="INE963C01033"/>
        <s v="INE656B01019"/>
        <s v="INE069B01023"/>
        <s v="INE639C01013"/>
        <s v="INE192A01025"/>
        <s v="INE444D01016"/>
        <s v="INE103E01016"/>
        <s v="INE446D01011"/>
        <s v="INE445D01013"/>
        <s v="INE225C01029"/>
        <s v="INE924B01011"/>
        <s v="INE350C01017"/>
        <s v="INE302C01018"/>
        <s v="INE487G01018"/>
        <s v="INE017C01012"/>
        <s v="INE580C01019"/>
        <s v="INE817B01025"/>
        <s v="INE153K01018"/>
        <s v="INE388C01017"/>
        <s v="INE108C01019"/>
        <s v="INE473F01010"/>
        <s v="INE213B01019"/>
        <s v="INE936A01025"/>
        <s v="INE354E01031"/>
        <s v="INE365H01014"/>
        <s v="INE083B01024"/>
        <s v="INE629F01025"/>
        <s v="INE899B01015"/>
        <s v="INE645C01010"/>
        <s v="INE050N01010"/>
        <s v="INE690D01014"/>
        <s v="INE292C01011"/>
        <s v="INE533C01018"/>
        <s v="INE495B01038"/>
        <s v="INE032E01017"/>
        <s v="INE958C01017"/>
        <s v="INE756R01013"/>
        <s v="INE497E01012"/>
        <s v="INE961B01013"/>
        <s v="INE0H1201012"/>
        <s v="INE062C01042"/>
        <s v="INE584B01013"/>
        <s v="INE021N01011"/>
        <s v="INE373C01019"/>
        <s v="INE930A01010"/>
        <s v="INE791C01012"/>
        <s v="INE927M01029"/>
        <s v="INE216A01030"/>
        <s v="INE419D01026"/>
        <s v="INE123E01014"/>
        <s v="INE285U01025"/>
        <s v="INE428D01019"/>
        <s v="INE362C01012"/>
        <s v="INE001E01012"/>
        <s v="INE596B01017"/>
        <s v="INE259A01022"/>
        <s v="INE276G01015"/>
        <s v="INE883D01023"/>
        <s v="INE428P01013"/>
        <s v="INE071E01023"/>
        <s v="INE607D01018"/>
        <s v="INE349A01021"/>
        <s v="INE380C01014"/>
        <s v="INE937C01029"/>
        <s v="INE921B01025"/>
        <s v="INE526H01011"/>
        <s v="INE356F01017"/>
        <s v="INE932F01015"/>
        <s v="INE886B01012"/>
        <s v="INE430F01010"/>
        <s v="INE865B01016"/>
        <s v="INE831C01016"/>
        <s v="INE853A01022"/>
        <s v="INE960E01019"/>
        <s v="INE140C01012"/>
        <s v="INE293D01017"/>
        <s v="INE0JNA01014"/>
        <s v="INE347C01013"/>
        <s v="INE959B01017"/>
        <s v="INE808A01018"/>
        <s v="INE440C01016"/>
        <s v="INE721D01017"/>
        <s v="INE015C01016"/>
        <s v="INE337E01010"/>
        <s v="INE360L01017"/>
        <s v="INE701G01012"/>
        <s v="INE154A01025"/>
        <s v="INE467D01017"/>
        <s v="INE786J01025"/>
        <s v="INE390D01011"/>
        <s v="INE948I01015"/>
        <s v="INE949B01018"/>
        <s v="INE395E01018"/>
        <s v="INE050A01025"/>
        <s v="INE074B01023"/>
        <s v="INE132F01038"/>
        <s v="INE149B01015"/>
        <s v="INE679E01015"/>
        <s v="INE519D01015"/>
        <s v="INE152C01025"/>
        <s v="INE819Y01015"/>
        <s v="INE691C01014"/>
        <s v="INE573B01016"/>
        <s v="INE381G01013"/>
        <s v="INE582C01015"/>
        <s v="INE194E01015"/>
        <s v="INE375C01014"/>
        <s v="INE864E01021"/>
        <s v="INE834D01018"/>
        <s v="INE316A01038"/>
        <s v="INE127I01024"/>
        <s v="INE912B01032"/>
        <s v="INE812B01026"/>
        <s v="INE057Q01018"/>
        <s v="INE822E01011"/>
        <s v="INE414C01045"/>
        <s v="INE233C01023"/>
        <s v="INE229N01010"/>
        <s v="INE533D01032"/>
        <s v="INE161F01011"/>
        <s v="INE225G01012"/>
        <s v="INE144C01014"/>
        <s v="INE229B01015"/>
        <s v="INE093B01015"/>
        <s v="INE041B01014"/>
        <s v="INE900O01014"/>
        <s v="INE897A01011"/>
        <s v="INE812S01012"/>
        <s v="INE807A01010"/>
        <s v="INE715D01019"/>
        <s v="INE334A01023"/>
        <s v="INE510B01018"/>
        <s v="INE118C01018"/>
        <s v="INE055O01033"/>
        <s v="INE358C01010"/>
        <s v="INE584D01019"/>
        <s v="INE0MPU01011"/>
        <s v="INE336D01014"/>
        <s v="INE354C01027"/>
        <s v="INE0KZM01011"/>
        <s v="INE822B01017"/>
        <s v="INE322A01010"/>
        <s v="INE838C01011"/>
        <s v="INE789B01018"/>
        <s v="INE830A01012"/>
        <s v="INE011B01017"/>
        <s v="INE509F01029"/>
        <s v="INE199E01014"/>
        <s v="INE963A01011"/>
        <s v="INE545E01018"/>
        <s v="INE995D01025"/>
        <s v="INE345H01016"/>
        <s v="INE485K01014"/>
        <s v="INE366G01022"/>
        <s v="INE825C01018"/>
        <s v="INE784M01016"/>
        <s v="INE977F01010"/>
        <s v="INE501D01013"/>
        <s v="INE244C01020"/>
        <s v="INE474C01015"/>
        <s v="INE609D01014"/>
        <s v="INE737G01016"/>
        <s v="INE575D01041"/>
        <s v="INE457D01018"/>
        <s v="INE416A01044"/>
        <s v="INE357B01022"/>
        <s v="INE224D01012"/>
        <s v="INE012E01035"/>
        <s v="INE806A01020"/>
        <s v="INE710A01016"/>
        <s v="INE042C01010"/>
        <s v="INE260E01014"/>
        <s v="INE274E01015"/>
        <s v="INE443C01010"/>
        <s v="INE333E01019"/>
        <s v="INE871C01038"/>
        <s v="INE595G01018"/>
        <s v="INE567L01017"/>
        <s v="INE309H01038"/>
        <s v="INE267E01019"/>
        <s v="INE432F01024"/>
        <s v="INE823B01015"/>
        <s v="INE239F01015"/>
        <s v="INE741D01015"/>
        <s v="INE153C01015"/>
        <s v="INE906K01027"/>
        <s v="INE124M01015"/>
        <s v="INE362D01010"/>
        <s v="INE997I01012"/>
        <s v="INE492Y01011"/>
        <s v="INE876E01033"/>
        <s v="INE858C01027"/>
        <s v="INE239D01028"/>
        <s v="INE396H01019"/>
        <s v="INE561M01018"/>
        <s v="INE538G01018"/>
        <s v="INE011E01029"/>
        <s v="INE418D01010"/>
        <s v="INE254N01026"/>
        <s v="INE635D01027"/>
        <s v="INE849M01017"/>
        <s v="INE158F01017"/>
        <s v="INE646B01010"/>
        <s v="INE062D01024"/>
        <s v="INE650C01036"/>
        <s v="INE601F01016"/>
        <s v="INE883B01027"/>
        <s v="INE412E01011"/>
        <s v="INE860Y01019"/>
        <s v="INE850B01026"/>
        <s v="INE978A01027"/>
        <s v="INE971L01029"/>
        <s v="INE771E01010"/>
        <s v="INE709B01016"/>
        <s v="INE121D01036"/>
        <s v="INE606B01022"/>
        <s v="INE186C01023"/>
        <s v="INE158R01012"/>
        <s v="INE109C01017"/>
        <s v="INE580D01017"/>
        <s v="INE024F01011"/>
        <s v="INE546F01013"/>
        <s v="INE0QHY01011"/>
        <s v="INE096B01018"/>
        <s v="INE923C01011"/>
        <s v="INE606C01012"/>
        <s v="INE421D01022"/>
        <s v="INE005C01017"/>
        <s v="INE819A01049"/>
        <s v="INE861E01019"/>
        <s v="INE262W01012"/>
        <s v="INE364D01032"/>
        <s v="INE547B01028"/>
        <s v="INE907E01010"/>
        <s v="INE821D01031"/>
        <s v="INE822D01021"/>
        <s v="INE962E01015"/>
        <s v="INE494D01011"/>
        <s v="INE972E01014"/>
        <s v="INE333Y01017"/>
        <s v="INE802B01019"/>
        <s v="INE723N01012"/>
        <s v="INE342D01012"/>
        <s v="INE031G01014"/>
        <s v="INE015E01012"/>
        <s v="INE530D01012"/>
        <s v="INE328F01016"/>
        <s v="INE332F01018"/>
        <s v="INE764D01017"/>
        <s v="INE151B01011"/>
        <s v="INE526C01012"/>
        <s v="INE986B01044"/>
        <s v="INE785D01012"/>
        <s v="INE238C01022"/>
        <s v="INE698B01011"/>
        <s v="INE807H01023"/>
        <s v="INE897D01015"/>
        <s v="INE896D01017"/>
        <s v="INE531D01010"/>
        <s v="INE643C01015"/>
        <s v="INE358D01018"/>
        <s v="INE053D01015"/>
        <s v="INE960H01012"/>
        <s v="INE590D01016"/>
        <s v="INE951M01037"/>
        <s v="INE325G01010"/>
        <s v="INE366H01012"/>
        <s v="INE293B01029"/>
        <s v="INE250D01017"/>
        <s v="INE475C01012"/>
        <s v="INE128R01023"/>
        <s v="INE02AP01013"/>
        <s v="INE036B01030"/>
        <s v="INE974C01022"/>
        <s v="INE151H01018"/>
        <s v="INE348I01018"/>
        <s v="INE373D01017"/>
        <s v="INE825D01016"/>
        <s v="INE500D01015"/>
        <s v="INE922B01023"/>
        <s v="INE328D01011"/>
        <s v="INE763M01028"/>
        <s v="INE546C01010"/>
        <s v="INE777G01012"/>
        <s v="INE689V01018"/>
        <s v="INE836C01015"/>
        <s v="INE960B01015"/>
        <s v="INE319B01014"/>
        <s v="INE405H01018"/>
        <s v="INE413D01011"/>
        <s v="INE671D01014"/>
        <s v="INE890B01014"/>
        <s v="INE448D01017"/>
        <s v="INE905B01010"/>
        <s v="INE262C01014"/>
        <s v="INE679C01027"/>
        <s v="INE493B01017"/>
        <s v="INE326B01027"/>
        <s v="INE0M4L01013"/>
        <s v="INE234J01018"/>
        <s v="INE560D01027"/>
        <s v="INE576N01014"/>
        <s v="INE516D01011"/>
        <s v="INE603F01012"/>
        <s v="INE804B01023"/>
        <s v="INE107A01015"/>
        <s v="INE001B01026"/>
        <s v="INE07P301011"/>
        <s v="INE271D01013"/>
        <s v="INE474D01013"/>
        <s v="INE523I01016"/>
        <s v="INE805A01014"/>
        <s v="INE115C01014"/>
        <s v="INE192H01020"/>
        <s v="INE954E01012"/>
        <s v="INE323D01020"/>
        <s v="INE952C01028"/>
        <s v="INE545B01022"/>
        <s v="INE216B01012"/>
        <s v="INE397G01019"/>
        <s v="INE183D01010"/>
        <s v="INE084D01010"/>
        <s v="INE268H01036"/>
        <s v="INE378D01032"/>
        <s v="INE080D01042"/>
        <s v="INE548C01032"/>
        <s v="INE732K01027"/>
        <s v="INE866D01010"/>
        <s v="INE628F01019"/>
        <s v="INE0Q6901013"/>
        <s v="INE128A01029"/>
        <s v="INE623D01015"/>
        <s v="INE681D01039"/>
        <s v="INE118Q01018"/>
        <s v="INE767B01022"/>
        <s v="INE971E01016"/>
        <s v="INE849B01010"/>
        <s v="INE562E01013"/>
        <s v="INE768C01010"/>
        <s v="INE578B01015"/>
        <s v="INE074H01012"/>
        <s v="INE864D01015"/>
        <s v="INE392G01010"/>
        <s v="INE881A01015"/>
        <s v="INE473B01035"/>
        <s v="INE355A01028"/>
        <s v="INE865D01012"/>
        <s v="INE754B01012"/>
        <s v="INE355C01016"/>
        <s v="INE838Z01012"/>
        <s v="INE723K01018"/>
        <s v="INE860D01013"/>
        <s v="INE192C01013"/>
        <s v="INE580H01026"/>
        <s v="INE508J01015"/>
        <s v="INE483D01014"/>
        <s v="INE721X01015"/>
        <s v="INE802A01037"/>
        <s v="INE894J01019"/>
        <s v="INE507D01010"/>
        <s v="INE196A01026"/>
        <s v="INE256C01024"/>
        <s v="INE832C01014"/>
        <s v="INE792J01015"/>
        <s v="INE902G01016"/>
        <s v="INE695B01025"/>
        <s v="INE628B01034"/>
        <s v="INE173E01019"/>
        <s v="INE405C01035"/>
        <s v="INE722B01019"/>
        <s v="INE713C01016"/>
        <s v="INE936N01010"/>
        <s v="INE102D01028"/>
        <s v="INE546D01018"/>
        <s v="INE265C01025"/>
        <s v="INE654H01011"/>
        <s v="INE528C01018"/>
        <s v="INE863C01019"/>
        <s v="INE117K01013"/>
        <s v="INE661D01015"/>
        <s v="INE214D01021"/>
        <s v="INE224C01014"/>
        <s v="INE067C01025"/>
        <s v="INE673C01020"/>
        <s v="INE621B01021"/>
        <s v="INE593B01030"/>
        <s v="INE230F01014"/>
        <s v="INE812K01027"/>
        <s v="INE843F01014"/>
        <s v="INE632C01026"/>
        <s v="INE414D01027"/>
        <s v="INE224E01028"/>
        <s v="INE316G01019"/>
        <s v="INE650G01029"/>
        <s v="INE429Q01019"/>
        <s v="INE092D01013"/>
        <s v="INE509C01026"/>
        <s v="INE422M01013"/>
        <s v="INE844D01017"/>
        <s v="INE505C01016"/>
        <s v="INE703D01023"/>
        <s v="INE131D01019"/>
        <s v="INE126J01016"/>
        <s v="INE576D01015"/>
        <s v="INE854D01024"/>
        <s v="INE311M01018"/>
        <s v="INE059E01010"/>
        <s v="INE630U01014"/>
        <s v="INE607G01011"/>
        <s v="INE469F01026"/>
        <s v="INE951D01028"/>
        <s v="INE393D01015"/>
        <s v="INE426H01014"/>
        <s v="INE161E01014"/>
        <s v="INE266C01023"/>
        <s v="INE278O01015"/>
        <s v="INE297J01023"/>
        <s v="INE348D01019"/>
        <s v="INE513E01024"/>
        <s v="INE793H01017"/>
        <s v="INE487B01019"/>
        <s v="INE172B01017"/>
        <s v="INE935D01013"/>
        <s v="INE427D01011"/>
        <s v="INE318D01020"/>
        <s v="INE884X01011"/>
        <s v="INE194D01017"/>
        <s v="INE457G01029"/>
        <s v="INE024B01010"/>
        <s v="INE842D01029"/>
        <s v="INE929K01011"/>
        <s v="INE433G01012"/>
        <s v="INE370C01015"/>
        <s v="INE283D01018"/>
        <s v="INE003F01015"/>
        <s v="INE149D01011"/>
        <s v="INE687C01012"/>
        <s v="INE882B01029"/>
        <s v="INE060B01014"/>
        <s v="INE06CG01019"/>
        <s v="INE778E01031"/>
        <s v="INE755J01012"/>
        <s v="INE587J01027"/>
        <s v="INE312M01016"/>
        <s v="INE803L01016"/>
        <s v="INE641H01018"/>
        <s v="INE125F01024"/>
        <s v="INE204E01012"/>
        <s v="INE956B01013"/>
        <s v="INE545N01019"/>
        <s v="INE214B01017"/>
        <s v="INE258Z01013"/>
        <s v="INE092G01024"/>
        <s v="INE657B01025"/>
        <s v="INE185D01015"/>
        <s v="INE669W01018"/>
        <s v="INE316D01024"/>
        <s v="INE811H01017"/>
        <s v="INE635A01023"/>
        <s v="INE108B01029"/>
        <s v="INE914B01012"/>
        <s v="INE786E01018"/>
        <s v="INE167F01018"/>
        <s v="INE660B01011"/>
        <s v="INE540G01014"/>
        <s v="INE227B01019"/>
        <s v="INE564B01015"/>
        <s v="INE547C01018"/>
        <s v="INE735C01027"/>
        <s v="INE839E01023"/>
        <s v="INE164D01010"/>
        <s v="INE146H01018"/>
        <s v="INE653D01012"/>
        <s v="INE581D01015"/>
        <s v="INE147C01017"/>
        <s v="INE995A01013"/>
        <s v="INE176O01011"/>
        <s v="INE938A01021"/>
        <s v="INE185E01013"/>
        <s v="INE056J01015"/>
        <s v="INE325D01025"/>
        <s v="INE808C01014"/>
        <s v="INE486F01012"/>
        <s v="INE597C01021"/>
        <s v="INE008N01018"/>
        <s v="INE409B01013"/>
        <s v="INE121B01014"/>
        <s v="INE291D01011"/>
        <s v="INE398H01015"/>
        <s v="INE516F01016"/>
        <s v="INE994E01018"/>
        <s v="INE311N01016"/>
        <s v="INE407E01029"/>
        <s v="INE993I01011"/>
        <s v="INE219M01021"/>
        <s v="INE807D01030"/>
        <s v="INE456B01014"/>
        <s v="INE948G01019"/>
        <s v="INE957E01031"/>
        <s v="INE395A01016"/>
        <s v="INE419H01019"/>
        <s v="INE686F01025"/>
        <s v="INE440E01012"/>
        <s v="INE154B01015"/>
        <s v="INE666E01020"/>
        <s v="INE411D01015"/>
        <s v="INE944F01028"/>
        <s v="INE731B01010"/>
        <s v="INE087H01022"/>
        <s v="INE681B01017"/>
        <s v="INE272G01014"/>
        <s v="INE818H01020"/>
        <s v="INE668F01031"/>
        <s v="INE088D01011"/>
        <s v="INE944A01011"/>
        <s v="INE200M01021"/>
        <s v="INE850D01014"/>
        <s v="INE514C01018"/>
        <s v="INE501C01015"/>
        <s v="INE737B01033"/>
        <s v="INE214A01019"/>
        <s v="INE495P01012"/>
        <s v="INE021O01019"/>
        <s v="INE699H01024"/>
        <s v="INE680A01011"/>
        <s v="INE00E101023"/>
        <s v="INE622E01023"/>
        <s v="INE0J5401028"/>
        <s v="INE321T01012"/>
        <s v="INE296A01024"/>
        <s v="INE007A01025"/>
        <s v="INE731A01020"/>
        <s v="INE039A01010"/>
        <s v="INE550B01022"/>
        <s v="INE027F01014"/>
        <s v="INE062A01020"/>
        <s v="INE306C01019"/>
        <s v="INE008A01015"/>
        <s v="INE665D01016"/>
        <s v="INE040A01034"/>
        <s v="INE092B01025"/>
        <s v="INE023A01030"/>
        <s v="INE237A01028"/>
        <s v="INE823D01011"/>
        <s v="INE793A01012"/>
        <s v="INE215B01022"/>
        <s v="INE115A01026"/>
        <s v="INE389D01013"/>
        <s v="INE007B01023"/>
        <s v="INE288A01013"/>
        <s v="INE791A01024"/>
        <s v="INE180A01020"/>
        <s v="INE140A01024"/>
        <s v="INE934A01012"/>
        <s v="INE602C01011"/>
        <s v="INE915B01019"/>
        <s v="INE878A01011"/>
        <s v="INE879A01019"/>
        <s v="INE171A01029"/>
        <s v="INE042B01012"/>
        <s v="INE418B01048"/>
        <s v="INE118A01012"/>
        <s v="INE555C01029"/>
        <s v="INE039B01026"/>
        <s v="INE781A01025"/>
        <s v="INE310B01013"/>
        <s v="INE672A01018"/>
        <s v="INE638B01025"/>
        <s v="INE640B01021"/>
        <s v="INE792B01012"/>
        <s v="INE453B01029"/>
        <s v="INE369B01019"/>
        <s v="INE848A01014"/>
        <s v="INE149A01033"/>
        <s v="INE002B01016"/>
        <s v="INE0PSJ01011"/>
        <s v="INE754A01055"/>
        <s v="INE663P01015"/>
        <s v="INE243B01016"/>
        <s v="INE523B01011"/>
        <s v="INE400B01020"/>
        <s v="INE448B01029"/>
        <s v="INE477A01020"/>
        <s v="INE374B01019"/>
        <s v="INE099E01016"/>
        <s v="INE417B01040"/>
        <s v="INE859A01011"/>
        <s v="INE614A01028"/>
        <s v="INE246B01019"/>
        <s v="INE721A01013"/>
        <s v="INE539B01017"/>
        <s v="INE434B01029"/>
        <s v="INE121A01024"/>
        <s v="INE105A01035"/>
        <s v="INE398B01018"/>
        <s v="INE464B01018"/>
        <s v="INE683B01047"/>
        <s v="INE893A01036"/>
        <s v="INE794B01026"/>
        <s v="INE443B01012"/>
        <s v="INE526B01014"/>
        <s v="INE392B01011"/>
        <s v="INE780C01023"/>
        <s v="INE586B01026"/>
        <s v="INE230B01021"/>
        <s v="INE555B01013"/>
        <s v="INE971A01014"/>
        <s v="INE240C01028"/>
        <s v="INE511C01022"/>
        <s v="INE718B01017"/>
        <s v="INE856B01023"/>
        <s v="INE005B01027"/>
        <s v="INE522D01027"/>
        <s v="INE933B01012"/>
        <s v="INE330E01023"/>
        <s v="INE345B01019"/>
        <s v="INE747B01016"/>
        <s v="INE178C01020"/>
        <s v="INE102B01014"/>
        <s v="INE256D01014"/>
        <s v="INE193D01019"/>
        <s v="INE180C01042"/>
        <s v="INE799C01031"/>
        <s v="INE028A01039"/>
        <s v="INE943D01017"/>
        <s v="INE084A01016"/>
        <s v="INE541C01037"/>
        <s v="INE090A01021"/>
        <s v="INE655D01025"/>
        <s v="INE255D01024"/>
        <s v="INE838E01017"/>
        <s v="INE095A01012"/>
        <s v="INE168A01041"/>
        <s v="INE550F01031"/>
        <s v="INE491A01021"/>
        <s v="INE266F01018"/>
        <s v="INE238A01034"/>
        <s v="INE683A01023"/>
        <s v="INE732F01019"/>
        <s v="INE935Q01015"/>
        <s v="INE565A01014"/>
        <s v="INE160A01022"/>
        <s v="INE525F01017"/>
        <s v="INE637C01025"/>
        <s v="INE411F01010"/>
        <s v="INE692A01016"/>
        <s v="INE476A01022"/>
        <s v="INE691A01018"/>
        <s v="INE296E01026"/>
        <s v="INE457A01014"/>
        <s v="INE530B01024"/>
        <s v="INE116D01028"/>
        <s v="INE824G01012"/>
        <s v="INE528G01035"/>
        <s v="INE236G01019"/>
        <s v="INE614B01018"/>
        <s v="INE038F01029"/>
        <s v="INE218G01033"/>
        <s v="INE043D01016"/>
        <s v="INE774D01024"/>
        <s v="INE134E01011"/>
        <s v="INE562A01011"/>
        <s v="INE725G01011"/>
        <s v="INE365B01017"/>
        <s v="INE155G01029"/>
        <s v="INE483A01010"/>
        <s v="INE455F01025"/>
        <s v="INE338I01027"/>
        <s v="INE420C01059"/>
        <s v="INE621H01010"/>
        <s v="INE532F01054"/>
        <s v="INE586G01017"/>
        <s v="INE020B01018"/>
        <s v="INE918I01026"/>
        <s v="INE083K01017"/>
        <s v="INE658G01014"/>
        <s v="INE608A01012"/>
        <s v="INE366A01041"/>
        <s v="INE873D01024"/>
        <s v="INE450G01024"/>
        <s v="INE691G01015"/>
        <s v="INE692G01013"/>
        <s v="INE916P01025"/>
        <s v="INE796G01012"/>
        <s v="INE063E01046"/>
        <s v="INE414G01012"/>
        <s v="INE748C01038"/>
        <s v="INE748A01016"/>
        <s v="INE498L01015"/>
        <s v="INE764B01029"/>
        <s v="INE745G01035"/>
        <s v="INE584F01014"/>
        <s v="INE148I01020"/>
        <s v="INE278G01037"/>
        <s v="INE875G01030"/>
        <s v="INE206F01022"/>
        <s v="INE092T01019"/>
        <s v="INE404L01039"/>
        <s v="INE483S01020"/>
        <s v="INE023H01027"/>
        <s v="INE752G01015"/>
        <s v="INE978G01016"/>
        <s v="INE417C01014"/>
        <s v="INE942G01012"/>
        <s v="INE828G01013"/>
        <s v="INE976G01028"/>
        <s v="INE050H01012"/>
        <s v="INE501G01024"/>
        <s v="INE231F01020"/>
        <s v="INE512B01022"/>
        <s v="INE726G01019"/>
        <s v="INE572E01012"/>
        <s v="INE031A01017"/>
        <s v="INE157H01023"/>
        <s v="INE186H01022"/>
        <s v="INE160H01019"/>
        <s v="INE949L01017"/>
        <s v="INE184H01027"/>
        <s v="INE503D01027"/>
        <s v="INE461B01014"/>
        <s v="INE674K01013"/>
        <s v="INE855F01042"/>
        <s v="INE185H01016"/>
        <s v="INE229H01012"/>
        <s v="INE283H01019"/>
        <s v="INE265F01028"/>
        <s v="INE266H01014"/>
        <s v="INE765G01017"/>
        <s v="INE199G01027"/>
        <s v="INE256H01015"/>
        <s v="INE251H01024"/>
        <s v="INE226H01026"/>
        <s v="INE206Z01020"/>
        <s v="INE123W01016"/>
        <s v="INE047B01011"/>
        <s v="INE332H01014"/>
        <s v="INE350H01032"/>
        <s v="INE932X01026"/>
        <s v="INE286H01012"/>
        <s v="INE858F01012"/>
        <s v="INE493H01014"/>
        <s v="INE348L01012"/>
        <s v="INE022Q01020"/>
        <s v="INE383H01017"/>
        <s v="INE786F01031"/>
        <s v="INE353H01010"/>
        <s v="INE401H01017"/>
        <s v="INE481Y01014"/>
        <s v="INE298J01013"/>
        <s v="INE470Y01017"/>
        <s v="INE296H01011"/>
        <s v="INE388G01026"/>
        <s v="INE397H01017"/>
        <s v="INE390H01012"/>
        <s v="INE111F01016"/>
        <s v="INE302H01017"/>
        <s v="INE347H01012"/>
        <s v="INE367G01038"/>
        <s v="INE229E01019"/>
        <s v="INE425C01017"/>
        <s v="INE795G01014"/>
        <s v="INE545U01014"/>
        <s v="INE763G01038"/>
        <s v="INE107J01016"/>
        <s v="INE677H01012"/>
        <s v="INE596H01014"/>
        <s v="INE127D01025"/>
        <s v="INE916G01016"/>
        <s v="INE516H01012"/>
        <s v="INE737H01014"/>
        <s v="INE544H01014"/>
        <s v="INE503A01015"/>
        <s v="INE951C01012"/>
        <s v="INE020G01017"/>
        <s v="INE221H01019"/>
        <s v="INE637H01024"/>
        <s v="INE741K01010"/>
        <s v="INE216P01012"/>
        <s v="INE561H01026"/>
        <s v="INE645H01027"/>
        <s v="INE572J01011"/>
        <s v="INE489L01022"/>
        <s v="INE803H01014"/>
        <s v="INE679A01013"/>
        <s v="INE966H01019"/>
        <s v="INE965H01011"/>
        <s v="INE872H01027"/>
        <s v="INE718H01014"/>
        <s v="INE551W01018"/>
        <s v="INE703H01016"/>
        <s v="INE018E01016"/>
        <s v="INE627H01017"/>
        <s v="INE596I01012"/>
        <s v="INE001O01029"/>
        <s v="INE768E01024"/>
        <s v="INE704H01022"/>
        <s v="INE940H01022"/>
        <s v="INE641Q01019"/>
        <s v="INE732I01013"/>
        <s v="INE094J01016"/>
        <s v="INE804H01012"/>
        <s v="INE063P01018"/>
        <s v="INE812G01025"/>
        <s v="INE998H01012"/>
        <s v="INE311H01018"/>
        <s v="INE053F01010"/>
        <s v="INE702H01018"/>
        <s v="INE952H01027"/>
        <s v="INE481N01025"/>
        <s v="INE005I01014"/>
        <s v="INE976H01018"/>
        <s v="INE852O01025"/>
        <s v="INE404A01024"/>
        <s v="INE052I01032"/>
        <s v="INE417T01026"/>
        <s v="INE836F01026"/>
        <s v="INE280H01015"/>
        <s v="INE917H01012"/>
        <s v="INE982J01020"/>
        <s v="INE797H01018"/>
        <s v="INE788H01017"/>
        <s v="INE124G01033"/>
        <s v="INE287C01037"/>
        <s v="INE070I01018"/>
        <s v="INE228I01012"/>
        <s v="INE928H01019"/>
        <s v="INE575P01011"/>
        <s v="INE0K5F01014"/>
        <s v="INE189I01024"/>
        <s v="INE945H01013"/>
        <s v="INE463V01026"/>
        <s v="INE924H01018"/>
        <s v="INE106I01010"/>
        <s v="INE0J1Y01017"/>
        <s v="INE102I01027"/>
        <s v="INE385I01010"/>
        <s v="INE117H01019"/>
        <s v="INE800H01010"/>
        <s v="INE056I01025"/>
        <s v="INE00F201020"/>
        <s v="INE105I01020"/>
        <s v="INE022I01019"/>
        <s v="INE668A01016"/>
        <s v="INE142I01023"/>
        <s v="INE128S01021"/>
        <s v="INE138Y01010"/>
        <s v="INE222F01029"/>
        <s v="INE227G01018"/>
        <s v="INE245I01016"/>
        <s v="INE387I01016"/>
        <s v="INE758E01017"/>
        <s v="INE455I01029"/>
        <s v="INE735W01017"/>
        <s v="INE550H01011"/>
        <s v="INE215I01027"/>
        <s v="INE369I01014"/>
        <s v="INE068C01015"/>
        <s v="INE423Y01016"/>
        <s v="INE139I01011"/>
        <s v="INE575I01016"/>
        <s v="INE160O01031"/>
        <s v="INE531F01015"/>
        <s v="INE722H01024"/>
        <s v="INE094I01018"/>
        <s v="INE234I01028"/>
        <s v="INE202E01016"/>
        <s v="INE550D01010"/>
        <s v="INE922K01024"/>
        <s v="INE953L01027"/>
        <s v="INE661I01014"/>
        <s v="INE817H01014"/>
        <s v="INE015D01022"/>
        <s v="INE386I01018"/>
        <s v="INE095I01015"/>
        <s v="INE298I01015"/>
        <s v="INE529I01021"/>
        <s v="INE883F01010"/>
        <s v="INE03JT01014"/>
        <s v="INE792I01017"/>
        <s v="INE036D01028"/>
        <s v="INE809I01019"/>
        <s v="INE964H01014"/>
        <s v="INE863I01016"/>
        <s v="INE821I01022"/>
        <s v="INE871H01011"/>
        <s v="INE049I01012"/>
        <s v="INE660A01013"/>
        <s v="INE118H01025"/>
        <s v="INE642I01014"/>
        <s v="INE274G01010"/>
        <s v="INE736A01011"/>
        <s v="INE415I01015"/>
        <s v="INE865C01022"/>
        <s v="INE778I01024"/>
        <s v="INE202Z01029"/>
        <s v="INE059A01026"/>
        <s v="INE089A01023"/>
        <s v="INE020J01029"/>
        <s v="INE105J01010"/>
        <s v="INF174KA1JD7"/>
        <s v="INE368I01016"/>
        <s v="INE244J01017"/>
        <s v="INE222J01013"/>
        <s v="INE790D01020"/>
        <s v="INE955I01044"/>
        <s v="INE877I01016"/>
        <s v="INE947I01017"/>
        <s v="INE323J01019"/>
        <s v="INE201J01017"/>
        <s v="INE197J01017"/>
        <s v="INE560T01015"/>
        <s v="INE457H01027"/>
        <s v="INE456H01029"/>
        <s v="INE144J01027"/>
        <s v="INE199A01012"/>
        <s v="INE773I01017"/>
        <s v="INE326A01037"/>
        <s v="INE919H01018"/>
        <s v="INE065J01024"/>
        <s v="INE359B01010"/>
        <s v="INE320D01018"/>
        <s v="INE893J01029"/>
        <s v="INE685A01028"/>
        <s v="INE786K01023"/>
        <s v="INE294G01026"/>
        <s v="INE358A01014"/>
        <s v="INE159A01016"/>
        <s v="INE058A01010"/>
        <s v="INE360J01011"/>
        <s v="INE615I01010"/>
        <s v="INE182A01018"/>
        <s v="INE274K01012"/>
        <s v="INE318K01025"/>
        <s v="INE201K01015"/>
        <s v="INE203A01020"/>
        <s v="INE947J01015"/>
        <s v="INE563J01010"/>
        <s v="INE250K01012"/>
        <s v="INE572A01036"/>
        <s v="INE143K01019"/>
        <s v="INE437A01024"/>
        <s v="INE191A01027"/>
        <s v="INE912H01013"/>
        <s v="INE750C01026"/>
        <s v="INE893I01013"/>
        <s v="INE085J01014"/>
        <s v="INE571A01038"/>
        <s v="INE753K01015"/>
        <s v="INE982F01036"/>
        <s v="INE141K01013"/>
        <s v="INE108E01023"/>
        <s v="INE847C01020"/>
        <s v="INE794A01010"/>
        <s v="INE864J01012"/>
        <s v="INE975G01012"/>
        <s v="INE044A01036"/>
        <s v="INE566K01011"/>
        <s v="INE516K01024"/>
        <s v="INE790B01024"/>
        <s v="INE134B01017"/>
        <s v="INE639K01016"/>
        <s v="INE747K01017"/>
        <s v="INE475E01026"/>
        <s v="INE830C01026"/>
        <s v="INE798K01010"/>
        <s v="INE265D01015"/>
        <s v="INE871K01015"/>
        <s v="INE778K01012"/>
        <s v="INE926K01017"/>
        <s v="INE933K01021"/>
        <s v="INE696K01024"/>
        <s v="INE159O01033"/>
        <s v="INE389K01018"/>
        <s v="INE019J01013"/>
        <s v="INE521J01018"/>
        <s v="INE416L01017"/>
        <s v="INE874I01013"/>
        <s v="INE999K01014"/>
        <s v="INE068L01024"/>
        <s v="INE351L01016"/>
        <s v="INE406A01037"/>
        <s v="INE844K01012"/>
        <s v="INE987B01026"/>
        <s v="INE700A01033"/>
        <s v="INE790G01031"/>
        <s v="INE258B01022"/>
        <s v="INE482J01021"/>
        <s v="INE205C01021"/>
        <s v="INE935A01035"/>
        <s v="INE324L01013"/>
        <s v="INE245L01010"/>
        <s v="INE049B01025"/>
        <s v="INE565L01011"/>
        <s v="INE439G01019"/>
        <s v="INE619I01012"/>
        <s v="INE010B01027"/>
        <s v="INE722J01012"/>
        <s v="INE031B01049"/>
        <s v="INE735D01033"/>
        <s v="INE272L01022"/>
        <s v="INE268L01020"/>
        <s v="INE029L01018"/>
        <s v="INE878K01010"/>
        <s v="INE519C01017"/>
        <s v="INE690J01011"/>
        <s v="INE577L01016"/>
        <s v="INE474L01016"/>
        <s v="INE645L01011"/>
        <s v="INE101D01020"/>
        <s v="INE611L01021"/>
        <s v="INE045J01026"/>
        <s v="INE320L01011"/>
        <s v="INE361B01024"/>
        <s v="INE597L01014"/>
        <s v="INE560K01014"/>
        <s v="INE376G01013"/>
        <s v="INE672K01025"/>
        <s v="INE052B01011"/>
        <s v="INE725L01011"/>
        <s v="INE726L01019"/>
        <s v="INE573K01017"/>
        <s v="INE130L01014"/>
        <s v="INE524L01026"/>
        <s v="INE878H01024"/>
        <s v="INE939A01011"/>
        <s v="INE162L01017"/>
        <s v="INE040M01013"/>
        <s v="INE650L01011"/>
        <s v="INE895B01021"/>
        <s v="INE061F01013"/>
        <s v="INE232I01014"/>
        <s v="INE590L01019"/>
        <s v="INE901L01018"/>
        <s v="INE855P01033"/>
        <s v="INE123M01017"/>
        <s v="INE440L01017"/>
        <s v="INE912L01015"/>
        <s v="INE060J01017"/>
        <s v="INE398R01022"/>
        <s v="INE337M01013"/>
        <s v="INE342U01016"/>
        <s v="INE540L01014"/>
        <s v="INE390G01014"/>
        <s v="INE022F01015"/>
        <s v="INE480M01011"/>
        <s v="INE482B01010"/>
        <s v="INE793G01035"/>
        <s v="INE241F01011"/>
        <s v="INE123D01024"/>
        <s v="INE600L01024"/>
        <s v="INE410P01011"/>
        <s v="INE883L01018"/>
        <s v="INE075I01017"/>
        <s v="INE550L01013"/>
        <s v="INE947Q01028"/>
        <s v="INE472M01018"/>
        <s v="INE750M01017"/>
        <s v="INE393F01010"/>
        <s v="INE760L01018"/>
        <s v="INE050M01012"/>
        <s v="INE204N01013"/>
        <s v="INE247M01014"/>
        <s v="INE142K01011"/>
        <s v="INE406M01024"/>
        <s v="INE735M01018"/>
        <s v="INE391J01024"/>
        <s v="INE436N01029"/>
        <s v="INE966C01010"/>
        <s v="INE914M01019"/>
        <s v="INE524N01014"/>
        <s v="INE581M01016"/>
        <s v="INE131N01018"/>
        <s v="INE741L01018"/>
        <s v="INE195N01013"/>
        <s v="INE559N01010"/>
        <s v="INE456N01019"/>
        <s v="INE892L01019"/>
        <s v="INE176N01021"/>
        <s v="INE175N01023"/>
        <s v="INE247C01023"/>
        <s v="INE840M01016"/>
        <s v="INE503B01021"/>
        <s v="INE234G01022"/>
        <s v="INE675C01017"/>
        <s v="INE198N01017"/>
        <s v="INE752H01013"/>
        <s v="INE785M01013"/>
        <s v="INE112L01020"/>
        <s v="INE03QK01018"/>
        <s v="INE149O01018"/>
        <s v="INE650D01026"/>
        <s v="INE335G01019"/>
        <s v="INE274M01026"/>
        <s v="INE583M01012"/>
        <s v="INE612J01015"/>
        <s v="INE191O01010"/>
        <s v="INE168O01026"/>
        <s v="INE047O01014"/>
        <s v="INE748D01010"/>
        <s v="INE902D01013"/>
        <s v="INE099F01013"/>
        <s v="INE027H01010"/>
        <s v="INE159L01013"/>
        <s v="INE807O01011"/>
        <s v="INE068V01023"/>
        <s v="INE860E01011"/>
        <s v="INE474O01010"/>
        <s v="INE320I01017"/>
        <s v="INE989J01017"/>
        <s v="INE731G01027"/>
        <s v="INE967H01017"/>
        <s v="INE03Q201024"/>
        <s v="INE00FF01017"/>
        <s v="INE340O01013"/>
        <s v="INE030P01017"/>
        <s v="INE200P01016"/>
        <s v="INE418N01035"/>
        <s v="INE890N01019"/>
        <s v="INE282Y01016"/>
        <s v="INE690O01011"/>
        <s v="INE452O01016"/>
        <s v="INE428B01013"/>
        <s v="INE962O01014"/>
        <s v="INE138O01029"/>
        <s v="INE326P01019"/>
        <s v="INE218P01018"/>
        <s v="INE325P01011"/>
        <s v="INE147P01019"/>
        <s v="INE156M01017"/>
        <s v="INE536P01021"/>
        <s v="INE185K01036"/>
        <s v="INE671C01016"/>
        <s v="INE442P01014"/>
        <s v="INE448G01010"/>
        <s v="INE449G01018"/>
        <s v="INE212P01011"/>
        <s v="INE051G01012"/>
        <s v="INE826P01018"/>
        <s v="INE210P01015"/>
        <s v="INE920P01019"/>
        <s v="INE546I01017"/>
        <s v="INE101H01013"/>
        <s v="INE555P01013"/>
        <s v="INE905P01028"/>
        <s v="INE01GR01018"/>
        <s v="INE084Q01012"/>
        <s v="INE717C01025"/>
        <s v="INE159N01027"/>
        <s v="INE977M01024"/>
        <s v="INE463B01036"/>
        <s v="INE493N01012"/>
        <s v="INE574G01013"/>
        <s v="INE012Q01021"/>
        <s v="INE909D01026"/>
        <s v="INE043W01024"/>
        <s v="INE401B01010"/>
        <s v="INE191P01017"/>
        <s v="INE02Z901011"/>
        <s v="INE452L01012"/>
        <s v="INE266P01017"/>
        <s v="INE792G01011"/>
        <s v="INE318N01011"/>
        <s v="INE502O01018"/>
        <s v="INE508N01025"/>
        <s v="INE296Q01012"/>
        <s v="INE114O01012"/>
        <s v="INE252C01015"/>
        <s v="INE901C01017"/>
        <s v="INE745P01010"/>
        <s v="INE172D01021"/>
        <s v="INE598F01014"/>
        <s v="INE969E01010"/>
        <s v="INE075K01013"/>
        <s v="INE516P01015"/>
        <s v="INE634J01019"/>
        <s v="INE319Q01012"/>
        <s v="INE510P01018"/>
        <s v="INE439E01022"/>
        <s v="INE644U01015"/>
        <s v="INE718P01017"/>
        <s v="INE878P01019"/>
        <s v="INE961O01016"/>
        <s v="INE154M01012"/>
        <s v="INE02ZA01012"/>
        <s v="INE336Q01016"/>
        <s v="INE492N01022"/>
        <s v="INE222B01028"/>
        <s v="INE404F01031"/>
        <s v="INE755Q01025"/>
        <s v="INE457P01020"/>
        <s v="INE868G01019"/>
        <s v="INE099D01018"/>
        <s v="INE840I01014"/>
        <s v="INE406F01010"/>
        <s v="INE314N01028"/>
        <s v="INE837C01013"/>
        <s v="INE729C01020"/>
        <s v="INE948K01011"/>
        <s v="INE221J01015"/>
        <s v="INE509J01013"/>
        <s v="INE898Q01015"/>
        <s v="INE363M01019"/>
        <s v="INE010R01023"/>
        <s v="INE929D01016"/>
        <s v="INE937K01014"/>
        <s v="INE011R01013"/>
        <s v="INE475D01010"/>
        <s v="INE260R01016"/>
        <s v="INE229R01011"/>
        <s v="INE0DK501011"/>
        <s v="INE982Q01017"/>
        <s v="INE761Q01015"/>
        <s v="INE909P01012"/>
        <s v="INE016Q01014"/>
        <s v="INE516E01019"/>
        <s v="INE491C01027"/>
        <s v="INE401Q01018"/>
        <s v="INE176L01017"/>
        <s v="INE480D01010"/>
        <s v="INE131Q01011"/>
        <s v="INE149Q01021"/>
        <s v="INE997C01015"/>
        <s v="INE918C01029"/>
        <s v="INE155R01018"/>
        <s v="INE185C01017"/>
        <s v="INE513R01026"/>
        <s v="INE891N01017"/>
        <s v="INE242Q01016"/>
        <s v="INE474Q01031"/>
        <s v="INE950M01013"/>
        <s v="INE237B01018"/>
        <s v="INE407P01017"/>
        <s v="INE892C01018"/>
        <s v="INE655P01029"/>
        <s v="INE232L01018"/>
        <s v="INE985Q01010"/>
        <s v="INE183Q01020"/>
        <s v="INE370Q01015"/>
        <s v="INE160N01017"/>
        <s v="INE243E01010"/>
        <s v="INE030Q01015"/>
        <s v="INE227F01010"/>
        <s v="INE0LRU01027"/>
        <s v="INE513C01010"/>
        <s v="INE475V01012"/>
        <s v="INE081G01019"/>
        <s v="INE341R01014"/>
        <s v="INE661Q01017"/>
        <s v="INE055Q01012"/>
        <s v="INE380D01012"/>
        <s v="INE865P01016"/>
        <s v="INE029B01019"/>
        <s v="INE499Q01012"/>
        <s v="INE223R01014"/>
        <s v="INE554R01020"/>
        <s v="INE017P01014"/>
        <s v="INE932M01011"/>
        <s v="INE321M01017"/>
        <s v="INE211D01027"/>
        <s v="INE949P01018"/>
        <s v="INE634S01028"/>
        <s v="INE947G01011"/>
        <s v="INE858L01010"/>
        <s v="INE945P01024"/>
        <s v="INE397C01026"/>
        <s v="INE338H01029"/>
        <s v="INE717E01013"/>
        <s v="INE002E01010"/>
        <s v="INE721U01011"/>
        <s v="INE682M01012"/>
        <s v="INE777O01016"/>
        <s v="INE735U01011"/>
        <s v="INE776O01018"/>
        <s v="INE396C01010"/>
        <s v="INE526R01028"/>
        <s v="INE213D01015"/>
        <s v="INE820R01017"/>
        <s v="INE886E01016"/>
        <s v="INE812Q01016"/>
        <s v="INE07I701011"/>
        <s v="INE976R01017"/>
        <s v="INE824Q01011"/>
        <s v="INE859Q01017"/>
        <s v="INE830Q01018"/>
        <s v="INE172N01012"/>
        <s v="INE0KBH01020"/>
        <s v="INE751R01014"/>
        <s v="INE187R01011"/>
        <s v="INE197R01010"/>
        <s v="INE092P01017"/>
        <s v="INE541R01019"/>
        <s v="INE291R01011"/>
        <s v="INE736P01019"/>
        <s v="INE193R01019"/>
        <s v="INE137M01017"/>
        <s v="INE291E01019"/>
        <s v="INE273F01022"/>
        <s v="INE978L01016"/>
        <s v="INE029H01016"/>
        <s v="INE965V01012"/>
        <s v="INE780Q01015"/>
        <s v="INE578R01011"/>
        <s v="INE239L01013"/>
        <s v="INE334E01017"/>
        <s v="INE822Q01015"/>
        <s v="INE467X01015"/>
        <s v="INE761D01021"/>
        <s v="INE527H01019"/>
        <s v="INE945O01019"/>
        <s v="INE788J01021"/>
        <s v="INE04VT01017"/>
        <s v="INE065X01017"/>
        <s v="INE784R01023"/>
        <s v="INE347L01014"/>
        <s v="INE738P01015"/>
        <s v="INE924N01016"/>
        <s v="INE230I01018"/>
        <s v="INE117A01022"/>
        <s v="INE578L01014"/>
        <s v="INE848N01017"/>
        <s v="INE035S01010"/>
        <s v="INE829P01020"/>
        <s v="INE960C01013"/>
        <s v="INE618R01015"/>
        <s v="INE170E01023"/>
        <s v="INE574D01010"/>
        <s v="INE653S01028"/>
        <s v="INE606K01023"/>
        <s v="INE563C01015"/>
        <s v="INE150D01027"/>
        <s v="INE540S01019"/>
        <s v="INE885H01011"/>
        <s v="INE977E01013"/>
        <s v="INE027T01023"/>
        <s v="INE876S01017"/>
        <s v="INE480S01026"/>
        <s v="INE829R01018"/>
        <s v="INE074J01018"/>
        <s v="INE875R01011"/>
        <s v="INE979R01011"/>
        <s v="INE446E01019"/>
        <s v="INE258A01016"/>
        <s v="INE541K01014"/>
        <s v="INE990S01016"/>
        <s v="INE579N01018"/>
        <s v="INE263A01024"/>
        <s v="INE484S01010"/>
        <s v="INE829S01016"/>
        <s v="INE587G01015"/>
        <s v="INE184S01024"/>
        <s v="INE653R01012"/>
        <s v="INE749B01020"/>
        <s v="INE897N01014"/>
        <s v="INE898S01029"/>
        <s v="INE143A01010"/>
        <s v="INE583K01016"/>
        <s v="INE671K01019"/>
        <s v="INE034S01021"/>
        <s v="INE067A01029"/>
        <s v="INE230R01035"/>
        <s v="INE365S01037"/>
        <s v="INE203T01012"/>
        <s v="INE918N01018"/>
        <s v="INE778N01016"/>
        <s v="INE712K01011"/>
        <s v="INE257A01026"/>
        <s v="INE725P01012"/>
        <s v="INE764L01010"/>
        <s v="INE724G01014"/>
        <s v="INE914G01029"/>
        <s v="INE583R01029"/>
        <s v="INE848R01018"/>
        <s v="INE019D01016"/>
        <s v="INE897B01019"/>
        <s v="INE636B01011"/>
        <s v="INE926E01010"/>
        <s v="INE060T01024"/>
        <s v="INE344T01014"/>
        <s v="INE389C01015"/>
        <s v="INE473T01011"/>
        <s v="INE256S01012"/>
        <s v="INE836B01017"/>
        <s v="INE183R01010"/>
        <s v="INE880P01015"/>
        <s v="INE854S01022"/>
        <s v="INE594R01018"/>
        <s v="INE881P01013"/>
        <s v="INE030T01027"/>
        <s v="INE661F01010"/>
        <s v="INE201C01012"/>
        <s v="INE335K01011"/>
        <s v="INE086A01029"/>
        <s v="INE520H01022"/>
        <s v="INE175Q01018"/>
        <s v="INE122N01017"/>
        <s v="INE500L01026"/>
        <s v="INE761R01013"/>
        <s v="INE258R01010"/>
        <s v="INE051N01026"/>
        <s v="INE910R01016"/>
        <s v="INE027S01017"/>
        <s v="INE721C01019"/>
        <s v="INE766D01020"/>
        <s v="INE176R01014"/>
        <s v="INE805Q01028"/>
        <s v="INE641R01017"/>
        <s v="INE551B01012"/>
        <s v="INE364T01012"/>
        <s v="INE343C01012"/>
        <s v="INE284A01012"/>
        <s v="INE255A01020"/>
        <s v="INE381N01019"/>
        <s v="INE146E01015"/>
        <s v="INE430R01015"/>
        <s v="INE570N01025"/>
        <s v="INE150G01020"/>
        <s v="INE834E01016"/>
        <s v="INE281P01016"/>
        <s v="INE217S01014"/>
        <s v="INE654D01010"/>
        <s v="INE235A01022"/>
        <s v="INE108T01013"/>
        <s v="INE005G01026"/>
        <s v="INE994N01019"/>
        <s v="INE425F01028"/>
        <s v="INE750R01016"/>
        <s v="INE974F01025"/>
        <s v="INE582V01015"/>
        <s v="INE728Q01014"/>
        <s v="INE094S01041"/>
        <s v="INE681Q01015"/>
        <s v="INE727C01016"/>
        <s v="INE079C01012"/>
        <s v="INE373T01039"/>
        <s v="INE534E01020"/>
        <s v="INE368E01023"/>
        <s v="INE484I01029"/>
        <s v="INE754D01018"/>
        <s v="INE564S01019"/>
        <s v="INE052T01013"/>
        <s v="INE023R01018"/>
        <s v="INE948Q01018"/>
        <s v="INE684D01025"/>
        <s v="INE792P01020"/>
        <s v="INE306L01010"/>
        <s v="INE332Q01015"/>
        <s v="INE615T01017"/>
        <s v="INE874E01012"/>
        <s v="INE622Q01019"/>
        <s v="INE429R01017"/>
        <s v="INE127T01021"/>
        <s v="INE064T01018"/>
        <s v="INE966Q01010"/>
        <s v="INE314T01025"/>
        <s v="INE194R01017"/>
        <s v="INE748T01016"/>
        <s v="INE773T01014"/>
        <s v="INE427T01017"/>
        <s v="INE250S01015"/>
        <s v="INE216Q01010"/>
        <s v="INE830S01014"/>
        <s v="INE178T01024"/>
        <s v="INE865T01018"/>
        <s v="INE549A01026"/>
        <s v="INE030U01025"/>
        <s v="INE173U01015"/>
        <s v="INE316L01019"/>
        <s v="INE043U01010"/>
        <s v="INE262A01018"/>
        <s v="INE767M01011"/>
        <s v="INE967S01014"/>
        <s v="INE603D01017"/>
        <s v="INE574R01028"/>
        <s v="INE912T01018"/>
        <s v="INE399S01010"/>
        <s v="INE139J01019"/>
        <s v="INE395U01014"/>
        <s v="INE115S01010"/>
        <s v="INE594H01019"/>
        <s v="INE411U01027"/>
        <s v="INE616F01022"/>
        <s v="INE177A01018"/>
        <s v="INE732A01036"/>
        <s v="INE671T01028"/>
        <s v="INE883N01014"/>
        <s v="INE631R01026"/>
        <s v="INE454M01024"/>
        <s v="INE440T01028"/>
        <s v="INE896J01014"/>
        <s v="INE048E01013"/>
        <s v="INE571U01010"/>
        <s v="INE217E01014"/>
        <s v="INE919T01013"/>
        <s v="INE762D01011"/>
        <s v="INE250A01039"/>
        <s v="INE819S01025"/>
        <s v="INE436U01016"/>
        <s v="INE731U01028"/>
        <s v="INE799B01017"/>
        <s v="INE120V01014"/>
        <s v="INE073V01015"/>
        <s v="INE808W01012"/>
        <s v="INE999A01015"/>
        <s v="INE552U01010"/>
        <s v="INE269B01029"/>
        <s v="INE123V01018"/>
        <s v="INE837H01020"/>
        <s v="INE213U01019"/>
        <s v="INE271B01025"/>
        <s v="INE212I01016"/>
        <s v="INE412U01025"/>
        <s v="INE222U01010"/>
        <s v="INE925Q01024"/>
        <s v="INE868B01028"/>
        <s v="INE345U01019"/>
        <s v="INE191V01015"/>
        <s v="INE335A01020"/>
        <s v="INE317V01016"/>
        <s v="INE537U01029"/>
        <s v="INE715T01031"/>
        <s v="INE860T01019"/>
        <s v="INE367U01013"/>
        <s v="INE871L01013"/>
        <s v="INE890S01026"/>
        <s v="INE864T01011"/>
        <s v="INE324A01024"/>
        <s v="INE934S01014"/>
        <s v="INE583V01021"/>
        <s v="INE496M01017"/>
        <s v="INE152A01029"/>
        <s v="INE818R01011"/>
        <s v="INE202R01026"/>
        <s v="INE495S01016"/>
        <s v="INE184B01012"/>
        <s v="INE02BR01017"/>
        <s v="INE565V01010"/>
        <s v="INE427V01013"/>
        <s v="INE700V01021"/>
        <s v="INE564V01013"/>
        <s v="INE942P01013"/>
        <s v="INE640A01023"/>
        <s v="INE905R01016"/>
        <s v="INE268T01015"/>
        <s v="INE208A01029"/>
        <s v="INE298B01010"/>
        <s v="INE964R01013"/>
        <s v="INE298A01020"/>
        <s v="INE894E01028"/>
        <s v="INE552F01011"/>
        <s v="INE341H01023"/>
        <s v="INE186R01013"/>
        <s v="INE850R01014"/>
        <s v="INE042A01014"/>
        <s v="INE666Q01016"/>
        <s v="INE018A01030"/>
        <s v="INE759V01019"/>
        <s v="INE553H01015"/>
        <s v="INE552H01017"/>
        <s v="INE003A01024"/>
        <s v="INE340U01010"/>
        <s v="INE607V01028"/>
        <s v="INE245H01018"/>
        <s v="INE417N01011"/>
        <s v="INE776V01013"/>
        <s v="INE615R01029"/>
        <s v="INE459U01018"/>
        <s v="INE396F01013"/>
        <s v="INE291A01017"/>
        <s v="INE181U01018"/>
        <s v="INE863T01013"/>
        <s v="INE249U01013"/>
        <s v="INE978V01015"/>
        <s v="INE655V01019"/>
        <s v="INE240T01014"/>
        <s v="INE715Q01029"/>
        <s v="INE664N01018"/>
        <s v="INE919I01024"/>
        <s v="INE183A01024"/>
        <s v="INE319T01016"/>
        <s v="INE989S01042"/>
        <s v="INE017W01010"/>
        <s v="INE298W01016"/>
        <s v="INE784W01015"/>
        <s v="INE242B01018"/>
        <s v="INE800W01019"/>
        <s v="INE201M01029"/>
        <s v="INE442V01012"/>
        <s v="INE208U01019"/>
        <s v="INE274V01019"/>
        <s v="INE953W01016"/>
        <s v="INE808R01012"/>
        <s v="INE870V01014"/>
        <s v="INE949C01016"/>
        <s v="INE594W01034"/>
        <s v="INE807K01035"/>
        <s v="INE453S01015"/>
        <s v="INE343X01018"/>
        <s v="INE666D01022"/>
        <s v="INE488V01015"/>
        <s v="INE986W01016"/>
        <s v="INE796W01019"/>
        <s v="INE416X01012"/>
        <s v="INE464A01036"/>
        <s v="INE325X01015"/>
        <s v="INE541A01023"/>
        <s v="INE205B01023"/>
        <s v="INE869I01013"/>
        <s v="INE717A01029"/>
        <s v="INE508W01018"/>
        <s v="INE694X01030"/>
        <s v="INE413X01035"/>
        <s v="INE170V01027"/>
        <s v="INE335W01016"/>
        <s v="INE471W01019"/>
        <s v="INE349W01017"/>
        <s v="INE347W01011"/>
        <s v="INE943X01015"/>
        <s v="INE931X01010"/>
        <s v="INE632W01016"/>
        <s v="INE07NX01019"/>
        <s v="INE536A01023"/>
        <s v="INE320X01016"/>
        <s v="INE371A01025"/>
        <s v="INE344X01016"/>
        <s v="INE172E01011"/>
        <s v="INE686A01026"/>
        <s v="INE346W01013"/>
        <s v="INE145Y01015"/>
        <s v="INE236W01016"/>
        <s v="INE442U01014"/>
        <s v="INE545A01016"/>
        <s v="INE727S01012"/>
        <s v="INE385W01011"/>
        <s v="INE670X01014"/>
        <s v="INE132V01019"/>
        <s v="INE866R01028"/>
        <s v="INE217K01011"/>
        <s v="INE264T01014"/>
        <s v="INE146Y01013"/>
        <s v="INE195A01028"/>
        <s v="INE579D01019"/>
        <s v="INE777X01017"/>
        <s v="INE070D01027"/>
        <s v="INE393P01035"/>
        <s v="INE385F01024"/>
        <s v="INE071Y01013"/>
        <s v="INE973X01012"/>
        <s v="INE327G01032"/>
        <s v="INE695X01011"/>
        <s v="INE183U01022"/>
        <s v="INE864K01010"/>
        <s v="INE414Y01015"/>
        <s v="INE307N01014"/>
        <s v="INE120A01034"/>
        <s v="INE228A01035"/>
        <s v="INE671A01010"/>
        <s v="INE878B01027"/>
        <s v="INE769D01016"/>
        <s v="INE501Y01019"/>
        <s v="INE703B01027"/>
        <s v="INE386A01015"/>
        <s v="INE987E01012"/>
        <s v="INE285A01027"/>
        <s v="INE133Y01011"/>
        <s v="INE834I01025"/>
        <s v="INE618L01018"/>
        <s v="INE325A01013"/>
        <s v="INE204Y01010"/>
        <s v="INE410D01017"/>
        <s v="INE500C01017"/>
        <s v="INE016M01021"/>
        <s v="INE600Y01019"/>
        <s v="INE821Y01011"/>
        <s v="INE597J01018"/>
        <s v="INE664X01025"/>
        <s v="INE564C01013"/>
        <s v="INE340D01016"/>
        <s v="INE994R01028"/>
        <s v="INE646X01014"/>
        <s v="INE670H01017"/>
        <s v="INE649R01010"/>
        <s v="INE841Y01019"/>
        <s v="INE454F01010"/>
        <s v="INE713T01028"/>
        <s v="INE989C01020"/>
        <s v="INE546Y01022"/>
        <s v="INE074A01025"/>
        <s v="INE443P01020"/>
        <s v="INE115G01015"/>
        <s v="INE102C01020"/>
        <s v="INE760Y01011"/>
        <s v="INE200A01026"/>
        <s v="INE063Z01017"/>
        <s v="INE630Y01024"/>
        <s v="INE578V01013"/>
        <s v="INE740X01023"/>
        <s v="INE923Y01023"/>
        <s v="INE586E01020"/>
        <s v="INE773Y01014"/>
        <s v="INE341Z01025"/>
        <s v="INE644Y01017"/>
        <s v="INE220B01022"/>
        <s v="INE673U01014"/>
        <s v="INE398L01017"/>
        <s v="INE339Z01011"/>
        <s v="INE955D01029"/>
        <s v="INE464Z01017"/>
        <s v="INE365Y01019"/>
        <s v="INE452Z01012"/>
        <s v="INE758W01019"/>
        <s v="INE244B01030"/>
        <s v="INE380Z01015"/>
        <s v="INE169F01014"/>
        <s v="INE908D01010"/>
        <s v="INE191B01025"/>
        <s v="INE278R01034"/>
        <s v="INE278H01035"/>
        <s v="INE616Z01012"/>
        <s v="INE495Z01011"/>
        <s v="INE510A01028"/>
        <s v="INE372A01015"/>
        <s v="INE910B01028"/>
        <s v="INE316O01021"/>
        <s v="INE459Z01017"/>
        <s v="INE386C01029"/>
        <s v="INE783X01023"/>
        <s v="INE626Z01029"/>
        <s v="INE871Z01013"/>
        <s v="INE625G01013"/>
        <s v="INE744C01029"/>
        <s v="INE256Z01025"/>
        <s v="INE250Z01010"/>
        <s v="INE896L01010"/>
        <s v="INE424Z01011"/>
        <s v="INE556Z01010"/>
        <s v="INE295Z01015"/>
        <s v="INE00EM01016"/>
        <s v="INE870Z01015"/>
        <s v="INE926R01012"/>
        <s v="INE518E01015"/>
        <s v="INE692Z01013"/>
        <s v="INE325C01035"/>
        <s v="INE236Y01012"/>
        <s v="INE270D01015"/>
        <s v="INE799N01012"/>
        <s v="INE040H01021"/>
        <s v="INE250G01010"/>
        <s v="INE624Z01016"/>
        <s v="INE212H01026"/>
        <s v="INE389H01022"/>
        <s v="INE297H01019"/>
        <s v="INE685Z01033"/>
        <s v="INE268X01017"/>
        <s v="INE960Z01014"/>
        <s v="INE778U01029"/>
        <s v="INE00SY01011"/>
        <s v="INE686C01014"/>
        <s v="INE00WY01013"/>
        <s v="INE177H01021"/>
        <s v="INE299W01022"/>
        <s v="INE422G01015"/>
        <s v="INE540H01012"/>
        <s v="INE572Z01017"/>
        <s v="INE00IY01012"/>
        <s v="INE266S01011"/>
        <s v="INE01B501018"/>
        <s v="INE797Z01010"/>
        <s v="INE00QT01015"/>
        <s v="INE01A501019"/>
        <s v="INE731H01025"/>
        <s v="INE01IU01018"/>
        <s v="INE004Z01011"/>
        <s v="INE00VM01036"/>
        <s v="INE750B01010"/>
        <s v="INE545H01011"/>
        <s v="INE758C01029"/>
        <s v="INE911Z01017"/>
        <s v="INE666Y01010"/>
        <s v="INE01J501010"/>
        <s v="INE642Z01026"/>
        <s v="INE491D01017"/>
        <s v="INE00Q901014"/>
        <s v="INE647Z01017"/>
        <s v="INE00SW01015"/>
        <s v="INE006I01046"/>
        <s v="INE398C01016"/>
        <s v="INE508G01029"/>
        <s v="INE267C01013"/>
        <s v="INE951Z01013"/>
        <s v="INE007G01014"/>
        <s v="INE016X01010"/>
        <s v="INE139E01028"/>
        <s v="INE763I01026"/>
        <s v="INE00S901012"/>
        <s v="INE01NE01012"/>
        <s v="INE00CA01015"/>
        <s v="INE452W01019"/>
        <s v="INE02EZ01022"/>
        <s v="INE576I01022"/>
        <s v="INE302R01024"/>
        <s v="INE797C01019"/>
        <s v="INE020801028"/>
        <s v="INE350Z01018"/>
        <s v="INE01P501012"/>
        <s v="INE726X01014"/>
        <s v="INE512R01010"/>
        <s v="INE264N01017"/>
        <s v="INE634I01029"/>
        <s v="INE02AR01019"/>
        <s v="INE236P01010"/>
        <s v="INE911T01010"/>
        <s v="INE294Z01018"/>
        <s v="INE003B01014"/>
        <s v="INE615H01020"/>
        <s v="INE102F01015"/>
        <s v="INE043R01016"/>
        <s v="INE05FR01029"/>
        <s v="INE01C001018"/>
        <s v="INE02PC01019"/>
        <s v="INE473C01025"/>
        <s v="INE03WT01017"/>
        <s v="INE906L01025"/>
        <s v="INE400N01017"/>
        <s v="INE858B01029"/>
        <s v="INE949H01023"/>
        <s v="INE442H01029"/>
        <s v="INE209L01016"/>
        <s v="INE06LG01010"/>
        <s v="INE417F01017"/>
        <s v="INE136S01016"/>
        <s v="INE05QJ01015"/>
        <s v="INE474H01014"/>
        <s v="INE535P01015"/>
        <s v="INE374E01021"/>
        <s v="INE757T01025"/>
        <s v="INE05BN01019"/>
        <s v="INE413F01016"/>
        <s v="INE01K301012"/>
        <s v="INE050001010"/>
        <s v="INE03JI01017"/>
        <s v="INE190D01015"/>
        <s v="INE02GA01012"/>
        <s v="INE060601023"/>
        <s v="INE04AK01028"/>
        <s v="INE146L01010"/>
        <s v="INE056001014"/>
        <s v="INE04ST01013"/>
        <s v="INE08KP01019"/>
        <s v="INE621L01012"/>
        <s v="INE819G01012"/>
        <s v="INE251B01027"/>
        <s v="INE419M01027"/>
        <s v="INE08E401029"/>
        <s v="INE08JY01013"/>
        <s v="INE466L01038"/>
        <s v="INE152M01016"/>
        <s v="INE08KJ01020"/>
        <s v="INE957W01025"/>
        <s v="INE906Y01028"/>
        <s v="INE186E01011"/>
        <s v="INE702C01027"/>
        <s v="INE743M01012"/>
        <s v="INE492Z01018"/>
        <s v="INE06H201014"/>
        <s v="INE430N01022"/>
        <s v="INE08ZM01014"/>
        <s v="INE052001026"/>
        <s v="INE444X01014"/>
        <s v="INE490Z01012"/>
        <s v="INE317W01022"/>
        <s v="INE839M01018"/>
        <s v="INE095N01031"/>
        <s v="INE05AN01011"/>
        <s v="INE771C01014"/>
        <s v="INE596F01018"/>
        <s v="INE165G01010"/>
        <s v="INE063601012"/>
        <s v="INE025R01021"/>
        <s v="INE066P01011"/>
        <s v="INE04OV01018"/>
        <s v="INE128G01018"/>
        <s v="INE03V001013"/>
        <s v="INE07QQ01016"/>
        <s v="INE117S01016"/>
        <s v="INE195J01029"/>
        <s v="INE0C4I01011"/>
        <s v="INE211R01019"/>
        <s v="INE0BDU01028"/>
        <s v="INE0CQB01010"/>
        <s v="INE093R01011"/>
        <s v="INE281M01013"/>
        <s v="INE06MM01016"/>
        <s v="INE745R01016"/>
        <s v="INE0CRS01012"/>
        <s v="INE09EO01013"/>
        <s v="INE0B9A01018"/>
        <s v="INE02PY01013"/>
        <s v="INE02A801020"/>
        <s v="INE07OG01012"/>
        <s v="INE05ST01028"/>
        <s v="INE917M01012"/>
        <s v="INE0CG601016"/>
        <s v="INE704P01025"/>
        <s v="INE926X01010"/>
        <s v="INE412J01010"/>
        <s v="INE0ALI01010"/>
        <s v="INE0CHO01012"/>
        <s v="INE171Z01026"/>
        <s v="INE03YM01018"/>
        <s v="INE0BTM01013"/>
        <s v="INE066F01020"/>
        <s v="INE09KD01013"/>
        <s v="INE099Z01011"/>
        <s v="INE320J01015"/>
        <s v="INE0E2801015"/>
        <s v="INE060901027"/>
        <s v="INE244W01010"/>
        <s v="INE317B01042"/>
        <s v="INE962Y01021"/>
        <s v="INE0BLY01023"/>
        <s v="INE382Z01011"/>
        <s v="INE07T201019"/>
        <s v="INE285K01026"/>
        <s v="INE09E501017"/>
        <s v="INE0DNW01011"/>
        <s v="INE415G01027"/>
        <s v="INE01BK01022"/>
        <s v="INE018S01016"/>
        <s v="INE455K01017"/>
        <s v="INE00M201021"/>
        <s v="INE689W01016"/>
        <s v="INE00IN01015"/>
        <s v="INE0D7801012"/>
        <s v="INE103C01036"/>
        <s v="INE0DSF01015"/>
        <s v="INE07Y701011"/>
        <s v="INE694N01015"/>
        <s v="INE179G01029"/>
        <s v="INE03RS01027"/>
        <s v="INE249Z01012"/>
        <s v="INE864I01014"/>
        <s v="INE0FLR01028"/>
        <s v="INE561E01015"/>
        <s v="INE0EMB01015"/>
        <s v="INE810G01011"/>
        <s v="INE201P01022"/>
        <s v="INE045601015"/>
        <s v="INE011K01018"/>
        <s v="INE428Q01011"/>
        <s v="INE0IX101010"/>
        <s v="INE018401013"/>
        <s v="INE382M01027"/>
        <s v="INE681K01026"/>
        <s v="INE0CQ101015"/>
        <s v="INE0D9X01018"/>
        <s v="INE0DYJ01015"/>
        <s v="INE0FHS01024"/>
        <s v="INE918Z01012"/>
        <s v="INE505Y01010"/>
        <s v="INE055S01018"/>
        <s v="INE777K01022"/>
        <s v="INE455C01014"/>
        <s v="INE616N01034"/>
        <s v="INE330T01021"/>
        <s v="INE0H8J01015"/>
        <s v="INE0B6101012"/>
        <s v="INE0D6701023"/>
        <s v="INE0DXR01010"/>
        <s v="INE02IJ01035"/>
        <s v="INE980O01024"/>
        <s v="INE489F01016"/>
        <s v="INE777F01014"/>
        <s v="INE0GK401011"/>
        <s v="IN9175A01010"/>
        <s v="INE199P01028"/>
        <s v="INE009A01021"/>
        <s v="INE0GFE01018"/>
        <s v="INE08LI01020"/>
        <s v="INE0H5O01029"/>
        <s v="INE670A01012"/>
        <s v="INE0CT101020"/>
        <s v="INE676A01027"/>
        <s v="INE290S01011"/>
        <s v="INE520A01027"/>
        <s v="INE075A01022"/>
        <s v="INE759A01021"/>
        <s v="INE647W01014"/>
        <s v="INE0EAX01014"/>
        <s v="INE356A01018"/>
        <s v="INE136B01020"/>
        <s v="INE763K01014"/>
        <s v="INE269A01021"/>
        <s v="INE0GAO01018"/>
        <s v="INE0FW001016"/>
        <s v="INE0DLM01024"/>
        <s v="INE860A01027"/>
        <s v="INE02XD01011"/>
        <s v="INE0HLJ01013"/>
        <s v="INE836A01035"/>
        <s v="INE0I2F01015"/>
        <s v="INE0GD201014"/>
        <s v="INE0CWK01019"/>
        <s v="INE935B01025"/>
        <s v="INE02NC01014"/>
        <s v="INE284S01014"/>
        <s v="INE0D0K01022"/>
        <s v="INE881D01027"/>
        <s v="INE07GA01011"/>
        <s v="INE467B01029"/>
        <s v="INE591G01017"/>
        <s v="INE132H01018"/>
        <s v="INE144Z01023"/>
        <s v="INE0JFE01012"/>
        <s v="INE411H01032"/>
        <s v="INE981C01019"/>
        <s v="INE106T01025"/>
        <s v="INE669C01036"/>
        <s v="INE483C01032"/>
        <s v="INE262H01021"/>
        <s v="INE761Y01019"/>
        <s v="INE306R01017"/>
        <s v="INE217L01019"/>
        <s v="INE079N01019"/>
        <s v="INE613C01018"/>
        <s v="INE214T01019"/>
        <s v="INE010V01017"/>
        <s v="INE619B01017"/>
        <s v="INE0GSL01024"/>
        <s v="INE07RO01027"/>
        <s v="INE0JJS01014"/>
        <s v="INE0ILD01014"/>
        <s v="INE176J01011"/>
        <s v="INE977Y01011"/>
        <s v="INE0DRT01018"/>
        <s v="INE02WG01016"/>
        <s v="INE583L01014"/>
        <s v="INE0KA601012"/>
        <s v="INE04I401011"/>
        <s v="INE0KAF01018"/>
        <s v="INE576P01019"/>
        <s v="INE060X01026"/>
        <s v="INE00WC01027"/>
        <s v="INE0JSJ01014"/>
        <s v="INE728Z01015"/>
        <s v="INE0KCM01010"/>
        <s v="INE419U01012"/>
        <s v="INE673E01018"/>
        <s v="INE0I7C01011"/>
        <s v="INE0KQ001017"/>
        <s v="INE0CLI01024"/>
        <s v="INE0K1401012"/>
        <s v="INE691J01019"/>
        <s v="INE652Z01017"/>
        <s v="INE785O01019"/>
        <s v="INE0IQ001011"/>
        <s v="INE779Q01017"/>
        <s v="INE723C01015"/>
        <s v="INE00EV01017"/>
        <s v="INE0KSN01014"/>
        <s v="INE0JMN01019"/>
        <s v="INE0J2K01014"/>
        <s v="INE0L3H01014"/>
        <s v="INE0E5R01017"/>
        <s v="INE0BV301023"/>
        <s v="INE01QM01018"/>
        <s v="INE625X01018"/>
        <s v="INE0NT901020"/>
        <s v="INE142M01025"/>
        <s v="INE0JA001018"/>
        <s v="INE246D01015"/>
        <s v="INE742F01042"/>
        <s v="INE05CY01014"/>
        <s v="INE646L01027"/>
        <s v="INE880J01026"/>
        <s v="INE111A01025"/>
        <s v="INE184Q01010"/>
        <s v="INE0KXN01014"/>
        <s v="INE0IXR01019"/>
        <s v="INE0K6L01010"/>
        <s v="INE0L0L01012"/>
        <s v="INE0GTX01019"/>
        <s v="INE0KHQ01010"/>
        <s v="INE0L1C01019"/>
        <s v="INE0IZQ01016"/>
        <s v="INE0KR801019"/>
        <s v="INE0ID001024"/>
        <s v="INE0L3501015"/>
        <s v="INE0HR601026"/>
        <s v="INE776C01039"/>
        <s v="INE0M3901015"/>
        <s v="INE0JNB01012"/>
        <s v="INE0KKN01029"/>
        <s v="INE682B01023"/>
        <s v="INE0I3401014"/>
        <s v="INE0MC401013"/>
        <s v="INE0D2I01014"/>
        <s v="INE148O01028"/>
        <s v="INE0I0T01010"/>
        <s v="INE0LU301014"/>
        <s v="INE0D6I01015"/>
        <s v="INE0JUS01029"/>
        <s v="INE0M8901010"/>
        <s v="INE0KQQ01011"/>
        <s v="INE0LQS01015"/>
        <s v="INE805R01018"/>
        <s v="INE0MKA01014"/>
        <s v="INE0MKO01015"/>
        <s v="INE150R01019"/>
        <s v="INE0N0J01014"/>
        <s v="INE233B01017"/>
        <s v="INE099S01016"/>
        <s v="INE0MSK01016"/>
        <s v="INE0NC801013"/>
        <s v="INE0KY201021"/>
        <s v="INE669R01018"/>
        <s v="INE017A01032"/>
        <s v="INE891D01026"/>
        <s v="INE0A1101019"/>
        <s v="INE0N1L01018"/>
        <s v="INE104S01022"/>
        <s v="INE117Z01011"/>
        <s v="INE344S01016"/>
        <s v="INE05X901010"/>
        <s v="INE0KL801015"/>
        <s v="INE975Z01012"/>
        <s v="INE139R01012"/>
        <s v="INE684F01012"/>
        <s v="INE123F01029"/>
        <s v="INE0MXP01015"/>
        <s v="INE109A01011"/>
        <s v="INE738I01010"/>
        <s v="INE517F01014"/>
        <s v="INE615P01015"/>
        <s v="INE01EE01011"/>
        <s v="INE395N01027"/>
        <s v="INE01KI01027"/>
        <s v="INE858Q01019"/>
        <s v="INE0N6V01016"/>
        <s v="INE792Z01011"/>
        <s v="INE00OQ01016"/>
        <s v="INE324X01026"/>
        <s v="INE244O01017"/>
        <s v="INE0NT601018"/>
        <s v="INE142Q01026"/>
        <s v="INE00ZE01026"/>
        <s v="INE400R01018"/>
        <s v="INE559R01029"/>
        <s v="INE789R01022"/>
        <s v="INE925R01014"/>
        <s v="INE050401020"/>
        <s v="INE508R01018"/>
        <s v="INE09BN01011"/>
        <s v="INE035801013"/>
        <s v="INE0MFT01014"/>
        <s v="INE0MID01012"/>
        <s v="INE0BSU01018"/>
        <s v="INE0BTI01037"/>
        <s v="INE688A01022"/>
        <s v="INE0M9Q01011"/>
        <s v="INE835U01019"/>
        <s v="INE0O4V01010"/>
        <s v="INE094B01013"/>
        <s v="INE0EEJ01023"/>
        <s v="INE0NNS01018"/>
        <s v="INE0KN201016"/>
        <s v="INE0O4601016"/>
        <s v="INE0OLH01013"/>
        <s v="INE0NPA01011"/>
        <s v="INE0JZS01010"/>
        <s v="INE0G1V01016"/>
        <s v="INE0NYN01016"/>
        <s v="INE118R01024"/>
        <s v="INE645W01026"/>
        <s v="INE753U01022"/>
        <s v="INE0OKG01017"/>
        <s v="INE00TV01015"/>
        <s v="INE0JSX01015"/>
        <s v="INE0NLJ01011"/>
        <s v="INE0OMI01019"/>
        <s v="INE0LKQ01012"/>
        <s v="INE0NIJ01017"/>
        <s v="INE825B01010"/>
        <s v="INE0N0Y01013"/>
        <s v="INE0O1T01010"/>
        <s v="INE0O8901016"/>
        <s v="INE0LCL01028"/>
        <s v="INE0P7001013"/>
        <s v="INE0N7W01012"/>
        <s v="INE508K01013"/>
        <s v="INE0NTC01019"/>
        <s v="INE285J01028"/>
        <s v="INE0LDI01022"/>
        <s v="INE318U01016"/>
        <s v="INE0ALR01029"/>
        <s v="INE557Z01018"/>
        <s v="INE210F01016"/>
        <s v="INE07S101020"/>
        <s v="INE0GYI01028"/>
        <s v="INE0A0S01010"/>
        <s v="INE0PA801013"/>
        <s v="INE964W01021"/>
        <s v="INE0NJ001013"/>
        <s v="INE0NXA01015"/>
        <s v="INE0LOJ01019"/>
        <s v="INE0N5O01013"/>
        <s v="INE0OJ401014"/>
        <s v="INE04Z101016"/>
        <s v="INE0ORA01015"/>
        <s v="INE0ECP01024"/>
        <s v="INE568Z01015"/>
        <s v="INE0Q0M01015"/>
        <s v="INE349Y01013"/>
        <s v="INE317F01035"/>
        <s v="INE01BT01015"/>
        <s v="INE255X01014"/>
        <s v="INE0NZF01019"/>
        <s v="INE0POP01017"/>
        <s v="INE0P3N01018"/>
        <s v="INE418H01029"/>
        <s v="INE0NEV01011"/>
        <s v="INE0AJG01018"/>
        <s v="INE0DN001027"/>
        <s v="INE366I01010"/>
        <s v="INE0JO301016"/>
        <s v="INE0LYO01018"/>
        <s v="INE079J01017"/>
        <s v="INE0OWC01011"/>
        <s v="INE923R01019"/>
        <s v="INE185U01035"/>
        <s v="INE548A01028"/>
        <s v="INE03HW01020"/>
        <s v="INE151A01013"/>
        <s v="INE248A01017"/>
        <s v="INE864X01013"/>
        <s v="INE013V01011"/>
        <s v="INE438C01010"/>
        <s v="INE0MIS01010"/>
        <s v="INE0OJZ01019"/>
        <s v="INE517B01013"/>
        <s v="INE024001021"/>
        <s v="INE0AE001013"/>
        <s v="INE489B01023"/>
        <s v="INE0N2P01017"/>
        <s v="INE05CZ01011"/>
        <s v="INE04T901017"/>
        <s v="INE089C01029"/>
        <s v="INE397D01024"/>
        <s v="INE0OYE01013"/>
        <s v="INE0OV601013"/>
        <s v="INE08U801020"/>
        <s v="INE07K301024"/>
        <s v="INE980Y01015"/>
        <s v="INE669E01016"/>
        <s v="INE438K01021"/>
        <s v="INE121J01017"/>
        <s v="INE371F01016"/>
        <s v="INE0JR601024"/>
        <s v="INE372M01010"/>
        <s v="INE793Z01027"/>
        <s v="INE0KNT01012"/>
        <s v="INE03CM01014"/>
        <s v="INE0MIO01019"/>
        <s v="INE0JWS01017"/>
        <s v="INE0M7501019"/>
        <s v="INE0Q1S01010"/>
        <s v="INE0PA601017"/>
        <s v="INE0INJ01017"/>
        <s v="INE07U701015"/>
        <s v="INE010J01012"/>
        <s v="INE450U01017"/>
        <s v="INE01GZ01011"/>
        <s v="INE0DD101019"/>
        <s v="INE0OH401016"/>
        <s v="INE0Q8P01011"/>
        <s v="INE0QI101019"/>
        <s v="INE818W01011"/>
        <s v="INE004A01022"/>
        <s v="INE343G01021"/>
        <s v="INE0N6U01018"/>
        <s v="INE0PP401015"/>
        <s v="INE486A01021"/>
        <s v="INE007N01010"/>
        <s v="INE570A01022"/>
        <s v="INE717W01049"/>
        <s v="INE00Y201027"/>
        <s v="INE0RDR01012"/>
        <s v="INE0RDM01013"/>
        <s v="INE0P9J01013"/>
        <s v="INE0KQN01018"/>
        <s v="INE036A01016"/>
        <s v="INE245A01021"/>
        <s v="INE725A01022"/>
        <s v="INE0QSK01017"/>
        <s v="INE0Q2Z01013"/>
        <s v="INE0FRK01012"/>
        <s v="INE843S01025"/>
        <s v="INE046W01019"/>
        <s v="INE0DB001013"/>
        <s v="INE589A01014"/>
        <s v="INE220Q01020"/>
        <s v="INE0QZQ01019"/>
        <s v="INE0PEQ01016"/>
        <s v="INE877F01012"/>
        <s v="INE0Q3R01026"/>
        <s v="INE0DUT01020"/>
        <s v="INE0QFT01015"/>
        <s v="INE0A6N01026"/>
        <s v="INE0RNZ01014"/>
        <s v="INE0PSC01024"/>
        <s v="INE0MGS01014"/>
        <s v="INE733E01010"/>
        <s v="INE0GEN01012"/>
        <s v="INE0QIS01011"/>
        <s v="INE456Z01021"/>
        <s v="INE07G501017"/>
        <s v="INE0C5901014"/>
        <s v="INE0PYT01018"/>
        <s v="INE0G5901015"/>
        <s v="INE02H701025"/>
        <s v="INE0Q6L01014"/>
        <s v="INE0OLZ01015"/>
        <s v="INE0R5Z01015"/>
        <s v="INE0NLT01010"/>
        <s v="INE0QZF01012"/>
        <s v="INE988S01028"/>
        <s v="INE0QXV01014"/>
        <s v="INE0KGZ01021"/>
        <s v="INE351F01018"/>
        <s v="INE0J1F01024"/>
        <s v="INE646H01017"/>
        <s v="INE0OYK01010"/>
        <s v="INE010601016"/>
        <s v="INE0QTF01015"/>
        <s v="INE813H01021"/>
        <s v="INE486R01017"/>
        <s v="INE752E01010"/>
        <s v="INE0PT501018"/>
        <s v="INE0CG401037"/>
        <s v="INE0NQ801033"/>
        <s v="INE0MB501011"/>
        <s v="INE0M8R01011"/>
        <s v="INE0L9R01028"/>
        <s v="INE510U01018"/>
        <s v="INE0PB301013"/>
        <s v="INE0QQG01019"/>
        <s v="INE772T01024"/>
        <s v="INE0DTJ01015"/>
        <s v="INE0QVH01025"/>
        <s v="INE0AH901011"/>
        <s v="INE0JVD01011"/>
        <s v="INE0OMZ01013"/>
        <s v="INE0R6Z01013"/>
        <s v="INE0MSS01019"/>
        <s v="INE266Y01019"/>
        <s v="INE614G01033"/>
        <s v="INE0S0701019"/>
        <s v="INE0Q9W01015"/>
        <s v="INE0SGR01013"/>
        <s v="INE0SDC01012"/>
        <s v="INE0OAF01028"/>
        <s v="INE0R6801013"/>
        <s v="INE0QSB01016"/>
        <s v="INE0QXT01018"/>
        <s v="INE0RGM01016"/>
        <s v="INE814H01011"/>
        <s v="INE0QOQ01013"/>
        <s v="INE848E01016"/>
        <s v="INE0SMU01015"/>
        <s v="INE399K01017"/>
        <s v="INE0SCB01016"/>
        <s v="INE0R4W01015"/>
        <s v="INE121E01018"/>
        <s v="INE0Q1R01012"/>
        <s v="INE0RIQ01013"/>
        <s v="INE02L001032"/>
        <s v="INE257C01014"/>
        <s v="INE0TT901016"/>
        <s v="INE0ATZ01017"/>
        <s v="INE0QZ901011"/>
        <s v="INE0QUV01010"/>
        <s v="INE0R7D01018"/>
        <s v="INE0CYK01015"/>
        <s v="INE0HV901016"/>
        <s v="INE0S0I01011"/>
        <s v="INE03DD01011"/>
        <s v="INE841L01016"/>
        <s v="INE0RUJ01013"/>
        <s v="INE916Y01019"/>
        <s v="INE0S6R01027"/>
        <s v="INF346A01034"/>
        <s v="INE002L01015"/>
        <s v="IN9623B01058"/>
        <s v="INE956G01038"/>
        <s v="INE224E01036"/>
        <s v="INE299N01021"/>
        <s v="INE484C01030"/>
        <s v="INE098F01031"/>
        <s v="INE445C01015"/>
        <s v="INE598C01011"/>
        <s v="INE838B01013"/>
        <s v="INE931S01010"/>
        <s v="INE424C01010"/>
        <s v="INE147A01011"/>
        <s v="INE244A01016"/>
        <s v="INE641C01019"/>
        <s v="INE667G01023"/>
        <s v="INE498E01010"/>
        <s v="INE217G01035"/>
        <s v="INE715B01021"/>
        <s v="INE547E01014"/>
        <s v="INE805C01028"/>
        <s v="INE731C01018"/>
        <s v="INE874F01027"/>
        <s v="INE364U01010"/>
        <s v="INE073D01013"/>
        <s v="INE715A01015"/>
        <s v="INE112F01022"/>
        <s v="INE683C01011"/>
        <s v="INE725E01024"/>
        <s v="INF204KB14I2"/>
        <s v="INF732E01045"/>
        <s v="INF204KB15I9"/>
        <s v="INF373I01023"/>
        <s v="INF204KB16I7"/>
        <s v="INF732E01128"/>
        <s v="INF082J01028"/>
        <s v="INF247L01536"/>
        <s v="INE414A01015"/>
        <s v="INE542W01017"/>
        <s v="INE032Z01020"/>
        <s v="INE0CU601026"/>
        <s v="INE0C8K23012"/>
        <s v="INE039O01011"/>
        <s v="INE900L01010"/>
        <s v="INE0Q7Q23015"/>
        <s v="INE0OUT01019"/>
        <s v="INE0LGX01016"/>
        <s v="INE01EO01010"/>
        <s v="INE510W01014"/>
        <s v="INE121N01019"/>
        <s v="INE188Y01015"/>
      </sharedItems>
    </cacheField>
    <cacheField name="Instrument" numFmtId="0">
      <sharedItems>
        <s v="Equity"/>
      </sharedItems>
    </cacheField>
    <cacheField name="Sector" numFmtId="0">
      <sharedItems>
        <s v="Commodities"/>
        <s v="Healthcare"/>
        <s v="Consumer Discretionary"/>
        <s v="Industrials"/>
        <s v="Fast Moving Consumer Goods"/>
        <s v="Telecommunication"/>
        <s v="Financial Services"/>
        <s v="Energy"/>
        <s v="Information Technology"/>
        <s v="Utilities"/>
        <s v="Services"/>
        <s v="Diversified"/>
      </sharedItems>
    </cacheField>
    <cacheField name="Industry" numFmtId="0">
      <sharedItems>
        <s v="Chemicals"/>
        <s v="Forest Materials"/>
        <s v="Healthcare"/>
        <s v="Realty"/>
        <s v="Metals &amp; Mining"/>
        <s v="Consumer Services"/>
        <s v="Textiles"/>
        <s v="Capital Goods"/>
        <s v="Automobile and Auto Components"/>
        <s v="Fast Moving Consumer Goods"/>
        <s v="Construction Materials"/>
        <s v="Media, Entertainment &amp; Publication"/>
        <s v="Telecommunication"/>
        <s v="Financial Services"/>
        <s v="Consumer Durables"/>
        <s v="Oil, Gas &amp; Consumable, Fuels"/>
        <s v="Information Technology"/>
        <s v="Construction"/>
        <s v="Power"/>
        <s v="Services"/>
        <s v="Diversified"/>
        <s v="Utilities"/>
      </sharedItems>
    </cacheField>
    <cacheField name="group2" numFmtId="0">
      <sharedItems>
        <s v="Chemicals &amp; Petrochemicals"/>
        <s v="Paper, Forest &amp; Jute Products"/>
        <s v="Pharmaceuticals &amp; Biotechnology"/>
        <s v="Realty"/>
        <s v="Non - Ferrous Metals"/>
        <s v="Leisure Services"/>
        <s v="Textiles &amp; Apparels"/>
        <s v="Fertilizers &amp; Agrochemicals"/>
        <s v="Industrial Manufacturing"/>
        <s v="Ferrous Metals"/>
        <s v="Auto Components"/>
        <s v="Agricultural Food &amp; other Products"/>
        <s v="Cement &amp; Cement Products"/>
        <s v="Diversified Metals"/>
        <s v="Media"/>
        <s v="Telecom - Equipment &amp; Accessories"/>
        <s v="Capital Markets"/>
        <s v="Consumer Durables"/>
        <s v="Industrial Products"/>
        <s v="Telecom - Services"/>
        <s v="Finance"/>
        <s v="Oil"/>
        <s v="Metals &amp; Minerals Trading"/>
        <s v="IT - Hardware"/>
        <s v="Minerals &amp; Mining"/>
        <s v="Food Products"/>
        <s v="Other Consumer Services"/>
        <s v="Aerospace &amp; Defense"/>
        <s v="Automobiles"/>
        <s v="Construction"/>
        <s v="Retailing"/>
        <s v="Entertainment"/>
        <s v="IT - Software"/>
        <s v="Other Construction Materials"/>
        <s v="IT - Services"/>
        <s v="Power"/>
        <s v="Commercial Services &amp; Supplies"/>
        <s v="Transport Services"/>
        <s v="Electrical Equipment"/>
        <s v="Household Products"/>
        <s v="Engineering Services"/>
        <s v="Transport Infrastructure"/>
        <s v="Agricultural, Commercial &amp; Construction Vehicles"/>
        <s v="Beverages"/>
        <s v="Diversified"/>
        <s v="Personal Products"/>
        <s v="Printing &amp; Publication"/>
        <s v="Cigarettes &amp; Tobacco Products"/>
        <s v="Financial Technology (Fintech)"/>
        <s v="Consumable Fuels"/>
        <s v="Healthcare Services"/>
        <s v="Petroleum Products"/>
        <s v="Gas"/>
        <s v="Healthcare Equipment &amp; Supplies"/>
        <s v="Diversified FMCG"/>
        <s v="Other Utilities"/>
        <s v="Banks"/>
        <s v="Insurance"/>
      </sharedItems>
    </cacheField>
    <cacheField name="Subgroup" numFmtId="0">
      <sharedItems>
        <s v="Specialty Chemicals"/>
        <s v="Paper &amp; Paper Products"/>
        <s v="Pharmaceuticals"/>
        <s v="Commodity Chemicals"/>
        <s v="Residential, Commercial Projects"/>
        <s v="Precious Metals"/>
        <s v="Hotels &amp; Resorts"/>
        <s v="Other Textile Products"/>
        <s v="Fertilizers"/>
        <s v="Industrial Products"/>
        <s v="Iron &amp; Steel"/>
        <s v="Auto Components &amp; Equipments"/>
        <s v="Zinc"/>
        <s v="Sugar"/>
        <s v="Pig Iron"/>
        <s v="Cement &amp; Cement Products"/>
        <s v="Diversified Metals"/>
        <s v="Sponge Iron"/>
        <s v="Print Media"/>
        <s v="Telecom - Equipment &amp; Accessories"/>
        <s v="Other Capital Market related Services"/>
        <s v="Consumer Electronics"/>
        <s v="Aluminium, Copper &amp; Zinc Products"/>
        <s v="Petrochemicals"/>
        <s v="Printing Inks"/>
        <s v="Pesticides &amp; Agrochemicals"/>
        <s v="Aluminium"/>
        <s v="Telecom - Cellular &amp; Fixed line services"/>
        <s v="Carbon Black"/>
        <s v="Dyes And Pigments"/>
        <s v="Packaging"/>
        <s v="Non Banking Financial Company (NBFC)"/>
        <s v="Investment Company"/>
        <s v="Oil Storage &amp; Transportation"/>
        <s v="Other Telecom Services"/>
        <s v="Trading - Minerals"/>
        <s v="Tea &amp; Coffee"/>
        <s v="Tyres &amp; Rubber Products"/>
        <s v="Copper"/>
        <s v="Holding Company"/>
        <s v="Other Financial Services"/>
        <s v="Computers Hardware &amp; Equipments"/>
        <s v="Industrial Gases"/>
        <s v="Oil Exploration &amp; Production"/>
        <s v="Industrial Minerals"/>
        <s v="Tour, Travel Related Services"/>
        <s v="Edible Oil"/>
        <s v="Plastic Products - Industrial"/>
        <s v="Dairy Products"/>
        <s v="Iron &amp; Steel Products"/>
        <s v="Explosives"/>
        <s v="Education"/>
        <s v="Aerospace &amp; Defense"/>
        <s v="Oil Equipment &amp; Services"/>
        <s v="Plastic Products - Consumer"/>
        <s v="Rubber"/>
        <s v="Household Appliances"/>
        <s v="Passenger Cars &amp; Utility Vehicles"/>
        <s v="Footwear"/>
        <s v="Garments &amp; Apparels"/>
        <s v="Gems, Jewellery And Watches"/>
        <s v="Paints"/>
        <s v="2/3 Wheelers"/>
        <s v="Civil Construction"/>
        <s v="Ceramics"/>
        <s v="Compressors, Pumps &amp; Diesel Engines"/>
        <s v="Speciality Retail"/>
        <s v="Trading - Chemicals"/>
        <s v="Other Food Products"/>
        <s v="Furniture, Home Furnishing"/>
        <s v="Restaurants"/>
        <s v="TV Broadcasting &amp; Software Production"/>
        <s v="Media &amp; Entertainment"/>
        <s v="Other Industrial Products"/>
        <s v="Software Products"/>
        <s v="Sanitary Ware"/>
        <s v="Seafood"/>
        <s v="Plywood Boards/ Laminates"/>
        <s v="Other Construction Materials"/>
        <s v="Electrodes &amp; Refractories"/>
        <s v="Diversified Retail"/>
        <s v="IT Enabled Services"/>
        <s v="Film Production, Distribution &amp; Exhibition"/>
        <s v="Internet &amp; Catalogue Retail"/>
        <s v="Power Generation"/>
        <s v="Diversified Commercial Services"/>
        <s v="Logistics Solution Provider"/>
        <s v="Airline"/>
        <s v="Business Process Outsourcing (BPO)/ Knowledge Process Outsourcing (KPO)"/>
        <s v="Other Electrical Equipment"/>
        <s v="Household Products"/>
        <s v="Heavy Electrical Equipment"/>
        <s v="Cables - Electricals"/>
        <s v="Computers - Software &amp; Consulting"/>
        <s v="Dredging"/>
        <s v="Road Assets–Toll, Annuity, Hybrid- Annuity"/>
        <s v="Castings &amp; Forgings"/>
        <s v="Trading &amp; Distributors"/>
        <s v="Commercial Vehicles"/>
        <s v="Construction Vehicles"/>
        <s v="Shipping"/>
        <s v="Airport &amp; Airport services"/>
        <s v="Abrasives &amp; Bearings"/>
        <s v="Stockbroking &amp; Allied"/>
        <s v="Trading - Metals"/>
        <s v="E-Retail/ E-Commerce"/>
        <s v="Packaged Foods"/>
        <s v="Amusement Parks/ Other Recreation"/>
        <s v="Trading - Textile Products"/>
        <s v="Breweries &amp; Distilleries"/>
        <s v="Other Agricultural Products"/>
        <s v="Other Beverages"/>
        <s v="Diversified"/>
        <s v="Personal Care"/>
        <s v="Houseware"/>
        <s v="Printing &amp; Publication"/>
        <s v="Port &amp; Port services"/>
        <s v="Housing Finance Company"/>
        <s v="Cigarettes &amp; Tobacco Products"/>
        <s v="Offshore Support Solution Drilling"/>
        <s v="Data Processing Services"/>
        <s v="Consulting Services"/>
        <s v="Financial Technology (Fintech)"/>
        <s v="Asset Management Company"/>
        <s v="Biotechnology"/>
        <s v="Transport Related Services"/>
        <s v="Electronic Media"/>
        <s v="Real Estate related services"/>
        <s v="Leather And Leather Products"/>
        <s v="Digital Entertainment"/>
        <s v="Ferro &amp; Silica Manganese"/>
        <s v="Coal"/>
        <s v="Granites &amp; Marbles"/>
        <s v="Healthcare Service Provider"/>
        <s v="Telecom - Infrastructure"/>
        <s v="E-Learning"/>
        <s v="Pharmacy Retail"/>
        <s v="Animal Feed"/>
        <s v="Meat Products including Poultry"/>
        <s v="Stationary"/>
        <s v="Refineries &amp; Marketing"/>
        <s v="Hospital"/>
        <s v="Trading - Gas"/>
        <s v="Diversified consumer products"/>
        <s v="Lubricants"/>
        <s v="Gas Transmission/Marketing"/>
        <s v="LPG/CNG/PNG/LNG Supplier"/>
        <s v="Healthcare Research, Analytics &amp; Technology"/>
        <s v="Road Transport"/>
        <s v="Jute &amp; Jute Products"/>
        <s v="Leisure Products"/>
        <s v="Advertising &amp; Media Agencies"/>
        <s v="Forest Products"/>
        <s v="Financial Institution"/>
        <s v="Ship Building &amp; Allied Services"/>
        <s v="Glass - Consumer"/>
        <s v="Medical Equipment &amp; Supplies"/>
        <s v="Diversified FMCG"/>
        <s v="Waste Management"/>
        <s v="Glass - Industrial"/>
        <s v="Auto -Dealer"/>
        <s v="Tractors"/>
        <s v="Private Sector Bank"/>
        <s v="Public Sector Bank"/>
        <s v="Life Insurance"/>
        <s v="Ratings"/>
        <s v="Exchange and Data Platform"/>
        <s v="General Insurance"/>
        <s v="Microfinance Institutions"/>
        <s v="Depositories, Clearing Houses and Other Intermediaries"/>
        <s v="Financial Products Distributor"/>
        <s v="Mutual Fund Scheme - ETF"/>
        <s v="Distributors"/>
        <s v="Other Utilities"/>
        <s v="Wellness"/>
        <s v="Trading Coal"/>
        <s v="Water Supply &amp; Management"/>
        <s v="Railway Wagons"/>
        <s v="Other Consumer Services"/>
        <s v="Food Storage Facilities"/>
        <s v="Integrated Power Utilities"/>
        <s v="Power Trading"/>
        <s v="Insurance Distributors"/>
        <s v="Power - Transmission"/>
        <s v="Power Distribution"/>
        <s v="Trading - Auto Components"/>
      </sharedItems>
    </cacheField>
    <cacheField name="M Cap" numFmtId="164">
      <sharedItems containsSemiMixedTypes="0" containsString="0" containsNumber="1">
        <n v="19156.8292062"/>
        <n v="26446.3775297"/>
        <n v="22490.4927783"/>
        <n v="362.2650675"/>
        <n v="979.73353"/>
        <n v="146.5745809"/>
        <n v="43.41267"/>
        <n v="36.0816058"/>
        <n v="4409.9143508"/>
        <n v="296.2273524"/>
        <n v="20122.6366152"/>
        <n v="151.98702"/>
        <n v="60428.1346229"/>
        <n v="8858.6313611"/>
        <n v="13455.4937729"/>
        <n v="5470.7231383"/>
        <n v="19966.7140875"/>
        <n v="4999.1450893"/>
        <n v="282043.7210633"/>
        <n v="3965.58036"/>
        <n v="226876.0284348"/>
        <n v="10117.3197487"/>
        <n v="19426.9092031"/>
        <n v="167004.8104"/>
        <n v="3350.93544"/>
        <n v="152.31356"/>
        <n v="49.065088"/>
        <n v="743.271322"/>
        <n v="185584.3107632"/>
        <n v="2264.7317606"/>
        <n v="398.15"/>
        <n v="599.380551"/>
        <n v="1467.3363078"/>
        <n v="172.1775324"/>
        <n v="160664.6293066"/>
        <n v="12436.363016"/>
        <n v="8409.1280625"/>
        <n v="5479.8563501"/>
        <n v="482.003836"/>
        <n v="6410.5104746"/>
        <n v="10326.646741"/>
        <n v="97575.0602819"/>
        <n v="3327.3449337"/>
        <n v="14581.9601804"/>
        <n v="49602.7464877"/>
        <n v="163950.6630596"/>
        <n v="154049.6516"/>
        <n v="2609.0793259"/>
        <n v="218922.9473199"/>
        <n v="9250.273796"/>
        <n v="10422.8353914"/>
        <n v="9641.7987149"/>
        <n v="28065.3649345"/>
        <n v="6479.7648587"/>
        <n v="1628.9859863"/>
        <n v="1467.149887"/>
        <n v="630.8043323"/>
        <n v="70046.3666717"/>
        <n v="8215.1258182"/>
        <n v="29861.818264"/>
        <n v="46785.0156"/>
        <n v="34850.1416458"/>
        <n v="9562.010375"/>
        <n v="6554.2739888"/>
        <n v="1165.0372244"/>
        <n v="9.5187829"/>
        <n v="69.377216"/>
        <n v="10847.0977069"/>
        <n v="2961.774"/>
        <n v="3941.8503751"/>
        <n v="2755.81281"/>
        <n v="78.2467041"/>
        <n v="1072.2844072"/>
        <n v="7617.5087748"/>
        <n v="212.844698"/>
        <n v="42755.0366801"/>
        <n v="37084.1208369"/>
        <n v="359010.1251547"/>
        <n v="433.9046295"/>
        <n v="2790.3203493"/>
        <n v="56.8926462"/>
        <n v="30957.7770639"/>
        <n v="850.2036283"/>
        <n v="21.8999479"/>
        <n v="558.3457363"/>
        <n v="71319.62935"/>
        <n v="6450.9499192"/>
        <n v="57115.9531"/>
        <n v="19960.4883023"/>
        <n v="25079.7734183"/>
        <n v="2764.1672001"/>
        <n v="4603.1791201"/>
        <n v="10912.3369288"/>
        <n v="330.2849"/>
        <n v="72872.9153091"/>
        <n v="23.2789795"/>
        <n v="1637.535519"/>
        <n v="1957.692425"/>
        <n v="2709.6550429"/>
        <n v="1.0"/>
        <n v="24.220998"/>
        <n v="1129.6639993"/>
        <n v="5765.309352"/>
        <n v="9083.1853165"/>
        <n v="491.1113214"/>
        <n v="5909.5059493"/>
        <n v="1899.6543579"/>
        <n v="4995.9455792"/>
        <n v="108.048427"/>
        <n v="3204.822712"/>
        <n v="7530.9573951"/>
        <n v="240.4445532"/>
        <n v="10463.4165447"/>
        <n v="180.5796842"/>
        <n v="4187.626182"/>
        <n v="12342.3183"/>
        <n v="34650.8035137"/>
        <n v="69.5915696"/>
        <n v="473.2025278"/>
        <n v="104134.0040424"/>
        <n v="17712.8035111"/>
        <n v="67886.099659"/>
        <n v="88.6182"/>
        <n v="333409.2820698"/>
        <n v="3.0580392"/>
        <n v="32902.2928019"/>
        <n v="4479.2910104"/>
        <n v="97569.4340828"/>
        <n v="15943.5374"/>
        <n v="10029.4767503"/>
        <n v="10842.89895"/>
        <n v="386.2096809"/>
        <n v="5628.2410938"/>
        <n v="33.992023"/>
        <n v="1467.4442165"/>
        <n v="8484.3305221"/>
        <n v="28274.2179473"/>
        <n v="9710.292766"/>
        <n v="1594.511745"/>
        <n v="370.578285"/>
        <n v="15214.072311"/>
        <n v="15.8687477"/>
        <n v="472.9634247"/>
        <n v="1305.8940257"/>
        <n v="230.6238963"/>
        <n v="323.0883503"/>
        <n v="33671.61468"/>
        <n v="2783.9991693"/>
        <n v="34763.008325"/>
        <n v="4969.7585286"/>
        <n v="25477.8588954"/>
        <n v="8025.7700088"/>
        <n v="1123.3087838"/>
        <n v="626.593123"/>
        <n v="8353.7267146"/>
        <n v="7027.6646091"/>
        <n v="1478.9162625"/>
        <n v="913.5599271"/>
        <n v="15510.50384"/>
        <n v="5841.3537354"/>
        <n v="166.366236"/>
        <n v="2435.158854"/>
        <n v="12549.4559204"/>
        <n v="192.1819054"/>
        <n v="187.5976605"/>
        <n v="8667.4527395"/>
        <n v="286.483736"/>
        <n v="6855.6370681"/>
        <n v="12012.096733"/>
        <n v="1925.5748325"/>
        <n v="8831.7498014"/>
        <n v="63971.6712892"/>
        <n v="720.6656243"/>
        <n v="30439.86"/>
        <n v="12345.7018792"/>
        <n v="71.3396302"/>
        <n v="167.0724637"/>
        <n v="86.4365054"/>
        <n v="1000.0039064"/>
        <n v="253.5742831"/>
        <n v="12127.8567955"/>
        <n v="302.4145925"/>
        <n v="16.165072"/>
        <n v="61.342716"/>
        <n v="2188.208"/>
        <n v="488.0789758"/>
        <n v="19505.2741675"/>
        <n v="33373.7188851"/>
        <n v="47358.90824"/>
        <n v="9657.3265518"/>
        <n v="299311.7872042"/>
        <n v="57.2913464"/>
        <n v="22040.5397068"/>
        <n v="111268.8683994"/>
        <n v="1040.7469787"/>
        <n v="22166.6645526"/>
        <n v="4012.8027525"/>
        <n v="25054.1582912"/>
        <n v="3444.294656"/>
        <n v="195097.95776"/>
        <n v="54283.89266"/>
        <n v="18726.8483616"/>
        <n v="3194.627382"/>
        <n v="29497.6949865"/>
        <n v="1546.619028"/>
        <n v="116.5895558"/>
        <n v="11483.4526253"/>
        <n v="75.81787"/>
        <n v="47.6274217"/>
        <n v="77237.4241058"/>
        <n v="14.0606368"/>
        <n v="1140.3761685"/>
        <n v="1369.776469"/>
        <n v="344478.9275"/>
        <n v="4671.3953011"/>
        <n v="299.832214"/>
        <n v="34.2682478"/>
        <n v="334.6518862"/>
        <n v="9.4342938"/>
        <n v="102678.412501"/>
        <n v="2399.93858"/>
        <n v="353838.74982"/>
        <n v="386.2774792"/>
        <n v="389.6686038"/>
        <n v="49662.3153914"/>
        <n v="12958.51392"/>
        <n v="281218.3796746"/>
        <n v="26721.5865527"/>
        <n v="87553.3615"/>
        <n v="33602.84109"/>
        <n v="10954.1800178"/>
        <n v="61800.9963305"/>
        <n v="13770.3571357"/>
        <n v="65691.4513275"/>
        <n v="685.7213853"/>
        <n v="9200.796717"/>
        <n v="129244.986"/>
        <n v="9029.9818277"/>
        <n v="12.899962"/>
        <n v="13145.3114879"/>
        <n v="14585.4505739"/>
        <n v="6924.1467525"/>
        <n v="6436.169856"/>
        <n v="74585.147911"/>
        <n v="6789.5572844"/>
        <n v="1488.9108976"/>
        <n v="59933.1105107"/>
        <n v="7788.4157704"/>
        <n v="7942.152129"/>
        <n v="2721.2954917"/>
        <n v="14782.7"/>
        <n v="16402.6722402"/>
        <n v="16252.3753357"/>
        <n v="14406.1707887"/>
        <n v="139721.6862877"/>
        <n v="4745.3108715"/>
        <n v="115308.3225226"/>
        <n v="846.2165472"/>
        <n v="1183.504"/>
        <n v="7870.8423422"/>
        <n v="10988.7418321"/>
        <n v="5342.2217485"/>
        <n v="7382.18115"/>
        <n v="18945.7754471"/>
        <n v="13645.6740807"/>
        <n v="10201.4987062"/>
        <n v="5435.94645"/>
        <n v="8365.4619744"/>
        <n v="11388.0750924"/>
        <n v="20563.7776956"/>
        <n v="241.3512162"/>
        <n v="8403.6130991"/>
        <n v="6996.4384484"/>
        <n v="5037.5397141"/>
        <n v="1577.72277"/>
        <n v="21.3523751"/>
        <n v="10572.7907142"/>
        <n v="412.5342426"/>
        <n v="1080.4925316"/>
        <n v="7555.9073886"/>
        <n v="9192.0212617"/>
        <n v="112804.2891327"/>
        <n v="5308.3718501"/>
        <n v="14360.6370289"/>
        <n v="163.1235031"/>
        <n v="1593.2726485"/>
        <n v="4008.3520744"/>
        <n v="11796.9912463"/>
        <n v="377000.6518192"/>
        <n v="3157.0898766"/>
        <n v="7142.308525"/>
        <n v="16325.7593948"/>
        <n v="62701.56"/>
        <n v="2.287142"/>
        <n v="46.6081729"/>
        <n v="312.2921678"/>
        <n v="16343.6808187"/>
        <n v="23589.2593909"/>
        <n v="280.6235138"/>
        <n v="3376.6922747"/>
        <n v="66.1100218"/>
        <n v="950.4636696"/>
        <n v="2413.4861271"/>
        <n v="1117.1307048"/>
        <n v="1500.0794227"/>
        <n v="1646.8758295"/>
        <n v="6629.743379"/>
        <n v="30.5922947"/>
        <n v="28.5990278"/>
        <n v="115.0331499"/>
        <n v="2398.0158844"/>
        <n v="8305.27422"/>
        <n v="1289.9699937"/>
        <n v="29.8064679"/>
        <n v="113.3568818"/>
        <n v="2271.0063855"/>
        <n v="137.029741"/>
        <n v="33.04816"/>
        <n v="172.259407"/>
        <n v="810.8565605"/>
        <n v="52.83985"/>
        <n v="80.6040334"/>
        <n v="65.322588"/>
        <n v="14007.22"/>
        <n v="407.887959"/>
        <n v="30109.688226"/>
        <n v="2129.5832339"/>
        <n v="35.0015417"/>
        <n v="22092.4520683"/>
        <n v="2956.8978042"/>
        <n v="112.9999819"/>
        <n v="187.3797146"/>
        <n v="744.0422489"/>
        <n v="46.5423038"/>
        <n v="85781.195305"/>
        <n v="56.1792"/>
        <n v="15.7840932"/>
        <n v="21519.1600266"/>
        <n v="8940.7050051"/>
        <n v="31.2247229"/>
        <n v="7739.6991284"/>
        <n v="120.6564012"/>
        <n v="43642.6154076"/>
        <n v="4893.7936786"/>
        <n v="62.9820964"/>
        <n v="4696.8430329"/>
        <n v="4128.852475"/>
        <n v="526.0984751"/>
        <n v="3921.1722952"/>
        <n v="48.3982311"/>
        <n v="289.405864"/>
        <n v="9488.3048687"/>
        <n v="2281.5747975"/>
        <n v="551.9688562"/>
        <n v="27.4997336"/>
        <n v="206142.5333957"/>
        <n v="1809.1697052"/>
        <n v="334.649721"/>
        <n v="1165.8341375"/>
        <n v="449.0110125"/>
        <n v="29361.441285"/>
        <n v="213.3753428"/>
        <n v="267.4285857"/>
        <n v="408.3588786"/>
        <n v="388.7911796"/>
        <n v="1781.9023957"/>
        <n v="965.7508027"/>
        <n v="738.5053489"/>
        <n v="46.7280096"/>
        <n v="2589.429746"/>
        <n v="749.7921572"/>
        <n v="430.1549322"/>
        <n v="73.0936697"/>
        <n v="104.5071992"/>
        <n v="991.1663809"/>
        <n v="302.3677743"/>
        <n v="3905.908192"/>
        <n v="3785.8159054"/>
        <n v="1.27575"/>
        <n v="3593.1262044"/>
        <n v="3393.2084833"/>
        <n v="105.6018352"/>
        <n v="3286.2521895"/>
        <n v="512.8475417"/>
        <n v="12535.59075"/>
        <n v="142.153985"/>
        <n v="38.4140389"/>
        <n v="497.8481936"/>
        <n v="2065.4899623"/>
        <n v="287.174783"/>
        <n v="3244.2735045"/>
        <n v="177.6322595"/>
        <n v="592.0944"/>
        <n v="31474.7732946"/>
        <n v="413.9879132"/>
        <n v="201.689995"/>
        <n v="19862.5564137"/>
        <n v="654.1372557"/>
        <n v="102.0756"/>
        <n v="265564.71535"/>
        <n v="92.8588055"/>
        <n v="3140.4028615"/>
        <n v="1443.9345238"/>
        <n v="182.8151303"/>
        <n v="2019.1921944"/>
        <n v="1043.429385"/>
        <n v="3019.4223726"/>
        <n v="2139.141216"/>
        <n v="29525.886496"/>
        <n v="24.9002748"/>
        <n v="102.193301"/>
        <n v="829.39997"/>
        <n v="4954.0960075"/>
        <n v="47.59006"/>
        <n v="9121.3620705"/>
        <n v="211.8552"/>
        <n v="266.6242295"/>
        <n v="162.4509969"/>
        <n v="72.5884368"/>
        <n v="3239.1190803"/>
        <n v="2701.271"/>
        <n v="843.1334137"/>
        <n v="195.3617"/>
        <n v="2504.2980744"/>
        <n v="3183.1629843"/>
        <n v="69.5113939"/>
        <n v="93903.6945404"/>
        <n v="2408.4001382"/>
        <n v="2067.4394625"/>
        <n v="2276.1163416"/>
        <n v="5745.0781937"/>
        <n v="36618.5112163"/>
        <n v="2018.9165335"/>
        <n v="99.5328092"/>
        <n v="1841.3109"/>
        <n v="98.9500622"/>
        <n v="243.5905634"/>
        <n v="169.9194281"/>
        <n v="282.0746335"/>
        <n v="246.8298047"/>
        <n v="10257.9119"/>
        <n v="3960.9400406"/>
        <n v="154.710001"/>
        <n v="65642.8540928"/>
        <n v="1801.3169201"/>
        <n v="979.8727442"/>
        <n v="76019.5914675"/>
        <n v="557.5072049"/>
        <n v="382.91064"/>
        <n v="2437.1496722"/>
        <n v="500.9129796"/>
        <n v="9037.8045746"/>
        <n v="2176.34763"/>
        <n v="41.1843603"/>
        <n v="137.5221078"/>
        <n v="22.4656023"/>
        <n v="212.269183"/>
        <n v="602.8222645"/>
        <n v="4374.675132"/>
        <n v="11630.6282012"/>
        <n v="84.8296085"/>
        <n v="385.42341"/>
        <n v="41.8382629"/>
        <n v="3357.3599695"/>
        <n v="1770.1291065"/>
        <n v="5777.56205"/>
        <n v="6.3177221"/>
        <n v="33.5434819"/>
        <n v="2272.900034"/>
        <n v="1674.9599815"/>
        <n v="117.15323"/>
        <n v="660.5269208"/>
        <n v="36.1095759"/>
        <n v="127.145"/>
        <n v="1617.3117459"/>
        <n v="45.33362"/>
        <n v="56.9530079"/>
        <n v="196.6776738"/>
        <n v="1567.5594291"/>
        <n v="1413.1831447"/>
        <n v="1462.2652736"/>
        <n v="1085.492825"/>
        <n v="3782.58"/>
        <n v="2930.6900779"/>
        <n v="1503.5680973"/>
        <n v="1119.2510513"/>
        <n v="407.986749"/>
        <n v="6185.6551504"/>
        <n v="8635.9097825"/>
        <n v="32194.7107412"/>
        <n v="769.0610812"/>
        <n v="479.3102"/>
        <n v="2279.5441014"/>
        <n v="28.521318"/>
        <n v="541.6600045"/>
        <n v="370.0994427"/>
        <n v="1401.77167"/>
        <n v="752.9068352"/>
        <n v="221.779998"/>
        <n v="5173.6396949"/>
        <n v="454.480115"/>
        <n v="121.5143724"/>
        <n v="1709.4170925"/>
        <n v="76.2316326"/>
        <n v="1676.4697879"/>
        <n v="7226.1800299"/>
        <n v="49.1358596"/>
        <n v="1358.0554038"/>
        <n v="972.4124866"/>
        <n v="3779.8170214"/>
        <n v="113.5996399"/>
        <n v="11271.6615424"/>
        <n v="1092.4067636"/>
        <n v="7741.2762296"/>
        <n v="939.5646"/>
        <n v="2325.17674"/>
        <n v="36.3464331"/>
        <n v="3463.5933708"/>
        <n v="1385.8204865"/>
        <n v="75.300027"/>
        <n v="16.8292071"/>
        <n v="25929.33252"/>
        <n v="21.0644"/>
        <n v="30.5929565"/>
        <n v="1027.0355112"/>
        <n v="178.8621756"/>
        <n v="4816.074155"/>
        <n v="114.0202715"/>
        <n v="51.7623061"/>
        <n v="474.0761904"/>
        <n v="1437.4555849"/>
        <n v="425.1433064"/>
        <n v="101.4334194"/>
        <n v="27.383975"/>
        <n v="1979.95428"/>
        <n v="381.4489409"/>
        <n v="168.2019775"/>
        <n v="2301.5329375"/>
        <n v="1222.412062"/>
        <n v="1313.17119"/>
        <n v="1083.6245896"/>
        <n v="198.2364844"/>
        <n v="169.6647764"/>
        <n v="15.8503825"/>
        <n v="363.56355"/>
        <n v="178.9901548"/>
        <n v="14270.4582298"/>
        <n v="89.4295062"/>
        <n v="38257.891128"/>
        <n v="2072.0456478"/>
        <n v="975.9777223"/>
        <n v="224.4925457"/>
        <n v="178.238582"/>
        <n v="888.5664563"/>
        <n v="706.040853"/>
        <n v="6.788249"/>
        <n v="71.7540292"/>
        <n v="10194.4063006"/>
        <n v="51.6353428"/>
        <n v="112.1131778"/>
        <n v="28.7613902"/>
        <n v="602.208937"/>
        <n v="55.2513017"/>
        <n v="59.3838674"/>
        <n v="66.1863051"/>
        <n v="2847.3687"/>
        <n v="5560.9778371"/>
        <n v="126.1783219"/>
        <n v="188.52166"/>
        <n v="888.0074003"/>
        <n v="45.935949"/>
        <n v="107.9507172"/>
        <n v="78.0870141"/>
        <n v="8.716"/>
        <n v="16.3618753"/>
        <n v="20.4546549"/>
        <n v="87.8092618"/>
        <n v="128.1370171"/>
        <n v="195.0492761"/>
        <n v="4091.8465827"/>
        <n v="58.618673"/>
        <n v="37.1443321"/>
        <n v="29.520359"/>
        <n v="263.0253751"/>
        <n v="1130.1697389"/>
        <n v="2038.941"/>
        <n v="5951.1884618"/>
        <n v="435.295536"/>
        <n v="31.8366361"/>
        <n v="1848.331888"/>
        <n v="18.86781"/>
        <n v="57.3465532"/>
        <n v="501.704873"/>
        <n v="257.7535704"/>
        <n v="722.82247"/>
        <n v="14.725"/>
        <n v="53.9820949"/>
        <n v="1293.568"/>
        <n v="3699.0876509"/>
        <n v="18.37087"/>
        <n v="1242.6905225"/>
        <n v="128.373757"/>
        <n v="56.6826855"/>
        <n v="1191.4026346"/>
        <n v="159.28"/>
        <n v="39.8652605"/>
        <n v="1185.7323831"/>
        <n v="303.9730436"/>
        <n v="198.3263945"/>
        <n v="89.9287293"/>
        <n v="1009.0360497"/>
        <n v="16.2642807"/>
        <n v="3537.2012235"/>
        <n v="1125.4545124"/>
        <n v="1666.0746294"/>
        <n v="672.4708738"/>
        <n v="67.2757479"/>
        <n v="1110.539"/>
        <n v="3250.940335"/>
        <n v="1123.3494633"/>
        <n v="406.2953462"/>
        <n v="1095.2407853"/>
        <n v="310062.3911812"/>
        <n v="202.2627555"/>
        <n v="73806.0875825"/>
        <n v="80725.302"/>
        <n v="642.0069786"/>
        <n v="304.0902497"/>
        <n v="15492.073548"/>
        <n v="7.4447522"/>
        <n v="751.5662649"/>
        <n v="80.0001647"/>
        <n v="11458.4789571"/>
        <n v="758.260709"/>
        <n v="2193.4500168"/>
        <n v="159.6810236"/>
        <n v="527.7387817"/>
        <n v="329.4116006"/>
        <n v="1066.5342525"/>
        <n v="2893.1956491"/>
        <n v="7.8061449"/>
        <n v="1160.0954062"/>
        <n v="30.2297235"/>
        <n v="56.8299892"/>
        <n v="1024.1050801"/>
        <n v="5713.8801352"/>
        <n v="109.3157595"/>
        <n v="877.374875"/>
        <n v="9884.8670181"/>
        <n v="59.6132192"/>
        <n v="59.4070716"/>
        <n v="17.2441662"/>
        <n v="1016.2240157"/>
        <n v="1838.0395912"/>
        <n v="915.7136513"/>
        <n v="912.255831"/>
        <n v="23.00305"/>
        <n v="1020.8261632"/>
        <n v="38.1790375"/>
        <n v="218.235067"/>
        <n v="154.4673565"/>
        <n v="18.8241906"/>
        <n v="22.976877"/>
        <n v="122.5798"/>
        <n v="122.287227"/>
        <n v="897.704304"/>
        <n v="895.630225"/>
        <n v="842.7266494"/>
        <n v="17512.9457973"/>
        <n v="89.8268"/>
        <n v="399.788284"/>
        <n v="6965.9676739"/>
        <n v="16192.327465"/>
        <n v="43.4579653"/>
        <n v="1017.6326365"/>
        <n v="47.6023208"/>
        <n v="61.3283868"/>
        <n v="16.754997"/>
        <n v="59.3671913"/>
        <n v="92.006713"/>
        <n v="1138.8841895"/>
        <n v="2438.9769984"/>
        <n v="51.652159"/>
        <n v="67.7707931"/>
        <n v="13.4855794"/>
        <n v="225.0715566"/>
        <n v="22.3475456"/>
        <n v="12.3851146"/>
        <n v="186.4055816"/>
        <n v="60.5529627"/>
        <n v="41.4817903"/>
        <n v="54.9329799"/>
        <n v="24.7161931"/>
        <n v="66.3877774"/>
        <n v="1730.1879577"/>
        <n v="826.6747"/>
        <n v="120.4769611"/>
        <n v="743.6578229"/>
        <n v="123.4151912"/>
        <n v="726.8083481"/>
        <n v="309.533389"/>
        <n v="706.5539116"/>
        <n v="740.378205"/>
        <n v="68.0722625"/>
        <n v="13.8338331"/>
        <n v="19.6773069"/>
        <n v="961.800959"/>
        <n v="88.2729157"/>
        <n v="264.4202125"/>
        <n v="337.3474682"/>
        <n v="1354.3091141"/>
        <n v="6.3182633"/>
        <n v="20.6125871"/>
        <n v="77.9567435"/>
        <n v="276.6536958"/>
        <n v="109.9954"/>
        <n v="55.897289"/>
        <n v="212.7313081"/>
        <n v="699.1173817"/>
        <n v="49.312"/>
        <n v="2671.5974501"/>
        <n v="440.6979162"/>
        <n v="504.281968"/>
        <n v="1746.9186844"/>
        <n v="673.3252956"/>
        <n v="2747.673"/>
        <n v="664.0921472"/>
        <n v="90.1652267"/>
        <n v="849.4488348"/>
        <n v="608.6488963"/>
        <n v="578.0667163"/>
        <n v="556.6322564"/>
        <n v="43.6735185"/>
        <n v="477.6812399"/>
        <n v="416.2139119"/>
        <n v="415.0545317"/>
        <n v="379.27015"/>
        <n v="1589.34636"/>
        <n v="80100.500554"/>
        <n v="92.727465"/>
        <n v="370.3961211"/>
        <n v="166.9548246"/>
        <n v="112.1199951"/>
        <n v="369.3366"/>
        <n v="363.327"/>
        <n v="352.6431166"/>
        <n v="182.7287959"/>
        <n v="350.23596"/>
        <n v="325.1131427"/>
        <n v="122.7506"/>
        <n v="185.718015"/>
        <n v="46.3947183"/>
        <n v="6230.6504763"/>
        <n v="307.9250104"/>
        <n v="304.2276541"/>
        <n v="13.6233173"/>
        <n v="297.8630177"/>
        <n v="6551.903372"/>
        <n v="279.3022622"/>
        <n v="49.6086761"/>
        <n v="38.9660153"/>
        <n v="266.9697259"/>
        <n v="2028.6902593"/>
        <n v="261.6253236"/>
        <n v="256.6878468"/>
        <n v="344.6767383"/>
        <n v="250.5615828"/>
        <n v="250.2084662"/>
        <n v="7351.9069591"/>
        <n v="246.1789182"/>
        <n v="241.7496527"/>
        <n v="233.64732"/>
        <n v="439.8769902"/>
        <n v="290.8893563"/>
        <n v="431.2092936"/>
        <n v="118.43"/>
        <n v="206.902611"/>
        <n v="203.986509"/>
        <n v="191.676503"/>
        <n v="189.9959375"/>
        <n v="330.5348811"/>
        <n v="188.1013575"/>
        <n v="182.7943005"/>
        <n v="614.0520512"/>
        <n v="13525.522395"/>
        <n v="181.832154"/>
        <n v="4009.7412538"/>
        <n v="34.330071"/>
        <n v="99.95059"/>
        <n v="180.8886268"/>
        <n v="35.868077"/>
        <n v="156.1919805"/>
        <n v="70.8439103"/>
        <n v="157.5979676"/>
        <n v="153.7595884"/>
        <n v="690.6285146"/>
        <n v="470.67069"/>
        <n v="2967.5667136"/>
        <n v="146.1539509"/>
        <n v="216.5832638"/>
        <n v="161.1851819"/>
        <n v="145.3320648"/>
        <n v="51015.8697263"/>
        <n v="34.6871194"/>
        <n v="142.5355"/>
        <n v="142.4878034"/>
        <n v="44.1136752"/>
        <n v="118.6801"/>
        <n v="6933.0388209"/>
        <n v="139.4067716"/>
        <n v="185.5890932"/>
        <n v="138.275728"/>
        <n v="477.7819444"/>
        <n v="154.666455"/>
        <n v="70.3615465"/>
        <n v="138.1362719"/>
        <n v="146655.1968598"/>
        <n v="98.931464"/>
        <n v="53.1645254"/>
        <n v="22.6468352"/>
        <n v="3430.6150337"/>
        <n v="946.8890528"/>
        <n v="17.4663716"/>
        <n v="606.2848338"/>
        <n v="50.3437466"/>
        <n v="28.581647"/>
        <n v="2303.5947462"/>
        <n v="2301.0927025"/>
        <n v="277.4900755"/>
        <n v="3431.049485"/>
        <n v="2670.8639503"/>
        <n v="26.6892875"/>
        <n v="11.2914661"/>
        <n v="8.1596473"/>
        <n v="2466.72168"/>
        <n v="214.7405277"/>
        <n v="166.8148716"/>
        <n v="101.863872"/>
        <n v="37190.7055028"/>
        <n v="137.5426722"/>
        <n v="6.2455196"/>
        <n v="37.4253677"/>
        <n v="51.9160244"/>
        <n v="125.942807"/>
        <n v="4.9463568"/>
        <n v="78.0371912"/>
        <n v="5.8193089"/>
        <n v="142.583672"/>
        <n v="13.0855888"/>
        <n v="67.5"/>
        <n v="100.2634363"/>
        <n v="100.722542"/>
        <n v="201.841344"/>
        <n v="412.98993"/>
        <n v="1306.349439"/>
        <n v="3243.0080653"/>
        <n v="9.453"/>
        <n v="429.610596"/>
        <n v="111.8748215"/>
        <n v="320.6054126"/>
        <n v="170.9715"/>
        <n v="87.7742462"/>
        <n v="181009.5518262"/>
        <n v="57.0560596"/>
        <n v="6846.970732"/>
        <n v="3.4085481"/>
        <n v="163.3635214"/>
        <n v="18.6362533"/>
        <n v="94.0207147"/>
        <n v="26.3199999"/>
        <n v="86.296892"/>
        <n v="572.8285"/>
        <n v="19.175"/>
        <n v="158.3951736"/>
        <n v="277.4612979"/>
        <n v="1343.2747897"/>
        <n v="210.37997"/>
        <n v="137.453148"/>
        <n v="61.498296"/>
        <n v="17.6587901"/>
        <n v="11.4652818"/>
        <n v="175.167558"/>
        <n v="12.3474825"/>
        <n v="259.8242"/>
        <n v="19790.5995"/>
        <n v="178.9119013"/>
        <n v="3604.5891813"/>
        <n v="47.8974925"/>
        <n v="268.52046"/>
        <n v="697.6964701"/>
        <n v="75.37491"/>
        <n v="136.44"/>
        <n v="2043.5307441"/>
        <n v="135.5873137"/>
        <n v="919.5069"/>
        <n v="18.9257374"/>
        <n v="33.9349478"/>
        <n v="1.519331"/>
        <n v="33.9590017"/>
        <n v="101.1211282"/>
        <n v="64.8717975"/>
        <n v="84.980035"/>
        <n v="937.5511311"/>
        <n v="144.1611998"/>
        <n v="101.3162035"/>
        <n v="25.1586747"/>
        <n v="452.9855808"/>
        <n v="44.5338252"/>
        <n v="69.3466282"/>
        <n v="38.9694863"/>
        <n v="101.8389"/>
        <n v="9.3187405"/>
        <n v="26.0202582"/>
        <n v="441.6643776"/>
        <n v="118.1316631"/>
        <n v="975.0116135"/>
        <n v="130.5320691"/>
        <n v="8.9480142"/>
        <n v="130.2192523"/>
        <n v="159.470617"/>
        <n v="13.91051"/>
        <n v="318.7013374"/>
        <n v="198.1152693"/>
        <n v="70.1051639"/>
        <n v="1697.6060655"/>
        <n v="219.3878577"/>
        <n v="124.0309648"/>
        <n v="168.271803"/>
        <n v="718.6818116"/>
        <n v="148.0917376"/>
        <n v="7185.0438"/>
        <n v="316.3495815"/>
        <n v="1225.4998515"/>
        <n v="49896.0120714"/>
        <n v="48.0858098"/>
        <n v="42.9455993"/>
        <n v="116.4833731"/>
        <n v="220.4739255"/>
        <n v="719.8034768"/>
        <n v="296.1305998"/>
        <n v="397.2786159"/>
        <n v="422.057678"/>
        <n v="1050.24676"/>
        <n v="159.3403"/>
        <n v="865.08971"/>
        <n v="3039.5209496"/>
        <n v="917.196288"/>
        <n v="69.799996"/>
        <n v="28.7469107"/>
        <n v="26.4175676"/>
        <n v="21.2042764"/>
        <n v="194.1413845"/>
        <n v="40.0840208"/>
        <n v="2777.2170029"/>
        <n v="1317.35409"/>
        <n v="1910.0088"/>
        <n v="114.0663"/>
        <n v="1648.9400452"/>
        <n v="34.4191282"/>
        <n v="106.5201768"/>
        <n v="54.7420483"/>
        <n v="9948.0371518"/>
        <n v="1091.627698"/>
        <n v="4023.773418"/>
        <n v="111.7190256"/>
        <n v="113.532029"/>
        <n v="5351.9022815"/>
        <n v="19.6996421"/>
        <n v="2639.6935958"/>
        <n v="1022.2334895"/>
        <n v="208.2479299"/>
        <n v="112.5672269"/>
        <n v="99.813184"/>
        <n v="215.1695966"/>
        <n v="42.1089662"/>
        <n v="33478.618802"/>
        <n v="320.9573547"/>
        <n v="3521.1064"/>
        <n v="8196.125039"/>
        <n v="779.6861783"/>
        <n v="25937.2791975"/>
        <n v="28.2766003"/>
        <n v="108.123498"/>
        <n v="31.1572166"/>
        <n v="137.4621144"/>
        <n v="1562.156289"/>
        <n v="9259.6231617"/>
        <n v="288.0359076"/>
        <n v="24.5997611"/>
        <n v="6.6624"/>
        <n v="105.2602517"/>
        <n v="60.4706455"/>
        <n v="374.0370852"/>
        <n v="1541.1637709"/>
        <n v="47.6374504"/>
        <n v="131.3850525"/>
        <n v="107.483544"/>
        <n v="655.6656413"/>
        <n v="198.8442335"/>
        <n v="997.4548716"/>
        <n v="127.635701"/>
        <n v="2541.4200131"/>
        <n v="1867.7280513"/>
        <n v="32747.9844015"/>
        <n v="89.6037169"/>
        <n v="3000.3333777"/>
        <n v="364.0585965"/>
        <n v="883.189737"/>
        <n v="2120.878368"/>
        <n v="82.0871845"/>
        <n v="56.338471"/>
        <n v="677.116578"/>
        <n v="434.2471"/>
        <n v="8935.9857376"/>
        <n v="90.9606027"/>
        <n v="85.7353163"/>
        <n v="808.123955"/>
        <n v="585.0686205"/>
        <n v="337.319139"/>
        <n v="6.2800914"/>
        <n v="2739.543455"/>
        <n v="23.1199398"/>
        <n v="1315.6380631"/>
        <n v="6953.7405103"/>
        <n v="582.6307166"/>
        <n v="330.3925536"/>
        <n v="3035.1779381"/>
        <n v="2639.7231685"/>
        <n v="6.185761"/>
        <n v="226.7321841"/>
        <n v="40.8038878"/>
        <n v="104.8870457"/>
        <n v="70.4826491"/>
        <n v="108.5558074"/>
        <n v="14.4914738"/>
        <n v="19.3806462"/>
        <n v="120.6690175"/>
        <n v="283.6552835"/>
        <n v="317.8124811"/>
        <n v="33.732517"/>
        <n v="88.786044"/>
        <n v="36.1026285"/>
        <n v="103.7671773"/>
        <n v="137.000837"/>
        <n v="103.5236"/>
        <n v="17.54231"/>
        <n v="767.4757739"/>
        <n v="4.033371"/>
        <n v="120.116917"/>
        <n v="140.6424593"/>
        <n v="20.0426631"/>
        <n v="85.734451"/>
        <n v="34.0890725"/>
        <n v="121.3093605"/>
        <n v="103.0089551"/>
        <n v="32.3519627"/>
        <n v="20.9018875"/>
        <n v="102.7162817"/>
        <n v="8833.0587113"/>
        <n v="51.6144276"/>
        <n v="20.0197582"/>
        <n v="8390.3131699"/>
        <n v="1022.9653317"/>
        <n v="1760.1132225"/>
        <n v="317.8255276"/>
        <n v="626.869986"/>
        <n v="4899.8141497"/>
        <n v="8813.638395"/>
        <n v="6130.19022"/>
        <n v="899.9279312"/>
        <n v="1173.842855"/>
        <n v="1253.51493"/>
        <n v="185.6235326"/>
        <n v="13.49117"/>
        <n v="100.9118"/>
        <n v="10633.2892883"/>
        <n v="19730.0471394"/>
        <n v="1660.5028737"/>
        <n v="97.415263"/>
        <n v="96.116068"/>
        <n v="87.2006832"/>
        <n v="23.276652"/>
        <n v="86.2519407"/>
        <n v="83.9635368"/>
        <n v="83.1764543"/>
        <n v="105.2273"/>
        <n v="11.7941382"/>
        <n v="6923.0774433"/>
        <n v="298.9510345"/>
        <n v="110.686864"/>
        <n v="2.884987"/>
        <n v="27.0980225"/>
        <n v="13.8459765"/>
        <n v="8.5015246"/>
        <n v="19439.0558058"/>
        <n v="19.6909204"/>
        <n v="7445.6485949"/>
        <n v="132.005617"/>
        <n v="37.7683558"/>
        <n v="108.4214261"/>
        <n v="38.139234"/>
        <n v="20.6632803"/>
        <n v="21.60294"/>
        <n v="35.4441773"/>
        <n v="25.895642"/>
        <n v="60.5856774"/>
        <n v="14.0676827"/>
        <n v="430.6806964"/>
        <n v="43.5569647"/>
        <n v="47.6911312"/>
        <n v="643.7414908"/>
        <n v="136.4158609"/>
        <n v="19.4436468"/>
        <n v="75.103741"/>
        <n v="118.3674985"/>
        <n v="24.0079545"/>
        <n v="21.9316397"/>
        <n v="82.5740202"/>
        <n v="14.661145"/>
        <n v="67.580256"/>
        <n v="10.7779"/>
        <n v="73.3542"/>
        <n v="124.3347581"/>
        <n v="1382.2501737"/>
        <n v="66.5307"/>
        <n v="429.1534533"/>
        <n v="77.4780444"/>
        <n v="476.0042756"/>
        <n v="328.854964"/>
        <n v="1052.2071767"/>
        <n v="4548.69918"/>
        <n v="32.9558966"/>
        <n v="3872.69736"/>
        <n v="1853.46855"/>
        <n v="9588.6846525"/>
        <n v="144.039531"/>
        <n v="1862.5294998"/>
        <n v="401.4037837"/>
        <n v="1567.36804"/>
        <n v="19643.713615"/>
        <n v="935.615067"/>
        <n v="50.5706951"/>
        <n v="353404.232"/>
        <n v="169.5130035"/>
        <n v="146.1990782"/>
        <n v="641.6666231"/>
        <n v="8368.5733482"/>
        <n v="67.3512812"/>
        <n v="3273.71011"/>
        <n v="288.0616103"/>
        <n v="1522.2608945"/>
        <n v="50.1223354"/>
        <n v="81.9297574"/>
        <n v="3040.4735902"/>
        <n v="2770.2840875"/>
        <n v="182.2632228"/>
        <n v="1908.8658"/>
        <n v="2709.60998"/>
        <n v="30.431394"/>
        <n v="28919.795492"/>
        <n v="1672.4501365"/>
        <n v="4687.9640632"/>
        <n v="18543.5233255"/>
        <n v="81.7528364"/>
        <n v="81.4421206"/>
        <n v="124.1369148"/>
        <n v="1373.530722"/>
        <n v="309.0405199"/>
        <n v="91.4858137"/>
        <n v="209.7649355"/>
        <n v="146.763638"/>
        <n v="41.8684145"/>
        <n v="593.8587531"/>
        <n v="15599.5308"/>
        <n v="150.1988659"/>
        <n v="216.5288492"/>
        <n v="1053.644088"/>
        <n v="81.5005575"/>
        <n v="15.5028101"/>
        <n v="2895.2834993"/>
        <n v="59.9926268"/>
        <n v="80.9427052"/>
        <n v="853.8991441"/>
        <n v="140.4304502"/>
        <n v="393.6244942"/>
        <n v="1543.7477825"/>
        <n v="494.5504048"/>
        <n v="9.2860582"/>
        <n v="145.4784185"/>
        <n v="52.7219306"/>
        <n v="2695.4895805"/>
        <n v="665.9540656"/>
        <n v="78.6688877"/>
        <n v="239.6911272"/>
        <n v="80.736808"/>
        <n v="2296.9320038"/>
        <n v="138.334959"/>
        <n v="4628.2050158"/>
        <n v="4736.1852749"/>
        <n v="1003.4903206"/>
        <n v="42295.77436"/>
        <n v="1892.6147741"/>
        <n v="474.7210291"/>
        <n v="28.8984361"/>
        <n v="240.2132809"/>
        <n v="2874.4475922"/>
        <n v="628.0267755"/>
        <n v="30576.2026745"/>
        <n v="70057.0738037"/>
        <n v="37488.6238636"/>
        <n v="956.403855"/>
        <n v="45.5391726"/>
        <n v="80.4576128"/>
        <n v="14480.0784"/>
        <n v="68.8563145"/>
        <n v="17.6932562"/>
        <n v="789.039615"/>
        <n v="160.3479822"/>
        <n v="28.8879942"/>
        <n v="80.4500647"/>
        <n v="125.7591822"/>
        <n v="2965.4407631"/>
        <n v="63.4137865"/>
        <n v="510.1614"/>
        <n v="35.5508149"/>
        <n v="59.660623"/>
        <n v="322.374026"/>
        <n v="20.0411036"/>
        <n v="79.6161381"/>
        <n v="1330.209623"/>
        <n v="348552.9907728"/>
        <n v="79.0834906"/>
        <n v="36.4112645"/>
        <n v="66.0716546"/>
        <n v="2105986.7710168"/>
        <n v="262.00128"/>
        <n v="66007.8651201"/>
        <n v="704.1433451"/>
        <n v="78.84505"/>
        <n v="344.8778602"/>
        <n v="161.237229"/>
        <n v="124.5221325"/>
        <n v="2244.7704038"/>
        <n v="118.5907376"/>
        <n v="21300.93223"/>
        <n v="1480.5791"/>
        <n v="654.8101895"/>
        <n v="4.863158"/>
        <n v="4420.398375"/>
        <n v="58.8918921"/>
        <n v="1261.606054"/>
        <n v="108.6385"/>
        <n v="444.1143656"/>
        <n v="75.4335225"/>
        <n v="547.9151004"/>
        <n v="777.0492652"/>
        <n v="16.1680774"/>
        <n v="23.636342"/>
        <n v="761.308918"/>
        <n v="70.80879"/>
        <n v="108.323731"/>
        <n v="74.5674162"/>
        <n v="968.719976"/>
        <n v="72.1632645"/>
        <n v="8764.309875"/>
        <n v="36.5544202"/>
        <n v="3187.657968"/>
        <n v="5.4771207"/>
        <n v="333.8526905"/>
        <n v="30.666341"/>
        <n v="3314.2418515"/>
        <n v="760.960379"/>
        <n v="50.7825516"/>
        <n v="2333.94898"/>
        <n v="1453.1407678"/>
        <n v="748.5195345"/>
        <n v="120.6768649"/>
        <n v="38.409225"/>
        <n v="2511.4561207"/>
        <n v="198.3282014"/>
        <n v="234796.5750625"/>
        <n v="215.83206"/>
        <n v="67.0127445"/>
        <n v="143895.3378725"/>
        <n v="29.5573801"/>
        <n v="510.715191"/>
        <n v="115.8863806"/>
        <n v="34913.0991825"/>
        <n v="49225.8408015"/>
        <n v="1205.210088"/>
        <n v="96.5054822"/>
        <n v="37.5501631"/>
        <n v="65.8466548"/>
        <n v="926.875521"/>
        <n v="1560.2329155"/>
        <n v="33.3159975"/>
        <n v="657.1193355"/>
        <n v="4722.9497877"/>
        <n v="983.3794064"/>
        <n v="16764.81374"/>
        <n v="1081.2707912"/>
        <n v="100.6797194"/>
        <n v="20.1538788"/>
        <n v="79478.8240344"/>
        <n v="79.3011114"/>
        <n v="135.83201"/>
        <n v="67.3702248"/>
        <n v="68.066453"/>
        <n v="191.2656486"/>
        <n v="13.6661114"/>
        <n v="1179.5606081"/>
        <n v="65.765465"/>
        <n v="64.6289033"/>
        <n v="296717.4855316"/>
        <n v="555.2646414"/>
        <n v="101.7198"/>
        <n v="64.547364"/>
        <n v="236.772192"/>
        <n v="10.33782"/>
        <n v="153.9928467"/>
        <n v="1371.8717453"/>
        <n v="31.298281"/>
        <n v="51.9090267"/>
        <n v="731.629263"/>
        <n v="6263.3895763"/>
        <n v="50.9521783"/>
        <n v="476.6052007"/>
        <n v="173.5116205"/>
        <n v="17.9017146"/>
        <n v="61.5643387"/>
        <n v="222.7248292"/>
        <n v="59.907813"/>
        <n v="24.5314144"/>
        <n v="67.1239288"/>
        <n v="264.4381274"/>
        <n v="40.4655241"/>
        <n v="7.6752"/>
        <n v="16.1588243"/>
        <n v="21.260715"/>
        <n v="8.3858227"/>
        <n v="58.8809098"/>
        <n v="468.8127908"/>
        <n v="390.9811958"/>
        <n v="115.850163"/>
        <n v="100.518336"/>
        <n v="994.3391036"/>
        <n v="115.26"/>
        <n v="305.897984"/>
        <n v="7.472186"/>
        <n v="120.9529711"/>
        <n v="3775.8830844"/>
        <n v="2092.9434342"/>
        <n v="58.0800012"/>
        <n v="204.5465692"/>
        <n v="56.2806959"/>
        <n v="1381.8187102"/>
        <n v="58.5823535"/>
        <n v="42937.5528384"/>
        <n v="510.6914579"/>
        <n v="58.0019051"/>
        <n v="16.3359534"/>
        <n v="387.1744824"/>
        <n v="4081.8767827"/>
        <n v="15322.763992"/>
        <n v="3278.41125"/>
        <n v="19.7962712"/>
        <n v="18.0083"/>
        <n v="1454.5849642"/>
        <n v="107.0878936"/>
        <n v="100343.5258"/>
        <n v="13.2252475"/>
        <n v="5251.3504289"/>
        <n v="21.8248439"/>
        <n v="2442.1533515"/>
        <n v="189.3496694"/>
        <n v="196.7543988"/>
        <n v="3.6955908"/>
        <n v="367.7737275"/>
        <n v="142.8474948"/>
        <n v="34.4237143"/>
        <n v="453.9700608"/>
        <n v="41.7587153"/>
        <n v="3.3434099"/>
        <n v="157.299642"/>
        <n v="56.9886998"/>
        <n v="12.3118423"/>
        <n v="65.0461725"/>
        <n v="20.5750982"/>
        <n v="576.3207858"/>
        <n v="32.3530431"/>
        <n v="332.7745246"/>
        <n v="2157.6816944"/>
        <n v="90.5905135"/>
        <n v="152.52384"/>
        <n v="92.4133357"/>
        <n v="381.9835151"/>
        <n v="8.0917642"/>
        <n v="2516.6599487"/>
        <n v="51.7670116"/>
        <n v="49.4957237"/>
        <n v="56.64534"/>
        <n v="4006.387224"/>
        <n v="737.8903323"/>
        <n v="36.915358"/>
        <n v="8693.1222601"/>
        <n v="39.8267422"/>
        <n v="80.8212266"/>
        <n v="101.8991551"/>
        <n v="77.2525241"/>
        <n v="30.778708"/>
        <n v="39.731434"/>
        <n v="62.0944753"/>
        <n v="105800.4035"/>
        <n v="21401.7883069"/>
        <n v="19.08"/>
        <n v="55.3413639"/>
        <n v="242.6266035"/>
        <n v="882.8726429"/>
        <n v="127.2915"/>
        <n v="380.9187676"/>
        <n v="943.7345406"/>
        <n v="1336.5658531"/>
        <n v="74.8612296"/>
        <n v="53.5788012"/>
        <n v="268.9711222"/>
        <n v="154.7797668"/>
        <n v="12.1596049"/>
        <n v="70.8441757"/>
        <n v="52.5430337"/>
        <n v="156.4547274"/>
        <n v="13.882608"/>
        <n v="1537.8126413"/>
        <n v="52.5221495"/>
        <n v="222.3607823"/>
        <n v="2603.9643346"/>
        <n v="52.4563722"/>
        <n v="52.3075728"/>
        <n v="15.4915209"/>
        <n v="142.6196367"/>
        <n v="38.378598"/>
        <n v="373.5932937"/>
        <n v="12.6277928"/>
        <n v="50.2315608"/>
        <n v="40.279304"/>
        <n v="699.5611455"/>
        <n v="728.603952"/>
        <n v="14.7049905"/>
        <n v="692.8970414"/>
        <n v="985.2700271"/>
        <n v="49.3226681"/>
        <n v="77.9146462"/>
        <n v="59.8306368"/>
        <n v="48.6713657"/>
        <n v="32.4302133"/>
        <n v="84.187323"/>
        <n v="641.771693"/>
        <n v="1841.3480393"/>
        <n v="159.0184188"/>
        <n v="14.7565863"/>
        <n v="591.0985042"/>
        <n v="597.6572593"/>
        <n v="48.0172578"/>
        <n v="45.26388"/>
        <n v="18.7499097"/>
        <n v="113.109834"/>
        <n v="78.4335669"/>
        <n v="40.2482889"/>
        <n v="33.8282723"/>
        <n v="173.6796"/>
        <n v="715.009237"/>
        <n v="154.4343625"/>
        <n v="1158.4173991"/>
        <n v="37.449702"/>
        <n v="1744.6550557"/>
        <n v="85.2073486"/>
        <n v="235.45764"/>
        <n v="230.8204769"/>
        <n v="7.5877406"/>
        <n v="21.7356022"/>
        <n v="22.4481274"/>
        <n v="120.4720718"/>
        <n v="496.7585104"/>
        <n v="1487.4924754"/>
        <n v="48.0155175"/>
        <n v="3977.9250057"/>
        <n v="47.3881415"/>
        <n v="849.9261561"/>
        <n v="473.352768"/>
        <n v="2.8312033"/>
        <n v="16.0691"/>
        <n v="2759.7396663"/>
        <n v="57.8730056"/>
        <n v="66.1092724"/>
        <n v="60.3385248"/>
        <n v="136.3580621"/>
        <n v="19.1890538"/>
        <n v="124.9800374"/>
        <n v="46.693501"/>
        <n v="31.1307951"/>
        <n v="46.39156"/>
        <n v="1690.643392"/>
        <n v="851.1087542"/>
        <n v="139.5603007"/>
        <n v="49.2046003"/>
        <n v="4.5685758"/>
        <n v="72.7176581"/>
        <n v="72.2178338"/>
        <n v="35.8726984"/>
        <n v="3558.4269752"/>
        <n v="3210.4100835"/>
        <n v="497.7347238"/>
        <n v="1583.310307"/>
        <n v="54.4348949"/>
        <n v="45.8863882"/>
        <n v="248.068574"/>
        <n v="1114.4667391"/>
        <n v="3785.416023"/>
        <n v="55493.0392286"/>
        <n v="53404.2084957"/>
        <n v="577210.6605025"/>
        <n v="1485.8310906"/>
        <n v="164.9393752"/>
        <n v="245315.0613975"/>
        <n v="852.9698464"/>
        <n v="43.23778"/>
        <n v="6.7250699"/>
        <n v="94.2247981"/>
        <n v="104.954332"/>
        <n v="65.4789322"/>
        <n v="43.0899586"/>
        <n v="20.0799999"/>
        <n v="13.8549993"/>
        <n v="1031.7337184"/>
        <n v="4676.1389589"/>
        <n v="1103.7552877"/>
        <n v="103.7264371"/>
        <n v="1009.8344035"/>
        <n v="23.1274819"/>
        <n v="13.4495346"/>
        <n v="107583.0534845"/>
        <n v="18.2691939"/>
        <n v="103.0010248"/>
        <n v="14.7785523"/>
        <n v="441.8979598"/>
        <n v="2530.6527628"/>
        <n v="2683.2163096"/>
        <n v="88.4826763"/>
        <n v="773.2502287"/>
        <n v="42.6136223"/>
        <n v="447.8911882"/>
        <n v="49.5727861"/>
        <n v="234.4040099"/>
        <n v="202.0786"/>
        <n v="5.3777073"/>
        <n v="63.22525"/>
        <n v="1948.2048668"/>
        <n v="41.9348299"/>
        <n v="41.3713993"/>
        <n v="395.1803912"/>
        <n v="119.0993519"/>
        <n v="32.9357059"/>
        <n v="2251.8916556"/>
        <n v="371.7184407"/>
        <n v="10.6062286"/>
        <n v="40.5318683"/>
        <n v="43.2791835"/>
        <n v="39.0"/>
        <n v="40.626181"/>
        <n v="52.496"/>
        <n v="38.8512876"/>
        <n v="38.3700975"/>
        <n v="132299.60016"/>
        <n v="1061.3459644"/>
        <n v="38.3482745"/>
        <n v="243.9224039"/>
        <n v="173.6270994"/>
        <n v="77.804689"/>
        <n v="164.94235"/>
        <n v="93.9467292"/>
        <n v="77767.3663273"/>
        <n v="1277.0839876"/>
        <n v="46.3134099"/>
        <n v="921.54132"/>
        <n v="613.7306485"/>
        <n v="3441.4346505"/>
        <n v="19.477479"/>
        <n v="479.8468772"/>
        <n v="160.1976403"/>
        <n v="41.6135547"/>
        <n v="11.587439"/>
        <n v="41.3390178"/>
        <n v="24.8963615"/>
        <n v="504.6964716"/>
        <n v="48.0055842"/>
        <n v="37.96588"/>
        <n v="228.42805"/>
        <n v="22.4648858"/>
        <n v="83.5287412"/>
        <n v="3422.432"/>
        <n v="583.7263586"/>
        <n v="37.8066595"/>
        <n v="742.2177364"/>
        <n v="528559.29"/>
        <n v="92.4441393"/>
        <n v="233.426932"/>
        <n v="72.269422"/>
        <n v="135.2438337"/>
        <n v="14196.4056112"/>
        <n v="2251.7805681"/>
        <n v="135.3963653"/>
        <n v="65.7068367"/>
        <n v="37.4165646"/>
        <n v="53.2997337"/>
        <n v="479.6845"/>
        <n v="37.2096"/>
        <n v="230.789559"/>
        <n v="210.9155177"/>
        <n v="130.4109603"/>
        <n v="64.8296185"/>
        <n v="113.859333"/>
        <n v="231.446992"/>
        <n v="1273.0794101"/>
        <n v="3041.088894"/>
        <n v="9.2264973"/>
        <n v="24.451246"/>
        <n v="13.225889"/>
        <n v="231.2274352"/>
        <n v="35.8235948"/>
        <n v="49.761825"/>
        <n v="35.5584"/>
        <n v="1145.04915"/>
        <n v="15.384745"/>
        <n v="72.1274044"/>
        <n v="15.9129798"/>
        <n v="135.6799388"/>
        <n v="4.6747143"/>
        <n v="8.177165"/>
        <n v="188.5021231"/>
        <n v="24.0008907"/>
        <n v="1341.5612064"/>
        <n v="46.506565"/>
        <n v="63.531017"/>
        <n v="76.5893646"/>
        <n v="35.311912"/>
        <n v="11.3271037"/>
        <n v="738.5262117"/>
        <n v="34.68"/>
        <n v="34.534123"/>
        <n v="23596.998165"/>
        <n v="24.343735"/>
        <n v="80.6452569"/>
        <n v="7.700114"/>
        <n v="2430.0175633"/>
        <n v="749.8958665"/>
        <n v="36.5586183"/>
        <n v="839.8434193"/>
        <n v="812.28945"/>
        <n v="154.958434"/>
        <n v="49.020678"/>
        <n v="57.0826932"/>
        <n v="34.5273412"/>
        <n v="33.927168"/>
        <n v="32.623995"/>
        <n v="709.7552928"/>
        <n v="32.4626077"/>
        <n v="639.9456472"/>
        <n v="96.7709957"/>
        <n v="49.1803286"/>
        <n v="42.4114087"/>
        <n v="680.9517166"/>
        <n v="6104.9318668"/>
        <n v="23.848352"/>
        <n v="44.1872267"/>
        <n v="46.6247736"/>
        <n v="59.0607965"/>
        <n v="8050.0216805"/>
        <n v="15.72236"/>
        <n v="32.32"/>
        <n v="54.8880662"/>
        <n v="1209.7772026"/>
        <n v="361.5044799"/>
        <n v="31.4118003"/>
        <n v="364.6237418"/>
        <n v="135.0608841"/>
        <n v="31.3156172"/>
        <n v="17.2513465"/>
        <n v="1640.030832"/>
        <n v="118.8070977"/>
        <n v="36.21"/>
        <n v="3662.3792988"/>
        <n v="256.725522"/>
        <n v="6085.9466062"/>
        <n v="63.0900299"/>
        <n v="30.8022647"/>
        <n v="41.7202921"/>
        <n v="601.181812"/>
        <n v="1999.8859431"/>
        <n v="66.7721538"/>
        <n v="39.374625"/>
        <n v="12.7883887"/>
        <n v="29.5353091"/>
        <n v="316.953327"/>
        <n v="5225.8662664"/>
        <n v="43.6146954"/>
        <n v="62.2009461"/>
        <n v="96.5008534"/>
        <n v="184.364182"/>
        <n v="144.6705471"/>
        <n v="65.7003221"/>
        <n v="28.7461959"/>
        <n v="2195.8717743"/>
        <n v="19.5314043"/>
        <n v="4642.4751289"/>
        <n v="26.6519964"/>
        <n v="26.0368237"/>
        <n v="3824.0489703"/>
        <n v="15.5813944"/>
        <n v="30.16763"/>
        <n v="7850.6874385"/>
        <n v="198.5618909"/>
        <n v="303.9458162"/>
        <n v="61.692358"/>
        <n v="548.8938"/>
        <n v="44.3442015"/>
        <n v="84.5932959"/>
        <n v="106.729428"/>
        <n v="25.950811"/>
        <n v="872.685481"/>
        <n v="25.0264202"/>
        <n v="282.3089052"/>
        <n v="81.9140121"/>
        <n v="24.3540541"/>
        <n v="12.2005124"/>
        <n v="9.4705201"/>
        <n v="202.000444"/>
        <n v="3617.3452137"/>
        <n v="30.7609087"/>
        <n v="198.1127827"/>
        <n v="72.1217622"/>
        <n v="17.298848"/>
        <n v="247.6014643"/>
        <n v="5.8552077"/>
        <n v="127.8792882"/>
        <n v="25.5974737"/>
        <n v="218.235033"/>
        <n v="284.8262018"/>
        <n v="281.3241783"/>
        <n v="39.2881565"/>
        <n v="31.4059872"/>
        <n v="18.1030523"/>
        <n v="25.57213"/>
        <n v="6210.9435231"/>
        <n v="21.49185"/>
        <n v="16.7192399"/>
        <n v="24.1337436"/>
        <n v="25.2984447"/>
        <n v="20.36814"/>
        <n v="820.6378016"/>
        <n v="1245.98903"/>
        <n v="7321.050025"/>
        <n v="472.322458"/>
        <n v="25.2718706"/>
        <n v="24.7"/>
        <n v="40.1805236"/>
        <n v="387.189227"/>
        <n v="40.168167"/>
        <n v="180.8915179"/>
        <n v="8.986136"/>
        <n v="97.243141"/>
        <n v="14.9110461"/>
        <n v="3.7450648"/>
        <n v="105.3332274"/>
        <n v="386.684176"/>
        <n v="24.276"/>
        <n v="27.0351451"/>
        <n v="217.29768"/>
        <n v="29.3854886"/>
        <n v="29.6347511"/>
        <n v="2016.6095543"/>
        <n v="6579.384292"/>
        <n v="3.8781568"/>
        <n v="5.7840853"/>
        <n v="37.0850263"/>
        <n v="468.3477769"/>
        <n v="6.4059421"/>
        <n v="1112.2577245"/>
        <n v="41.6884355"/>
        <n v="61.7972422"/>
        <n v="20.26056"/>
        <n v="24.2079996"/>
        <n v="19.7880801"/>
        <n v="42.675654"/>
        <n v="208.7110536"/>
        <n v="326.3052"/>
        <n v="95.4253505"/>
        <n v="6.4725834"/>
        <n v="30104.6076006"/>
        <n v="22.5019809"/>
        <n v="29.9515125"/>
        <n v="22.45078"/>
        <n v="2557.229073"/>
        <n v="29.8532902"/>
        <n v="22.3584"/>
        <n v="26.202565"/>
        <n v="158.9842733"/>
        <n v="65.4079911"/>
        <n v="11994.4307484"/>
        <n v="38.3320471"/>
        <n v="22.2897843"/>
        <n v="18.2806839"/>
        <n v="278.4431516"/>
        <n v="9.0535"/>
        <n v="23928.80596"/>
        <n v="3401.1985521"/>
        <n v="343.0142225"/>
        <n v="20.8823252"/>
        <n v="21.9883087"/>
        <n v="21.3270994"/>
        <n v="253.990676"/>
        <n v="5.2269252"/>
        <n v="13.4574023"/>
        <n v="21.17571"/>
        <n v="29.646347"/>
        <n v="21.171415"/>
        <n v="77512.9449687"/>
        <n v="8613.844"/>
        <n v="48.6725162"/>
        <n v="59.7405653"/>
        <n v="124.9906889"/>
        <n v="47.489675"/>
        <n v="16.017936"/>
        <n v="38.52469"/>
        <n v="1280.4339143"/>
        <n v="2129.6054171"/>
        <n v="449.576396"/>
        <n v="137825.69265"/>
        <n v="42.6476517"/>
        <n v="43.6970897"/>
        <n v="4.294485"/>
        <n v="271.3320874"/>
        <n v="89.8183102"/>
        <n v="20.5185821"/>
        <n v="2161.4566559"/>
        <n v="3040.19925"/>
        <n v="41.8380095"/>
        <n v="216.9608307"/>
        <n v="446.66739"/>
        <n v="19.7033323"/>
        <n v="353.892745"/>
        <n v="18.9318247"/>
        <n v="18.8884306"/>
        <n v="213.9081442"/>
        <n v="73.7441273"/>
        <n v="2620.0700565"/>
        <n v="93953.83053"/>
        <n v="235.05183"/>
        <n v="15.9195202"/>
        <n v="14.561843"/>
        <n v="18.8733024"/>
        <n v="37.8651133"/>
        <n v="1792.4573317"/>
        <n v="132.3041722"/>
        <n v="62.2229254"/>
        <n v="121.5448662"/>
        <n v="49.6405699"/>
        <n v="30.9950895"/>
        <n v="25.5119314"/>
        <n v="22.4740224"/>
        <n v="18.3323784"/>
        <n v="172.5862"/>
        <n v="14.7467249"/>
        <n v="1296.397755"/>
        <n v="1660.7288054"/>
        <n v="71.8274702"/>
        <n v="515.1175105"/>
        <n v="52.374399"/>
        <n v="22.680325"/>
        <n v="13.3483159"/>
        <n v="18.1722524"/>
        <n v="154.7324452"/>
        <n v="430.6200008"/>
        <n v="42.5178003"/>
        <n v="18.0636479"/>
        <n v="53.7971282"/>
        <n v="29.0596923"/>
        <n v="308.0466462"/>
        <n v="17.9915686"/>
        <n v="1885.674"/>
        <n v="74.26148"/>
        <n v="5.8511705"/>
        <n v="4.9160152"/>
        <n v="17.78722"/>
        <n v="17.6768429"/>
        <n v="45.0734248"/>
        <n v="84.5296917"/>
        <n v="17.4004215"/>
        <n v="20.0880775"/>
        <n v="23.7257991"/>
        <n v="17.243003"/>
        <n v="900.2920387"/>
        <n v="37.4491395"/>
        <n v="89.8528143"/>
        <n v="43.4124102"/>
        <n v="85.454698"/>
        <n v="17.1308696"/>
        <n v="1572.7437198"/>
        <n v="128.3915701"/>
        <n v="51.2145901"/>
        <n v="1358.0424582"/>
        <n v="3231.7512789"/>
        <n v="15.2124527"/>
        <n v="379.5490442"/>
        <n v="16.934837"/>
        <n v="1951.874605"/>
        <n v="113.3402517"/>
        <n v="4051.308876"/>
        <n v="10.9442984"/>
        <n v="149.7905305"/>
        <n v="954.1350582"/>
        <n v="149.2665369"/>
        <n v="16.7856772"/>
        <n v="39.31847"/>
        <n v="14.22162"/>
        <n v="263.014785"/>
        <n v="102.0555754"/>
        <n v="23.438171"/>
        <n v="53254.28508"/>
        <n v="113.531936"/>
        <n v="907.05091"/>
        <n v="706.039383"/>
        <n v="23318.5856441"/>
        <n v="27.567804"/>
        <n v="10550.7345542"/>
        <n v="2182.490763"/>
        <n v="16.687585"/>
        <n v="8898.009"/>
        <n v="16974.0072805"/>
        <n v="120.1358"/>
        <n v="217.1349891"/>
        <n v="208964.978475"/>
        <n v="13924.1437497"/>
        <n v="24.20352"/>
        <n v="51.9239858"/>
        <n v="548.2662553"/>
        <n v="8291.3863235"/>
        <n v="5923.1400073"/>
        <n v="43707.3427358"/>
        <n v="1074.2207508"/>
        <n v="18156.9631676"/>
        <n v="151.5201382"/>
        <n v="13885.39674"/>
        <n v="12693.4945203"/>
        <n v="434800.3202244"/>
        <n v="30062.107356"/>
        <n v="86.423725"/>
        <n v="15957.1323116"/>
        <n v="76.1352973"/>
        <n v="741207.3203841"/>
        <n v="111.5289071"/>
        <n v="90041.961465"/>
        <n v="134.5367203"/>
        <n v="1341849.2100362"/>
        <n v="1822.368366"/>
        <n v="2244.8391857"/>
        <n v="355781.56785"/>
        <n v="16.08371"/>
        <n v="2586.8880707"/>
        <n v="66.57161"/>
        <n v="43190.1167053"/>
        <n v="66.7473216"/>
        <n v="2399.6252964"/>
        <n v="10392.86427"/>
        <n v="95.7876858"/>
        <n v="33122.2227001"/>
        <n v="20726.9756741"/>
        <n v="6.800295"/>
        <n v="25.981059"/>
        <n v="760.1935492"/>
        <n v="2812.4242958"/>
        <n v="360.2352049"/>
        <n v="44555.6614292"/>
        <n v="20.9597756"/>
        <n v="336.0747427"/>
        <n v="96278.81796"/>
        <n v="1516.8605388"/>
        <n v="101.6280039"/>
        <n v="320.4309709"/>
        <n v="917.991409"/>
        <n v="33310.469761"/>
        <n v="80.3174855"/>
        <n v="135.78201"/>
        <n v="44.5189396"/>
        <n v="224.241022"/>
        <n v="508.5487"/>
        <n v="25901.0362758"/>
        <n v="503.474016"/>
        <n v="15.35325"/>
        <n v="1723.5952984"/>
        <n v="15.3183672"/>
        <n v="5.1381743"/>
        <n v="133.5741823"/>
        <n v="42.3237881"/>
        <n v="11789.0482853"/>
        <n v="157.4850772"/>
        <n v="211.6095508"/>
        <n v="1582.3058986"/>
        <n v="2587.8957461"/>
        <n v="2241.6717598"/>
        <n v="1222.5605092"/>
        <n v="107569.3633283"/>
        <n v="345.6148744"/>
        <n v="155.9172724"/>
        <n v="118100.6508586"/>
        <n v="29358.78"/>
        <n v="151.444638"/>
        <n v="69.8737066"/>
        <n v="725.4541633"/>
        <n v="184.2186777"/>
        <n v="27.920891"/>
        <n v="95.1212063"/>
        <n v="8515.959685"/>
        <n v="2088.8981527"/>
        <n v="14.3416489"/>
        <n v="2177.6307255"/>
        <n v="16.8307669"/>
        <n v="31634.796985"/>
        <n v="33.50207"/>
        <n v="60.5729412"/>
        <n v="4247.58719"/>
        <n v="17298.1885694"/>
        <n v="513.8876331"/>
        <n v="113.151729"/>
        <n v="77.7033387"/>
        <n v="45.9129173"/>
        <n v="285.2560376"/>
        <n v="7771.94416"/>
        <n v="26.3073025"/>
        <n v="14.2738222"/>
        <n v="17949.72435"/>
        <n v="248.35536"/>
        <n v="140012.0389469"/>
        <n v="3286.5319177"/>
        <n v="53730.1623406"/>
        <n v="4.4823545"/>
        <n v="841832.3564995"/>
        <n v="94.618854"/>
        <n v="1237.6946543"/>
        <n v="433.0886616"/>
        <n v="112733.3544347"/>
        <n v="12546.9833678"/>
        <n v="653.548608"/>
        <n v="12681.4165348"/>
        <n v="1285.5838686"/>
        <n v="396974.3421"/>
        <n v="6980.2070715"/>
        <n v="4281.6967275"/>
        <n v="14.2214228"/>
        <n v="121542.8501557"/>
        <n v="134380.6475"/>
        <n v="1960.4967842"/>
        <n v="2352.9981806"/>
        <n v="9229.382448"/>
        <n v="104003.6251896"/>
        <n v="107195.1597284"/>
        <n v="65195.1500171"/>
        <n v="1021.680024"/>
        <n v="45751.6737997"/>
        <n v="22168.8771553"/>
        <n v="178.470468"/>
        <n v="7982.4845456"/>
        <n v="73956.4845714"/>
        <n v="665.6379975"/>
        <n v="7819.370659"/>
        <n v="1418.7237746"/>
        <n v="126.2074288"/>
        <n v="19265.5562568"/>
        <n v="36173.7440713"/>
        <n v="167816.8061836"/>
        <n v="72324.1370007"/>
        <n v="5691.8488617"/>
        <n v="3656.9565"/>
        <n v="1447.6652665"/>
        <n v="54205.3728533"/>
        <n v="2336.0704803"/>
        <n v="35633.6914737"/>
        <n v="6626.8057176"/>
        <n v="7649.8138349"/>
        <n v="5813.2605457"/>
        <n v="366.6719442"/>
        <n v="140133.404675"/>
        <n v="254062.5318505"/>
        <n v="9768.9025"/>
        <n v="182.5235949"/>
        <n v="40306.9108647"/>
        <n v="1391.2364837"/>
        <n v="3160.666099"/>
        <n v="321.698088"/>
        <n v="33.0588885"/>
        <n v="1340.264592"/>
        <n v="14.1201071"/>
        <n v="932.664791"/>
        <n v="1173.182692"/>
        <n v="72260.1270256"/>
        <n v="610.5686955"/>
        <n v="98.9908895"/>
        <n v="45108.42"/>
        <n v="14.0469137"/>
        <n v="20081.538138"/>
        <n v="166.3836625"/>
        <n v="9836.723187"/>
        <n v="40.5676961"/>
        <n v="702.4112592"/>
        <n v="19700.9851492"/>
        <n v="57160.3250672"/>
        <n v="13.9599651"/>
        <n v="8521.626"/>
        <n v="703.4979851"/>
        <n v="1070.3625147"/>
        <n v="176.028102"/>
        <n v="5572.58725"/>
        <n v="266.1582"/>
        <n v="155.3547005"/>
        <n v="16124.9035719"/>
        <n v="1388.835972"/>
        <n v="621.5559876"/>
        <n v="2789.7923609"/>
        <n v="695.3551074"/>
        <n v="87874.27925"/>
        <n v="20494.2797721"/>
        <n v="59357.9579025"/>
        <n v="395.5599878"/>
        <n v="313.948802"/>
        <n v="15.7745901"/>
        <n v="50429.4807695"/>
        <n v="1455.6836883"/>
        <n v="13.756533"/>
        <n v="909.948466"/>
        <n v="61428.9342241"/>
        <n v="632.132989"/>
        <n v="105.1715244"/>
        <n v="1991.3294455"/>
        <n v="964.956275"/>
        <n v="1201.047876"/>
        <n v="24.4402675"/>
        <n v="89900.7743215"/>
        <n v="1967.3282745"/>
        <n v="356.88254"/>
        <n v="1738.7109501"/>
        <n v="440.9152465"/>
        <n v="13.4722346"/>
        <n v="149057.3199972"/>
        <n v="205.3927805"/>
        <n v="1834.7882689"/>
        <n v="2050.4624729"/>
        <n v="5608.2144383"/>
        <n v="310.048528"/>
        <n v="591.5514705"/>
        <n v="28.16759"/>
        <n v="5370.9854337"/>
        <n v="15795.3773951"/>
        <n v="67.5053811"/>
        <n v="1324.5113622"/>
        <n v="47.8040517"/>
        <n v="4481.4502212"/>
        <n v="66283.226462"/>
        <n v="40159.8865175"/>
        <n v="38578.45984"/>
        <n v="383.125254"/>
        <n v="829.8136018"/>
        <n v="834.124145"/>
        <n v="1447.621416"/>
        <n v="1781.9005033"/>
        <n v="15.5638448"/>
        <n v="47.0954481"/>
        <n v="3403.4665161"/>
        <n v="11.6851678"/>
        <n v="11.5919517"/>
        <n v="126342.4891624"/>
        <n v="32748.5950093"/>
        <n v="24751.6654"/>
        <n v="11.09538"/>
        <n v="541.548168"/>
        <n v="83.9541136"/>
        <n v="86663.2438463"/>
        <n v="801.2420566"/>
        <n v="3.416874"/>
        <n v="3528.7912333"/>
        <n v="172.9463466"/>
        <n v="4310.9296888"/>
        <n v="10.9333898"/>
        <n v="452.2783659"/>
        <n v="4601.1180251"/>
        <n v="493.2579468"/>
        <n v="20525.46356"/>
        <n v="14914.012318"/>
        <n v="563.5424255"/>
        <n v="1052.9265266"/>
        <n v="5087.9411091"/>
        <n v="6547.3456561"/>
        <n v="422.0071386"/>
        <n v="6466.7298394"/>
        <n v="931.270532"/>
        <n v="57.5287139"/>
        <n v="4072.840429"/>
        <n v="483.7079658"/>
        <n v="8721.8904759"/>
        <n v="1381.8105015"/>
        <n v="67984.256395"/>
        <n v="257.8762959"/>
        <n v="18541.106748"/>
        <n v="10.6841397"/>
        <n v="171.5404179"/>
        <n v="446.9991269"/>
        <n v="3004.8663375"/>
        <n v="9.9603"/>
        <n v="21116.135044"/>
        <n v="12885.80964"/>
        <n v="121.9409226"/>
        <n v="10830.6261"/>
        <n v="1897.8643467"/>
        <n v="31.9962641"/>
        <n v="44.5878415"/>
        <n v="228664.5644279"/>
        <n v="19.2271922"/>
        <n v="503.1203062"/>
        <n v="9018.278823"/>
        <n v="136.6208174"/>
        <n v="268.9570503"/>
        <n v="16449.3027092"/>
        <n v="18825.9763352"/>
        <n v="1728.40824"/>
        <n v="60078.7362708"/>
        <n v="2834.2150942"/>
        <n v="460.024441"/>
        <n v="949.7023245"/>
        <n v="26081.4474613"/>
        <n v="49.611326"/>
        <n v="182.954669"/>
        <n v="3468.0914865"/>
        <n v="2007.6152173"/>
        <n v="2095.1838223"/>
        <n v="516.6424995"/>
        <n v="117.8658586"/>
        <n v="32950.6997181"/>
        <n v="9.7065901"/>
        <n v="1284.4915263"/>
        <n v="2824.0383345"/>
        <n v="16191.8198"/>
        <n v="161.8488111"/>
        <n v="54.6075729"/>
        <n v="620771.6763005"/>
        <n v="1048.2556364"/>
        <n v="184.9456227"/>
        <n v="200.658626"/>
        <n v="2142.72027"/>
        <n v="2119.5334372"/>
        <n v="8282.2677857"/>
        <n v="198.5826715"/>
        <n v="958.1196404"/>
        <n v="7614.4467"/>
        <n v="311.5461476"/>
        <n v="23300.9967262"/>
        <n v="12561.8749794"/>
        <n v="283.60458"/>
        <n v="332.1818109"/>
        <n v="30.8719305"/>
        <n v="324.1298035"/>
        <n v="227156.0213591"/>
        <n v="4791.1401452"/>
        <n v="5628.2993202"/>
        <n v="248.5919554"/>
        <n v="775.2701777"/>
        <n v="272.7232503"/>
        <n v="9.5395481"/>
        <n v="8731.8385596"/>
        <n v="144.2391219"/>
        <n v="77.72623"/>
        <n v="8.998854"/>
        <n v="17995.9400406"/>
        <n v="979.1328684"/>
        <n v="3289.7726938"/>
        <n v="27.411264"/>
        <n v="56815.6753283"/>
        <n v="8.8664345"/>
        <n v="7740.32802"/>
        <n v="6876.3866768"/>
        <n v="285.209995"/>
        <n v="99.7260673"/>
        <n v="640.0478342"/>
        <n v="113.2758345"/>
        <n v="308.442401"/>
        <n v="348.2526235"/>
        <n v="1504.8090351"/>
        <n v="18206.0486619"/>
        <n v="30502.4142055"/>
        <n v="301.5009752"/>
        <n v="16686.5396342"/>
        <n v="765.618597"/>
        <n v="3072.5237561"/>
        <n v="61.1011581"/>
        <n v="243.4933125"/>
        <n v="526.5435783"/>
        <n v="50340.3449874"/>
        <n v="33542.2813983"/>
        <n v="100.1505928"/>
        <n v="3249.1851973"/>
        <n v="23779.2127947"/>
        <n v="1711.7264385"/>
        <n v="936.4620418"/>
        <n v="50.32127"/>
        <n v="5943.157295"/>
        <n v="120094.697865"/>
        <n v="108512.6032396"/>
        <n v="386.672325"/>
        <n v="2709.457765"/>
        <n v="206.4596899"/>
        <n v="756.2627475"/>
        <n v="294.7944196"/>
        <n v="189.7272578"/>
        <n v="371.1274938"/>
        <n v="198.2473925"/>
        <n v="118.6493664"/>
        <n v="228.6631859"/>
        <n v="287.6280351"/>
        <n v="119.2092356"/>
        <n v="8.6005047"/>
        <n v="11.9414588"/>
        <n v="5.612618"/>
        <n v="774.7433188"/>
        <n v="8393.1074388"/>
        <n v="144.0921525"/>
        <n v="75159.4007042"/>
        <n v="3984.260171"/>
        <n v="139.1943956"/>
        <n v="123.4919913"/>
        <n v="54.8994355"/>
        <n v="2661.321728"/>
        <n v="96413.2067628"/>
        <n v="8.5767502"/>
        <n v="77.49404"/>
        <n v="59030.1144996"/>
        <n v="45739.5633904"/>
        <n v="15216.07536"/>
        <n v="45.434029"/>
        <n v="2377.1984837"/>
        <n v="20701.10757"/>
        <n v="283.9685584"/>
        <n v="1937.0411797"/>
        <n v="15625.6537993"/>
        <n v="2625.9362689"/>
        <n v="2735.3140844"/>
        <n v="1911.7932318"/>
        <n v="27229.1251327"/>
        <n v="15.78797"/>
        <n v="88933.602"/>
        <n v="5673.3453018"/>
        <n v="696.56136"/>
        <n v="7269.1651348"/>
        <n v="1587.5550506"/>
        <n v="4802.2454368"/>
        <n v="28908.3801022"/>
        <n v="198.4406546"/>
        <n v="4118.2667598"/>
        <n v="223.7051531"/>
        <n v="151.9195884"/>
        <n v="2146.607892"/>
        <n v="9425.5422"/>
        <n v="127.2463"/>
        <n v="243.3441627"/>
        <n v="366655.2779206"/>
        <n v="201.5604718"/>
        <n v="32.216345"/>
        <n v="514.3177916"/>
        <n v="1314.9452381"/>
        <n v="58.18701"/>
        <n v="24.6629541"/>
        <n v="11185.571678"/>
        <n v="826.0157735"/>
        <n v="537.8694477"/>
        <n v="57.3945654"/>
        <n v="729.3100883"/>
        <n v="387.7485"/>
        <n v="249.26256"/>
        <n v="3669.1566469"/>
        <n v="148.7129032"/>
        <n v="8.5620313"/>
        <n v="282.0400745"/>
        <n v="1083.6984787"/>
        <n v="725.757816"/>
        <n v="193.7888797"/>
        <n v="4115.5379655"/>
        <n v="2030.5853726"/>
        <n v="2056.6470344"/>
        <n v="11.279364"/>
        <n v="72240.6351707"/>
        <n v="756.8126043"/>
        <n v="21412.9178353"/>
        <n v="11676.4084"/>
        <n v="5667.0684378"/>
        <n v="7618.26362"/>
        <n v="166.8968"/>
        <n v="18435.3059731"/>
        <n v="35093.0841952"/>
        <n v="516.960587"/>
        <n v="273.0588852"/>
        <n v="10961.40087"/>
        <n v="246.8648583"/>
        <n v="8.4193976"/>
        <n v="371.5884839"/>
        <n v="111881.5815"/>
        <n v="77.2863712"/>
        <n v="28691.7834314"/>
        <n v="7.9146659"/>
        <n v="191.703068"/>
        <n v="154.6133364"/>
        <n v="2794.5696706"/>
        <n v="2576.6599977"/>
        <n v="1955.0458722"/>
        <n v="66.6727965"/>
        <n v="857.5042424"/>
        <n v="13.956865"/>
        <n v="2436.4714475"/>
        <n v="12132.2685337"/>
        <n v="323.7616935"/>
        <n v="4373.9870714"/>
        <n v="815.0745145"/>
        <n v="121384.9362952"/>
        <n v="198.9396815"/>
        <n v="2822.6443145"/>
        <n v="42566.1183458"/>
        <n v="85.272768"/>
        <n v="7.3169214"/>
        <n v="72.2614371"/>
        <n v="240.5738918"/>
        <n v="935.950068"/>
        <n v="1187.463736"/>
        <n v="39.4899322"/>
        <n v="244.3488628"/>
        <n v="8714.5853657"/>
        <n v="7.0133007"/>
        <n v="110.5748407"/>
        <n v="234.82865"/>
        <n v="2223.0356712"/>
        <n v="35776.5754825"/>
        <n v="7773.6850349"/>
        <n v="96.9512787"/>
        <n v="17864.8162973"/>
        <n v="6.9635021"/>
        <n v="247.4757365"/>
        <n v="50.4545448"/>
        <n v="24.2826579"/>
        <n v="95.3436035"/>
        <n v="28623.179721"/>
        <n v="278.0024738"/>
        <n v="6.9291936"/>
        <n v="59781.3345413"/>
        <n v="810.756104"/>
        <n v="6.8624759"/>
        <n v="292.705785"/>
        <n v="103.7310446"/>
        <n v="234.5155912"/>
        <n v="100.7034435"/>
        <n v="1109.615148"/>
        <n v="23279.0819885"/>
        <n v="24688.7623434"/>
        <n v="11.22652"/>
        <n v="5326.7661886"/>
        <n v="5.4049384"/>
        <n v="23226.0283512"/>
        <n v="23.1927939"/>
        <n v="1065.2777448"/>
        <n v="114.6076239"/>
        <n v="858.1419917"/>
        <n v="2562.510935"/>
        <n v="6.8906204"/>
        <n v="844.1377978"/>
        <n v="17.3556793"/>
        <n v="13946.4883482"/>
        <n v="143.7075738"/>
        <n v="3954.2455521"/>
        <n v="65.924249"/>
        <n v="5.9686173"/>
        <n v="17144.5611083"/>
        <n v="35.3505587"/>
        <n v="7.8395984"/>
        <n v="13.8611753"/>
        <n v="207.4123677"/>
        <n v="461.2682796"/>
        <n v="454.7124353"/>
        <n v="24.8834856"/>
        <n v="22.72426"/>
        <n v="294.7673967"/>
        <n v="414.1172086"/>
        <n v="35.1291433"/>
        <n v="957.6977591"/>
        <n v="1719.0447016"/>
        <n v="7.195975"/>
        <n v="3715.386863"/>
        <n v="3157.7228639"/>
        <n v="2386.5928863"/>
        <n v="10077.0862857"/>
        <n v="20661.96288"/>
        <n v="2574.368"/>
        <n v="5.9657642"/>
        <n v="5.8941937"/>
        <n v="49.4341737"/>
        <n v="22.44217"/>
        <n v="3387.3158926"/>
        <n v="37.7063572"/>
        <n v="19.3817281"/>
        <n v="90.7636473"/>
        <n v="181.4155"/>
        <n v="676.363396"/>
        <n v="87596.9098923"/>
        <n v="175.4908579"/>
        <n v="29979.55044"/>
        <n v="14.8788821"/>
        <n v="331.9261564"/>
        <n v="306.490926"/>
        <n v="68.5720373"/>
        <n v="62.3459587"/>
        <n v="16548.8512926"/>
        <n v="11474.9686955"/>
        <n v="5535.95694"/>
        <n v="148.245401"/>
        <n v="194.2622062"/>
        <n v="424.914264"/>
        <n v="57.9196987"/>
        <n v="4.132814"/>
        <n v="180.0375109"/>
        <n v="52.7609225"/>
        <n v="10.7767069"/>
        <n v="17.78727"/>
        <n v="952.5897761"/>
        <n v="40.95"/>
        <n v="303.5743025"/>
        <n v="114.307004"/>
        <n v="91.23705"/>
        <n v="1162.2670295"/>
        <n v="413.435291"/>
        <n v="116.8156722"/>
        <n v="274.2258871"/>
        <n v="263.029745"/>
        <n v="19.0379884"/>
        <n v="40.46532"/>
        <n v="23.6199375"/>
        <n v="515.752919"/>
        <n v="33.4341955"/>
        <n v="3.9866381"/>
        <n v="794.1245583"/>
        <n v="448.236945"/>
        <n v="46.6354128"/>
        <n v="186.332663"/>
        <n v="43.5646574"/>
        <n v="79.53026"/>
        <n v="604.874593"/>
        <n v="20.0851217"/>
        <n v="7683.029278"/>
        <n v="61.1960094"/>
        <n v="12.166441"/>
        <n v="3.793817"/>
        <n v="204.3108"/>
        <n v="71.7534195"/>
        <n v="67.9392"/>
        <n v="89.7416334"/>
        <n v="67.923394"/>
        <n v="29.2524946"/>
        <n v="937.37"/>
        <n v="68.6567409"/>
        <n v="2.8171032"/>
        <n v="7.6095292"/>
        <n v="318.0916994"/>
        <n v="46.4399962"/>
        <n v="6.5397071"/>
        <n v="107.2278156"/>
        <n v="30.040361"/>
        <n v="3847.96818"/>
        <n v="80.5900071"/>
        <n v="62.4"/>
        <n v="12919.8701782"/>
        <n v="25.08316"/>
        <n v="38.1022108"/>
        <n v="432.3139636"/>
        <n v="195.9694"/>
        <n v="50.9467787"/>
        <n v="77.3078129"/>
        <n v="78.9894935"/>
        <n v="3991.7569543"/>
        <n v="489.845688"/>
        <n v="421.4710367"/>
        <n v="138.1773228"/>
        <n v="15.5853222"/>
        <n v="137.6234035"/>
        <n v="98.3529025"/>
        <n v="371.848314"/>
        <n v="159.715"/>
        <n v="21055.81845"/>
        <n v="202.39296"/>
        <n v="880.306752"/>
        <n v="34.8197259"/>
        <n v="23.5437484"/>
        <n v="653.2055756"/>
        <n v="89.27228"/>
        <n v="9.5438403"/>
        <n v="13.7329299"/>
        <n v="8.6690561"/>
        <n v="256.839581"/>
        <n v="109.8736"/>
        <n v="25.0231812"/>
        <n v="35032.0459455"/>
        <n v="1269.275138"/>
        <n v="80.3064552"/>
        <n v="27.6162141"/>
        <n v="5.5149759"/>
        <n v="10.1821637"/>
        <n v="25.95646"/>
        <n v="22.7054335"/>
        <n v="7.791986"/>
        <n v="93.3822559"/>
        <n v="289.71792"/>
        <n v="5564.7466552"/>
        <n v="207.1623072"/>
        <n v="227.0459007"/>
        <n v="247.884975"/>
        <n v="31.5821231"/>
        <n v="14.6180338"/>
        <n v="44.354"/>
        <n v="24.3274326"/>
        <n v="160.0975529"/>
        <n v="12.4114192"/>
        <n v="572.3097473"/>
        <n v="84454.4820001"/>
        <n v="110.6898409"/>
        <n v="40.7221331"/>
        <n v="1599.096"/>
        <n v="26.4976909"/>
        <n v="16575.6956759"/>
        <n v="353.656848"/>
        <n v="1116.471825"/>
        <n v="8448.8511187"/>
        <n v="43.5720682"/>
        <n v="70.5330762"/>
        <n v="34.645563"/>
        <n v="423.5169295"/>
        <n v="1491.8862287"/>
        <n v="3.203294"/>
        <n v="57.2711212"/>
        <n v="1058.116592"/>
        <n v="369.8842574"/>
        <n v="181.9779889"/>
        <n v="464.83554"/>
        <n v="4238.226"/>
        <n v="6982.8393375"/>
        <n v="12.5112"/>
        <n v="96.9491712"/>
        <n v="5.0330872"/>
        <n v="253.273211"/>
        <n v="261.60858"/>
        <n v="27.9565026"/>
        <n v="21.9501762"/>
        <n v="23.506776"/>
        <n v="31.2116827"/>
        <n v="10.9499119"/>
        <n v="19.3154696"/>
        <n v="262.0257"/>
        <n v="513.1187768"/>
        <n v="13.4360372"/>
        <n v="1026.31824"/>
        <n v="13258.6077"/>
        <n v="774.4674983"/>
        <n v="120.8320666"/>
        <n v="19.895"/>
        <n v="61.6897184"/>
        <n v="180438.73172"/>
        <n v="33.9696945"/>
        <n v="277.6521206"/>
        <n v="298.461044"/>
        <n v="76.1213277"/>
        <n v="1985.949"/>
        <n v="1376.34375"/>
        <n v="62.534772"/>
        <n v="160.9085347"/>
        <n v="149.1546821"/>
        <n v="134.1671708"/>
        <n v="51.4131026"/>
        <n v="1100.9101663"/>
        <n v="568.009356"/>
        <n v="224.5346167"/>
        <n v="20.247283"/>
        <n v="83.6488988"/>
        <n v="367.2743525"/>
        <n v="18981.3507629"/>
        <n v="257.5024153"/>
        <n v="17.09568"/>
        <n v="24.73054"/>
        <n v="225566.9181925"/>
        <n v="270.7291599"/>
        <n v="573.6996507"/>
        <n v="109.6016497"/>
        <n v="8.9430177"/>
        <n v="16.0182926"/>
        <n v="978.0001117"/>
        <n v="921.9449"/>
        <n v="106.9525614"/>
        <n v="3195.5221738"/>
        <n v="107236.3663813"/>
        <n v="1780.4645"/>
        <n v="84.9977133"/>
        <n v="210.7409764"/>
        <n v="248.7646787"/>
        <n v="689.92006"/>
        <n v="103510.7698512"/>
        <n v="1575.325"/>
        <n v="196.2190228"/>
        <n v="121.6460766"/>
        <n v="46.0056539"/>
        <n v="458.8318172"/>
        <n v="84.675723"/>
        <n v="145.1927737"/>
        <n v="402.1242202"/>
        <n v="732.6039008"/>
        <n v="94.5423"/>
        <n v="9.6142149"/>
        <n v="2427.394381"/>
        <n v="252.1923536"/>
        <n v="46.9538081"/>
        <n v="1161.1726408"/>
        <n v="10628.5162201"/>
        <n v="152.9139943"/>
        <n v="2639.0741682"/>
        <n v="1208.882"/>
        <n v="45.0581375"/>
        <n v="175.5160879"/>
        <n v="20.7559739"/>
        <n v="40.4186147"/>
        <n v="28.1643423"/>
        <n v="447.3679"/>
        <n v="295.9172628"/>
        <n v="57.3711398"/>
        <n v="9318.9517"/>
        <n v="6925.7406772"/>
        <n v="108.7817945"/>
        <n v="4388.7210915"/>
        <n v="23964.1023887"/>
        <n v="78.4528879"/>
        <n v="28.733736"/>
        <n v="199.603642"/>
        <n v="284.7064895"/>
        <n v="1865.2180488"/>
        <n v="136.4040351"/>
        <n v="4527.0540205"/>
        <n v="267.815"/>
        <n v="1823.5473553"/>
        <n v="79.4557367"/>
        <n v="1608.3792"/>
        <n v="16.3165254"/>
        <n v="2679.0197587"/>
        <n v="24.9431823"/>
        <n v="23.80251"/>
        <n v="185.475"/>
        <n v="41.958"/>
        <n v="2450.680245"/>
        <n v="414.228924"/>
        <n v="140.8117773"/>
        <n v="436.4352441"/>
        <n v="5.5885935"/>
        <n v="114.307058"/>
        <n v="1204.0350506"/>
        <n v="7932.513588"/>
        <n v="185.6299"/>
        <n v="6.8078135"/>
        <n v="1793.0754109"/>
        <n v="7.1756401"/>
        <n v="7699.2220338"/>
        <n v="5.1580364"/>
        <n v="1754.38142"/>
        <n v="24.2467024"/>
        <n v="901.326938"/>
        <n v="229.0052667"/>
        <n v="3332.9053682"/>
        <n v="918.2155643"/>
        <n v="137.2197983"/>
        <n v="14152.3720259"/>
        <n v="17836.0153962"/>
        <n v="21.5674311"/>
        <n v="2087.0707021"/>
        <n v="284.6862242"/>
        <n v="763.1885184"/>
        <n v="1404.2140854"/>
        <n v="55.2120353"/>
        <n v="5959.7322005"/>
        <n v="144.345453"/>
        <n v="165.3988848"/>
        <n v="370.0698053"/>
        <n v="23.19028"/>
        <n v="302.4643522"/>
        <n v="17008.7900074"/>
        <n v="511.17918"/>
        <n v="17826.3528629"/>
        <n v="4252.96344"/>
        <n v="8687.39141"/>
        <n v="1769.5287148"/>
        <n v="1668.0216988"/>
        <n v="41.6453"/>
        <n v="26.9285912"/>
        <n v="21437.0686339"/>
        <n v="7277.0238305"/>
        <n v="210.927783"/>
        <n v="203.9680747"/>
        <n v="188.8779513"/>
        <n v="46.42541"/>
        <n v="28.4489057"/>
        <n v="166.1288527"/>
        <n v="2.872467"/>
        <n v="17692.2927955"/>
        <n v="1723.2993998"/>
        <n v="706.3224166"/>
        <n v="58881.9104685"/>
        <n v="59.0791463"/>
        <n v="2862.4509567"/>
        <n v="128.2521379"/>
        <n v="1132.8829103"/>
        <n v="126.371401"/>
        <n v="37.2412087"/>
        <n v="10.3969"/>
        <n v="229.8117"/>
        <n v="31924.82835"/>
        <n v="4.2042283"/>
        <n v="83.13969"/>
        <n v="68066.13375"/>
        <n v="53.7225394"/>
        <n v="109109.9897924"/>
        <n v="55.3494067"/>
        <n v="173.9662857"/>
        <n v="21.2059069"/>
        <n v="44795.4183202"/>
        <n v="66.6067313"/>
        <n v="500145.3141"/>
        <n v="25.7918433"/>
        <n v="274737.12014"/>
        <n v="67.10234"/>
        <n v="557.7905321"/>
        <n v="15.56261"/>
        <n v="5531.32944"/>
        <n v="21.775971"/>
        <n v="2206.5420146"/>
        <n v="160.5696816"/>
        <n v="751.7986051"/>
        <n v="31.593609"/>
        <n v="660.7986497"/>
        <n v="19797.1745705"/>
        <n v="266.3150377"/>
        <n v="357.6231451"/>
        <n v="330.5569861"/>
        <n v="162.24"/>
        <n v="451.5397284"/>
        <n v="282.4674"/>
        <n v="21.1299443"/>
        <n v="1743.4249"/>
        <n v="81.76297"/>
        <n v="41.25"/>
        <n v="599.8163"/>
        <n v="813.588736"/>
        <n v="54.4438723"/>
        <n v="6713.1827001"/>
        <n v="2709.3686397"/>
        <n v="26.6080212"/>
        <n v="44.236007"/>
        <n v="5488.233244"/>
        <n v="99.8701293"/>
        <n v="6056.8113003"/>
        <n v="15101.4423753"/>
        <n v="1981.9806538"/>
        <n v="7141.08996"/>
        <n v="395.8061654"/>
        <n v="15.3916306"/>
        <n v="3255.3475429"/>
        <n v="170.8652701"/>
        <n v="142.6305284"/>
        <n v="1312.9984443"/>
        <n v="1078.9895737"/>
        <n v="35.23032"/>
        <n v="207.264"/>
        <n v="62.1365386"/>
        <n v="30578.9154751"/>
        <n v="256.1269261"/>
        <n v="11044.9149124"/>
        <n v="31.1836"/>
        <n v="195.878725"/>
        <n v="9158.1210409"/>
        <n v="695.4915054"/>
        <n v="475.34108"/>
        <n v="69.5942965"/>
        <n v="8390.039756"/>
        <n v="415.1391695"/>
        <n v="2772.652255"/>
        <n v="116.6973426"/>
        <n v="1368.8912385"/>
        <n v="177.5703071"/>
        <n v="2605.6154129"/>
        <n v="34.0874755"/>
        <n v="76703.9200403"/>
        <n v="6864.3956755"/>
        <n v="2210.7804066"/>
        <n v="5017.627"/>
        <n v="42.7844701"/>
        <n v="43.7453412"/>
        <n v="103.0919274"/>
        <n v="31.52864"/>
        <n v="420.9413696"/>
        <n v="1040.17238"/>
        <n v="32836.6690468"/>
        <n v="11779.7470613"/>
        <n v="50519.9715085"/>
        <n v="40872.4186183"/>
        <n v="572.8083875"/>
        <n v="25048.6127775"/>
        <n v="10082.6420575"/>
        <n v="22968.703385"/>
        <n v="2414.0565798"/>
        <n v="671.7237666"/>
        <n v="1577.5656084"/>
        <n v="32908.3368858"/>
        <n v="20.83176"/>
        <n v="30.3818174"/>
        <n v="64.7514217"/>
        <n v="1415.2496032"/>
        <n v="231.08436"/>
        <n v="2887.7085643"/>
        <n v="38.4042294"/>
        <n v="108.6660271"/>
        <n v="129.90375"/>
        <n v="118.2429019"/>
        <n v="3248.5827141"/>
        <n v="7067.508712"/>
        <n v="182.9094512"/>
        <n v="13313.2911678"/>
        <n v="44.8283725"/>
        <n v="49.9738073"/>
        <n v="40020.9532033"/>
        <n v="40.1570057"/>
        <n v="338.15508"/>
        <n v="23.0815"/>
        <n v="338.1599465"/>
        <n v="72.5421745"/>
        <n v="194.6513439"/>
        <n v="21.2316111"/>
        <n v="256.436345"/>
        <n v="79.0876779"/>
        <n v="19098.79"/>
        <n v="36.4642462"/>
        <n v="60.0"/>
        <n v="10382.3554546"/>
        <n v="337.7135034"/>
        <n v="972.795"/>
        <n v="39.30651"/>
        <n v="5302.264444"/>
        <n v="150.6769"/>
        <n v="8094.7305545"/>
        <n v="15191.4325069"/>
        <n v="205.0449644"/>
        <n v="3463.953506"/>
        <n v="2223.0214618"/>
        <n v="30.6518267"/>
        <n v="14246.8159601"/>
        <n v="34426.919466"/>
        <n v="547.1204024"/>
        <n v="8866.573906"/>
        <n v="867.7716668"/>
        <n v="1062.8702456"/>
        <n v="6072.7957994"/>
        <n v="78.2968625"/>
        <n v="421.092"/>
        <n v="3301.5938665"/>
        <n v="19.9411464"/>
        <n v="181.2241438"/>
        <n v="286.7806525"/>
        <n v="397.5794117"/>
        <n v="543.5097708"/>
        <n v="623.181764"/>
        <n v="3029.834346"/>
        <n v="76.6046999"/>
        <n v="242.6490323"/>
        <n v="72426.0148971"/>
        <n v="39.6016983"/>
        <n v="2180.4081334"/>
        <n v="39562.4007722"/>
        <n v="24447.4221704"/>
        <n v="8917.6060723"/>
        <n v="379.167807"/>
        <n v="37.7487351"/>
        <n v="3407.6680132"/>
        <n v="633.2601"/>
        <n v="14561.39052"/>
        <n v="50.0"/>
        <n v="11148.993289"/>
        <n v="25.0450892"/>
        <n v="191.8406086"/>
        <n v="24.28585"/>
        <n v="44.30977"/>
        <n v="544.5165595"/>
        <n v="24.3501177"/>
        <n v="18660.5501048"/>
        <n v="2295.840011"/>
        <n v="3764.788454"/>
        <n v="6617.7852323"/>
        <n v="8872.371374"/>
        <n v="395.568998"/>
        <n v="202.9699635"/>
        <n v="28.2939768"/>
        <n v="215.0991234"/>
        <n v="17.7162091"/>
        <n v="62.158906"/>
        <n v="177.4194301"/>
        <n v="64784.34567"/>
        <n v="53.4097376"/>
        <n v="7274.3604976"/>
        <n v="93.324"/>
        <n v="42.9301281"/>
        <n v="11479.15802"/>
        <n v="381.6448032"/>
        <n v="683.800201"/>
        <n v="263.775935"/>
        <n v="75.9015928"/>
        <n v="555.8787827"/>
        <n v="6515.1197896"/>
        <n v="790.5921668"/>
        <n v="912.324292"/>
        <n v="169.4772327"/>
        <n v="10186.7730141"/>
        <n v="201.9545552"/>
        <n v="81.1620759"/>
        <n v="3648.1500083"/>
        <n v="24244.6511604"/>
        <n v="247.5771978"/>
        <n v="207.3727999"/>
        <n v="34.941"/>
        <n v="28.26968"/>
        <n v="9455.73048"/>
        <n v="7345.9467407"/>
        <n v="6450.6516"/>
        <n v="28417.34"/>
        <n v="27.8790395"/>
        <n v="4204.5930346"/>
        <n v="21.4056647"/>
        <n v="1326.9301913"/>
        <n v="792.9794496"/>
        <n v="61.88424"/>
        <n v="86.587365"/>
        <n v="16.0478604"/>
        <n v="208.944685"/>
        <n v="71.7106348"/>
        <n v="109.0264282"/>
        <n v="886.0110299"/>
        <n v="19855.6500124"/>
        <n v="64.701624"/>
        <n v="488.4683997"/>
        <n v="8082.5997435"/>
        <n v="10277.06525"/>
        <n v="5871.24832"/>
        <n v="1298.8297687"/>
        <n v="21.14949"/>
        <n v="20037.8033641"/>
        <n v="1980.4297588"/>
        <n v="24.4536"/>
        <n v="59.45476"/>
        <n v="42783.6446818"/>
        <n v="13157.24"/>
        <n v="56.9392248"/>
        <n v="3774.8971256"/>
        <n v="322.1922225"/>
        <n v="4053.6330016"/>
        <n v="183.9182457"/>
        <n v="25.144543"/>
        <n v="163.0698557"/>
        <n v="21614.193015"/>
        <n v="29876.5098211"/>
        <n v="3184.797499"/>
        <n v="24.1694"/>
        <n v="20445.147089"/>
        <n v="47.1674885"/>
        <n v="21.4941398"/>
        <n v="2443.854929"/>
        <n v="18676.2281251"/>
        <n v="7.6649586"/>
        <n v="412.307698"/>
        <n v="54.7393763"/>
        <n v="12591.84291"/>
        <n v="68.4675367"/>
        <n v="7884.330986"/>
        <n v="23.8832514"/>
        <n v="38.881455"/>
        <n v="7987.8834"/>
        <n v="12.5879106"/>
        <n v="245.49283"/>
        <n v="606.808993"/>
        <n v="52.1210089"/>
        <n v="4192.7870441"/>
        <n v="4589.1403098"/>
        <n v="1031.5251137"/>
        <n v="2129.0009994"/>
        <n v="7853.2742401"/>
        <n v="1331.385025"/>
        <n v="58969.40202"/>
        <n v="11575.1296927"/>
        <n v="156.4896804"/>
        <n v="1842.157125"/>
        <n v="52.9197599"/>
        <n v="60072.45704"/>
        <n v="974.2057575"/>
        <n v="105.8873"/>
        <n v="350826.3051046"/>
        <n v="219.1187071"/>
        <n v="8831.0638545"/>
        <n v="16775.420922"/>
        <n v="253.136693"/>
        <n v="1747.7756205"/>
        <n v="259.6365"/>
        <n v="25833.1674616"/>
        <n v="49.9443"/>
        <n v="24496.7467145"/>
        <n v="4988.55717"/>
        <n v="16658.97513"/>
        <n v="284.3907284"/>
        <n v="1954.71729"/>
        <n v="87333.0249279"/>
        <n v="1451.1654849"/>
        <n v="17.2530297"/>
        <n v="100455.8184"/>
        <n v="16970.061085"/>
        <n v="7601.3074508"/>
        <n v="1946.5225498"/>
        <n v="111.4420343"/>
        <n v="1624.433833"/>
        <n v="269.2502752"/>
        <n v="59677.403028"/>
        <n v="1450.585943"/>
        <n v="808.2867427"/>
        <n v="378.4563983"/>
        <n v="86020.39314"/>
        <n v="5899.1186475"/>
        <n v="8358.1544989"/>
        <n v="11.0392209"/>
        <n v="18622.30419"/>
        <n v="17676.96499"/>
        <n v="5544.673416"/>
        <n v="10969.5613652"/>
        <n v="2006.2863109"/>
        <n v="17074.692468"/>
        <n v="116.4016911"/>
        <n v="2122.3632132"/>
        <n v="84.7011182"/>
        <n v="8914.0191686"/>
        <n v="1851.1633712"/>
        <n v="25410.4868227"/>
        <n v="56.478692"/>
        <n v="5987.447594"/>
        <n v="19963.4225"/>
        <n v="12547.1713614"/>
        <n v="11718.9739317"/>
        <n v="38.96485"/>
        <n v="2637.7601793"/>
        <n v="30.35276"/>
        <n v="11171.9380366"/>
        <n v="30933.7456613"/>
        <n v="5690.46132"/>
        <n v="2592.4417404"/>
        <n v="5002.6694946"/>
        <n v="605.712975"/>
        <n v="660693.0149"/>
        <n v="415.937614"/>
        <n v="2029.9380422"/>
        <n v="1495.5295726"/>
        <n v="43806.9348765"/>
        <n v="2107.0013582"/>
        <n v="5809.9796"/>
        <n v="3699.9374369"/>
        <n v="16629.3422551"/>
        <n v="274962.4416"/>
        <n v="8226.45712"/>
        <n v="273.069895"/>
        <n v="46681.454427"/>
        <n v="19834.1121235"/>
        <n v="16833.8516"/>
        <n v="661.44234"/>
        <n v="400.6209285"/>
        <n v="396819.0312746"/>
        <n v="299.8863838"/>
        <n v="19590.8130116"/>
        <n v="136.8157446"/>
        <n v="214.7196575"/>
        <n v="5380.877134"/>
        <n v="2428.8281981"/>
        <n v="2546.9091326"/>
        <n v="2031.4900775"/>
        <n v="86327.53519"/>
        <n v="363.970644"/>
        <n v="1408401.41765"/>
        <n v="34926.0392809"/>
        <n v="7938.89493"/>
        <n v="2646.6885186"/>
        <n v="5.6931391"/>
        <n v="6350.5686472"/>
        <n v="2109.6987485"/>
        <n v="139671.8589"/>
        <n v="12747.54348"/>
        <n v="65200.6352093"/>
        <n v="1118.5483435"/>
        <n v="14635.323816"/>
        <n v="1874.8047539"/>
        <n v="7213.2392534"/>
        <n v="159485.5"/>
        <n v="51586.803"/>
        <n v="13547.87137"/>
        <n v="894.2288595"/>
        <n v="3197.892576"/>
        <n v="101.1827488"/>
        <n v="22.0932037"/>
        <n v="702.331686"/>
        <n v="1251.50271"/>
        <n v="967.2169714"/>
        <n v="88.6259808"/>
        <n v="45649.04192"/>
        <n v="27.6929996"/>
        <n v="254.1017326"/>
        <n v="18711.9762559"/>
        <n v="126.131356"/>
        <n v="457.8402982"/>
        <n v="15.197249"/>
        <n v="12120.99166"/>
        <n v="10311.41163"/>
        <n v="58.722"/>
        <n v="8864.6154986"/>
        <n v="95.40059"/>
        <n v="118.979754"/>
        <n v="1605.4793462"/>
        <n v="1828.5978487"/>
        <n v="44.9276514"/>
        <n v="35.49"/>
        <n v="23.1865507"/>
        <n v="12376.9009182"/>
        <n v="6962.4652478"/>
        <n v="926.7996259"/>
        <n v="14570.5875342"/>
        <n v="41236.6992356"/>
        <n v="4111.99497"/>
        <n v="321260.5190333"/>
        <n v="372.085375"/>
        <n v="164402.0945175"/>
        <n v="66637.2210692"/>
        <n v="62434.2638599"/>
        <n v="35.6912"/>
        <n v="67.138056"/>
        <n v="486.75912"/>
        <n v="41.74937"/>
        <n v="11.61888"/>
        <n v="2082.223092"/>
        <n v="150.2156"/>
        <n v="169.993794"/>
        <n v="24.1807662"/>
        <n v="4001.2662985"/>
        <n v="57447.2117363"/>
        <n v="64.899059"/>
        <n v="1179.2536237"/>
        <n v="965.0065732"/>
        <n v="19.6933521"/>
        <n v="24.9366455"/>
        <n v="29486.5589717"/>
        <n v="776.993125"/>
        <n v="512.832656"/>
        <n v="1353.2443759"/>
        <n v="4954.82238"/>
        <n v="51.0424408"/>
        <n v="243.4050501"/>
        <n v="263.90664"/>
        <n v="21.1355"/>
        <n v="703.6109925"/>
        <n v="18973.5169015"/>
        <n v="139.81986"/>
        <n v="298.8166"/>
        <n v="17460.2657036"/>
        <n v="16531.3923231"/>
        <n v="318.198382"/>
        <n v="66.2461793"/>
        <n v="29.5662773"/>
        <n v="1092.1426451"/>
        <n v="183.9655112"/>
        <n v="4734.9506104"/>
        <n v="15.5764476"/>
        <n v="4574.5322839"/>
        <n v="15248.0633095"/>
        <n v="12898.7125287"/>
        <n v="35.6909"/>
        <n v="12032.4150426"/>
        <n v="11727.9002222"/>
        <n v="10754.5284289"/>
        <n v="8998.6609836"/>
        <n v="494.698248"/>
        <n v="8290.484475"/>
        <n v="100.0426584"/>
        <n v="87.5092031"/>
        <n v="1784.5488469"/>
        <n v="1037.854381"/>
        <n v="913.3924093"/>
        <n v="2355.6261555"/>
        <n v="568.9185"/>
        <n v="4230.0663525"/>
        <n v="2305.4034766"/>
        <n v="2986.4482193"/>
        <n v="8044.170771"/>
        <n v="1030.2865955"/>
        <n v="240.6268836"/>
        <n v="23.527086"/>
        <n v="438.023799"/>
        <n v="1252.9492568"/>
        <n v="7231.3170589"/>
        <n v="95.9595645"/>
        <n v="52.7897881"/>
        <n v="99.2352765"/>
        <n v="193.43638"/>
        <n v="39.060684"/>
        <n v="566.5839166"/>
        <n v="19.4949195"/>
        <n v="16.8409658"/>
        <n v="168.647751"/>
        <n v="377.5106775"/>
        <n v="2118.2522674"/>
        <n v="76.039973"/>
        <n v="201.5602805"/>
        <n v="933.3470081"/>
        <n v="21.2481945"/>
        <n v="636.2893763"/>
        <n v="25.97346"/>
        <n v="91.1333948"/>
        <n v="31.1302712"/>
        <n v="417.9097747"/>
        <n v="129.0814778"/>
        <n v="359.232284"/>
        <n v="3522.9087141"/>
        <n v="25.7252474"/>
        <n v="1256.1591415"/>
        <n v="322.543818"/>
        <n v="117.5624287"/>
        <n v="6493.0826828"/>
        <n v="49.9360115"/>
        <n v="55.4226052"/>
        <n v="92.2294351"/>
        <n v="203.4323678"/>
        <n v="631.0400847"/>
        <n v="140.3054835"/>
        <n v="415.2037054"/>
        <n v="881.5622155"/>
        <n v="440.9409882"/>
        <n v="1628.8951404"/>
        <n v="72.8724595"/>
        <n v="2236.8096693"/>
        <n v="12.8119317"/>
        <n v="41.719115"/>
        <n v="21.7629725"/>
        <n v="1257.4514535"/>
        <n v="2673.4046141"/>
        <n v="628.49072"/>
        <n v="870.3987993"/>
        <n v="3315.4157152"/>
        <n v="6474.1558281"/>
        <n v="27.2717352"/>
        <n v="6177.480861"/>
        <n v="304.6770355"/>
        <n v="74.9820916"/>
        <n v="286.6449731"/>
        <n v="5908.484623"/>
        <n v="110.051412"/>
        <n v="5445.3753189"/>
        <n v="127.2613741"/>
        <n v="5077.2823128"/>
        <n v="3541.5003665"/>
        <n v="5075.887829"/>
        <n v="1022.7577275"/>
        <n v="16142.5359445"/>
        <n v="691.559867"/>
        <n v="54047.3373489"/>
        <n v="29696.17854"/>
        <n v="702.6448251"/>
        <n v="58.8565773"/>
        <n v="653.114677"/>
        <n v="14977.1985685"/>
        <n v="2052.966178"/>
        <n v="2587.5920805"/>
        <n v="225.986747"/>
        <n v="1704.4084235"/>
        <n v="818.9687642"/>
        <n v="17.6799966"/>
        <n v="6656.7882669"/>
        <n v="847662.9384338"/>
        <n v="1110.8432976"/>
        <n v="3608.4412133"/>
        <n v="4207.6564427"/>
        <n v="3512.1767"/>
        <n v="326.6339732"/>
        <n v="120402.0970069"/>
        <n v="2785.08356"/>
        <n v="100910.1399"/>
        <n v="1990.55574"/>
        <n v="57.512"/>
        <n v="1113.3243092"/>
        <n v="217.2418799"/>
        <n v="599.725799"/>
        <n v="42.0069717"/>
        <n v="390.337896"/>
        <n v="15.35625"/>
        <n v="381.8249862"/>
        <n v="1816.2402412"/>
        <n v="24711.5675336"/>
        <n v="11241.826413"/>
        <n v="15199.1388231"/>
        <n v="31.2580176"/>
        <n v="5675.913073"/>
        <n v="74.2"/>
        <n v="2754.8639445"/>
        <n v="4900.35472"/>
        <n v="55362.6950715"/>
        <n v="346.0932021"/>
        <n v="29.5556877"/>
        <n v="21288.0893675"/>
        <n v="4540.9516923"/>
        <n v="6764.827595"/>
        <n v="2102.0455167"/>
        <n v="3243.130636"/>
        <n v="120.7305036"/>
        <n v="102.582425"/>
        <n v="1361.3923542"/>
        <n v="3464.7615892"/>
        <n v="7772.8363997"/>
        <n v="139784.2875128"/>
        <n v="10796.5424322"/>
        <n v="133.647773"/>
        <n v="36.3792"/>
        <n v="1621.79486"/>
        <n v="2320.4006672"/>
        <n v="4045.1894942"/>
        <n v="35564.6435252"/>
        <n v="1051.7733861"/>
        <n v="107.256072"/>
        <n v="511.6526659"/>
        <n v="6224.8381198"/>
        <n v="2965.3302832"/>
        <n v="80.8499612"/>
        <n v="198.9692309"/>
        <n v="137.0263401"/>
        <n v="369155.4760929"/>
        <n v="182.0776833"/>
        <n v="77.1675996"/>
        <n v="3840.625899"/>
        <n v="265.359478"/>
        <n v="18.4392415"/>
        <n v="2322.7141716"/>
        <n v="582.765226"/>
        <n v="30.3899993"/>
        <n v="107.5721687"/>
        <n v="106.5829891"/>
        <n v="2257.470429"/>
        <n v="3876.1905411"/>
        <n v="353.2135496"/>
        <n v="1501.801627"/>
        <n v="13317.9103823"/>
        <n v="2251.7814172"/>
        <n v="1571.5086201"/>
        <n v="149.6652152"/>
        <n v="4701.5156922"/>
        <n v="488.9905439"/>
        <n v="73774.74368"/>
        <n v="1263.9606417"/>
        <n v="311025.3254902"/>
        <n v="1128.2285347"/>
        <n v="1060.5029936"/>
        <n v="1337.2492265"/>
        <n v="1010.391116"/>
        <n v="4029.5820388"/>
        <n v="3872.4376344"/>
        <n v="64.1300255"/>
        <n v="1691.689698"/>
        <n v="249.393098"/>
        <n v="83.278272"/>
        <n v="402.49155"/>
        <n v="33.1932288"/>
        <n v="3116.9977818"/>
        <n v="11500.7977103"/>
        <n v="54.099174"/>
        <n v="45.8321181"/>
        <n v="84.8571215"/>
        <n v="361.486569"/>
        <n v="4579.0857063"/>
        <n v="38.154327"/>
        <n v="64.6406327"/>
        <n v="34.0394184"/>
        <n v="264.0570855"/>
        <n v="276020.5175181"/>
        <n v="20.3946913"/>
        <n v="100476.4016283"/>
        <n v="24.9703303"/>
        <n v="9405.947175"/>
        <n v="97.9478786"/>
        <n v="38.834355"/>
        <n v="123926.5111694"/>
        <n v="1839.3502154"/>
        <n v="560.1193206"/>
        <n v="31.2776702"/>
        <n v="132.4854884"/>
        <n v="27.2628177"/>
        <n v="332.2205715"/>
        <n v="51935.9211926"/>
        <n v="7921.1916233"/>
        <n v="21538.07"/>
        <n v="3910.675461"/>
        <n v="2143.0716945"/>
        <n v="2206.832581"/>
        <n v="105.284274"/>
        <n v="4917.5338784"/>
        <n v="114048.3330466"/>
        <n v="278.5092469"/>
        <n v="1705.2699889"/>
        <n v="1007.4378274"/>
        <n v="45.1079579"/>
        <n v="2845.4017515"/>
        <n v="160.2856517"/>
        <n v="278.8407541"/>
        <n v="1648.2748211"/>
        <n v="1409.1582591"/>
        <n v="3228.2466"/>
        <n v="37.4857184"/>
        <n v="11.2330431"/>
        <n v="282873.1948317"/>
        <n v="314.597434"/>
        <n v="2031.2059277"/>
        <n v="156.525"/>
        <n v="3567.1945979"/>
        <n v="4255.7850685"/>
        <n v="1762.9290557"/>
        <n v="10924.04959"/>
        <n v="2035.0853977"/>
        <n v="5173.6191596"/>
        <n v="2726.7285783"/>
        <n v="2017.2307181"/>
        <n v="6255.8354533"/>
        <n v="5304.5612242"/>
        <n v="3616.3943671"/>
        <n v="2985.608"/>
      </sharedItems>
    </cacheField>
    <cacheField name="Final Sector" numFmtId="0">
      <sharedItems>
        <s v="Specialty Chemicals"/>
        <s v="Paper, Forest &amp; Jute Products"/>
        <s v="Pharmaceuticals"/>
        <s v="Chemicals &amp; Petrochemicals"/>
        <s v="Residential, Commercial Projects"/>
        <s v="Non - Ferrous Metals"/>
        <s v="Leisure Services"/>
        <s v="Textiles &amp; Apparels"/>
        <s v="Fertilizers &amp; Agrochemicals"/>
        <s v="Industrial Products"/>
        <s v="Ferrous Metals"/>
        <s v="Auto Components &amp; Equipments"/>
        <s v="Agricultural Food &amp; other Products"/>
        <s v="Cement &amp; Cement Products"/>
        <s v="Diversified Metals"/>
        <s v="Media"/>
        <s v="Telecom - Equipment &amp; Accessories"/>
        <s v="Capital Markets"/>
        <s v="Consumer Durables"/>
        <s v="Telecom - Services"/>
        <s v="Non Banking Financial Company (NBFC)"/>
        <s v="Finance"/>
        <s v="Oil"/>
        <s v="Metals &amp; Minerals Trading"/>
        <s v="Auto Components"/>
        <s v="IT - Hardware"/>
        <s v="Minerals &amp; Mining"/>
        <s v="Food Products"/>
        <s v="Other Consumer Services"/>
        <s v="Aerospace &amp; Defense"/>
        <s v="Automobiles"/>
        <s v="Civil Construction"/>
        <s v="Retailing"/>
        <s v="Entertainment"/>
        <s v="IT - Software"/>
        <s v="Other Construction Materials"/>
        <s v="IT - Services"/>
        <s v="Power"/>
        <s v="Commercial Services &amp; Supplies"/>
        <s v="Transport Services"/>
        <s v="Electrical Equipment"/>
        <s v="Household Products"/>
        <s v="Heavy Electrical Equipment"/>
        <s v="Computers - Software &amp; Consulting"/>
        <s v="Engineering Services"/>
        <s v="Transport Infrastructure"/>
        <s v="Agricultural, Commercial &amp; Construction Vehicles"/>
        <s v="Beverages"/>
        <s v="Diversified"/>
        <s v="Personal Products"/>
        <s v="Printing &amp; Publication"/>
        <s v="Cigarettes &amp; Tobacco Products"/>
        <s v="Financial Technology (Fintech)"/>
        <s v="Pharmaceuticals &amp; Biotechnology"/>
        <s v="Realty"/>
        <s v="Consumable Fuels"/>
        <s v="Healthcare Services"/>
        <s v="Petroleum Products"/>
        <s v="Gas"/>
        <s v="Industrial Manufacturing"/>
        <s v="Healthcare Equipment &amp; Supplies"/>
        <s v="Diversified FMCG"/>
        <s v="Other Utilities"/>
        <s v="Private Sector Bank"/>
        <s v="Banks"/>
        <s v="Insurance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P4173" sheet="Sector Classification"/>
  </cacheSource>
  <cacheFields>
    <cacheField name="BSE Code">
      <sharedItems containsMixedTypes="1" containsNumber="1" containsInteger="1">
        <n v="500027.0"/>
        <n v="500040.0"/>
        <n v="500042.0"/>
        <n v="500009.0"/>
        <n v="500012.0"/>
        <n v="500013.0"/>
        <n v="500014.0"/>
        <n v="500016.0"/>
        <n v="500020.0"/>
        <n v="500023.0"/>
        <n v="500085.0"/>
        <n v="500028.0"/>
        <n v="500113.0"/>
        <n v="500123.0"/>
        <n v="500125.0"/>
        <n v="500171.0"/>
        <n v="500184.0"/>
        <n v="500039.0"/>
        <n v="500188.0"/>
        <n v="500041.0"/>
        <n v="500228.0"/>
        <n v="500245.0"/>
        <n v="500260.0"/>
        <n v="500295.0"/>
        <n v="500052.0"/>
        <n v="500058.0"/>
        <n v="500059.0"/>
        <n v="500060.0"/>
        <n v="500300.0"/>
        <n v="500068.0"/>
        <n v="500069.0"/>
        <n v="500074.0"/>
        <n v="500078.0"/>
        <n v="500083.0"/>
        <n v="500331.0"/>
        <n v="500335.0"/>
        <n v="500338.0"/>
        <n v="500339.0"/>
        <n v="500089.0"/>
        <n v="500355.0"/>
        <n v="500380.0"/>
        <n v="500387.0"/>
        <n v="500097.0"/>
        <n v="500405.0"/>
        <n v="500410.0"/>
        <n v="500425.0"/>
        <n v="500440.0"/>
        <n v="500108.0"/>
        <n v="500470.0"/>
        <n v="500645.0"/>
        <n v="500670.0"/>
        <n v="500690.0"/>
        <n v="500770.0"/>
        <n v="502937.0"/>
        <n v="500117.0"/>
        <n v="500119.0"/>
        <n v="500120.0"/>
        <n v="503806.0"/>
        <n v="504614.0"/>
        <n v="506285.0"/>
        <n v="506395.0"/>
        <n v="506401.0"/>
        <n v="506590.0"/>
        <n v="506655.0"/>
        <n v="500136.0"/>
        <n v="500142.0"/>
        <n v="500143.0"/>
        <n v="506767.0"/>
        <n v="500147.0"/>
        <n v="500148.0"/>
        <n v="500150.0"/>
        <n v="500151.0"/>
        <n v="500153.0"/>
        <n v="507717.0"/>
        <n v="500160.0"/>
        <n v="512070.0"/>
        <n v="512455.0"/>
        <n v="512599.0"/>
        <n v="500166.0"/>
        <n v="500168.0"/>
        <n v="500170.0"/>
        <n v="513599.0"/>
        <n v="500173.0"/>
        <n v="500174.0"/>
        <n v="500179.0"/>
        <n v="523457.0"/>
        <n v="523630.0"/>
        <n v="523642.0"/>
        <n v="524200.0"/>
        <n v="524208.0"/>
        <n v="500186.0"/>
        <n v="500187.0"/>
        <n v="524230.0"/>
        <n v="500189.0"/>
        <n v="526371.0"/>
        <n v="500192.0"/>
        <n v="500193.0"/>
        <n v="500199.0"/>
        <n v="500201.0"/>
        <n v="500202.0"/>
        <n v="500206.0"/>
        <n v="500207.0"/>
        <n v="530001.0"/>
        <n v="530005.0"/>
        <n v="500213.0"/>
        <n v="530117.0"/>
        <n v="500215.0"/>
        <n v="500219.0"/>
        <n v="500220.0"/>
        <n v="500227.0"/>
        <n v="530999.0"/>
        <n v="500231.0"/>
        <n v="532162.0"/>
        <n v="500234.0"/>
        <n v="500235.0"/>
        <n v="532181.0"/>
        <n v="532234.0"/>
        <n v="500239.0"/>
        <n v="500240.0"/>
        <n v="532286.0"/>
        <n v="532504.0"/>
        <n v="532508.0"/>
        <n v="500246.0"/>
        <n v="532538.0"/>
        <n v="500248.0"/>
        <n v="532644.0"/>
        <n v="500250.0"/>
        <n v="532725.0"/>
        <n v="532976.0"/>
        <n v="533282.0"/>
        <n v="533286.0"/>
        <n v="500259.0"/>
        <n v="535754.0"/>
        <n v="500262.0"/>
        <n v="500264.0"/>
        <n v="540575.0"/>
        <n v="540680.0"/>
        <n v="540935.0"/>
        <n v="500268.0"/>
        <n v="500270.0"/>
        <n v="541557.0"/>
        <n v="500277.0"/>
        <n v="500279.0"/>
        <n v="500280.0"/>
        <n v="500282.0"/>
        <n v="500284.0"/>
        <n v="542216.0"/>
        <n v="500288.0"/>
        <n v="542812.0"/>
        <n v="500292.0"/>
        <n v="542920.0"/>
        <n v="543271.0"/>
        <n v="500296.0"/>
        <n v="500298.0"/>
        <n v="543275.0"/>
        <n v="543277.0"/>
        <n v="500304.0"/>
        <n v="500306.0"/>
        <n v="543318.0"/>
        <n v="543332.0"/>
        <n v="500313.0"/>
        <n v="500314.0"/>
        <n v="543334.0"/>
        <n v="500319.0"/>
        <n v="500322.0"/>
        <n v="543336.0"/>
        <n v="500327.0"/>
        <n v="543530.0"/>
        <n v="543534.0"/>
        <n v="500333.0"/>
        <n v="543657.0"/>
        <n v="590024.0"/>
        <n v="500337.0"/>
        <n v="500008.0"/>
        <n v="500031.0"/>
        <n v="500342.0"/>
        <n v="500343.0"/>
        <n v="500346.0"/>
        <n v="500350.0"/>
        <n v="500354.0"/>
        <n v="500033.0"/>
        <n v="500356.0"/>
        <n v="500357.0"/>
        <n v="500360.0"/>
        <n v="500365.0"/>
        <n v="500367.0"/>
        <n v="500043.0"/>
        <n v="500067.0"/>
        <n v="500086.0"/>
        <n v="500101.0"/>
        <n v="500114.0"/>
        <n v="500388.0"/>
        <n v="500165.0"/>
        <n v="500182.0"/>
        <n v="500402.0"/>
        <n v="500233.0"/>
        <n v="500404.0"/>
        <n v="500238.0"/>
        <n v="500407.0"/>
        <n v="500251.0"/>
        <n v="500290.0"/>
        <n v="500330.0"/>
        <n v="500412.0"/>
        <n v="500403.0"/>
        <n v="500414.0"/>
        <n v="500418.0"/>
        <n v="500413.0"/>
        <n v="500421.0"/>
        <n v="500422.0"/>
        <n v="500493.0"/>
        <n v="500426.0"/>
        <n v="500429.0"/>
        <n v="500439.0"/>
        <n v="500520.0"/>
        <n v="500444.0"/>
        <n v="500449.0"/>
        <n v="500450.0"/>
        <n v="500456.0"/>
        <n v="500458.0"/>
        <n v="500530.0"/>
        <n v="500460.0"/>
        <n v="500570.0"/>
        <n v="500464.0"/>
        <n v="500467.0"/>
        <n v="500575.0"/>
        <n v="500710.0"/>
        <n v="500820.0"/>
        <n v="500840.0"/>
        <n v="500850.0"/>
        <n v="500877.0"/>
        <n v="500878.0"/>
        <n v="502355.0"/>
        <n v="502986.0"/>
        <n v="503100.0"/>
        <n v="500500.0"/>
        <n v="504882.0"/>
        <n v="505200.0"/>
        <n v="505509.0"/>
        <n v="500540.0"/>
        <n v="505533.0"/>
        <n v="505537.0"/>
        <n v="505714.0"/>
        <n v="505726.0"/>
        <n v="505790.0"/>
        <n v="507880.0"/>
        <n v="500650.0"/>
        <n v="509480.0"/>
        <n v="509557.0"/>
        <n v="512179.0"/>
        <n v="500672.0"/>
        <n v="514162.0"/>
        <n v="515030.0"/>
        <n v="515055.0"/>
        <n v="517271.0"/>
        <n v="517334.0"/>
        <n v="500730.0"/>
        <n v="517354.0"/>
        <n v="500777.0"/>
        <n v="500780.0"/>
        <n v="517385.0"/>
        <n v="517506.0"/>
        <n v="520057.0"/>
        <n v="521016.0"/>
        <n v="521064.0"/>
        <n v="521070.0"/>
        <n v="523025.0"/>
        <n v="523398.0"/>
        <n v="526367.0"/>
        <n v="530007.0"/>
        <n v="530517.0"/>
        <n v="500890.0"/>
        <n v="531500.0"/>
        <n v="501110.0"/>
        <n v="531543.0"/>
        <n v="532156.0"/>
        <n v="501148.0"/>
        <n v="501150.0"/>
        <n v="501242.0"/>
        <n v="532163.0"/>
        <n v="501270.0"/>
        <n v="501295.0"/>
        <n v="501298.0"/>
        <n v="532189.0"/>
        <n v="501311.0"/>
        <n v="532313.0"/>
        <n v="532343.0"/>
        <n v="532375.0"/>
        <n v="532439.0"/>
        <n v="501386.0"/>
        <n v="501391.0"/>
        <n v="501421.0"/>
        <n v="501423.0"/>
        <n v="532443.0"/>
        <n v="532500.0"/>
        <n v="501455.0"/>
        <n v="532509.0"/>
        <n v="532527.0"/>
        <n v="532539.0"/>
        <n v="501630.0"/>
        <n v="501700.0"/>
        <n v="501831.0"/>
        <n v="532548.0"/>
        <n v="532605.0"/>
        <n v="502015.0"/>
        <n v="502090.0"/>
        <n v="502133.0"/>
        <n v="502137.0"/>
        <n v="502157.0"/>
        <n v="502168.0"/>
        <n v="502175.0"/>
        <n v="502180.0"/>
        <n v="532630.0"/>
        <n v="502250.0"/>
        <n v="502281.0"/>
        <n v="502294.0"/>
        <n v="502330.0"/>
        <n v="532638.0"/>
        <n v="502420.0"/>
        <n v="502445.0"/>
        <n v="502448.0"/>
        <n v="502450.0"/>
        <n v="502587.0"/>
        <n v="502589.0"/>
        <n v="502820.0"/>
        <n v="502850.0"/>
        <n v="502865.0"/>
        <n v="502873.0"/>
        <n v="502893.0"/>
        <n v="502901.0"/>
        <n v="502933.0"/>
        <n v="532689.0"/>
        <n v="502958.0"/>
        <n v="532733.0"/>
        <n v="503031.0"/>
        <n v="503092.0"/>
        <n v="532756.0"/>
        <n v="503101.0"/>
        <n v="503127.0"/>
        <n v="503162.0"/>
        <n v="503169.0"/>
        <n v="503229.0"/>
        <n v="532777.0"/>
        <n v="503349.0"/>
        <n v="503622.0"/>
        <n v="503624.0"/>
        <n v="503626.0"/>
        <n v="503635.0"/>
        <n v="532784.0"/>
        <n v="532798.0"/>
        <n v="503657.0"/>
        <n v="532800.0"/>
        <n v="503663.0"/>
        <n v="532827.0"/>
        <n v="503671.0"/>
        <n v="539658.0"/>
        <n v="503681.0"/>
        <n v="503685.0"/>
        <n v="540212.0"/>
        <n v="500285.0"/>
        <n v="503722.0"/>
        <n v="532859.0"/>
        <n v="503776.0"/>
        <n v="503804.0"/>
        <n v="532832.0"/>
        <n v="503811.0"/>
        <n v="503816.0"/>
        <n v="503837.0"/>
        <n v="503893.0"/>
        <n v="532868.0"/>
        <n v="504000.0"/>
        <n v="504028.0"/>
        <n v="504036.0"/>
        <n v="504058.0"/>
        <n v="532889.0"/>
        <n v="504076.0"/>
        <n v="504080.0"/>
        <n v="504084.0"/>
        <n v="504092.0"/>
        <n v="504093.0"/>
        <n v="504112.0"/>
        <n v="504132.0"/>
        <n v="504176.0"/>
        <n v="504180.0"/>
        <n v="504212.0"/>
        <n v="504220.0"/>
        <n v="504240.0"/>
        <n v="504258.0"/>
        <n v="504273.0"/>
        <n v="504286.0"/>
        <n v="504340.0"/>
        <n v="504341.0"/>
        <n v="504346.0"/>
        <n v="504351.0"/>
        <n v="500307.0"/>
        <n v="504365.0"/>
        <n v="540768.0"/>
        <n v="504375.0"/>
        <n v="544181.0"/>
        <n v="523618.0"/>
        <n v="504392.0"/>
        <n v="532430.0"/>
        <n v="504605.0"/>
        <n v="532891.0"/>
        <n v="504646.0"/>
        <n v="504648.0"/>
        <n v="504731.0"/>
        <n v="504741.0"/>
        <n v="504786.0"/>
        <n v="512229.0"/>
        <n v="504840.0"/>
        <n v="504879.0"/>
        <n v="532929.0"/>
        <n v="504903.0"/>
        <n v="504908.0"/>
        <n v="532953.0"/>
        <n v="504959.0"/>
        <n v="504961.0"/>
        <n v="532977.0"/>
        <n v="504988.0"/>
        <n v="504998.0"/>
        <n v="505010.0"/>
        <n v="505032.0"/>
        <n v="505036.0"/>
        <n v="505075.0"/>
        <n v="505100.0"/>
        <n v="505160.0"/>
        <n v="505163.0"/>
        <n v="505192.0"/>
        <n v="505196.0"/>
        <n v="533023.0"/>
        <n v="505212.0"/>
        <n v="505216.0"/>
        <n v="505232.0"/>
        <n v="505242.0"/>
        <n v="505250.0"/>
        <n v="533088.0"/>
        <n v="505283.0"/>
        <n v="505285.0"/>
        <n v="505299.0"/>
        <n v="505302.0"/>
        <n v="505324.0"/>
        <n v="505336.0"/>
        <n v="526807.0"/>
        <n v="531205.0"/>
        <n v="505358.0"/>
        <n v="505368.0"/>
        <n v="543591.0"/>
        <n v="505412.0"/>
        <n v="505502.0"/>
        <n v="505504.0"/>
        <n v="533150.0"/>
        <n v="505515.0"/>
        <n v="542333.0"/>
        <n v="543996.0"/>
        <n v="505526.0"/>
        <n v="533151.0"/>
        <n v="533155.0"/>
        <n v="523445.0"/>
        <n v="505590.0"/>
        <n v="505400.0"/>
        <n v="505650.0"/>
        <n v="505681.0"/>
        <n v="505685.0"/>
        <n v="505688.0"/>
        <n v="505690.0"/>
        <n v="505693.0"/>
        <n v="533160.0"/>
        <n v="505703.0"/>
        <n v="505710.0"/>
        <n v="505712.0"/>
        <n v="533273.0"/>
        <n v="505720.0"/>
        <n v="505725.0"/>
        <n v="533274.0"/>
        <n v="505729.0"/>
        <n v="505737.0"/>
        <n v="505744.0"/>
        <n v="505750.0"/>
        <n v="533581.0"/>
        <n v="505797.0"/>
        <n v="505800.0"/>
        <n v="505807.0"/>
        <n v="505827.0"/>
        <n v="505840.0"/>
        <n v="505850.0"/>
        <n v="505854.0"/>
        <n v="505872.0"/>
        <n v="534597.0"/>
        <n v="505893.0"/>
        <n v="505978.0"/>
        <n v="506003.0"/>
        <n v="506022.0"/>
        <n v="506024.0"/>
        <n v="506042.0"/>
        <n v="539332.0"/>
        <n v="534976.0"/>
        <n v="506079.0"/>
        <n v="506105.0"/>
        <n v="506109.0"/>
        <n v="532633.0"/>
        <n v="506122.0"/>
        <n v="506128.0"/>
        <n v="506134.0"/>
        <n v="506146.0"/>
        <n v="506161.0"/>
        <n v="506162.0"/>
        <n v="506166.0"/>
        <n v="541741.0"/>
        <n v="506180.0"/>
        <n v="506184.0"/>
        <n v="506186.0"/>
        <n v="540980.0"/>
        <n v="506194.0"/>
        <n v="540717.0"/>
        <n v="506197.0"/>
        <n v="506222.0"/>
        <n v="506235.0"/>
        <n v="506248.0"/>
        <n v="506260.0"/>
        <n v="506261.0"/>
        <n v="535602.0"/>
        <n v="506365.0"/>
        <n v="506390.0"/>
        <n v="535648.0"/>
        <n v="535755.0"/>
        <n v="506405.0"/>
        <n v="506414.0"/>
        <n v="506480.0"/>
        <n v="506520.0"/>
        <n v="506525.0"/>
        <n v="506528.0"/>
        <n v="543273.0"/>
        <n v="506532.0"/>
        <n v="506543.0"/>
        <n v="506579.0"/>
        <n v="538268.0"/>
        <n v="506597.0"/>
        <n v="506605.0"/>
        <n v="506618.0"/>
        <n v="506640.0"/>
        <n v="506642.0"/>
        <n v="538730.0"/>
        <n v="506680.0"/>
        <n v="506685.0"/>
        <n v="506687.0"/>
        <n v="506690.0"/>
        <n v="506734.0"/>
        <n v="538962.0"/>
        <n v="506808.0"/>
        <n v="538979.0"/>
        <n v="506852.0"/>
        <n v="506854.0"/>
        <n v="506858.0"/>
        <n v="506879.0"/>
        <n v="538635.0"/>
        <n v="506919.0"/>
        <n v="506935.0"/>
        <n v="539876.0"/>
        <n v="506945.0"/>
        <n v="506975.0"/>
        <n v="506979.0"/>
        <n v="506981.0"/>
        <n v="507155.0"/>
        <n v="507180.0"/>
        <n v="507205.0"/>
        <n v="507265.0"/>
        <n v="507300.0"/>
        <n v="507315.0"/>
        <n v="507410.0"/>
        <n v="507438.0"/>
        <n v="507474.0"/>
        <n v="507486.0"/>
        <n v="507488.0"/>
        <n v="507490.0"/>
        <n v="507498.0"/>
        <n v="507514.0"/>
        <n v="507515.0"/>
        <n v="507526.0"/>
        <n v="532345.0"/>
        <n v="507543.0"/>
        <n v="507552.0"/>
        <n v="507580.0"/>
        <n v="507598.0"/>
        <n v="507609.0"/>
        <n v="507621.0"/>
        <n v="507645.0"/>
        <n v="507663.0"/>
        <n v="540073.0"/>
        <n v="507690.0"/>
        <n v="540153.0"/>
        <n v="507747.0"/>
        <n v="507753.0"/>
        <n v="507759.0"/>
        <n v="507779.0"/>
        <n v="507785.0"/>
        <n v="507789.0"/>
        <n v="507794.0"/>
        <n v="507808.0"/>
        <n v="507813.0"/>
        <n v="540203.0"/>
        <n v="507817.0"/>
        <n v="507828.0"/>
        <n v="507833.0"/>
        <n v="507836.0"/>
        <n v="507852.0"/>
        <n v="507864.0"/>
        <n v="507872.0"/>
        <n v="507878.0"/>
        <n v="540205.0"/>
        <n v="507910.0"/>
        <n v="507912.0"/>
        <n v="507938.0"/>
        <n v="507944.0"/>
        <n v="507946.0"/>
        <n v="507948.0"/>
        <n v="507952.0"/>
        <n v="507960.0"/>
        <n v="507962.0"/>
        <n v="507966.0"/>
        <n v="507970.0"/>
        <n v="507981.0"/>
        <n v="507987.0"/>
        <n v="507998.0"/>
        <n v="508136.0"/>
        <n v="508486.0"/>
        <n v="508494.0"/>
        <n v="508571.0"/>
        <n v="508664.0"/>
        <n v="508670.0"/>
        <n v="508807.0"/>
        <n v="508814.0"/>
        <n v="540293.0"/>
        <n v="508875.0"/>
        <n v="508905.0"/>
        <n v="508906.0"/>
        <n v="508918.0"/>
        <n v="508922.0"/>
        <n v="508933.0"/>
        <n v="508941.0"/>
        <n v="508954.0"/>
        <n v="508956.0"/>
        <n v="508961.0"/>
        <n v="508963.0"/>
        <n v="508969.0"/>
        <n v="512038.0"/>
        <n v="508989.0"/>
        <n v="508993.0"/>
        <n v="508996.0"/>
        <n v="543954.0"/>
        <n v="509009.0"/>
        <n v="509015.0"/>
        <n v="539841.0"/>
        <n v="509026.0"/>
        <n v="509038.0"/>
        <n v="509040.0"/>
        <n v="544149.0"/>
        <n v="509048.0"/>
        <n v="509051.0"/>
        <n v="509053.0"/>
        <n v="509055.0"/>
        <n v="509073.0"/>
        <n v="509079.0"/>
        <n v="543955.0"/>
        <n v="509152.0"/>
        <n v="509162.0"/>
        <n v="509196.0"/>
        <n v="520086.0"/>
        <n v="509243.0"/>
        <n v="509423.0"/>
        <n v="509438.0"/>
        <n v="509449.0"/>
        <n v="509470.0"/>
        <n v="532713.0"/>
        <n v="540376.0"/>
        <n v="509486.0"/>
        <n v="540699.0"/>
        <n v="540762.0"/>
        <n v="509525.0"/>
        <n v="509546.0"/>
        <n v="540902.0"/>
        <n v="509563.0"/>
        <n v="509567.0"/>
        <n v="509597.0"/>
        <n v="541233.0"/>
        <n v="509635.0"/>
        <n v="509650.0"/>
        <n v="509675.0"/>
        <n v="509692.0"/>
        <n v="509709.0"/>
        <n v="509715.0"/>
        <n v="509732.0"/>
        <n v="509760.0"/>
        <n v="512531.0"/>
        <n v="509820.0"/>
        <n v="509835.0"/>
        <n v="509845.0"/>
        <n v="509870.0"/>
        <n v="509874.0"/>
        <n v="509887.0"/>
        <n v="509895.0"/>
        <n v="509910.0"/>
        <n v="533704.0"/>
        <n v="541301.0"/>
        <n v="509945.0"/>
        <n v="509960.0"/>
        <n v="541578.0"/>
        <n v="510245.0"/>
        <n v="511000.0"/>
        <n v="511012.0"/>
        <n v="511016.0"/>
        <n v="542655.0"/>
        <n v="511034.0"/>
        <n v="543638.0"/>
        <n v="543284.0"/>
        <n v="511066.0"/>
        <n v="511074.0"/>
        <n v="511076.0"/>
        <n v="511092.0"/>
        <n v="511096.0"/>
        <n v="511108.0"/>
        <n v="511110.0"/>
        <n v="511116.0"/>
        <n v="511122.0"/>
        <n v="511131.0"/>
        <n v="511147.0"/>
        <n v="511153.0"/>
        <n v="511176.0"/>
        <n v="539956.0"/>
        <n v="531959.0"/>
        <n v="543732.0"/>
        <n v="542399.0"/>
        <n v="511200.0"/>
        <n v="511208.0"/>
        <n v="542484.0"/>
        <n v="542726.0"/>
        <n v="511246.0"/>
        <n v="511254.0"/>
        <n v="511260.0"/>
        <n v="511333.0"/>
        <n v="511355.0"/>
        <n v="511359.0"/>
        <n v="511377.0"/>
        <n v="511391.0"/>
        <n v="511401.0"/>
        <n v="511411.0"/>
        <n v="511413.0"/>
        <n v="511431.0"/>
        <n v="511441.0"/>
        <n v="511447.0"/>
        <n v="511451.0"/>
        <n v="511463.0"/>
        <n v="511473.0"/>
        <n v="511493.0"/>
        <n v="511501.0"/>
        <n v="511505.0"/>
        <n v="511507.0"/>
        <n v="511509.0"/>
        <n v="511523.0"/>
        <n v="511525.0"/>
        <n v="511533.0"/>
        <n v="511535.0"/>
        <n v="511543.0"/>
        <n v="511549.0"/>
        <n v="511551.0"/>
        <n v="538920.0"/>
        <n v="511559.0"/>
        <n v="542383.0"/>
        <n v="511571.0"/>
        <n v="520151.0"/>
        <n v="511589.0"/>
        <n v="511593.0"/>
        <n v="532686.0"/>
        <n v="511605.0"/>
        <n v="511609.0"/>
        <n v="511611.0"/>
        <n v="511626.0"/>
        <n v="511628.0"/>
        <n v="511630.0"/>
        <n v="511634.0"/>
        <n v="511644.0"/>
        <n v="511654.0"/>
        <n v="511658.0"/>
        <n v="511664.0"/>
        <n v="511672.0"/>
        <n v="511676.0"/>
        <n v="511688.0"/>
        <n v="511692.0"/>
        <n v="511696.0"/>
        <n v="511700.0"/>
        <n v="511702.0"/>
        <n v="511710.0"/>
        <n v="511712.0"/>
        <n v="511714.0"/>
        <n v="511724.0"/>
        <n v="511726.0"/>
        <n v="511728.0"/>
        <n v="511734.0"/>
        <n v="511738.0"/>
        <n v="511740.0"/>
        <n v="511742.0"/>
        <n v="511754.0"/>
        <n v="511756.0"/>
        <n v="511758.0"/>
        <n v="511760.0"/>
        <n v="511764.0"/>
        <n v="511766.0"/>
        <n v="511768.0"/>
        <n v="539561.0"/>
        <n v="512008.0"/>
        <n v="543910.0"/>
        <n v="512018.0"/>
        <n v="512020.0"/>
        <n v="512022.0"/>
        <n v="509220.0"/>
        <n v="500317.0"/>
        <n v="512036.0"/>
        <n v="531082.0"/>
        <n v="512047.0"/>
        <n v="512048.0"/>
        <n v="532617.0"/>
        <n v="524480.0"/>
        <n v="530299.0"/>
        <n v="536264.0"/>
        <n v="512065.0"/>
        <n v="512068.0"/>
        <n v="542830.0"/>
        <n v="512091.0"/>
        <n v="512093.0"/>
        <n v="500267.0"/>
        <n v="512099.0"/>
        <n v="512101.0"/>
        <n v="512103.0"/>
        <n v="540570.0"/>
        <n v="532759.0"/>
        <n v="543193.0"/>
        <n v="512147.0"/>
        <n v="512149.0"/>
        <n v="543713.0"/>
        <n v="542628.0"/>
        <n v="512161.0"/>
        <n v="512165.0"/>
        <n v="512175.0"/>
        <n v="543249.0"/>
        <n v="538942.0"/>
        <n v="543513.0"/>
        <n v="512217.0"/>
        <n v="512221.0"/>
        <n v="532773.0"/>
        <n v="543258.0"/>
        <n v="509020.0"/>
        <n v="512247.0"/>
        <n v="512257.0"/>
        <n v="539991.0"/>
        <n v="512267.0"/>
        <n v="542753.0"/>
        <n v="512131.0"/>
        <n v="512291.0"/>
        <n v="512296.0"/>
        <n v="512297.0"/>
        <n v="534615.0"/>
        <n v="540401.0"/>
        <n v="543272.0"/>
        <n v="543715.0"/>
        <n v="526530.0"/>
        <n v="512345.0"/>
        <n v="512367.0"/>
        <n v="532481.0"/>
        <n v="512379.0"/>
        <n v="512381.0"/>
        <n v="512393.0"/>
        <n v="512399.0"/>
        <n v="512404.0"/>
        <n v="512408.0"/>
        <n v="531556.0"/>
        <n v="541302.0"/>
        <n v="526971.0"/>
        <n v="500159.0"/>
        <n v="512437.0"/>
        <n v="543991.0"/>
        <n v="543615.0"/>
        <n v="512445.0"/>
        <n v="512453.0"/>
        <n v="543276.0"/>
        <n v="542694.0"/>
        <n v="512463.0"/>
        <n v="512477.0"/>
        <n v="512479.0"/>
        <n v="540738.0"/>
        <n v="512489.0"/>
        <n v="512493.0"/>
        <n v="512499.0"/>
        <n v="512505.0"/>
        <n v="501848.0"/>
        <n v="501343.0"/>
        <n v="512519.0"/>
        <n v="512527.0"/>
        <n v="512529.0"/>
        <n v="531842.0"/>
        <n v="512553.0"/>
        <n v="512559.0"/>
        <n v="526381.0"/>
        <n v="543278.0"/>
        <n v="512587.0"/>
        <n v="526125.0"/>
        <n v="539126.0"/>
        <n v="512595.0"/>
        <n v="512597.0"/>
        <n v="543280.0"/>
        <n v="519383.0"/>
        <n v="512604.0"/>
        <n v="512608.0"/>
        <n v="512618.0"/>
        <n v="543671.0"/>
        <n v="512626.0"/>
        <n v="512634.0"/>
        <n v="513005.0"/>
        <n v="532262.0"/>
        <n v="543287.0"/>
        <n v="513039.0"/>
        <n v="513043.0"/>
        <n v="513059.0"/>
        <n v="513063.0"/>
        <n v="513097.0"/>
        <n v="513108.0"/>
        <n v="513117.0"/>
        <n v="513121.0"/>
        <n v="513149.0"/>
        <n v="513173.0"/>
        <n v="513228.0"/>
        <n v="513250.0"/>
        <n v="513252.0"/>
        <n v="513262.0"/>
        <n v="513269.0"/>
        <n v="513303.0"/>
        <n v="513307.0"/>
        <n v="513309.0"/>
        <n v="513337.0"/>
        <n v="513349.0"/>
        <n v="513353.0"/>
        <n v="513361.0"/>
        <n v="513369.0"/>
        <n v="543300.0"/>
        <n v="506074.0"/>
        <n v="513397.0"/>
        <n v="513401.0"/>
        <n v="513403.0"/>
        <n v="513418.0"/>
        <n v="513422.0"/>
        <n v="513430.0"/>
        <n v="513436.0"/>
        <n v="513452.0"/>
        <n v="513456.0"/>
        <n v="513460.0"/>
        <n v="513472.0"/>
        <n v="513488.0"/>
        <n v="513496.0"/>
        <n v="513498.0"/>
        <n v="513502.0"/>
        <n v="513507.0"/>
        <n v="513509.0"/>
        <n v="513511.0"/>
        <n v="513513.0"/>
        <n v="513515.0"/>
        <n v="513517.0"/>
        <n v="513519.0"/>
        <n v="513528.0"/>
        <n v="513532.0"/>
        <n v="513536.0"/>
        <n v="513540.0"/>
        <n v="513548.0"/>
        <n v="513554.0"/>
        <n v="513566.0"/>
        <n v="513575.0"/>
        <n v="513579.0"/>
        <n v="543320.0"/>
        <n v="513629.0"/>
        <n v="513642.0"/>
        <n v="543325.0"/>
        <n v="513687.0"/>
        <n v="513693.0"/>
        <n v="513699.0"/>
        <n v="513709.0"/>
        <n v="513713.0"/>
        <n v="513721.0"/>
        <n v="513729.0"/>
        <n v="514010.0"/>
        <n v="514028.0"/>
        <n v="514030.0"/>
        <n v="514036.0"/>
        <n v="514043.0"/>
        <n v="514045.0"/>
        <n v="511018.0"/>
        <n v="514087.0"/>
        <n v="514113.0"/>
        <n v="514128.0"/>
        <n v="514138.0"/>
        <n v="514140.0"/>
        <n v="514142.0"/>
        <n v="543330.0"/>
        <n v="514165.0"/>
        <n v="514167.0"/>
        <n v="514171.0"/>
        <n v="514175.0"/>
        <n v="514183.0"/>
        <n v="514197.0"/>
        <n v="523116.0"/>
        <n v="514234.0"/>
        <n v="539927.0"/>
        <n v="514238.0"/>
        <n v="514240.0"/>
        <n v="514248.0"/>
        <n v="514260.0"/>
        <n v="514264.0"/>
        <n v="514266.0"/>
        <n v="514272.0"/>
        <n v="514274.0"/>
        <n v="514280.0"/>
        <n v="514286.0"/>
        <n v="514300.0"/>
        <n v="514302.0"/>
        <n v="514312.0"/>
        <n v="514316.0"/>
        <n v="514318.0"/>
        <n v="514322.0"/>
        <n v="514324.0"/>
        <n v="514326.0"/>
        <n v="514330.0"/>
        <n v="514332.0"/>
        <n v="514336.0"/>
        <n v="514348.0"/>
        <n v="514354.0"/>
        <n v="514358.0"/>
        <n v="514360.0"/>
        <n v="541152.0"/>
        <n v="514386.0"/>
        <n v="517238.0"/>
        <n v="514402.0"/>
        <n v="514412.0"/>
        <n v="514418.0"/>
        <n v="514428.0"/>
        <n v="514442.0"/>
        <n v="514448.0"/>
        <n v="514450.0"/>
        <n v="514454.0"/>
        <n v="541206.0"/>
        <n v="514470.0"/>
        <n v="515008.0"/>
        <n v="515018.0"/>
        <n v="543358.0"/>
        <n v="515037.0"/>
        <n v="515043.0"/>
        <n v="543384.0"/>
        <n v="515059.0"/>
        <n v="515085.0"/>
        <n v="515093.0"/>
        <n v="540377.0"/>
        <n v="515145.0"/>
        <n v="515147.0"/>
        <n v="516003.0"/>
        <n v="516016.0"/>
        <n v="516020.0"/>
        <n v="516022.0"/>
        <n v="516030.0"/>
        <n v="516032.0"/>
        <n v="516038.0"/>
        <n v="516064.0"/>
        <n v="516072.0"/>
        <n v="516078.0"/>
        <n v="516082.0"/>
        <n v="516092.0"/>
        <n v="516096.0"/>
        <n v="516098.0"/>
        <n v="516106.0"/>
        <n v="516108.0"/>
        <n v="516110.0"/>
        <n v="517015.0"/>
        <n v="517035.0"/>
        <n v="517041.0"/>
        <n v="531592.0"/>
        <n v="517059.0"/>
        <n v="517063.0"/>
        <n v="517096.0"/>
        <n v="517119.0"/>
        <n v="543397.0"/>
        <n v="517166.0"/>
        <n v="517168.0"/>
        <n v="517170.0"/>
        <n v="533289.0"/>
        <n v="543401.0"/>
        <n v="517201.0"/>
        <n v="517206.0"/>
        <n v="517214.0"/>
        <n v="517236.0"/>
        <n v="506530.0"/>
        <n v="517246.0"/>
        <n v="517258.0"/>
        <n v="517264.0"/>
        <n v="543426.0"/>
        <n v="517273.0"/>
        <n v="517288.0"/>
        <n v="517300.0"/>
        <n v="543427.0"/>
        <n v="517344.0"/>
        <n v="543463.0"/>
        <n v="517356.0"/>
        <n v="509472.0"/>
        <n v="517370.0"/>
        <n v="517372.0"/>
        <n v="517380.0"/>
        <n v="543482.0"/>
        <n v="517393.0"/>
        <n v="517397.0"/>
        <n v="517399.0"/>
        <n v="531977.0"/>
        <n v="517415.0"/>
        <n v="517417.0"/>
        <n v="517421.0"/>
        <n v="517423.0"/>
        <n v="517429.0"/>
        <n v="517431.0"/>
        <n v="517437.0"/>
        <n v="517447.0"/>
        <n v="517449.0"/>
        <n v="517467.0"/>
        <n v="517477.0"/>
        <n v="517494.0"/>
        <n v="517498.0"/>
        <n v="517500.0"/>
        <n v="543498.0"/>
        <n v="517514.0"/>
        <n v="517522.0"/>
        <n v="517530.0"/>
        <n v="517536.0"/>
        <n v="517544.0"/>
        <n v="517546.0"/>
        <n v="517554.0"/>
        <n v="517556.0"/>
        <n v="517562.0"/>
        <n v="543523.0"/>
        <n v="518011.0"/>
        <n v="518017.0"/>
        <n v="518075.0"/>
        <n v="518091.0"/>
        <n v="519003.0"/>
        <n v="519014.0"/>
        <n v="519031.0"/>
        <n v="519064.0"/>
        <n v="519091.0"/>
        <n v="519097.0"/>
        <n v="519105.0"/>
        <n v="543532.0"/>
        <n v="519136.0"/>
        <n v="519152.0"/>
        <n v="519156.0"/>
        <n v="519174.0"/>
        <n v="519183.0"/>
        <n v="519191.0"/>
        <n v="519214.0"/>
        <n v="519216.0"/>
        <n v="519224.0"/>
        <n v="501833.0"/>
        <n v="519234.0"/>
        <n v="519238.0"/>
        <n v="519262.0"/>
        <n v="519285.0"/>
        <n v="519287.0"/>
        <n v="519295.0"/>
        <n v="519299.0"/>
        <n v="519307.0"/>
        <n v="519331.0"/>
        <n v="519359.0"/>
        <n v="519367.0"/>
        <n v="533427.0"/>
        <n v="519397.0"/>
        <n v="533520.0"/>
        <n v="519415.0"/>
        <n v="519421.0"/>
        <n v="519439.0"/>
        <n v="519455.0"/>
        <n v="519457.0"/>
        <n v="519463.0"/>
        <n v="519471.0"/>
        <n v="519475.0"/>
        <n v="519477.0"/>
        <n v="530689.0"/>
        <n v="519494.0"/>
        <n v="519500.0"/>
        <n v="519506.0"/>
        <n v="519528.0"/>
        <n v="540786.0"/>
        <n v="543626.0"/>
        <n v="519566.0"/>
        <n v="519574.0"/>
        <n v="543669.0"/>
        <n v="519602.0"/>
        <n v="519604.0"/>
        <n v="519606.0"/>
        <n v="519612.0"/>
        <n v="520008.0"/>
        <n v="520021.0"/>
        <n v="520043.0"/>
        <n v="520051.0"/>
        <n v="543936.0"/>
        <n v="543952.0"/>
        <n v="520059.0"/>
        <n v="520066.0"/>
        <n v="520073.0"/>
        <n v="520075.0"/>
        <n v="520081.0"/>
        <n v="540006.0"/>
        <n v="543957.0"/>
        <n v="543990.0"/>
        <n v="520119.0"/>
        <n v="520121.0"/>
        <n v="533090.0"/>
        <n v="523289.0"/>
        <n v="526241.0"/>
        <n v="520141.0"/>
        <n v="539814.0"/>
        <n v="539222.0"/>
        <n v="540730.0"/>
        <n v="521005.0"/>
        <n v="521014.0"/>
        <n v="544008.0"/>
        <n v="521018.0"/>
        <n v="521034.0"/>
        <n v="521036.0"/>
        <n v="521048.0"/>
        <n v="521054.0"/>
        <n v="521062.0"/>
        <n v="544012.0"/>
        <n v="521068.0"/>
        <n v="544022.0"/>
        <n v="521080.0"/>
        <n v="521097.0"/>
        <n v="521105.0"/>
        <n v="521109.0"/>
        <n v="521113.0"/>
        <n v="521131.0"/>
        <n v="521133.0"/>
        <n v="521137.0"/>
        <n v="521141.0"/>
        <n v="521149.0"/>
        <n v="521151.0"/>
        <n v="521161.0"/>
        <n v="521163.0"/>
        <n v="521178.0"/>
        <n v="521180.0"/>
        <n v="521194.0"/>
        <n v="521200.0"/>
        <n v="521206.0"/>
        <n v="521216.0"/>
        <n v="521220.0"/>
        <n v="521222.0"/>
        <n v="521226.0"/>
        <n v="521228.0"/>
        <n v="539834.0"/>
        <n v="521234.0"/>
        <n v="521238.0"/>
        <n v="521240.0"/>
        <n v="521242.0"/>
        <n v="521244.0"/>
        <n v="521246.0"/>
        <n v="521248.0"/>
        <n v="522001.0"/>
        <n v="522004.0"/>
        <n v="522005.0"/>
        <n v="522014.0"/>
        <n v="522017.0"/>
        <n v="522027.0"/>
        <n v="522029.0"/>
        <n v="522034.0"/>
        <n v="522036.0"/>
        <n v="522064.0"/>
        <n v="522073.0"/>
        <n v="544129.0"/>
        <n v="522091.0"/>
        <n v="522101.0"/>
        <n v="522105.0"/>
        <n v="522108.0"/>
        <n v="544174.0"/>
        <n v="522122.0"/>
        <n v="522152.0"/>
        <n v="570001.0"/>
        <n v="522165.0"/>
        <n v="522171.0"/>
        <n v="522183.0"/>
        <n v="522195.0"/>
        <s v="SHRIPISTON"/>
        <n v="522207.0"/>
        <n v="522209.0"/>
        <n v="522215.0"/>
        <n v="522217.0"/>
        <n v="522229.0"/>
        <n v="522231.0"/>
        <n v="543535.0"/>
        <n v="522237.0"/>
        <n v="522241.0"/>
        <n v="522249.0"/>
        <n v="522251.0"/>
        <n v="522257.0"/>
        <n v="522261.0"/>
        <n v="522267.0"/>
        <n v="522273.0"/>
        <n v="500164.0"/>
        <n v="522281.0"/>
        <n v="522285.0"/>
        <n v="503310.0"/>
        <n v="526481.0"/>
        <n v="522292.0"/>
        <n v="522294.0"/>
        <n v="522295.0"/>
        <n v="522650.0"/>
        <n v="523007.0"/>
        <n v="523011.0"/>
        <n v="523019.0"/>
        <n v="523021.0"/>
        <n v="523023.0"/>
        <n v="523367.0"/>
        <n v="523054.0"/>
        <n v="523062.0"/>
        <n v="523100.0"/>
        <n v="523105.0"/>
        <n v="523113.0"/>
        <n v="522235.0"/>
        <n v="523120.0"/>
        <n v="523127.0"/>
        <n v="523144.0"/>
        <n v="523844.0"/>
        <n v="523160.0"/>
        <n v="523186.0"/>
        <n v="523204.0"/>
        <n v="523207.0"/>
        <n v="523222.0"/>
        <n v="523229.0"/>
        <n v="523232.0"/>
        <n v="523242.0"/>
        <n v="523248.0"/>
        <n v="523260.0"/>
        <n v="523261.0"/>
        <n v="523269.0"/>
        <n v="523277.0"/>
        <n v="523283.0"/>
        <n v="501430.0"/>
        <n v="523301.0"/>
        <n v="523309.0"/>
        <n v="523315.0"/>
        <n v="523319.0"/>
        <n v="523323.0"/>
        <n v="523329.0"/>
        <n v="523343.0"/>
        <n v="523395.0"/>
        <n v="523369.0"/>
        <n v="523371.0"/>
        <n v="523373.0"/>
        <n v="523384.0"/>
        <n v="523385.0"/>
        <n v="523391.0"/>
        <n v="500003.0"/>
        <n v="500104.0"/>
        <n v="500109.0"/>
        <n v="523411.0"/>
        <n v="523419.0"/>
        <n v="523425.0"/>
        <n v="542668.0"/>
        <n v="500110.0"/>
        <n v="523465.0"/>
        <n v="523467.0"/>
        <n v="523475.0"/>
        <n v="523483.0"/>
        <n v="523489.0"/>
        <n v="543515.0"/>
        <n v="523537.0"/>
        <n v="523539.0"/>
        <n v="523550.0"/>
        <n v="523558.0"/>
        <n v="523566.0"/>
        <n v="523574.0"/>
        <n v="523586.0"/>
        <n v="523594.0"/>
        <n v="531744.0"/>
        <n v="523606.0"/>
        <n v="500312.0"/>
        <n v="539097.0"/>
        <n v="523620.0"/>
        <n v="523628.0"/>
        <n v="500325.0"/>
        <n v="523638.0"/>
        <n v="500547.0"/>
        <n v="523648.0"/>
        <n v="531364.0"/>
        <n v="523652.0"/>
        <n v="523660.0"/>
        <n v="523672.0"/>
        <n v="523676.0"/>
        <n v="523694.0"/>
        <n v="523696.0"/>
        <n v="500870.0"/>
        <n v="523708.0"/>
        <n v="523710.0"/>
        <n v="523712.0"/>
        <n v="523716.0"/>
        <n v="523722.0"/>
        <n v="523732.0"/>
        <n v="523736.0"/>
        <n v="523752.0"/>
        <n v="523754.0"/>
        <n v="543806.0"/>
        <n v="523790.0"/>
        <n v="523792.0"/>
        <n v="523826.0"/>
        <n v="523828.0"/>
        <n v="523832.0"/>
        <n v="523836.0"/>
        <n v="523838.0"/>
        <n v="523840.0"/>
        <n v="523842.0"/>
        <n v="539041.0"/>
        <n v="523850.0"/>
        <n v="523888.0"/>
        <n v="505343.0"/>
        <n v="504918.0"/>
        <n v="524013.0"/>
        <n v="524019.0"/>
        <n v="524031.0"/>
        <n v="524037.0"/>
        <n v="524038.0"/>
        <n v="524046.0"/>
        <n v="524051.0"/>
        <n v="524075.0"/>
        <n v="524080.0"/>
        <n v="524091.0"/>
        <n v="524109.0"/>
        <n v="524129.0"/>
        <n v="524136.0"/>
        <n v="524156.0"/>
        <n v="524164.0"/>
        <n v="524174.0"/>
        <n v="530965.0"/>
        <n v="524202.0"/>
        <n v="524204.0"/>
        <n v="532155.0"/>
        <n v="524210.0"/>
        <n v="524212.0"/>
        <n v="524218.0"/>
        <n v="532514.0"/>
        <n v="532522.0"/>
        <n v="524280.0"/>
        <n v="524288.0"/>
        <n v="524314.0"/>
        <n v="524324.0"/>
        <n v="524330.0"/>
        <n v="524332.0"/>
        <n v="524336.0"/>
        <n v="524342.0"/>
        <n v="524348.0"/>
        <n v="524370.0"/>
        <n v="532702.0"/>
        <n v="524394.0"/>
        <n v="524396.0"/>
        <n v="524400.0"/>
        <n v="533106.0"/>
        <n v="524408.0"/>
        <n v="524412.0"/>
        <n v="501370.0"/>
        <n v="524434.0"/>
        <n v="524440.0"/>
        <n v="524444.0"/>
        <n v="524458.0"/>
        <n v="524470.0"/>
        <n v="543410.0"/>
        <n v="543420.0"/>
        <n v="533278.0"/>
        <n v="524500.0"/>
        <n v="524502.0"/>
        <n v="524488.0"/>
        <n v="524506.0"/>
        <n v="524514.0"/>
        <n v="524516.0"/>
        <n v="524518.0"/>
        <n v="524520.0"/>
        <n v="524522.0"/>
        <n v="524534.0"/>
        <n v="524542.0"/>
        <n v="524546.0"/>
        <n v="524548.0"/>
        <n v="538567.0"/>
        <n v="524564.0"/>
        <n v="524570.0"/>
        <n v="524572.0"/>
        <n v="524576.0"/>
        <n v="520123.0"/>
        <n v="524582.0"/>
        <n v="540144.0"/>
        <n v="524592.0"/>
        <n v="524594.0"/>
        <n v="524598.0"/>
        <n v="524602.0"/>
        <n v="524604.0"/>
        <n v="524606.0"/>
        <n v="524614.0"/>
        <n v="524622.0"/>
        <n v="524624.0"/>
        <n v="503641.0"/>
        <n v="524632.0"/>
        <n v="524634.0"/>
        <n v="524636.0"/>
        <n v="524640.0"/>
        <n v="524642.0"/>
        <n v="524648.0"/>
        <n v="524652.0"/>
        <n v="524654.0"/>
        <n v="524661.0"/>
        <n v="524663.0"/>
        <n v="524667.0"/>
        <n v="524669.0"/>
        <n v="532154.0"/>
        <n v="524687.0"/>
        <n v="524703.0"/>
        <n v="524709.0"/>
        <n v="524711.0"/>
        <n v="539336.0"/>
        <n v="524717.0"/>
        <n v="541702.0"/>
        <n v="524727.0"/>
        <n v="524731.0"/>
        <n v="524735.0"/>
        <n v="539957.0"/>
        <n v="524743.0"/>
        <n v="524748.0"/>
        <n v="524752.0"/>
        <n v="524768.0"/>
        <n v="524774.0"/>
        <n v="524790.0"/>
        <n v="542066.0"/>
        <n v="524808.0"/>
        <n v="500032.0"/>
        <n v="524818.0"/>
        <n v="524820.0"/>
        <n v="524824.0"/>
        <n v="524828.0"/>
        <n v="526001.0"/>
        <n v="526025.0"/>
        <n v="526027.0"/>
        <n v="526043.0"/>
        <n v="526071.0"/>
        <n v="526073.0"/>
        <n v="526081.0"/>
        <n v="526095.0"/>
        <n v="526113.0"/>
        <n v="526115.0"/>
        <n v="526117.0"/>
        <n v="512115.0"/>
        <n v="526133.0"/>
        <n v="526137.0"/>
        <n v="526139.0"/>
        <n v="526143.0"/>
        <n v="526159.0"/>
        <n v="526161.0"/>
        <n v="526169.0"/>
        <n v="526173.0"/>
        <n v="526179.0"/>
        <n v="526187.0"/>
        <n v="526193.0"/>
        <n v="526211.0"/>
        <n v="526217.0"/>
        <n v="526225.0"/>
        <n v="526227.0"/>
        <n v="526231.0"/>
        <n v="526237.0"/>
        <n v="501314.0"/>
        <n v="526247.0"/>
        <n v="526251.0"/>
        <n v="526263.0"/>
        <n v="526269.0"/>
        <n v="500038.0"/>
        <n v="526301.0"/>
        <n v="526315.0"/>
        <n v="526325.0"/>
        <n v="526335.0"/>
        <n v="526345.0"/>
        <n v="526349.0"/>
        <n v="526355.0"/>
        <n v="526365.0"/>
        <n v="500096.0"/>
        <n v="500163.0"/>
        <n v="526373.0"/>
        <n v="520127.0"/>
        <n v="526397.0"/>
        <n v="526407.0"/>
        <n v="526409.0"/>
        <n v="526415.0"/>
        <n v="526423.0"/>
        <n v="526433.0"/>
        <n v="526435.0"/>
        <n v="530909.0"/>
        <n v="526441.0"/>
        <n v="526443.0"/>
        <n v="526445.0"/>
        <n v="526468.0"/>
        <n v="526471.0"/>
        <n v="526473.0"/>
        <n v="526479.0"/>
        <n v="504380.0"/>
        <n v="526488.0"/>
        <n v="526490.0"/>
        <n v="526492.0"/>
        <n v="526494.0"/>
        <n v="526500.0"/>
        <n v="526506.0"/>
        <n v="531297.0"/>
        <n v="526519.0"/>
        <n v="526521.0"/>
        <n v="500370.0"/>
        <n v="531780.0"/>
        <n v="526532.0"/>
        <n v="526544.0"/>
        <n v="526546.0"/>
        <n v="526550.0"/>
        <n v="526568.0"/>
        <n v="526570.0"/>
        <n v="511194.0"/>
        <n v="526576.0"/>
        <n v="526582.0"/>
        <n v="526586.0"/>
        <n v="526588.0"/>
        <n v="526596.0"/>
        <n v="526604.0"/>
        <n v="526608.0"/>
        <n v="533896.0"/>
        <n v="526614.0"/>
        <n v="526616.0"/>
        <n v="538875.0"/>
        <n v="526638.0"/>
        <n v="526640.0"/>
        <n v="526642.0"/>
        <n v="526650.0"/>
        <n v="526654.0"/>
        <n v="526662.0"/>
        <n v="526666.0"/>
        <n v="526668.0"/>
        <n v="531067.0"/>
        <n v="526677.0"/>
        <n v="526687.0"/>
        <n v="526703.0"/>
        <n v="526705.0"/>
        <n v="526709.0"/>
        <n v="526711.0"/>
        <n v="526717.0"/>
        <n v="526721.0"/>
        <n v="526723.0"/>
        <n v="526725.0"/>
        <n v="526727.0"/>
        <n v="526729.0"/>
        <n v="526731.0"/>
        <n v="526739.0"/>
        <n v="526747.0"/>
        <n v="526751.0"/>
        <n v="526755.0"/>
        <n v="526761.0"/>
        <n v="526773.0"/>
        <n v="526775.0"/>
        <n v="526783.0"/>
        <n v="505523.0"/>
        <n v="526797.0"/>
        <n v="531931.0"/>
        <n v="526813.0"/>
        <n v="526817.0"/>
        <n v="526821.0"/>
        <n v="526823.0"/>
        <n v="526827.0"/>
        <n v="526829.0"/>
        <n v="526839.0"/>
        <n v="526841.0"/>
        <n v="526847.0"/>
        <n v="526849.0"/>
        <n v="526851.0"/>
        <n v="526853.0"/>
        <n v="526859.0"/>
        <n v="526861.0"/>
        <n v="543625.0"/>
        <n v="526869.0"/>
        <n v="526871.0"/>
        <n v="526873.0"/>
        <n v="539526.0"/>
        <n v="526881.0"/>
        <n v="526885.0"/>
        <n v="526891.0"/>
        <n v="526899.0"/>
        <n v="526901.0"/>
        <n v="526905.0"/>
        <n v="526921.0"/>
        <n v="526931.0"/>
        <n v="526935.0"/>
        <n v="526945.0"/>
        <n v="526947.0"/>
        <n v="526951.0"/>
        <n v="526953.0"/>
        <n v="526959.0"/>
        <n v="526961.0"/>
        <n v="526965.0"/>
        <n v="526967.0"/>
        <n v="530309.0"/>
        <n v="526977.0"/>
        <n v="526981.0"/>
        <n v="526983.0"/>
        <n v="526987.0"/>
        <n v="527001.0"/>
        <n v="527005.0"/>
        <n v="500368.0"/>
        <n v="500459.0"/>
        <n v="500696.0"/>
        <n v="530011.0"/>
        <n v="530017.0"/>
        <n v="500790.0"/>
        <n v="530023.0"/>
        <n v="533602.0"/>
        <n v="530027.0"/>
        <n v="530035.0"/>
        <n v="530037.0"/>
        <n v="530043.0"/>
        <n v="530045.0"/>
        <n v="530053.0"/>
        <n v="531893.0"/>
        <n v="530057.0"/>
        <n v="530063.0"/>
        <n v="530065.0"/>
        <n v="530067.0"/>
        <n v="530073.0"/>
        <n v="530075.0"/>
        <n v="530077.0"/>
        <n v="530079.0"/>
        <n v="530095.0"/>
        <n v="530109.0"/>
        <n v="530111.0"/>
        <n v="500800.0"/>
        <n v="530119.0"/>
        <n v="530125.0"/>
        <n v="530127.0"/>
        <n v="530129.0"/>
        <n v="530131.0"/>
        <n v="530133.0"/>
        <n v="530135.0"/>
        <n v="530139.0"/>
        <n v="530141.0"/>
        <n v="530145.0"/>
        <n v="520155.0"/>
        <n v="530163.0"/>
        <n v="530167.0"/>
        <n v="530169.0"/>
        <n v="530171.0"/>
        <n v="530173.0"/>
        <n v="530175.0"/>
        <n v="530185.0"/>
        <n v="530187.0"/>
        <n v="530197.0"/>
        <n v="530199.0"/>
        <n v="530201.0"/>
        <n v="530207.0"/>
        <n v="524675.0"/>
        <n v="530215.0"/>
        <n v="530231.0"/>
        <n v="530233.0"/>
        <n v="530235.0"/>
        <n v="530239.0"/>
        <n v="530245.0"/>
        <n v="530249.0"/>
        <n v="539012.0"/>
        <n v="530253.0"/>
        <n v="530255.0"/>
        <n v="543372.0"/>
        <n v="530263.0"/>
        <n v="530265.0"/>
        <n v="530267.0"/>
        <n v="530281.0"/>
        <n v="531178.0"/>
        <n v="530291.0"/>
        <n v="504369.0"/>
        <n v="500825.0"/>
        <n v="530307.0"/>
        <n v="504810.0"/>
        <n v="530313.0"/>
        <n v="530315.0"/>
        <n v="530317.0"/>
        <n v="530331.0"/>
        <n v="530341.0"/>
        <n v="500830.0"/>
        <n v="530355.0"/>
        <n v="530357.0"/>
        <n v="530361.0"/>
        <n v="530363.0"/>
        <n v="530365.0"/>
        <n v="530367.0"/>
        <n v="530369.0"/>
        <n v="530377.0"/>
        <n v="530393.0"/>
        <n v="530401.0"/>
        <n v="530405.0"/>
        <n v="530407.0"/>
        <n v="530419.0"/>
        <n v="530421.0"/>
        <n v="530427.0"/>
        <n v="530429.0"/>
        <n v="530431.0"/>
        <n v="530433.0"/>
        <n v="530439.0"/>
        <n v="530443.0"/>
        <n v="543461.0"/>
        <n v="530449.0"/>
        <n v="530457.0"/>
        <n v="530459.0"/>
        <n v="530461.0"/>
        <n v="530469.0"/>
        <n v="530475.0"/>
        <n v="530477.0"/>
        <n v="533296.0"/>
        <n v="530499.0"/>
        <n v="500875.0"/>
        <n v="530521.0"/>
        <n v="530525.0"/>
        <n v="530533.0"/>
        <n v="530537.0"/>
        <n v="530545.0"/>
        <n v="530547.0"/>
        <n v="501425.0"/>
        <n v="530555.0"/>
        <n v="530557.0"/>
        <n v="530565.0"/>
        <n v="539546.0"/>
        <n v="530577.0"/>
        <n v="530579.0"/>
        <n v="540843.0"/>
        <n v="530585.0"/>
        <n v="530589.0"/>
        <n v="530595.0"/>
        <n v="530601.0"/>
        <n v="530615.0"/>
        <n v="530617.0"/>
        <n v="530621.0"/>
        <n v="530627.0"/>
        <n v="530643.0"/>
        <n v="530655.0"/>
        <n v="530663.0"/>
        <n v="530665.0"/>
        <n v="530675.0"/>
        <n v="530677.0"/>
        <n v="531737.0"/>
        <n v="530695.0"/>
        <n v="514060.0"/>
        <n v="530699.0"/>
        <n v="530705.0"/>
        <n v="530709.0"/>
        <n v="530711.0"/>
        <n v="530713.0"/>
        <n v="530715.0"/>
        <n v="530723.0"/>
        <n v="530733.0"/>
        <n v="530735.0"/>
        <n v="530741.0"/>
        <n v="530747.0"/>
        <n v="530755.0"/>
        <n v="530759.0"/>
        <n v="530765.0"/>
        <n v="530779.0"/>
        <n v="530787.0"/>
        <n v="530789.0"/>
        <n v="530795.0"/>
        <n v="543754.0"/>
        <n v="530799.0"/>
        <n v="530803.0"/>
        <n v="543621.0"/>
        <n v="519532.0"/>
        <n v="507815.0"/>
        <n v="530821.0"/>
        <n v="530825.0"/>
        <n v="530829.0"/>
        <n v="530839.0"/>
        <n v="530843.0"/>
        <n v="530845.0"/>
        <n v="530853.0"/>
        <n v="530855.0"/>
        <n v="530871.0"/>
        <n v="530879.0"/>
        <n v="530881.0"/>
        <n v="530883.0"/>
        <n v="530897.0"/>
        <n v="530899.0"/>
        <n v="512485.0"/>
        <n v="530213.0"/>
        <n v="526622.0"/>
        <n v="530919.0"/>
        <n v="530925.0"/>
        <n v="530927.0"/>
        <n v="540361.0"/>
        <n v="530931.0"/>
        <n v="530943.0"/>
        <n v="530951.0"/>
        <n v="530953.0"/>
        <n v="530959.0"/>
        <n v="530961.0"/>
        <n v="509966.0"/>
        <n v="530973.0"/>
        <n v="530977.0"/>
        <n v="530979.0"/>
        <n v="530991.0"/>
        <n v="530997.0"/>
        <n v="512573.0"/>
        <n v="531003.0"/>
        <n v="501261.0"/>
        <n v="531025.0"/>
        <n v="531027.0"/>
        <n v="531035.0"/>
        <n v="531041.0"/>
        <n v="531043.0"/>
        <n v="531049.0"/>
        <n v="531051.0"/>
        <n v="531065.0"/>
        <n v="521232.0"/>
        <n v="531069.0"/>
        <n v="531080.0"/>
        <n v="541983.0"/>
        <n v="531083.0"/>
        <n v="531091.0"/>
        <n v="531092.0"/>
        <n v="531099.0"/>
        <n v="531109.0"/>
        <n v="531111.0"/>
        <n v="531112.0"/>
        <n v="531119.0"/>
        <n v="519126.0"/>
        <n v="531129.0"/>
        <n v="538496.0"/>
        <n v="531144.0"/>
        <n v="531146.0"/>
        <n v="531147.0"/>
        <n v="531153.0"/>
        <n v="531155.0"/>
        <n v="531156.0"/>
        <n v="531157.0"/>
        <n v="541196.0"/>
        <n v="531161.0"/>
        <n v="519552.0"/>
        <n v="531163.0"/>
        <n v="531168.0"/>
        <n v="531169.0"/>
        <n v="531173.0"/>
        <n v="531175.0"/>
        <n v="531176.0"/>
        <n v="540811.0"/>
        <n v="531179.0"/>
        <n v="531199.0"/>
        <n v="531201.0"/>
        <n v="530697.0"/>
        <n v="544156.0"/>
        <n v="531209.0"/>
        <n v="531210.0"/>
        <n v="531212.0"/>
        <n v="519600.0"/>
        <n v="531215.0"/>
        <n v="531216.0"/>
        <n v="531219.0"/>
        <n v="531221.0"/>
        <n v="531223.0"/>
        <n v="531225.0"/>
        <n v="531227.0"/>
        <n v="531228.0"/>
        <n v="531233.0"/>
        <n v="531234.0"/>
        <n v="531235.0"/>
        <n v="531237.0"/>
        <n v="540809.0"/>
        <n v="531241.0"/>
        <n v="531246.0"/>
        <n v="531253.0"/>
        <n v="531254.0"/>
        <n v="531255.0"/>
        <n v="531257.0"/>
        <n v="531259.0"/>
        <n v="531260.0"/>
        <n v="531266.0"/>
        <n v="531268.0"/>
        <n v="531272.0"/>
        <n v="531273.0"/>
        <n v="531278.0"/>
        <n v="531279.0"/>
        <n v="531280.0"/>
        <n v="531281.0"/>
        <n v="531283.0"/>
        <n v="531287.0"/>
        <n v="531288.0"/>
        <n v="531289.0"/>
        <n v="519483.0"/>
        <n v="531300.0"/>
        <n v="531304.0"/>
        <n v="531306.0"/>
        <n v="531307.0"/>
        <n v="531310.0"/>
        <n v="531314.0"/>
        <n v="531322.0"/>
        <n v="531323.0"/>
        <n v="531324.0"/>
        <n v="531328.0"/>
        <n v="542145.0"/>
        <n v="524226.0"/>
        <n v="531337.0"/>
        <n v="531338.0"/>
        <n v="531340.0"/>
        <n v="531341.0"/>
        <n v="526508.0"/>
        <n v="531346.0"/>
        <n v="531349.0"/>
        <n v="531352.0"/>
        <n v="531357.0"/>
        <n v="530305.0"/>
        <n v="531359.0"/>
        <n v="517360.0"/>
        <n v="538568.0"/>
        <n v="531370.0"/>
        <n v="531373.0"/>
        <n v="531380.0"/>
        <n v="531381.0"/>
        <n v="531387.0"/>
        <n v="531390.0"/>
        <n v="531395.0"/>
        <n v="531396.0"/>
        <n v="531397.0"/>
        <n v="531398.0"/>
        <n v="531399.0"/>
        <n v="531400.0"/>
        <n v="543618.0"/>
        <n v="531406.0"/>
        <n v="531411.0"/>
        <n v="531412.0"/>
        <n v="531413.0"/>
        <n v="531416.0"/>
        <n v="531417.0"/>
        <n v="531426.0"/>
        <n v="530813.0"/>
        <n v="531432.0"/>
        <n v="531433.0"/>
        <n v="531436.0"/>
        <n v="531437.0"/>
        <n v="531439.0"/>
        <n v="531444.0"/>
        <n v="531449.0"/>
        <n v="531453.0"/>
        <n v="531454.0"/>
        <n v="531456.0"/>
        <n v="531460.0"/>
        <n v="511601.0"/>
        <n v="531471.0"/>
        <n v="531472.0"/>
        <n v="531489.0"/>
        <n v="531494.0"/>
        <n v="531497.0"/>
        <n v="531499.0"/>
        <n v="531162.0"/>
        <n v="511557.0"/>
        <n v="531503.0"/>
        <n v="531505.0"/>
        <n v="544011.0"/>
        <n v="531508.0"/>
        <n v="531509.0"/>
        <n v="531512.0"/>
        <n v="539116.0"/>
        <n v="531518.0"/>
        <n v="531521.0"/>
        <n v="531525.0"/>
        <n v="531529.0"/>
        <n v="531335.0"/>
        <n v="531533.0"/>
        <n v="531930.0"/>
        <n v="531539.0"/>
        <n v="531540.0"/>
        <n v="531541.0"/>
        <n v="531531.0"/>
        <n v="531548.0"/>
        <n v="531550.0"/>
        <n v="531552.0"/>
        <n v="530809.0"/>
        <n v="541444.0"/>
        <n v="531568.0"/>
        <n v="531569.0"/>
        <n v="531574.0"/>
        <n v="531578.0"/>
        <n v="531582.0"/>
        <n v="531583.0"/>
        <n v="540613.0"/>
        <n v="531591.0"/>
        <n v="539409.0"/>
        <n v="531594.0"/>
        <n v="531642.0"/>
        <n v="532356.0"/>
        <n v="531600.0"/>
        <n v="531608.0"/>
        <n v="531609.0"/>
        <n v="531624.0"/>
        <n v="531626.0"/>
        <n v="531628.0"/>
        <n v="531633.0"/>
        <n v="531637.0"/>
        <n v="531638.0"/>
        <n v="531640.0"/>
        <n v="532424.0"/>
        <n v="531644.0"/>
        <n v="531647.0"/>
        <n v="531651.0"/>
        <n v="531652.0"/>
        <n v="531661.0"/>
        <n v="531667.0"/>
        <n v="531668.0"/>
        <n v="531671.0"/>
        <n v="531672.0"/>
        <n v="531673.0"/>
        <n v="531681.0"/>
        <n v="531688.0"/>
        <n v="531692.0"/>
        <n v="531694.0"/>
        <n v="504378.0"/>
        <n v="531716.0"/>
        <n v="531717.0"/>
        <n v="531719.0"/>
        <n v="531723.0"/>
        <n v="531726.0"/>
        <n v="531727.0"/>
        <n v="531735.0"/>
        <n v="532042.0"/>
        <n v="531739.0"/>
        <n v="540903.0"/>
        <n v="523782.0"/>
        <n v="531746.0"/>
        <n v="531752.0"/>
        <n v="531758.0"/>
        <n v="531761.0"/>
        <n v="531762.0"/>
        <n v="532432.0"/>
        <n v="531771.0"/>
        <n v="531778.0"/>
        <n v="531779.0"/>
        <n v="530025.0"/>
        <n v="531784.0"/>
        <n v="531795.0"/>
        <n v="531797.0"/>
        <n v="531802.0"/>
        <n v="531810.0"/>
        <n v="531812.0"/>
        <n v="531813.0"/>
        <n v="531814.0"/>
        <n v="531821.0"/>
        <n v="531822.0"/>
        <n v="531832.0"/>
        <n v="531834.0"/>
        <n v="531840.0"/>
        <n v="531841.0"/>
        <n v="531360.0"/>
        <n v="531845.0"/>
        <n v="531846.0"/>
        <n v="531847.0"/>
        <n v="531859.0"/>
        <n v="531861.0"/>
        <n v="531862.0"/>
        <n v="531867.0"/>
        <n v="531869.0"/>
        <n v="531870.0"/>
        <n v="531878.0"/>
        <n v="501477.0"/>
        <n v="531887.0"/>
        <n v="531888.0"/>
        <n v="531889.0"/>
        <n v="531892.0"/>
        <n v="542667.0"/>
        <n v="531900.0"/>
        <n v="531902.0"/>
        <n v="531909.0"/>
        <n v="531910.0"/>
        <n v="531911.0"/>
        <n v="531913.0"/>
        <n v="530805.0"/>
        <n v="531921.0"/>
        <n v="531923.0"/>
        <n v="531925.0"/>
        <n v="531929.0"/>
        <n v="531743.0"/>
        <n v="512097.0"/>
        <n v="531936.0"/>
        <n v="531944.0"/>
        <n v="531946.0"/>
        <n v="531950.0"/>
        <n v="531952.0"/>
        <n v="517411.0"/>
        <n v="531960.0"/>
        <n v="531962.0"/>
        <n v="531968.0"/>
        <n v="531971.0"/>
        <n v="531158.0"/>
        <n v="531978.0"/>
        <n v="531979.0"/>
        <n v="531980.0"/>
        <n v="531982.0"/>
        <n v="531991.0"/>
        <n v="531996.0"/>
        <n v="531997.0"/>
        <n v="532001.0"/>
        <n v="532005.0"/>
        <n v="512565.0"/>
        <n v="532011.0"/>
        <n v="532015.0"/>
        <n v="532016.0"/>
        <n v="532019.0"/>
        <n v="532022.0"/>
        <n v="532024.0"/>
        <n v="532029.0"/>
        <n v="532035.0"/>
        <n v="532039.0"/>
        <n v="532041.0"/>
        <n v="526675.0"/>
        <n v="532051.0"/>
        <n v="532053.0"/>
        <n v="532054.0"/>
        <n v="532056.0"/>
        <n v="532057.0"/>
        <n v="532067.0"/>
        <n v="532070.0"/>
        <n v="532078.0"/>
        <n v="512441.0"/>
        <n v="532090.0"/>
        <n v="532092.0"/>
        <n v="532100.0"/>
        <n v="532102.0"/>
        <n v="532113.0"/>
        <n v="532123.0"/>
        <n v="532124.0"/>
        <n v="532478.0"/>
        <n v="532138.0"/>
        <n v="532140.0"/>
        <n v="532141.0"/>
        <n v="532143.0"/>
        <n v="532497.0"/>
        <n v="532145.0"/>
        <n v="532670.0"/>
        <n v="532150.0"/>
        <n v="532911.0"/>
        <n v="532783.0"/>
        <n v="532926.0"/>
        <n v="532159.0"/>
        <n v="532160.0"/>
        <n v="540180.0"/>
        <n v="540743.0"/>
        <n v="532164.0"/>
        <n v="532167.0"/>
        <n v="532172.0"/>
        <n v="532173.0"/>
        <n v="543253.0"/>
        <n v="543306.0"/>
        <n v="543458.0"/>
        <n v="532180.0"/>
        <n v="543653.0"/>
        <n v="532183.0"/>
        <n v="544014.0"/>
        <n v="544045.0"/>
        <n v="500034.0"/>
        <n v="500092.0"/>
        <n v="532212.0"/>
        <n v="500106.0"/>
        <n v="532216.0"/>
        <n v="532217.0"/>
        <n v="500112.0"/>
        <n v="532219.0"/>
        <n v="500116.0"/>
        <n v="532230.0"/>
        <n v="500180.0"/>
        <n v="532240.0"/>
        <n v="532256.0"/>
        <n v="500247.0"/>
        <n v="523650.0"/>
        <n v="532268.0"/>
        <n v="532271.0"/>
        <n v="500253.0"/>
        <n v="532284.0"/>
        <n v="532285.0"/>
        <n v="500266.0"/>
        <n v="532290.0"/>
        <n v="500271.0"/>
        <n v="500302.0"/>
        <n v="532303.0"/>
        <n v="532304.0"/>
        <n v="532305.0"/>
        <n v="532309.0"/>
        <n v="532310.0"/>
        <n v="500469.0"/>
        <n v="532315.0"/>
        <n v="532320.0"/>
        <n v="500490.0"/>
        <n v="532323.0"/>
        <n v="532324.0"/>
        <n v="532326.0"/>
        <n v="532329.0"/>
        <n v="501301.0"/>
        <n v="532333.0"/>
        <n v="532334.0"/>
        <n v="532335.0"/>
        <n v="532339.0"/>
        <n v="532340.0"/>
        <n v="532341.0"/>
        <n v="504973.0"/>
        <n v="532344.0"/>
        <n v="544056.0"/>
        <n v="532348.0"/>
        <n v="538351.0"/>
        <n v="532350.0"/>
        <n v="532351.0"/>
        <n v="532354.0"/>
        <n v="532355.0"/>
        <n v="511196.0"/>
        <n v="532357.0"/>
        <n v="532362.0"/>
        <n v="532365.0"/>
        <n v="532366.0"/>
        <n v="532369.0"/>
        <n v="532370.0"/>
        <n v="511218.0"/>
        <n v="532372.0"/>
        <n v="532373.0"/>
        <n v="511243.0"/>
        <n v="520056.0"/>
        <n v="532376.0"/>
        <n v="532378.0"/>
        <n v="532379.0"/>
        <n v="532380.0"/>
        <n v="532382.0"/>
        <n v="532384.0"/>
        <n v="532386.0"/>
        <n v="532387.0"/>
        <n v="523405.0"/>
        <n v="532390.0"/>
        <n v="532392.0"/>
        <n v="532395.0"/>
        <n v="532397.0"/>
        <n v="532398.0"/>
        <n v="524000.0"/>
        <n v="532402.0"/>
        <n v="532404.0"/>
        <n v="532406.0"/>
        <n v="531213.0"/>
        <n v="532408.0"/>
        <n v="532410.0"/>
        <n v="532413.0"/>
        <n v="532416.0"/>
        <n v="532419.0"/>
        <n v="531358.0"/>
        <n v="532425.0"/>
        <n v="531553.0"/>
        <n v="531595.0"/>
        <n v="532435.0"/>
        <n v="532134.0"/>
        <n v="532440.0"/>
        <n v="532149.0"/>
        <n v="532444.0"/>
        <n v="532174.0"/>
        <n v="532455.0"/>
        <n v="532457.0"/>
        <n v="532460.0"/>
        <n v="532187.0"/>
        <n v="532209.0"/>
        <n v="532467.0"/>
        <n v="532210.0"/>
        <n v="532475.0"/>
        <n v="532215.0"/>
        <n v="532218.0"/>
        <n v="532479.0"/>
        <n v="540798.0"/>
        <n v="532388.0"/>
        <n v="532461.0"/>
        <n v="532485.0"/>
        <n v="532486.0"/>
        <n v="532468.0"/>
        <n v="532477.0"/>
        <n v="532483.0"/>
        <n v="532505.0"/>
        <n v="532503.0"/>
        <n v="532525.0"/>
        <n v="532636.0"/>
        <n v="532507.0"/>
        <n v="532642.0"/>
        <n v="532648.0"/>
        <n v="532513.0"/>
        <n v="532652.0"/>
        <n v="532515.0"/>
        <n v="532521.0"/>
        <n v="532659.0"/>
        <n v="532720.0"/>
        <n v="532810.0"/>
        <n v="532814.0"/>
        <n v="532835.0"/>
        <n v="532528.0"/>
        <n v="532529.0"/>
        <n v="532885.0"/>
        <n v="532532.0"/>
        <n v="532892.0"/>
        <n v="532900.0"/>
        <n v="532915.0"/>
        <n v="532922.0"/>
        <n v="532543.0"/>
        <n v="532955.0"/>
        <n v="532978.0"/>
        <n v="533095.0"/>
        <n v="532604.0"/>
        <n v="533295.0"/>
        <n v="532610.0"/>
        <n v="532612.0"/>
        <n v="532613.0"/>
        <n v="532614.0"/>
        <n v="532616.0"/>
        <n v="538569.0"/>
        <n v="532624.0"/>
        <n v="532626.0"/>
        <n v="533398.0"/>
        <n v="532628.0"/>
        <n v="532629.0"/>
        <n v="533519.0"/>
        <n v="530445.0"/>
        <n v="534091.0"/>
        <n v="532637.0"/>
        <n v="535789.0"/>
        <n v="532640.0"/>
        <n v="532641.0"/>
        <n v="539177.0"/>
        <n v="539437.0"/>
        <n v="531502.0"/>
        <n v="539807.0"/>
        <n v="532649.0"/>
        <n v="532650.0"/>
        <n v="532651.0"/>
        <n v="539883.0"/>
        <n v="532654.0"/>
        <n v="532656.0"/>
        <n v="540065.0"/>
        <n v="532661.0"/>
        <n v="532662.0"/>
        <n v="532663.0"/>
        <n v="532666.0"/>
        <n v="540133.0"/>
        <n v="540173.0"/>
        <n v="540530.0"/>
        <n v="532673.0"/>
        <n v="532674.0"/>
        <n v="532676.0"/>
        <n v="540611.0"/>
        <n v="532684.0"/>
        <n v="531137.0"/>
        <n v="532687.0"/>
        <n v="540691.0"/>
        <n v="532694.0"/>
        <n v="532695.0"/>
        <n v="532698.0"/>
        <n v="532699.0"/>
        <n v="532700.0"/>
        <n v="532701.0"/>
        <n v="540716.0"/>
        <n v="532705.0"/>
        <n v="532707.0"/>
        <n v="532708.0"/>
        <n v="532710.0"/>
        <n v="542025.0"/>
        <n v="540719.0"/>
        <n v="532716.0"/>
        <n v="532717.0"/>
        <n v="532719.0"/>
        <n v="540725.0"/>
        <n v="532721.0"/>
        <n v="532722.0"/>
        <n v="532723.0"/>
        <n v="540749.0"/>
        <n v="540750.0"/>
        <n v="532728.0"/>
        <n v="532729.0"/>
        <n v="532730.0"/>
        <n v="532732.0"/>
        <n v="540755.0"/>
        <n v="540767.0"/>
        <n v="540769.0"/>
        <n v="532737.0"/>
        <n v="532738.0"/>
        <n v="532740.0"/>
        <n v="532741.0"/>
        <n v="532742.0"/>
        <n v="532744.0"/>
        <n v="532745.0"/>
        <n v="532748.0"/>
        <n v="520131.0"/>
        <n v="540914.0"/>
        <n v="540777.0"/>
        <n v="541153.0"/>
        <n v="541179.0"/>
        <n v="509084.0"/>
        <n v="532760.0"/>
        <n v="532761.0"/>
        <n v="541729.0"/>
        <n v="532764.0"/>
        <n v="532766.0"/>
        <n v="532768.0"/>
        <n v="532771.0"/>
        <n v="532772.0"/>
        <n v="523519.0"/>
        <n v="532774.0"/>
        <n v="532775.0"/>
        <n v="532776.0"/>
        <n v="541770.0"/>
        <n v="541988.0"/>
        <n v="532780.0"/>
        <n v="532782.0"/>
        <n v="542759.0"/>
        <n v="542773.0"/>
        <n v="532785.0"/>
        <n v="542867.0"/>
        <n v="532794.0"/>
        <n v="532795.0"/>
        <n v="532796.0"/>
        <n v="532797.0"/>
        <n v="542904.0"/>
        <n v="532799.0"/>
        <n v="543066.0"/>
        <n v="532801.0"/>
        <n v="543232.0"/>
        <n v="530251.0"/>
        <n v="532806.0"/>
        <n v="532807.0"/>
        <n v="532808.0"/>
        <n v="538579.0"/>
        <n v="543235.0"/>
        <n v="543238.0"/>
        <n v="532812.0"/>
        <n v="543243.0"/>
        <n v="532815.0"/>
        <n v="532817.0"/>
        <n v="532820.0"/>
        <n v="543257.0"/>
        <n v="532825.0"/>
        <n v="532826.0"/>
        <n v="543259.0"/>
        <n v="532828.0"/>
        <n v="532829.0"/>
        <n v="543335.0"/>
        <n v="543374.0"/>
        <n v="532834.0"/>
        <n v="543390.0"/>
        <n v="532839.0"/>
        <n v="532841.0"/>
        <n v="532842.0"/>
        <n v="543396.0"/>
        <n v="532845.0"/>
        <n v="532847.0"/>
        <n v="532848.0"/>
        <n v="532850.0"/>
        <n v="532851.0"/>
        <n v="532853.0"/>
        <n v="532855.0"/>
        <n v="543412.0"/>
        <n v="543516.0"/>
        <n v="532864.0"/>
        <n v="532867.0"/>
        <n v="543415.0"/>
        <n v="532869.0"/>
        <n v="532870.0"/>
        <n v="543526.0"/>
        <n v="532875.0"/>
        <n v="532878.0"/>
        <n v="532879.0"/>
        <n v="532880.0"/>
        <n v="532884.0"/>
        <n v="543527.0"/>
        <n v="532886.0"/>
        <n v="532888.0"/>
        <n v="543596.0"/>
        <n v="532890.0"/>
        <n v="543663.0"/>
        <n v="543720.0"/>
        <n v="532893.0"/>
        <n v="532894.0"/>
        <n v="532895.0"/>
        <n v="532896.0"/>
        <n v="543940.0"/>
        <n v="532899.0"/>
        <n v="543942.0"/>
        <n v="532904.0"/>
        <n v="532906.0"/>
        <n v="532907.0"/>
        <n v="512344.0"/>
        <n v="543959.0"/>
        <n v="532916.0"/>
        <n v="532918.0"/>
        <n v="535204.0"/>
        <n v="543988.0"/>
        <n v="532923.0"/>
        <n v="532924.0"/>
        <n v="532925.0"/>
        <n v="544026.0"/>
        <n v="526525.0"/>
        <n v="544044.0"/>
        <n v="544118.0"/>
        <n v="532930.0"/>
        <n v="532931.0"/>
        <n v="532932.0"/>
        <n v="532933.0"/>
        <n v="532934.0"/>
        <n v="532935.0"/>
        <n v="532937.0"/>
        <n v="544176.0"/>
        <n v="544179.0"/>
        <n v="532941.0"/>
        <n v="590003.0"/>
        <n v="532944.0"/>
        <n v="532945.0"/>
        <n v="532946.0"/>
        <n v="532947.0"/>
        <n v="532951.0"/>
        <n v="532952.0"/>
        <n v="590071.0"/>
        <s v="BSE"/>
        <n v="532957.0"/>
        <n v="532960.0"/>
        <s v="CDSL"/>
        <n v="532967.0"/>
        <n v="532974.0"/>
        <n v="532975.0"/>
        <s v="SUNDARMHLD"/>
        <n v="500087.0"/>
        <n v="500124.0"/>
        <n v="532980.0"/>
        <n v="532983.0"/>
        <n v="532985.0"/>
        <n v="532986.0"/>
        <n v="532987.0"/>
        <n v="532988.0"/>
        <n v="532992.0"/>
        <n v="532993.0"/>
        <n v="532994.0"/>
        <n v="532998.0"/>
        <n v="533001.0"/>
        <n v="533007.0"/>
        <n v="533012.0"/>
        <n v="542803.0"/>
        <n v="533018.0"/>
        <n v="533019.0"/>
        <n v="533022.0"/>
        <n v="500126.0"/>
        <n v="533029.0"/>
        <n v="500257.0"/>
        <n v="533047.0"/>
        <n v="533048.0"/>
        <n v="533056.0"/>
        <n v="533078.0"/>
        <n v="533080.0"/>
        <n v="500420.0"/>
        <n v="503675.0"/>
        <n v="533093.0"/>
        <n v="500488.0"/>
        <n v="500660.0"/>
        <n v="500674.0"/>
        <n v="533101.0"/>
        <n v="533104.0"/>
        <n v="500680.0"/>
        <n v="533108.0"/>
        <n v="533110.0"/>
        <n v="533121.0"/>
        <n v="506820.0"/>
        <n v="533137.0"/>
        <n v="533138.0"/>
        <n v="533146.0"/>
        <n v="506943.0"/>
        <n v="533149.0"/>
        <n v="508869.0"/>
        <n v="524372.0"/>
        <n v="533152.0"/>
        <n v="524404.0"/>
        <n v="533156.0"/>
        <n v="533158.0"/>
        <n v="524494.0"/>
        <n v="533161.0"/>
        <n v="533162.0"/>
        <n v="533164.0"/>
        <n v="533166.0"/>
        <n v="533168.0"/>
        <n v="524558.0"/>
        <n v="533170.0"/>
        <n v="533177.0"/>
        <n v="524715.0"/>
        <n v="533181.0"/>
        <n v="533189.0"/>
        <n v="533192.0"/>
        <n v="533193.0"/>
        <n v="533202.0"/>
        <n v="533203.0"/>
        <n v="524742.0"/>
        <n v="533208.0"/>
        <n v="533210.0"/>
        <n v="533212.0"/>
        <n v="533217.0"/>
        <n v="533218.0"/>
        <n v="533227.0"/>
        <n v="533229.0"/>
        <n v="533239.0"/>
        <n v="535205.0"/>
        <n v="533252.0"/>
        <n v="533259.0"/>
        <n v="533260.0"/>
        <n v="533261.0"/>
        <n v="533262.0"/>
        <n v="533263.0"/>
        <n v="533267.0"/>
        <n v="533268.0"/>
        <n v="524804.0"/>
        <n v="533270.0"/>
        <n v="524816.0"/>
        <n v="530019.0"/>
        <n v="530549.0"/>
        <n v="531599.0"/>
        <n v="533275.0"/>
        <n v="531768.0"/>
        <n v="532296.0"/>
        <n v="533284.0"/>
        <n v="533285.0"/>
        <n v="532300.0"/>
        <n v="533287.0"/>
        <n v="526574.0"/>
        <n v="533292.0"/>
        <n v="532321.0"/>
        <n v="533294.0"/>
        <n v="532331.0"/>
        <n v="531515.0"/>
        <n v="533298.0"/>
        <n v="533301.0"/>
        <n v="533302.0"/>
        <n v="533303.0"/>
        <n v="533306.0"/>
        <n v="533315.0"/>
        <n v="533316.0"/>
        <n v="533317.0"/>
        <n v="533320.0"/>
        <n v="532482.0"/>
        <n v="533329.0"/>
        <n v="533333.0"/>
        <n v="533336.0"/>
        <n v="532488.0"/>
        <n v="533343.0"/>
        <n v="533344.0"/>
        <n v="532523.0"/>
        <n v="533407.0"/>
        <n v="532645.0"/>
        <n v="533451.0"/>
        <n v="533452.0"/>
        <n v="533470.0"/>
        <n v="533477.0"/>
        <n v="533482.0"/>
        <n v="533506.0"/>
        <n v="532531.0"/>
        <n v="512443.0"/>
        <n v="533540.0"/>
        <n v="533543.0"/>
        <n v="533552.0"/>
        <n v="532843.0"/>
        <n v="532872.0"/>
        <n v="533576.0"/>
        <n v="533573.0"/>
        <n v="538452.0"/>
        <n v="533608.0"/>
        <n v="533629.0"/>
        <n v="533632.0"/>
        <n v="533638.0"/>
        <n v="539268.0"/>
        <n v="533676.0"/>
        <n v="542524.0"/>
        <n v="539523.0"/>
        <n v="533761.0"/>
        <n v="531240.0"/>
        <n v="533941.0"/>
        <n v="533982.0"/>
        <n v="534060.0"/>
        <n v="534063.0"/>
        <n v="534064.0"/>
        <n v="539524.0"/>
        <n v="539551.0"/>
        <n v="534109.0"/>
        <n v="539787.0"/>
        <n v="534190.0"/>
        <n v="540222.0"/>
        <n v="534312.0"/>
        <n v="534328.0"/>
        <n v="534338.0"/>
        <n v="534369.0"/>
        <n v="534392.0"/>
        <n v="534422.0"/>
        <n v="534425.0"/>
        <n v="534532.0"/>
        <n v="540596.0"/>
        <n v="534598.0"/>
        <n v="534600.0"/>
        <n v="534612.0"/>
        <n v="526865.0"/>
        <n v="540975.0"/>
        <n v="534623.0"/>
        <n v="534639.0"/>
        <n v="534659.0"/>
        <n v="534674.0"/>
        <n v="534675.0"/>
        <n v="534680.0"/>
        <n v="534691.0"/>
        <n v="534708.0"/>
        <n v="534732.0"/>
        <n v="534733.0"/>
        <n v="534741.0"/>
        <n v="534742.0"/>
        <n v="534748.0"/>
        <n v="534755.0"/>
        <n v="534758.0"/>
        <n v="534796.0"/>
        <n v="534804.0"/>
        <n v="534809.0"/>
        <n v="542650.0"/>
        <n v="543064.0"/>
        <n v="535136.0"/>
        <n v="515127.0"/>
        <n v="530571.0"/>
        <n v="535267.0"/>
        <n v="535279.0"/>
        <n v="535322.0"/>
        <n v="535387.0"/>
        <n v="535431.0"/>
        <n v="535458.0"/>
        <n v="535514.0"/>
        <n v="535566.0"/>
        <n v="535601.0"/>
        <n v="543220.0"/>
        <n v="535621.0"/>
        <n v="535647.0"/>
        <n v="543245.0"/>
        <n v="535657.0"/>
        <n v="535667.0"/>
        <n v="535693.0"/>
        <n v="535719.0"/>
        <n v="535730.0"/>
        <n v="543308.0"/>
        <n v="543322.0"/>
        <n v="543349.0"/>
        <n v="535910.0"/>
        <n v="535916.0"/>
        <n v="535917.0"/>
        <n v="535958.0"/>
        <n v="536073.0"/>
        <n v="540756.0"/>
        <n v="536493.0"/>
        <n v="536507.0"/>
        <n v="536659.0"/>
        <n v="536672.0"/>
        <n v="536709.0"/>
        <n v="536710.0"/>
        <n v="536737.0"/>
        <n v="536738.0"/>
        <n v="536773.0"/>
        <n v="536846.0"/>
        <n v="536974.0"/>
        <n v="537069.0"/>
        <n v="537253.0"/>
        <n v="537259.0"/>
        <n v="537291.0"/>
        <n v="537292.0"/>
        <n v="537326.0"/>
        <n v="537536.0"/>
        <n v="537573.0"/>
        <n v="537582.0"/>
        <n v="537669.0"/>
        <n v="537707.0"/>
        <n v="537709.0"/>
        <n v="537750.0"/>
        <n v="537766.0"/>
        <n v="542155.0"/>
        <n v="537785.0"/>
        <n v="537800.0"/>
        <n v="537820.0"/>
        <n v="537839.0"/>
        <n v="537985.0"/>
        <n v="538081.0"/>
        <n v="538092.0"/>
        <n v="538119.0"/>
        <n v="538212.0"/>
        <n v="543350.0"/>
        <n v="538273.0"/>
        <n v="538319.0"/>
        <n v="521003.0"/>
        <n v="538365.0"/>
        <n v="538382.0"/>
        <n v="538395.0"/>
        <n v="538401.0"/>
        <n v="538402.0"/>
        <n v="538422.0"/>
        <n v="538446.0"/>
        <n v="538451.0"/>
        <n v="500236.0"/>
        <n v="538464.0"/>
        <n v="538465.0"/>
        <n v="538476.0"/>
        <n v="501111.0"/>
        <n v="538521.0"/>
        <n v="538539.0"/>
        <n v="538540.0"/>
        <n v="538542.0"/>
        <n v="538546.0"/>
        <n v="538556.0"/>
        <n v="538562.0"/>
        <n v="501144.0"/>
        <n v="538564.0"/>
        <n v="538565.0"/>
        <n v="543524.0"/>
        <n v="501351.0"/>
        <n v="501479.0"/>
        <n v="538576.0"/>
        <n v="501622.0"/>
        <n v="538596.0"/>
        <n v="538597.0"/>
        <n v="538598.0"/>
        <n v="538607.0"/>
        <n v="538609.0"/>
        <n v="538610.0"/>
        <n v="538611.0"/>
        <n v="538634.0"/>
        <n v="503639.0"/>
        <n v="538646.0"/>
        <n v="538647.0"/>
        <n v="503659.0"/>
        <n v="538666.0"/>
        <n v="503669.0"/>
        <n v="538668.0"/>
        <n v="538685.0"/>
        <n v="538706.0"/>
        <n v="538707.0"/>
        <n v="538708.0"/>
        <n v="538713.0"/>
        <n v="538714.0"/>
        <n v="538715.0"/>
        <n v="538716.0"/>
        <n v="543635.0"/>
        <n v="538731.0"/>
        <n v="538732.0"/>
        <n v="538733.0"/>
        <n v="538734.0"/>
        <n v="538742.0"/>
        <n v="538743.0"/>
        <n v="538765.0"/>
        <n v="538770.0"/>
        <n v="538772.0"/>
        <n v="538777.0"/>
        <n v="538778.0"/>
        <n v="538787.0"/>
        <n v="538788.0"/>
        <n v="538794.0"/>
        <n v="538795.0"/>
        <n v="538817.0"/>
        <n v="538833.0"/>
        <n v="538834.0"/>
        <n v="543654.0"/>
        <n v="538836.0"/>
        <n v="538837.0"/>
        <n v="538838.0"/>
        <n v="538857.0"/>
        <n v="538860.0"/>
        <n v="538862.0"/>
        <n v="538863.0"/>
        <n v="538868.0"/>
        <n v="538874.0"/>
        <n v="503689.0"/>
        <n v="538881.0"/>
        <n v="538882.0"/>
        <n v="538890.0"/>
        <n v="543748.0"/>
        <n v="538894.0"/>
        <n v="503696.0"/>
        <n v="538896.0"/>
        <n v="538902.0"/>
        <n v="538918.0"/>
        <n v="538919.0"/>
        <n v="503772.0"/>
        <n v="538921.0"/>
        <n v="538922.0"/>
        <n v="538923.0"/>
        <n v="538926.0"/>
        <n v="538928.0"/>
        <n v="504356.0"/>
        <n v="504397.0"/>
        <n v="538943.0"/>
        <n v="538952.0"/>
        <n v="538961.0"/>
        <n v="543904.0"/>
        <n v="538964.0"/>
        <n v="538965.0"/>
        <n v="538970.0"/>
        <n v="538975.0"/>
        <n v="543960.0"/>
        <n v="538987.0"/>
        <n v="538992.0"/>
        <n v="505520.0"/>
        <n v="543980.0"/>
        <n v="539011.0"/>
        <n v="505585.0"/>
        <n v="539013.0"/>
        <n v="539016.0"/>
        <n v="539017.0"/>
        <n v="539018.0"/>
        <n v="539026.0"/>
        <n v="505594.0"/>
        <n v="539040.0"/>
        <n v="506120.0"/>
        <n v="539042.0"/>
        <n v="539044.0"/>
        <n v="539045.0"/>
        <n v="539046.0"/>
        <n v="539056.0"/>
        <n v="544009.0"/>
        <n v="539090.0"/>
        <n v="539091.0"/>
        <n v="539096.0"/>
        <n v="506178.0"/>
        <n v="539098.0"/>
        <n v="539099.0"/>
        <n v="539110.0"/>
        <n v="539111.0"/>
        <n v="539112.0"/>
        <n v="539113.0"/>
        <n v="539115.0"/>
        <n v="506190.0"/>
        <n v="539117.0"/>
        <n v="506196.0"/>
        <n v="539119.0"/>
        <n v="539120.0"/>
        <n v="539121.0"/>
        <n v="539123.0"/>
        <n v="539124.0"/>
        <n v="506906.0"/>
        <n v="539132.0"/>
        <n v="539141.0"/>
        <n v="539143.0"/>
        <n v="539148.0"/>
        <n v="507530.0"/>
        <n v="544172.0"/>
        <n v="539151.0"/>
        <n v="539167.0"/>
        <n v="539174.0"/>
        <n v="539175.0"/>
        <n v="539176.0"/>
        <n v="500002.0"/>
        <n v="539189.0"/>
        <n v="539190.0"/>
        <n v="539195.0"/>
        <n v="539196.0"/>
        <n v="539198.0"/>
        <n v="539199.0"/>
        <n v="539201.0"/>
        <n v="539206.0"/>
        <n v="539216.0"/>
        <n v="539217.0"/>
        <n v="539218.0"/>
        <n v="539219.0"/>
        <n v="539220.0"/>
        <n v="539221.0"/>
        <n v="508980.0"/>
        <n v="539226.0"/>
        <n v="539227.0"/>
        <n v="539228.0"/>
        <n v="539230.0"/>
        <n v="509003.0"/>
        <n v="539251.0"/>
        <n v="539252.0"/>
        <n v="539253.0"/>
        <n v="500048.0"/>
        <n v="539255.0"/>
        <n v="539265.0"/>
        <n v="539267.0"/>
        <n v="500049.0"/>
        <n v="539273.0"/>
        <n v="539275.0"/>
        <n v="539276.0"/>
        <n v="539277.0"/>
        <n v="539278.0"/>
        <n v="539287.0"/>
        <n v="539288.0"/>
        <n v="539289.0"/>
        <n v="539290.0"/>
        <n v="539291.0"/>
        <n v="539300.0"/>
        <n v="539301.0"/>
        <n v="500093.0"/>
        <n v="539309.0"/>
        <n v="539310.0"/>
        <n v="539314.0"/>
        <n v="539331.0"/>
        <n v="509046.0"/>
        <n v="539334.0"/>
        <n v="500103.0"/>
        <n v="539337.0"/>
        <n v="539346.0"/>
        <n v="539353.0"/>
        <n v="539354.0"/>
        <n v="539359.0"/>
        <n v="539378.0"/>
        <n v="539383.0"/>
        <n v="539384.0"/>
        <n v="539391.0"/>
        <n v="539393.0"/>
        <n v="539398.0"/>
        <n v="539399.0"/>
        <n v="539400.0"/>
        <n v="539401.0"/>
        <n v="539402.0"/>
        <n v="539404.0"/>
        <n v="539405.0"/>
        <n v="509782.0"/>
        <n v="539407.0"/>
        <n v="539408.0"/>
        <n v="509917.0"/>
        <n v="539428.0"/>
        <n v="539434.0"/>
        <n v="539435.0"/>
        <n v="539436.0"/>
        <n v="500128.0"/>
        <n v="539447.0"/>
        <n v="511048.0"/>
        <n v="511060.0"/>
        <n v="539450.0"/>
        <n v="539468.0"/>
        <n v="539469.0"/>
        <n v="539470.0"/>
        <n v="539479.0"/>
        <n v="539488.0"/>
        <n v="539492.0"/>
        <n v="539494.0"/>
        <n v="539495.0"/>
        <n v="539506.0"/>
        <n v="539515.0"/>
        <n v="539518.0"/>
        <n v="539521.0"/>
        <n v="539522.0"/>
        <n v="500133.0"/>
        <n v="500135.0"/>
        <n v="511185.0"/>
        <n v="539527.0"/>
        <n v="539528.0"/>
        <n v="511187.0"/>
        <n v="539542.0"/>
        <n v="539543.0"/>
        <n v="539544.0"/>
        <n v="539545.0"/>
        <n v="511563.0"/>
        <n v="500144.0"/>
        <n v="539552.0"/>
        <n v="539559.0"/>
        <n v="539560.0"/>
        <n v="511585.0"/>
        <n v="539562.0"/>
        <n v="539574.0"/>
        <n v="512004.0"/>
        <n v="539593.0"/>
        <n v="539594.0"/>
        <n v="539596.0"/>
        <n v="539598.0"/>
        <n v="539599.0"/>
        <n v="539607.0"/>
        <n v="539620.0"/>
        <n v="539621.0"/>
        <n v="539636.0"/>
        <n v="512014.0"/>
        <n v="539659.0"/>
        <n v="539660.0"/>
        <n v="539661.0"/>
        <n v="539662.0"/>
        <n v="539669.0"/>
        <n v="539673.0"/>
        <n v="539678.0"/>
        <n v="539679.0"/>
        <n v="539680.0"/>
        <n v="539681.0"/>
        <n v="539682.0"/>
        <n v="539683.0"/>
        <n v="539686.0"/>
        <n v="539692.0"/>
        <n v="539697.0"/>
        <n v="539725.0"/>
        <n v="539730.0"/>
        <n v="539742.0"/>
        <n v="539760.0"/>
        <n v="539761.0"/>
        <n v="539762.0"/>
        <n v="539767.0"/>
        <n v="539770.0"/>
        <n v="539773.0"/>
        <n v="539785.0"/>
        <n v="500185.0"/>
        <n v="539788.0"/>
        <n v="539798.0"/>
        <n v="539799.0"/>
        <n v="539800.0"/>
        <n v="500191.0"/>
        <n v="512025.0"/>
        <n v="539819.0"/>
        <n v="512026.0"/>
        <n v="539835.0"/>
        <n v="539837.0"/>
        <n v="539839.0"/>
        <n v="512060.0"/>
        <n v="539843.0"/>
        <n v="539854.0"/>
        <n v="539871.0"/>
        <n v="539872.0"/>
        <n v="539875.0"/>
        <n v="500210.0"/>
        <n v="500241.0"/>
        <n v="539884.0"/>
        <n v="539889.0"/>
        <n v="539894.0"/>
        <n v="539917.0"/>
        <n v="539921.0"/>
        <n v="512062.0"/>
        <n v="512063.0"/>
        <n v="539939.0"/>
        <n v="539946.0"/>
        <n v="539947.0"/>
        <n v="512064.0"/>
        <n v="500243.0"/>
        <n v="539963.0"/>
        <n v="512117.0"/>
        <n v="539979.0"/>
        <n v="539984.0"/>
        <n v="539985.0"/>
        <n v="539986.0"/>
        <n v="512153.0"/>
        <n v="500249.0"/>
        <n v="539997.0"/>
        <n v="500252.0"/>
        <n v="512157.0"/>
        <n v="540025.0"/>
        <n v="540026.0"/>
        <n v="500265.0"/>
        <n v="540048.0"/>
        <n v="540061.0"/>
        <n v="540062.0"/>
        <n v="540063.0"/>
        <n v="500294.0"/>
        <n v="540066.0"/>
        <n v="540072.0"/>
        <n v="500336.0"/>
        <n v="540078.0"/>
        <n v="540079.0"/>
        <n v="540080.0"/>
        <n v="540081.0"/>
        <n v="540082.0"/>
        <n v="540083.0"/>
        <n v="540097.0"/>
        <n v="540108.0"/>
        <n v="500378.0"/>
        <n v="540124.0"/>
        <n v="540125.0"/>
        <n v="512195.0"/>
        <n v="500411.0"/>
        <n v="540134.0"/>
        <n v="540135.0"/>
        <n v="540136.0"/>
        <n v="540143.0"/>
        <n v="512213.0"/>
        <n v="540145.0"/>
        <n v="540146.0"/>
        <n v="540147.0"/>
        <n v="540148.0"/>
        <n v="540151.0"/>
        <n v="500472.0"/>
        <n v="540159.0"/>
        <n v="540168.0"/>
        <n v="500477.0"/>
        <n v="540174.0"/>
        <n v="540175.0"/>
        <n v="500480.0"/>
        <n v="540181.0"/>
        <n v="512245.0"/>
        <n v="540192.0"/>
        <n v="540198.0"/>
        <n v="540199.0"/>
        <n v="500495.0"/>
        <n v="540204.0"/>
        <n v="500510.0"/>
        <n v="540210.0"/>
        <n v="512261.0"/>
        <n v="512271.0"/>
        <n v="500550.0"/>
        <n v="512277.0"/>
        <n v="540252.0"/>
        <n v="540254.0"/>
        <n v="512301.0"/>
        <n v="512303.0"/>
        <n v="540268.0"/>
        <n v="540269.0"/>
        <n v="512341.0"/>
        <n v="500655.0"/>
        <n v="540310.0"/>
        <n v="540311.0"/>
        <n v="540318.0"/>
        <n v="540332.0"/>
        <n v="540358.0"/>
        <n v="540359.0"/>
        <n v="540360.0"/>
        <n v="512377.0"/>
        <n v="540366.0"/>
        <n v="500940.0"/>
        <n v="512415.0"/>
        <n v="540386.0"/>
        <n v="540393.0"/>
        <n v="540395.0"/>
        <n v="540396.0"/>
        <n v="512425.0"/>
        <n v="540402.0"/>
        <n v="540403.0"/>
        <n v="540404.0"/>
        <n v="540416.0"/>
        <n v="540425.0"/>
        <n v="540455.0"/>
        <n v="540467.0"/>
        <n v="540468.0"/>
        <n v="540481.0"/>
        <n v="540492.0"/>
        <n v="540497.0"/>
        <n v="540515.0"/>
        <n v="540519.0"/>
        <n v="502219.0"/>
        <n v="540544.0"/>
        <n v="540545.0"/>
        <n v="540550.0"/>
        <n v="512431.0"/>
        <n v="503960.0"/>
        <n v="540590.0"/>
        <n v="505255.0"/>
        <n v="505700.0"/>
        <n v="540602.0"/>
        <n v="505890.0"/>
        <n v="512433.0"/>
        <n v="540614.0"/>
        <n v="540615.0"/>
        <n v="540642.0"/>
        <n v="540647.0"/>
        <n v="540648.0"/>
        <n v="540649.0"/>
        <n v="540650.0"/>
        <n v="540651.0"/>
        <n v="540652.0"/>
        <n v="540654.0"/>
        <n v="512461.0"/>
        <n v="506076.0"/>
        <n v="540679.0"/>
        <n v="509488.0"/>
        <n v="540681.0"/>
        <n v="540686.0"/>
        <n v="509496.0"/>
        <n v="540692.0"/>
        <n v="540693.0"/>
        <n v="540694.0"/>
        <n v="512511.0"/>
        <n v="509631.0"/>
        <n v="540700.0"/>
        <n v="540701.0"/>
        <n v="540702.0"/>
        <n v="512517.0"/>
        <n v="540704.0"/>
        <n v="540709.0"/>
        <n v="540710.0"/>
        <n v="540715.0"/>
        <n v="509930.0"/>
        <n v="512589.0"/>
        <n v="540718.0"/>
        <n v="512237.0"/>
        <n v="540724.0"/>
        <n v="512329.0"/>
        <n v="540726.0"/>
        <n v="540727.0"/>
        <n v="540728.0"/>
        <n v="540729.0"/>
        <n v="512591.0"/>
        <n v="540735.0"/>
        <n v="540737.0"/>
        <n v="512600.0"/>
        <n v="513375.0"/>
        <n v="517146.0"/>
        <n v="517174.0"/>
        <n v="517569.0"/>
        <n v="512624.0"/>
        <n v="540757.0"/>
        <n v="520111.0"/>
        <n v="520113.0"/>
        <n v="513012.0"/>
        <n v="522074.0"/>
        <n v="540774.0"/>
        <n v="540775.0"/>
        <n v="540776.0"/>
        <n v="522113.0"/>
        <n v="540782.0"/>
        <n v="514223.0"/>
        <n v="540788.0"/>
        <n v="540789.0"/>
        <n v="540795.0"/>
        <n v="540796.0"/>
        <n v="540797.0"/>
        <n v="514236.0"/>
        <n v="514378.0"/>
        <n v="514400.0"/>
        <n v="540821.0"/>
        <n v="540824.0"/>
        <n v="514460.0"/>
        <n v="517044.0"/>
        <n v="540850.0"/>
        <n v="540874.0"/>
        <n v="540879.0"/>
        <n v="522163.0"/>
        <n v="540901.0"/>
        <n v="522205.0"/>
        <n v="517172.0"/>
        <n v="540904.0"/>
        <n v="519230.0"/>
        <n v="540923.0"/>
        <n v="522275.0"/>
        <n v="540936.0"/>
        <n v="540937.0"/>
        <n v="540938.0"/>
        <n v="540952.0"/>
        <n v="540953.0"/>
        <n v="540954.0"/>
        <n v="540955.0"/>
        <n v="540956.0"/>
        <n v="540961.0"/>
        <n v="522287.0"/>
        <n v="519413.0"/>
        <n v="541005.0"/>
        <n v="541006.0"/>
        <n v="530343.0"/>
        <n v="541083.0"/>
        <n v="541096.0"/>
        <n v="541112.0"/>
        <n v="541133.0"/>
        <n v="531120.0"/>
        <n v="541144.0"/>
        <n v="522289.0"/>
        <n v="531431.0"/>
        <n v="532144.0"/>
        <n v="541161.0"/>
        <n v="541163.0"/>
        <n v="541167.0"/>
        <n v="541178.0"/>
        <n v="532178.0"/>
        <n v="532259.0"/>
        <n v="523151.0"/>
        <n v="523896.0"/>
        <n v="541228.0"/>
        <n v="532493.0"/>
        <n v="541269.0"/>
        <n v="541276.0"/>
        <n v="541299.0"/>
        <n v="532553.0"/>
        <n v="524414.0"/>
        <n v="541303.0"/>
        <n v="541304.0"/>
        <n v="541336.0"/>
        <n v="541337.0"/>
        <n v="541338.0"/>
        <n v="541347.0"/>
        <n v="541352.0"/>
        <n v="541353.0"/>
        <n v="541358.0"/>
        <n v="541400.0"/>
        <n v="541402.0"/>
        <n v="541403.0"/>
        <n v="541418.0"/>
        <n v="524504.0"/>
        <n v="541445.0"/>
        <n v="532667.0"/>
        <n v="541503.0"/>
        <n v="541540.0"/>
        <n v="532683.0"/>
        <n v="532714.0"/>
        <n v="532726.0"/>
        <n v="541601.0"/>
        <n v="541633.0"/>
        <n v="541634.0"/>
        <n v="541700.0"/>
        <n v="541701.0"/>
        <n v="524580.0"/>
        <n v="541703.0"/>
        <n v="532734.0"/>
        <n v="541735.0"/>
        <n v="524590.0"/>
        <n v="532757.0"/>
        <n v="541771.0"/>
        <n v="541778.0"/>
        <n v="541799.0"/>
        <n v="541865.0"/>
        <n v="541890.0"/>
        <n v="541929.0"/>
        <n v="541945.0"/>
        <n v="532762.0"/>
        <n v="541967.0"/>
        <n v="541973.0"/>
        <n v="541974.0"/>
        <n v="524628.0"/>
        <n v="532804.0"/>
        <n v="532811.0"/>
        <n v="542012.0"/>
        <n v="542013.0"/>
        <n v="542019.0"/>
        <n v="542020.0"/>
        <n v="524723.0"/>
        <n v="542034.0"/>
        <n v="542046.0"/>
        <n v="542057.0"/>
        <n v="532830.0"/>
        <n v="542123.0"/>
        <n v="532856.0"/>
        <n v="526439.0"/>
        <n v="542146.0"/>
        <n v="526795.0"/>
        <n v="542176.0"/>
        <n v="542206.0"/>
        <n v="532928.0"/>
        <n v="542231.0"/>
        <n v="542232.0"/>
        <n v="542233.0"/>
        <n v="542248.0"/>
        <n v="542285.0"/>
        <n v="532940.0"/>
        <n v="542332.0"/>
        <n v="526877.0"/>
        <n v="542337.0"/>
        <n v="542351.0"/>
        <n v="542367.0"/>
        <n v="542376.0"/>
        <n v="542377.0"/>
        <n v="530055.0"/>
        <n v="532942.0"/>
        <n v="542437.0"/>
        <n v="530161.0"/>
        <n v="542459.0"/>
        <n v="542460.0"/>
        <n v="530259.0"/>
        <n v="532966.0"/>
        <n v="530289.0"/>
        <n v="542544.0"/>
        <n v="542579.0"/>
        <n v="542580.0"/>
        <n v="542592.0"/>
        <n v="530495.0"/>
        <n v="542599.0"/>
        <n v="530581.0"/>
        <n v="530797.0"/>
        <n v="533033.0"/>
        <n v="533169.0"/>
        <n v="533271.0"/>
        <n v="533272.0"/>
        <n v="542654.0"/>
        <n v="530907.0"/>
        <n v="542665.0"/>
        <n v="542666.0"/>
        <n v="530917.0"/>
        <n v="530929.0"/>
        <n v="542669.0"/>
        <n v="542670.0"/>
        <n v="542678.0"/>
        <n v="542679.0"/>
        <n v="542682.0"/>
        <n v="542684.0"/>
        <n v="542685.0"/>
        <n v="531017.0"/>
        <n v="542721.0"/>
        <n v="542724.0"/>
        <n v="542725.0"/>
        <n v="533293.0"/>
        <n v="542727.0"/>
        <n v="542728.0"/>
        <n v="542729.0"/>
        <n v="533326.0"/>
        <n v="531203.0"/>
        <n v="533339.0"/>
        <n v="533553.0"/>
        <n v="542770.0"/>
        <n v="542771.0"/>
        <n v="542772.0"/>
        <n v="533655.0"/>
        <n v="542774.0"/>
        <n v="542801.0"/>
        <n v="542802.0"/>
        <n v="531334.0"/>
        <n v="533758.0"/>
        <n v="534076.0"/>
        <n v="542850.0"/>
        <n v="542851.0"/>
        <n v="542852.0"/>
        <n v="542857.0"/>
        <n v="542862.0"/>
        <n v="542864.0"/>
        <n v="542865.0"/>
        <n v="542866.0"/>
        <n v="534139.0"/>
        <n v="534309.0"/>
        <n v="542905.0"/>
        <n v="542906.0"/>
        <n v="539006.0"/>
        <n v="542911.0"/>
        <n v="542918.0"/>
        <n v="542919.0"/>
        <n v="539083.0"/>
        <n v="542924.0"/>
        <n v="542931.0"/>
        <n v="542933.0"/>
        <n v="542934.0"/>
        <n v="542938.0"/>
        <n v="539150.0"/>
        <n v="543065.0"/>
        <n v="539302.0"/>
        <n v="543171.0"/>
        <n v="543172.0"/>
        <n v="539992.0"/>
        <n v="531402.0"/>
        <n v="543207.0"/>
        <n v="543208.0"/>
        <n v="543209.0"/>
        <n v="543210.0"/>
        <n v="543211.0"/>
        <n v="543212.0"/>
        <n v="543213.0"/>
        <n v="543214.0"/>
        <n v="543218.0"/>
        <n v="540047.0"/>
        <n v="543223.0"/>
        <n v="540678.0"/>
        <n v="541019.0"/>
        <n v="543229.0"/>
        <n v="543230.0"/>
        <n v="543231.0"/>
        <n v="541143.0"/>
        <n v="543233.0"/>
        <n v="543234.0"/>
        <n v="541154.0"/>
        <n v="543236.0"/>
        <n v="541195.0"/>
        <n v="541556.0"/>
        <n v="543239.0"/>
        <n v="543240.0"/>
        <n v="543241.0"/>
        <n v="531465.0"/>
        <n v="541956.0"/>
        <n v="543244.0"/>
        <n v="542011.0"/>
        <n v="543248.0"/>
        <n v="542141.0"/>
        <n v="543251.0"/>
        <n v="543252.0"/>
        <n v="542649.0"/>
        <n v="543254.0"/>
        <n v="543256.0"/>
        <n v="542652.0"/>
        <n v="542760.0"/>
        <n v="542907.0"/>
        <n v="543260.0"/>
        <n v="543262.0"/>
        <n v="543263.0"/>
        <n v="543264.0"/>
        <n v="543187.0"/>
        <n v="543266.0"/>
        <n v="543267.0"/>
        <n v="543268.0"/>
        <n v="543237.0"/>
        <n v="543270.0"/>
        <n v="543297.0"/>
        <n v="531506.0"/>
        <n v="543274.0"/>
        <n v="543299.0"/>
        <n v="543317.0"/>
        <n v="543367.0"/>
        <n v="543413.0"/>
        <n v="543279.0"/>
        <n v="543428.0"/>
        <n v="543281.0"/>
        <n v="543283.0"/>
        <n v="531537.0"/>
        <n v="543285.0"/>
        <n v="543286.0"/>
        <n v="543573.0"/>
        <n v="543288.0"/>
        <n v="543664.0"/>
        <n v="543298.0"/>
        <n v="543933.0"/>
        <n v="543981.0"/>
        <n v="531585.0"/>
        <n v="544046.0"/>
        <n v="544057.0"/>
        <n v="543309.0"/>
        <n v="543310.0"/>
        <n v="543311.0"/>
        <n v="543312.0"/>
        <n v="544061.0"/>
        <n v="544081.0"/>
        <n v="531696.0"/>
        <n v="544133.0"/>
        <n v="543321.0"/>
        <n v="570004.0"/>
        <n v="543324.0"/>
        <n v="500209.0"/>
        <n v="543327.0"/>
        <n v="543328.0"/>
        <n v="543329.0"/>
        <n v="500408.0"/>
        <n v="543331.0"/>
        <n v="500463.0"/>
        <n v="543333.0"/>
        <n v="504067.0"/>
        <n v="507685.0"/>
        <n v="523704.0"/>
        <n v="543341.0"/>
        <n v="543346.0"/>
        <n v="526299.0"/>
        <n v="532175.0"/>
        <n v="531885.0"/>
        <n v="532221.0"/>
        <n v="543363.0"/>
        <n v="543364.0"/>
        <n v="543366.0"/>
        <n v="532281.0"/>
        <n v="531918.0"/>
        <n v="543373.0"/>
        <n v="532400.0"/>
        <n v="543375.0"/>
        <n v="543376.0"/>
        <n v="543377.0"/>
        <n v="532407.0"/>
        <n v="543386.0"/>
        <n v="543387.0"/>
        <n v="543389.0"/>
        <n v="532466.0"/>
        <n v="543391.0"/>
        <n v="532540.0"/>
        <n v="532541.0"/>
        <n v="532668.0"/>
        <n v="543399.0"/>
        <n v="543400.0"/>
        <n v="532735.0"/>
        <n v="532007.0"/>
        <n v="543411.0"/>
        <n v="532755.0"/>
        <n v="532790.0"/>
        <n v="533179.0"/>
        <n v="543416.0"/>
        <n v="538835.0"/>
        <n v="543419.0"/>
        <n v="532083.0"/>
        <n v="538891.0"/>
        <n v="540005.0"/>
        <n v="540115.0"/>
        <n v="540900.0"/>
        <n v="543433.0"/>
        <n v="543434.0"/>
        <n v="543435.0"/>
        <n v="543439.0"/>
        <n v="533014.0"/>
        <n v="543442.0"/>
        <n v="543444.0"/>
        <n v="543449.0"/>
        <n v="543451.0"/>
        <n v="543453.0"/>
        <n v="542651.0"/>
        <n v="543460.0"/>
        <n v="537784.0"/>
        <n v="543462.0"/>
        <n v="542752.0"/>
        <n v="543464.0"/>
        <n v="543470.0"/>
        <n v="543475.0"/>
        <n v="543227.0"/>
        <n v="538563.0"/>
        <n v="543398.0"/>
        <n v="543497.0"/>
        <n v="543417.0"/>
        <n v="543499.0"/>
        <n v="538652.0"/>
        <n v="543512.0"/>
        <n v="538667.0"/>
        <n v="543514.0"/>
        <n v="538895.0"/>
        <n v="538935.0"/>
        <n v="543517.0"/>
        <n v="543518.0"/>
        <n v="543519.0"/>
        <n v="543520.0"/>
        <n v="543521.0"/>
        <n v="543522.0"/>
        <n v="543425.0"/>
        <n v="543533.0"/>
        <n v="543525.0"/>
        <n v="543945.0"/>
        <n v="544028.0"/>
        <n v="543528.0"/>
        <n v="539005.0"/>
        <n v="532921.0"/>
        <n v="543531.0"/>
        <n v="539448.0"/>
        <n v="543994.0"/>
        <n v="531344.0"/>
        <n v="539032.0"/>
        <n v="543536.0"/>
        <n v="543537.0"/>
        <n v="543538.0"/>
        <n v="543539.0"/>
        <n v="543540.0"/>
        <n v="543541.0"/>
        <n v="543542.0"/>
        <n v="543543.0"/>
        <n v="543544.0"/>
        <n v="543545.0"/>
        <n v="543546.0"/>
        <n v="543547.0"/>
        <n v="532754.0"/>
        <n v="543578.0"/>
        <n v="543579.0"/>
        <n v="543590.0"/>
        <n v="539149.0"/>
        <n v="543593.0"/>
        <n v="543594.0"/>
        <n v="543595.0"/>
        <n v="543529.0"/>
        <n v="543597.0"/>
        <n v="543598.0"/>
        <n v="543599.0"/>
        <n v="543600.0"/>
        <n v="543606.0"/>
        <n v="543613.0"/>
        <n v="543614.0"/>
        <n v="539246.0"/>
        <n v="543616.0"/>
        <n v="543617.0"/>
        <n v="539406.0"/>
        <n v="543619.0"/>
        <n v="526612.0"/>
        <n v="539449.0"/>
        <n v="543622.0"/>
        <n v="543623.0"/>
        <n v="543624.0"/>
        <n v="539533.0"/>
        <n v="500620.0"/>
        <n v="532805.0"/>
        <n v="543636.0"/>
        <n v="543637.0"/>
        <n v="539584.0"/>
        <n v="543643.0"/>
        <n v="543644.0"/>
        <n v="543645.0"/>
        <n v="543650.0"/>
        <n v="543651.0"/>
        <n v="543652.0"/>
        <n v="532809.0"/>
        <n v="513377.0"/>
        <n v="543656.0"/>
        <n v="523598.0"/>
        <n v="532927.0"/>
        <n v="533248.0"/>
        <n v="539978.0"/>
        <n v="543668.0"/>
        <n v="543965.0"/>
        <n v="543670.0"/>
        <n v="539938.0"/>
        <n v="543678.0"/>
        <n v="543686.0"/>
        <n v="543687.0"/>
        <n v="543688.0"/>
        <n v="543689.0"/>
        <n v="543709.0"/>
        <n v="543711.0"/>
        <n v="543712.0"/>
        <n v="540132.0"/>
        <n v="543714.0"/>
        <n v="540190.0"/>
        <n v="543441.0"/>
        <n v="543725.0"/>
        <n v="540221.0"/>
        <n v="543737.0"/>
        <n v="543743.0"/>
        <n v="543744.0"/>
        <n v="543745.0"/>
        <n v="543746.0"/>
        <n v="543747.0"/>
        <n v="532349.0"/>
        <n v="543753.0"/>
        <n v="540243.0"/>
        <n v="543765.0"/>
        <n v="543766.0"/>
        <n v="543767.0"/>
        <n v="543768.0"/>
        <n v="543769.0"/>
        <n v="543782.0"/>
        <n v="543787.0"/>
        <n v="543798.0"/>
        <n v="543799.0"/>
        <n v="543804.0"/>
        <n v="543805.0"/>
        <n v="540259.0"/>
        <n v="543811.0"/>
        <n v="543812.0"/>
        <n v="543814.0"/>
        <n v="543828.0"/>
        <n v="543829.0"/>
        <n v="543830.0"/>
        <n v="543831.0"/>
        <n v="543843.0"/>
        <n v="543848.0"/>
        <n v="543860.0"/>
        <n v="543861.0"/>
        <n v="543874.0"/>
        <n v="543895.0"/>
        <n v="543896.0"/>
        <n v="543897.0"/>
        <n v="543898.0"/>
        <n v="543901.0"/>
        <n v="543902.0"/>
        <n v="540673.0"/>
        <n v="543905.0"/>
        <n v="540267.0"/>
        <n v="543911.0"/>
        <n v="543912.0"/>
        <n v="543914.0"/>
        <n v="543915.0"/>
        <n v="543916.0"/>
        <n v="543917.0"/>
        <n v="543918.0"/>
        <n v="543919.0"/>
        <n v="543920.0"/>
        <n v="543921.0"/>
        <n v="543923.0"/>
        <n v="543924.0"/>
        <n v="543926.0"/>
        <n v="543927.0"/>
        <n v="543928.0"/>
        <n v="543929.0"/>
        <n v="543930.0"/>
        <n v="543931.0"/>
        <n v="543932.0"/>
        <n v="505355.0"/>
        <n v="543934.0"/>
        <n v="542597.0"/>
        <n v="543937.0"/>
        <n v="543938.0"/>
        <n v="543939.0"/>
        <n v="532749.0"/>
        <n v="543941.0"/>
        <n v="543242.0"/>
        <n v="543943.0"/>
        <n v="539118.0"/>
        <n v="543950.0"/>
        <n v="543951.0"/>
        <n v="543489.0"/>
        <n v="543953.0"/>
        <n v="540270.0"/>
        <n v="540696.0"/>
        <n v="500183.0"/>
        <n v="543958.0"/>
        <n v="500483.0"/>
        <n v="523610.0"/>
        <n v="543962.0"/>
        <n v="543963.0"/>
        <n v="540703.0"/>
        <n v="543969.0"/>
        <n v="543970.0"/>
        <n v="532371.0"/>
        <n v="543972.0"/>
        <n v="543974.0"/>
        <n v="543976.0"/>
        <n v="543977.0"/>
        <n v="543978.0"/>
        <n v="543979.0"/>
        <n v="532374.0"/>
        <n v="532454.0"/>
        <n v="543982.0"/>
        <n v="543983.0"/>
        <n v="543984.0"/>
        <n v="543985.0"/>
        <n v="543986.0"/>
        <n v="532822.0"/>
        <n v="543989.0"/>
        <n v="534816.0"/>
        <n v="540829.0"/>
        <n v="543992.0"/>
        <n v="543993.0"/>
        <n v="542446.0"/>
        <n v="543995.0"/>
        <n v="542477.0"/>
        <n v="543997.0"/>
        <n v="543998.0"/>
        <n v="544000.0"/>
        <n v="544001.0"/>
        <n v="544002.0"/>
        <n v="544003.0"/>
        <n v="544004.0"/>
        <n v="540595.0"/>
        <n v="543228.0"/>
        <n v="542627.0"/>
        <n v="543265.0"/>
        <n v="544013.0"/>
        <n v="543971.0"/>
        <n v="544015.0"/>
        <n v="544020.0"/>
        <n v="544021.0"/>
        <n v="544162.0"/>
        <n v="544023.0"/>
        <n v="544025.0"/>
        <n v="500084.0"/>
        <n v="544027.0"/>
        <n v="500214.0"/>
        <n v="544029.0"/>
        <n v="544030.0"/>
        <n v="544035.0"/>
        <n v="544036.0"/>
        <n v="544037.0"/>
        <n v="544042.0"/>
        <n v="500390.0"/>
        <n v="500400.0"/>
        <n v="513023.0"/>
        <n v="544047.0"/>
        <n v="544052.0"/>
        <n v="544053.0"/>
        <n v="544054.0"/>
        <n v="544055.0"/>
        <n v="543305.0"/>
        <n v="513683.0"/>
        <n v="544058.0"/>
        <n v="544059.0"/>
        <n v="544060.0"/>
        <n v="532524.0"/>
        <n v="544066.0"/>
        <n v="544067.0"/>
        <n v="544072.0"/>
        <n v="544073.0"/>
        <n v="544074.0"/>
        <n v="544079.0"/>
        <n v="544080.0"/>
        <n v="532555.0"/>
        <n v="544082.0"/>
        <n v="544083.0"/>
        <n v="544088.0"/>
        <n v="544090.0"/>
        <n v="543319.0"/>
        <n v="544094.0"/>
        <n v="544095.0"/>
        <n v="544100.0"/>
        <n v="544101.0"/>
        <n v="544105.0"/>
        <n v="544106.0"/>
        <n v="544107.0"/>
        <n v="544108.0"/>
        <n v="544111.0"/>
        <n v="544112.0"/>
        <n v="544117.0"/>
        <n v="532627.0"/>
        <n v="544119.0"/>
        <n v="544120.0"/>
        <n v="544121.0"/>
        <n v="544122.0"/>
        <n v="544124.0"/>
        <n v="532779.0"/>
        <n v="544131.0"/>
        <n v="532898.0"/>
        <n v="544134.0"/>
        <n v="544135.0"/>
        <n v="544136.0"/>
        <n v="544138.0"/>
        <n v="544139.0"/>
        <n v="544140.0"/>
        <n v="544141.0"/>
        <n v="544142.0"/>
        <n v="544143.0"/>
        <n v="544144.0"/>
        <n v="543352.0"/>
        <n v="544150.0"/>
        <n v="544151.0"/>
        <n v="543500.0"/>
        <n v="544157.0"/>
        <n v="544158.0"/>
        <n v="544160.0"/>
        <n v="544161.0"/>
        <n v="532939.0"/>
        <n v="544163.0"/>
        <n v="544164.0"/>
        <n v="544165.0"/>
        <n v="544166.0"/>
        <n v="544167.0"/>
        <n v="544168.0"/>
        <n v="544169.0"/>
        <n v="544170.0"/>
        <n v="544171.0"/>
        <n v="533096.0"/>
        <n v="544173.0"/>
        <n v="533098.0"/>
        <n v="544175.0"/>
        <n v="533122.0"/>
        <n v="544177.0"/>
        <n v="544178.0"/>
        <n v="533148.0"/>
        <n v="544091.0"/>
        <n v="544183.0"/>
        <n v="544184.0"/>
        <n v="544185.0"/>
        <n v="544186.0"/>
        <n v="544187.0"/>
        <n v="544188.0"/>
        <n v="544189.0"/>
        <n v="544190.0"/>
        <n v="544191.0"/>
        <n v="544192.0"/>
        <n v="544195.0"/>
        <n v="544197.0"/>
        <n v="544198.0"/>
        <n v="544199.0"/>
        <n v="544200.0"/>
        <n v="544201.0"/>
        <n v="555555.0"/>
        <n v="533206.0"/>
        <n v="570002.0"/>
        <n v="533269.0"/>
        <n v="570005.0"/>
        <n v="534618.0"/>
        <n v="590005.0"/>
        <n v="590006.0"/>
        <n v="590013.0"/>
        <n v="590018.0"/>
        <n v="590021.0"/>
        <n v="539254.0"/>
        <n v="590025.0"/>
        <n v="590030.0"/>
        <n v="590031.0"/>
        <n v="590041.0"/>
        <n v="590051.0"/>
        <n v="590056.0"/>
        <n v="590057.0"/>
        <n v="590062.0"/>
        <n v="590065.0"/>
        <n v="590066.0"/>
        <n v="590068.0"/>
        <n v="590070.0"/>
        <n v="541450.0"/>
        <n v="590072.0"/>
        <n v="590073.0"/>
        <n v="590075.0"/>
        <n v="590078.0"/>
        <n v="590086.0"/>
        <n v="590103.0"/>
        <n v="590104.0"/>
        <n v="590106.0"/>
        <n v="590107.0"/>
        <n v="590108.0"/>
        <n v="590109.0"/>
        <n v="590110.0"/>
        <n v="590115.0"/>
        <n v="590134.0"/>
        <n v="542323.0"/>
        <s v="BSHSL"/>
        <n v="543490.0"/>
        <s v="IRBIT"/>
        <s v="JASH"/>
        <s v="MBAPL"/>
        <s v="NDRINVIT"/>
        <s v="ORIANA"/>
        <n v="543620.0"/>
        <s v="SPECTRUM"/>
        <n v="543667.0"/>
        <s v="THEJO"/>
        <s v="VERTOZ"/>
      </sharedItems>
    </cacheField>
    <cacheField name="Issuer Name" numFmtId="0">
      <sharedItems>
        <s v="Atul Limited."/>
        <s v="Century Textiles &amp; Industries Ltd."/>
        <s v="BASF India Ltd"/>
        <s v="Ambalal Sarabhai Enterprise Ltd."/>
        <s v="Andhra Petrochemicals Ltd."/>
        <s v="Ansal Properties &amp; Infrastructure Ltd."/>
        <s v="UTIQUE ENTERPRISES LIMITED"/>
        <s v="Aruna Hotels Ltd."/>
        <s v="Bombay Dyeing &amp; Mfg. Co. Ltd."/>
        <s v="Asian Hotels (North) Limited"/>
        <s v="Chambal Fertilisers &amp; Chemicals Ltd"/>
        <s v="ATV Projects India Ltd"/>
        <s v="Steel Authority of India Ltd."/>
        <s v="Elantas Beck India Ltd"/>
        <s v="E.I.D. Parry (India) Ltd."/>
        <s v="GHCL Ltd."/>
        <s v="Himadri Speciality Chemical Ltd."/>
        <s v="Banco Products (India) Ltd."/>
        <s v="Hindustan Zinc Ltd."/>
        <s v="Bannari Amman Sugars Ltd."/>
        <s v="JSW Steel Limited"/>
        <s v="Kirloskar Ferrous Industries Ltd."/>
        <s v="The Ramco Cements Limited"/>
        <s v="Vedanta Limited"/>
        <s v="Bhansali Engineering Polymers Ltd."/>
        <s v="Bihar Sponge Iron Ltd"/>
        <s v="Binani Industries Limited"/>
        <s v="Birla Cable Limited"/>
        <s v="Grasim Industries Ltd"/>
        <s v="Disa India Ltd."/>
        <s v="QUEST CAPITAL MARKETS LIMITED"/>
        <s v="BPL Ltd."/>
        <s v="ORIENTAL AROMATICS LIMITED"/>
        <s v="Century Extrusions Ltd."/>
        <s v="Pidilite Industries Ltd."/>
        <s v="Birla Corporation Ltd."/>
        <s v="PRISM JOHNSON LIMITED."/>
        <s v="Rain Industries Limited"/>
        <s v="DIC India Ltd"/>
        <s v="Rallis India Ltd"/>
        <s v="JK Lakshmi Cement Limited"/>
        <s v="Shree Cements Ltd."/>
        <s v="Dalmia Bharat Sugar and Industries Ltd"/>
        <s v="Supreme Petrochem Ltd."/>
        <s v="ACC Ltd"/>
        <s v="Ambuja Cements Ltd."/>
        <s v="Hindalco Industries Ltd."/>
        <s v="Mahanagar Telephone Nigam Ltd."/>
        <s v="TATA STEEL LIMITED"/>
        <s v="Deepak Fertilizers &amp;Petrochemicals"/>
        <s v="Gujarat Narmada Valley Fert.Co.Ltd"/>
        <s v="Gujarat State Fertilizers &amp; Chem.Ltd"/>
        <s v="Tata Chemicals Ltd"/>
        <s v="Kesoram Industries Ltd"/>
        <s v="DCW Ltd."/>
        <s v="Dhampur Sugar Mills Ltd."/>
        <s v="Diamines &amp; Chemicals Ltd."/>
        <s v="SRF Ltd."/>
        <s v="Sarda Energy &amp; Minerals Ltd"/>
        <s v="Bayer CropScience Limited."/>
        <s v="Coromandel International Limited"/>
        <s v="Deepak Nitrite Limited"/>
        <s v="PCBL LIMITED"/>
        <s v="Sudarshan Chemical Indus. Ltd."/>
        <s v="Ester Industries Ltd."/>
        <s v="FGP Ltd"/>
        <s v="P.H. Capital Ltd."/>
        <s v="Alkyl Amines Chemicals Ltd."/>
        <s v="JOHN COCKERILL INDIA LIMITED"/>
        <s v="Uflex Limited"/>
        <s v="Foseco India Ltd"/>
        <s v="Golden Tobacco Ltd."/>
        <s v="Ganesh Benzoplast Ltd."/>
        <s v="Dhanuka Agritech Ltd."/>
        <s v="GTL Ltd"/>
        <s v="UPL Limited"/>
        <s v="Lloyds Metals and Energy Limited"/>
        <s v="Adani Enterprises Ltd."/>
        <s v="Goodricke Group Ltd."/>
        <s v="Goodyear India Ltd."/>
        <s v="GTN Industries Limited"/>
        <s v="Hindustan Copper Ltd."/>
        <s v="GFL LIMITED"/>
        <s v="Gujarat Lease Financing Limited"/>
        <s v="HCL Infosystems Ltd"/>
        <s v="Linde India Limited"/>
        <s v="National Fertilizers Ltd."/>
        <s v="PI Industries Limited"/>
        <s v="Vinati Organics Ltd."/>
        <s v="Aarti Industries Ltd"/>
        <s v="Hindustan Oil Exploration Co. Ltd."/>
        <s v="AGI GREENPAC LIMITED"/>
        <s v="Rashtriya Chemicals &amp; Fertilizers Limited"/>
        <s v="NDL Ventures Limited"/>
        <s v="NMDC Ltd"/>
        <s v="Prag Bosimi Synthetics Ltd."/>
        <s v="HLV LIMITED"/>
        <s v="IG Petrochemicals Ltd"/>
        <s v="India Glycols Ltd"/>
        <s v="India Lease Devl. Ltd."/>
        <s v="Margo Finance Limited"/>
        <s v="Indo Rama Synthetics (India) Ltd."/>
        <s v="Gujarat Alkalis &amp; Chemicals Ltd."/>
        <s v="India Cements Ltd."/>
        <s v="International Travel House Ltd"/>
        <s v="PRIVI SPECIALITY CHEMICALS LIMITED"/>
        <s v="Agro Tech Foods Ltd"/>
        <s v="Jain Irrigation Systems Ltd."/>
        <s v="Jasch Industries Ltd."/>
        <s v="Jindal Poly Films Ltd."/>
        <s v="Balaji Amines Ltd."/>
        <s v="Umang Dairies Limited"/>
        <s v="JK Paper Ltd."/>
        <s v="Kakatiya Cement Sugar &amp; Industries Ltd."/>
        <s v="Kalyani Steels Ltd"/>
        <s v="Gujarat Mineral Development Corpora"/>
        <s v="National Aluminium Co. Ltd."/>
        <s v="K.G.Denim Ltd"/>
        <s v="Kinetic Engineering Ltd."/>
        <s v="Jindal Steel &amp; Power Ltd"/>
        <s v="Navin Fluorine International Limited"/>
        <s v="Jindal Stainless Limited"/>
        <s v="Envair Electrodyne Ltd."/>
        <s v="UltraTech Cement Ltd"/>
        <s v="KRISHNA FILAMENT INDUSTRIES LIMITED"/>
        <s v="J.K. CEMENT LTD"/>
        <s v="L.g.Balkrishnan &amp; Bros. Ltd."/>
        <s v="Solar Industries India Limited"/>
        <s v="Jai Balaji Industries Limited"/>
        <s v="GRAVITA INDIA LIMITED"/>
        <s v="MOIL Limited"/>
        <s v="Lyka Labs Ltd."/>
        <s v="ORIENT CEMENT LIMITED"/>
        <s v="HYBRID FINANCIAL SERVICES LIMITED"/>
        <s v="Mafatlal Industries Ltd."/>
        <s v="Star Cement Limited"/>
        <s v="KIOCL Limited"/>
        <s v="Galaxy Surfactants Limited"/>
        <s v="Manali Petrochemicals Ltd."/>
        <s v="Baroda Rayon Corpn. Ltd."/>
        <s v="Fine Organic Industries Limited"/>
        <s v="Mid India Industries Limited"/>
        <s v="Mirc Electronics Ltd"/>
        <s v="Century Enka Ltd."/>
        <s v="Modern Thread (India) Ltd."/>
        <s v="Lords Chloro Alkali Ltd"/>
        <s v="DALMIA BHARAT LIMITED"/>
        <s v="Morepen Laboratories Ltd."/>
        <s v="Gujarat Fluorochemicals Limited"/>
        <s v="HeidelbergCement  India Limited"/>
        <s v="SUMITOMO CHEMICAL INDIA LIMITED"/>
        <s v="Jubilant Ingrevia Limited"/>
        <s v="Nahar Spinning Mills Ltd."/>
        <s v="Naperol Investments Limited"/>
        <s v="Anupam Rasayan India Limited"/>
        <s v="Laxmi Organic Industries Limited"/>
        <s v="NIIT Ltd."/>
        <s v="Jaykay Enterprises Limited"/>
        <s v="Clean Science and Technology Limited"/>
        <s v="Epigral Limited"/>
        <s v="Oil Country Tubular Ltd."/>
        <s v="Oriental Hotels Ltd."/>
        <s v="Nuvoco Vistas Corporation Limited"/>
        <s v="Indian Sucrose Ltd."/>
        <s v="Panyam Cements &amp; Mineral Inds. Ltd."/>
        <s v="Chemplast Sanmar Limited"/>
        <s v="Pil Italica Lifestyle Limited"/>
        <s v="Paradeep Phosphates Limited"/>
        <s v="Aether Industries Limited"/>
        <s v="Pix Transmissions Ltd."/>
        <s v="Archean Chemical Industries Limited"/>
        <s v="Fertilizers and Chemicals Travancore Limited"/>
        <s v="Prime Securities Ltd."/>
        <s v="Amara Raja Energy &amp; Mobility Limited"/>
        <s v="Bajaj Electricals Ltd."/>
        <s v="Prudential Sugar Corporation Ltd"/>
        <s v="AMJ LAND HOLDINGS LIMITED"/>
        <s v="Punjab Communications Limited"/>
        <s v="RSWM Limited"/>
        <s v="Rajshree Sugars &amp; Chemicals Ltd."/>
        <s v="Force Motors Limited"/>
        <s v="Shree Rama Newsprint Limited"/>
        <s v="Rama Paper Mills Limited"/>
        <s v="Rapicut Carbides Ltd."/>
        <s v="WELSPUN SPECIALTY SOLUTIONS LIMITED"/>
        <s v="Rubfila International Ltd."/>
        <s v="Bata India Limited"/>
        <s v="Blue Star Ltd"/>
        <s v="Exide Industries Ltd."/>
        <s v="Arvind Ltd."/>
        <s v="Titan Company Limited"/>
        <s v="Shree Krishna Paper Mills &amp; Industr"/>
        <s v="Kansai Nerolac Paints"/>
        <s v="Hero MotoCorp Limited"/>
        <s v="SPML Infra Limited"/>
        <s v="Kajaria Ceramics Ltd"/>
        <s v="Sunflag Iron &amp; Steel Co. Ltd."/>
        <s v="Whirlpool of India Ltd"/>
        <s v="Swaraj Engines Ltd."/>
        <s v="Trent Ltd [Lakme Ltd]"/>
        <s v="M.R.F. Ltd."/>
        <s v="Raymond Limited"/>
        <s v="Thirumalai Chemicals Ltd."/>
        <s v="Sundram Fasteners Ltd."/>
        <s v="Timex Group India Ltd"/>
        <s v="Tokyo Plast International Ltd."/>
        <s v="Thomas Cook (India) Ltd."/>
        <s v="TPI India Ltd."/>
        <s v="Transchem Limited."/>
        <s v="Bharat Forge Ltd"/>
        <s v="UTL Industries Limited"/>
        <s v="Uniphos Enterprises Limited."/>
        <s v="Vardhman Holdings Limited"/>
        <s v="Mahindra &amp; Mahindra Ltd."/>
        <s v="West Coast Paper Mills Limited"/>
        <s v="Hindustan Organic Chemicals Ltd."/>
        <s v="MPIL CORPORATION LIMITED"/>
        <s v="Pasupati Acrylon Ltd."/>
        <s v="Kore Foods Limited"/>
        <s v="Bosch Ltd"/>
        <s v="Mukand Ltd."/>
        <s v="Tata Motors Ltd."/>
        <s v="UCAL LIMITED"/>
        <s v="Harrisons Malayalam Ltd."/>
        <s v="Voltas Ltd."/>
        <s v="Akzo Nobel India Limited"/>
        <s v="Asian Paints Ltd."/>
        <s v="EIH Ltd"/>
        <s v="Indian Hotels Co. Ltd"/>
        <s v="Apollo Tyres Ltd"/>
        <s v="Ceat Ltd."/>
        <s v="Balkrishna Industries Ltd."/>
        <s v="Vardhman Textiles Limted"/>
        <s v="The Phoenix Mills Ltd."/>
        <s v="Hindustan Motors Ltd."/>
        <s v="National Standard (India) Limited"/>
        <s v="Eicher Motors Ltd."/>
        <s v="Responsive Industries Ltd"/>
        <s v="Premier Limited"/>
        <s v="WESTLIFE FOODWORLD LIMITED"/>
        <s v="Zee Entertainment Enterprises Ltd."/>
        <s v="Gabriel India Ltd."/>
        <s v="IFB Industries Limited"/>
        <s v="Schaeffler India Limited"/>
        <s v="V.I.P. Industries Ltd."/>
        <s v="Excell Industries Ltd."/>
        <s v="Berger Paints India Ltd"/>
        <s v="GARWARE TECHNICAL FIBRES LIMITED"/>
        <s v="Sunteck Realty Ltd"/>
        <s v="Novartis India Limited."/>
        <s v="WELSPUN LIVING LIMITED"/>
        <s v="Asahi India Glass Ltd."/>
        <s v="Anant Raj Limited"/>
        <s v="HBL Power Systems Ltd."/>
        <s v="Samvardhana Motherson International Limited"/>
        <s v="NOCIL Ltd"/>
        <s v="Havells India Limited"/>
        <s v="Tamilnadu Petroproducts Ltd"/>
        <s v="Zuari Industries Limited"/>
        <s v="Symphony Limited"/>
        <s v="TTK Prestige Ltd."/>
        <s v="JTEKT India Limited"/>
        <s v="Indo Count Industries Ltd"/>
        <s v="Trident Ltd"/>
        <s v="Alok Industries Ltd."/>
        <s v="Safari Industries (India) Ltd."/>
        <s v="Johnson Controls-Hitachi Air Conditioning India Ltd."/>
        <s v="Ganesh Housing Corporation Ltd."/>
        <s v="JK Tyre &amp; Industries Ltd."/>
        <s v="Relaxo Footwears Ltd."/>
        <s v="Modi Rubber Ltd."/>
        <s v="Rajesh Exports Ltd."/>
        <s v="Sunrise Industrial Traders Ltd."/>
        <s v="Jindal Worldwide Ltd."/>
        <s v="Vaibhav Global Ltd"/>
        <s v="Dalal Street Investments Ltd."/>
        <s v="Centrum Capital Limited"/>
        <s v="TCI Finance Limited"/>
        <s v="Saregama India Ltd."/>
        <s v="ANTARIKSH INDUSTRIES LIMITED"/>
        <s v="Industrial Investment Trust Ltd."/>
        <s v="Industrial &amp; Prudential Inv. Co. Lt"/>
        <s v="India Tourism Development Corporati"/>
        <s v="Jayabharat Credit Ltd."/>
        <s v="Mahindra Lifespace Developers Ltd."/>
        <s v="TVS Motor Company Ltd."/>
        <s v="Tips Industries Limited"/>
        <s v="OLECTRA GREENTECH LIMITED"/>
        <s v="Swastik Safe Deposit &amp; Invest. Ltd."/>
        <s v="W.H. Brady &amp; Co. Ltd."/>
        <s v="TechNVision Ventures Limited"/>
        <s v="Shaily Engineering Plastics Ltd."/>
        <s v="Cera Sanitaryware Ltd."/>
        <s v="Maruti Suzuki India  Ltd."/>
        <s v="Greaves Cotton Ltd."/>
        <s v="Suprajit Engineering Ltd."/>
        <s v="ramkrishna forgings Ltd."/>
        <s v="UNO Minda Limited"/>
        <s v="Anand Projects Ltd"/>
        <s v="India Nivesh Limited"/>
        <s v="Coastal Corporation Limited"/>
        <s v="Century Plyboards (India) Ltd."/>
        <s v="JBM Auto Limited"/>
        <s v="ASI INDUSTRIES LIMITED"/>
        <s v="Sagar Cements Ltd"/>
        <s v="Hemadri Cements Limited"/>
        <s v="Deccan Cements Ltd."/>
        <s v="Mangalam Cement Ltd."/>
        <s v="NCL Industries Limited"/>
        <s v="Saurashtra Cement Limited"/>
        <s v="Shree Digvijay Cement Co. Ltd."/>
        <s v="Gokaldas Exports Ltd"/>
        <s v="LERTHAI FINANCE LIMITED"/>
        <s v="Triveni Glass Ltd."/>
        <s v="Nilachal Refractories Ltd."/>
        <s v="ANDHRA PAPER LIMITED"/>
        <s v="Shoppers Stop Ltd"/>
        <s v="Orient Paper &amp; Industries Ltd."/>
        <s v="Citadel Realty And Developers Limited"/>
        <s v="Rollatainters Ltd."/>
        <s v="Seshasayee Paper &amp; Boards Ltd."/>
        <s v="NATH INDUSTRIES LIMITED"/>
        <s v="VAPI ENTERPRISE LIMITED"/>
        <s v="DCM Ltd."/>
        <s v="Gaekwar Mills Ltd."/>
        <s v="Forbes &amp; Company Ltd"/>
        <s v="H.P. Cotton Textile Mills Ltd."/>
        <s v="United Interactive Limited"/>
        <s v="JAMSHRI REALTY LIMITED"/>
        <s v="Katare Spinning Mills Ltd."/>
        <s v="PVR INOX LIMITED"/>
        <s v="Lakshmi Mills Company ltd"/>
        <s v="SUN TV NETWORK LIMITED"/>
        <s v="Peninsula Land Limited"/>
        <s v="Pasupati Spg. &amp; Wvg. Mills Ltd."/>
        <s v="CIE Automotive India Limited"/>
        <s v="Marathon Nextgen Realty Ltd"/>
        <s v="Raja Bahadur International Ltd"/>
        <s v="Reliance Chemotex Industries Ltd."/>
        <s v="Ruby Mills Ltd."/>
        <s v="Simplex Realty Limited"/>
        <s v="Info Edge(India) Ltd."/>
        <s v="Victoria Mills Ltd."/>
        <s v="S.V. Trading &amp; Agencies Ltd."/>
        <s v="Svaraj Trading &amp; Agencies Ltd."/>
        <s v="Kshitij Investments Ltd"/>
        <s v="Shree Salasar Investment Ltd."/>
        <s v="Sobha Limited"/>
        <s v="Network 18 Media &amp; Investments Limited"/>
        <s v="Veer Energy &amp; Infrastructure Limited"/>
        <s v="TV18 Broadcast Ltd."/>
        <s v="Tilak Ventures Limited"/>
        <s v="Page Industries Ltd."/>
        <s v="Unijolly Investments Co. Ltd."/>
        <s v="TeamLease Services Limited"/>
        <s v="Elcid Investments Ltd."/>
        <s v="Mediaone Global Entertainment Limited"/>
        <s v="TCI Express Limited"/>
        <s v="SpiceJet Limited"/>
        <s v="Banswara Syntex Ltd."/>
        <s v="Hinduja Global Solutions Limited"/>
        <s v="Modipon Ltd."/>
        <s v="Shri Dinesh Mills Ltd."/>
        <s v="Indiabulls Real Estate Limited"/>
        <s v="Siyaram Silk Mills Ltd."/>
        <s v="Swadeshi Polytex Ltd."/>
        <s v="Shree Rajasthan Syntex Ltd."/>
        <s v="Satyam Silk Mills Ltd"/>
        <s v="DLF LIMITED"/>
        <s v="Elpro International Ltd."/>
        <s v="GEE Ltd."/>
        <s v="Hind Rectifiers Ltd."/>
        <s v="Indo National Limited"/>
        <s v="K.P.R. Mill Ltd."/>
        <s v="Jyoti Ltd."/>
        <s v="JSL Industries Ltd."/>
        <s v="Kaycee Industries Ltd."/>
        <s v="Indokem Ltd"/>
        <s v="Panasonic Energy India Co. Ltd."/>
        <s v="Nelco Ltd"/>
        <s v="Permanent Magnets Ltd."/>
        <s v="High Energy Batteries (India) Ltd."/>
        <s v="Standard Batteries Ltd."/>
        <s v="Universal Cables Ltd."/>
        <s v="W.S. Industries (India) Ltd."/>
        <s v="Delton Cables Ltd."/>
        <s v="Lakshmi Electrical Control Systems"/>
        <s v="MODULEX CONSTRUCTION TECHNOLOGIES LIMITED"/>
        <s v="DELTA MANUFACTURING LIMITED"/>
        <s v="Confidence Finance And Trading Limited"/>
        <s v="RAVINDRA ENERGY LIMITED"/>
        <s v="G.D. Trading &amp; Agencies Ltd."/>
        <s v="Empower India Limited"/>
        <s v="Nirlon Limited"/>
        <s v="Ridhi Synthetics Ltd."/>
        <s v="Mahindra Logistics Limited"/>
        <s v="Softbpo Global Services Ltd."/>
        <s v="Awfis Space Solutions Limited"/>
        <s v="Dredging Corporation of India Ltd."/>
        <s v="Krishna Ventures Limited"/>
        <s v="BF Utilities Ltd."/>
        <s v="Uni-Abex Alloy Products Ltd."/>
        <s v="Puravankara Limited"/>
        <s v="Bhagwati Autocast Limited"/>
        <s v="Bombay Wire Ropes Ltd."/>
        <s v="Indian Bright Steel Co. Ltd."/>
        <s v="Indian Hume Pipe Co. Ltd."/>
        <s v="Investment &amp; Precision Castings Ltd"/>
        <s v="Veritas (India) Limited"/>
        <s v="Kaira Can Co. Ltd."/>
        <s v="ORIENT CERATECH LIMITED"/>
        <s v="Brigade Enterprises Limited"/>
        <s v="Rathi Steel &amp; Power Ltd"/>
        <s v="Duncan Engineering Limited"/>
        <s v="V-Guard Industries Ltd."/>
        <s v="Stovec Industries Ltd."/>
        <s v="Tayo Rolls Ltd."/>
        <s v="Bajaj Auto Limited"/>
        <s v="Welcast Steels Ltd."/>
        <s v="Western Ministil Ltd."/>
        <s v="Automotive Axles Ltd."/>
        <s v="Automobile Products of India Ltd."/>
        <s v="Automobile Corpn. of Goa Ltd."/>
        <s v="Setco Automotive Limited"/>
        <s v="India Radiators Ltd."/>
        <s v="Talbros Automotive Components Ltd."/>
        <s v="Z.F. Steering Gear (India) Limited"/>
        <s v="SML ISUZU LIMITED"/>
        <s v="TIL Ltd."/>
        <s v="ZF Commercial Vehicle Control Systems India Limited"/>
        <s v="JAINEX AAMCOL LTD."/>
        <s v="Alfred Herbert (India) Ltd."/>
        <s v="Veljan Denison Limited"/>
        <s v="Dynamatic Technologies Ltd."/>
        <s v="G. G. Dandekar Properties Limited"/>
        <s v="Mahindra Holidays &amp; Resorts India Limited"/>
        <s v="Kirloskar Pneumatic Co.Ltd."/>
        <s v="Tulive Developers Limited"/>
        <s v="KPT INDUSTRIES LIMITED"/>
        <s v="Lakshmi Automatic Loom Works Ltd."/>
        <s v="Manugraph India Ltd"/>
        <s v="HARSHIL AGROTECH LIMITED"/>
        <s v="Seamec Ltd"/>
        <s v="SPRIGHT AGRO LIMITED"/>
        <s v="Integra Engineering India Ltd."/>
        <s v="SEMAC CONSULTANTS LIMITED"/>
        <s v="DREAMFOLKS SERVICES LIMITED"/>
        <s v="Wendt (India) Ltd."/>
        <s v="PS IT Infrastructure &amp; Services Limited"/>
        <s v="Sindu Valley Technologies Ltd."/>
        <s v="Godrej Properties Limited"/>
        <s v="Shyamkamal Investments Ltd."/>
        <s v="RPSG VENTURES LIMITED"/>
        <s v="Updater Services Limited"/>
        <s v="DOLAT ALGOTECH LIMITED"/>
        <s v="D.B.Corp Limited"/>
        <s v="Jubilant Foodworks Limited"/>
        <s v="Reliance Industrial Infrastructure"/>
        <s v="SVP GLOBAL TEXTILES LIMITED"/>
        <s v="Texmaco Infrastructure &amp; Holdings Ltd"/>
        <s v="Skyline Millars Ltd"/>
        <s v="Bimetal Bearings Ltd"/>
        <s v="Taparia Tools Ltd."/>
        <s v="Bharat Gears Ltd."/>
        <s v="Brady &amp; Morris Engineering Co. Ltd."/>
        <s v="La Tim Metal &amp; Industries Limited"/>
        <s v="VALOR ESTATE LIMITED"/>
        <s v="Deccan Bearings Ltd."/>
        <s v="Grauer &amp; Weil (India) Ltd."/>
        <s v="HIM TEKNOFORGE LIMITED"/>
        <s v="OBEROI REALTY LIMITED"/>
        <s v="Hercules Hoists Ltd."/>
        <s v="ALGOQUANT FINTECH LIMITED"/>
        <s v="Prestige Estates Projects Limited"/>
        <s v="Singer India Limited"/>
        <s v="International Combustion (India) Lt"/>
        <s v="Federal-Mogul Goetze (India) Ltd"/>
        <s v="Josts Engineering Co. Ltd."/>
        <s v="PG Electroplast Limited"/>
        <s v="Mipco Seamless Rings (Gujarat) Ltd."/>
        <s v="Rane Holdings Ltd."/>
        <s v="Rolcon Engineering Co. Ltd."/>
        <s v="SNL Bearings Ltd."/>
        <s v="Jaipan Industries Ltd"/>
        <s v="Mangal Credit and Fincorp Limited"/>
        <s v="TRF Ltd"/>
        <s v="WPIL Ltd"/>
        <s v="RATTANINDIA ENTERPRISES LIMITED"/>
        <s v="HINDUSTAN HARDY LIMITED"/>
        <s v="Triton Valves Ltd."/>
        <s v="Sudal Industries Limited"/>
        <s v="Prakash Industries Ltd."/>
        <s v="HARIYANA VENTURES LIMITED"/>
        <s v="Prabhu Steel Industries Ltd."/>
        <s v="Navkar Corporation Limited"/>
        <s v="V-Mart Retail Limited"/>
        <s v="Lakshmi Precision Screws Ltd."/>
        <s v="Stanrose Mafatlal Investments &amp; Fin"/>
        <s v="Genesys International Corporation Ltd."/>
        <s v="Allsec Technologies Ltd."/>
        <s v="Pankaj Piyush Trade &amp; Inv. Ltd"/>
        <s v="Parnax Lab Limited"/>
        <s v="GOURMET GATEWAY INDIA LIMITED"/>
        <s v="Visagar Polytex Ltd"/>
        <s v="Ishwarshakti Holdings &amp; Traders Ltd"/>
        <s v="Terraform Magnum Limited"/>
        <s v="Apis India Ltd"/>
        <s v="Tinna Trade Limited"/>
        <s v="EMERGENT INDUSTRIAL SOLUTIONS LIMITED"/>
        <s v="Kanani Industries Ltd"/>
        <s v="GALAXY CLOUD KITCHENS LIMITED"/>
        <s v="The Yamuna Syndicate Ltd"/>
        <s v="Arihant Superstructures Limited"/>
        <s v="Polo Queen Industrial and Fintech Limited"/>
        <s v="Bliss GVS Pharma Limited"/>
        <s v="Styrenix Performance Materials Limited"/>
        <s v="Alembic  Ltd"/>
        <s v="Amines &amp; Plasticizers Ltd"/>
        <s v="Anuh Pharma Ltd."/>
        <s v="MODISON LIMITED"/>
        <s v="Sharda Motor Industries Ltd"/>
        <s v="Chemo Pharma Laboratories Ltd."/>
        <s v="Heubach Colorants India Limited"/>
        <s v="Just Dial Limited"/>
        <s v="Aditya Birla Fashion and Retail Limited"/>
        <s v="DMCC SPECIALITY CHEMICALS LIMITED"/>
        <s v="FERMENTA BIOTECH LIMITED"/>
        <s v="GOCL Corporation Limited"/>
        <s v="Jayshree Chemicals Ltd."/>
        <s v="Kanoria Chemicals &amp; Industries Ltd."/>
        <s v="Keltech Energies Ltd."/>
        <s v="Knowledge Marine &amp; Engineering Works Limited"/>
        <s v="Nitta Gelatin India Ltd"/>
        <s v="M.P. Agro Industries Ltd."/>
        <s v="Oriental Carbon &amp; Chemicals Ltd."/>
        <s v="Wonderla Holidays Limited"/>
        <s v="Amal Ltd"/>
        <s v="Polychem Ltd"/>
        <s v="Punjab Chemicals and Crop Protection Ltd."/>
        <s v="Gujchem Distillers India Ltd."/>
        <s v="Sadhana Nitrochem Ltd."/>
        <s v="PDS LIMITED"/>
        <s v="Tecil Chemicals &amp; Hydro Power Limit"/>
        <s v="Ultramarine &amp; Pigments Ltd."/>
        <s v="Transpek Industry Ltd."/>
        <s v="Unichem Laboratories Ltd."/>
        <s v="Mysore Petro Chemicals Ltd."/>
        <s v="Minda Corporation Limited"/>
        <s v="TUTICORIN ALKALI CHEMICALS AND FERTILIZERS LIMITED"/>
        <s v="Greenlam Industries Ltd"/>
        <s v="Primo Chemicals Limited"/>
        <s v="TANFAC Industries Ltd."/>
        <s v="Gujarat Petrosynthese Ltd."/>
        <s v="Gujarat Themis Biosyn Ltd."/>
        <s v="SNOWMAN LOGISTICS LIMITED"/>
        <s v="Makers Laboratories Ltd."/>
        <s v="Continental Chemicals Ltd."/>
        <s v="Crompton Greaves Consumer Electricals Limited"/>
        <s v="Indo Gulf Industries  Ltd."/>
        <s v="Rajasthan Petro Synthetics Ltd."/>
        <s v="Apt Packaging Ltd"/>
        <s v="Blue Chip Tex Industries Ltd."/>
        <s v="Jagatjit Industries Ltd."/>
        <s v="Kesar Enterprises Ltd."/>
        <s v="Tilaknagar Industries Ltd"/>
        <s v="Emerald Leisures Limited"/>
        <s v="The Ravalgaon Sugar Farm Limited"/>
        <s v="Sakthi Sugars Ltd."/>
        <s v="Walchandnagar Industries Ltd"/>
        <s v="IFB Agro Industries Ltd"/>
        <s v="Kothari Fermanatation &amp; Biochem Ltd"/>
        <s v="Caprolactam Chemicals ltd."/>
        <s v="G.M. Breweries Ltd."/>
        <s v="Rana Sugars Ltd."/>
        <s v="Piccadily Sugar  &amp; Allied Ltd."/>
        <s v="Som Distilleries &amp; Breweries Ltd."/>
        <s v="C.J. Gelatine Products Ltd."/>
        <s v="Associated Alcohols &amp; Breweries Ltd"/>
        <s v="ALLCARGO GATI LIMITED"/>
        <s v="Coromandel Agro Products &amp; Oils Ltd"/>
        <s v="Foods &amp; Inns Ltd."/>
        <s v="IVP Ltd."/>
        <s v="KOVILPATTI LAKSHMI ROLLER FLOUR MILLS  LTD"/>
        <s v="Olympic Oil Industries Ltd."/>
        <s v="Milkfood Ltd."/>
        <s v="Polson Ltd."/>
        <s v="Sagar Soya Products Ltd."/>
        <s v="BLS International Services Ltd"/>
        <s v="Orient Beverages Ltd."/>
        <s v="Endurance Technologies Limited"/>
        <s v="TTK Healthcare Ltd."/>
        <s v="TGV SRAAC LIMITED"/>
        <s v="Lime Chemicals Ltd."/>
        <s v="Kanpur Plastipack Limited"/>
        <s v="Tainwala Chemicals &amp; Plastics Ltd"/>
        <s v="Jagsonpal Pharmaceuticals Limited"/>
        <s v="Khaitan Chemicals &amp; Fertilizers Ltd"/>
        <s v="United Leasing &amp; Industries Ltd"/>
        <s v="National Oxygen Ltd."/>
        <s v="Sheela Foam Limited"/>
        <s v="Wires &amp; Fabriks (SA) Ltd."/>
        <s v="ANSAL HOUSING LIMITED"/>
        <s v="Computer Point Ltd."/>
        <s v="Mac Charles (India) Ltd."/>
        <s v="Addi Industries Ltd."/>
        <s v="Pioneer Investcorp Ltd"/>
        <s v="Ashnoor Textiles Mills Ltd."/>
        <s v="Unitech Ltd."/>
        <s v="Aditya Vision Limited"/>
        <s v="FIBERWEB (INDIA) LTD."/>
        <s v="LKP Finance Limited"/>
        <s v="Manipal Finance Corporation Ltd."/>
        <s v="Bajaj Steel Industries Ltd."/>
        <s v="Kiduja  India  Ltd"/>
        <s v="Key Corp Ltd"/>
        <s v="Shikhar Leasing and Trading Ltd."/>
        <s v="Gujarat Hotels Ltd."/>
        <s v="Rajath Finance Limited"/>
        <s v="Ras Resorts &amp; Apart Hotels Ltd."/>
        <s v="Paramount Cosmetics (India) Ltd"/>
        <s v="Jindal Hotels Ltd."/>
        <s v="Jupiter Industries &amp; Leasing Ltd."/>
        <s v="Simmonds-Marshall Ltd"/>
        <s v="B &amp; A Ltd."/>
        <s v="Hawkins Cooker Ltd."/>
        <s v="Warren Tea Ltd."/>
        <s v="Cochin Malabar Estates &amp; Indus. Ltd"/>
        <s v="Best Eastern Hotels Limited"/>
        <s v="Neelamalai Agro Industries Ltd."/>
        <s v="IST Limited"/>
        <s v="Cosmo First Limited"/>
        <s v="Pricol Limited"/>
        <s v="Nitin Castings Limited"/>
        <s v="SMIFS Capital Markets Ltd."/>
        <s v="Everest Industries Ltd."/>
        <s v="IRONWOOD EDUCATION LIMITED"/>
        <s v="MSR India Limited"/>
        <s v="AYM Syntex Limited"/>
        <s v="Panasonic Carbon India Co.Ltd"/>
        <s v="Finkurve Financial Services Limited"/>
        <s v="HB Leasing &amp; Finance Co. Ltd."/>
        <s v="Shricon Industries Ltd."/>
        <s v="Sterling Guarantee &amp; Fin. Ltd"/>
        <s v="Sulabh Engineers &amp; Services Limited"/>
        <s v="TCC CONCEPT LIMITED"/>
        <s v="Navneet Education Limited"/>
        <s v="Kedia Construction Co. Ltd."/>
        <s v="Satra Properties(India) Ltd"/>
        <s v="Allcargo Terminals Limited"/>
        <s v="AuSom Enterprise Limited"/>
        <s v="Thakral Services (India) Limited"/>
        <s v="Lancer Container Lines Limited"/>
        <s v="VJTF Eduservices Limited"/>
        <s v="Voltaire Leasing &amp; Finance Ltd."/>
        <s v="Netlink Solutions (India) Ltd."/>
        <s v="KRYSTAL INTEGRATED SERVICES LIMITED"/>
        <s v="Lancor Holdings Ltd."/>
        <s v="Indian Infotech And Software Ltd."/>
        <s v="Banas Finance Limited"/>
        <s v="Visaka Industries Ltd."/>
        <s v="Hathway Bhawani Cabletel &amp; Datacom"/>
        <s v="Gufic BioSciences Ltd."/>
        <s v="Transindia Real Estate Limited"/>
        <s v="GRP Limited"/>
        <s v="Indag Rubber Ltd."/>
        <s v="M.M. Rubber Company Ltd."/>
        <s v="Sical Logistics Limited"/>
        <s v="TVS Srichakra Ltd."/>
        <s v="Sanathnagar Enterprises Limited"/>
        <s v="Benares Hotels Ltd"/>
        <s v="Bhagwati Oxygen Ltd."/>
        <s v="BOMBAY OXYGEN INVESTMENTS LIMITED"/>
        <s v="Sakuma Exports Ltd."/>
        <s v="Avenue Supermarts Limited"/>
        <s v="Caprihans India Ltd."/>
        <s v="Dixon Technologies (India) Limited"/>
        <s v="Tube Investments of India Ltd"/>
        <s v="Empire Industries Ltd."/>
        <s v="Graviss Hospitality Ltd"/>
        <s v="Amber Enterprises India Limited"/>
        <s v="Garware Marine Industries Ltd."/>
        <s v="Goa Carbon Ltd."/>
        <s v="Hardcastle &amp; Waud Mfg. Co. Ltd."/>
        <s v="Lemon Tree Hotels Limited"/>
        <s v="Hindustan Composites Ltd"/>
        <s v="Hindustan Housing Co. Ltd."/>
        <s v="HIL Limited"/>
        <s v="Indian Card Clothing Ltd"/>
        <s v="International Conveyors Ltd."/>
        <s v="Jay Shree Tea &amp; Industries Ltd."/>
        <s v="Kothari Industrial Corpn. Ltd."/>
        <s v="Modern Shares and Stockbrokers Ltd."/>
        <s v="State Trading Corporation of India"/>
        <s v="HUHTAMAKI INDIA LIMITED"/>
        <s v="Premier Synthetics Ltd."/>
        <s v="R.J. Shah &amp; Co. Ltd."/>
        <s v="Shah Construction Co. Ltd."/>
        <s v="Shalimar Paints Ltd."/>
        <s v="Sinnar Bidi Udyog Ltd."/>
        <s v="Hindoostan Mills Ltd."/>
        <s v="Southern Gas Ltd."/>
        <s v="Essar Shipping Ltd"/>
        <s v="Orient Electric Limited"/>
        <s v="Thacker &amp; Co. Ltd."/>
        <s v="U.P. Hotels Ltd."/>
        <s v="Varroc Engineering Limited"/>
        <s v="Swasti Vinayaka Synthetics Ltd."/>
        <s v="Madhusudan Securities Ltd"/>
        <s v="Yamini Investments Company Limited"/>
        <s v="Premier Capital Services Ltd."/>
        <s v="VIKAS LIFECARE LIMITED"/>
        <s v="Jindal Drilling &amp; Industries Ltd."/>
        <s v="Tracxn Technologies Limited"/>
        <s v="EKI Energy Services Limited"/>
        <s v="Sakthi Finance Ltd."/>
        <s v="EASY FINCORP LIMITED"/>
        <s v="Sat Industries Ltd"/>
        <s v="JMD Ventures Limited"/>
        <s v="Tivoli Construction Ltd."/>
        <s v="Shiva Texyarn Ltd."/>
        <s v="V.B.Desai Financial Services Ltd"/>
        <s v="Quadrant Televentures Limited"/>
        <s v="First Custodian Fund (India) Ltd."/>
        <s v="Kamanwala Housing Construction Ltd"/>
        <s v="WSFX Global Pay Limited"/>
        <s v="Anjani Foods Limited"/>
        <s v="Parshwanath Corporation Limited"/>
        <s v="TAAL Enterprises Limited"/>
        <s v="Newtime Infrastructure Limited"/>
        <s v="Radiant Cash Management Services Limited"/>
        <s v="Chalet Hotels Limited"/>
        <s v="Munoth Capital Market Ltd"/>
        <s v="IL &amp; FS Investment Managers Ltd."/>
        <s v="Arvind Fashions Limited"/>
        <s v="IndiaMART InterMESH Limited"/>
        <s v="BOMBAY TALKIES LIMITED"/>
        <s v="Sagar Systech Ltd."/>
        <s v="ID INFO BUSINESS SERVICES LTD."/>
        <s v="VLS Finance Limited"/>
        <s v="India Cements Capital Limited"/>
        <s v="AD-Manum Finance Ltd"/>
        <s v="Mehta Integrated Finance Ltd."/>
        <s v="Inter Globe Finance Ltd."/>
        <s v="MUNOTH COMMUNICATION LIMITED"/>
        <s v="SHRISTI INFRASTRUCTURE DEVELOPMENT CORPORATION LTD."/>
        <s v="CREST VENTURES LIMITED"/>
        <s v="Vakrangee Limited"/>
        <s v="Gujarat Credit Corporation Ltd."/>
        <s v="Sylph Technologies Ltd"/>
        <s v="Dharani Finance Ltd."/>
        <s v="Alexander Stamps And Coin Limited"/>
        <s v="Indbank Merchant Banking Services L"/>
        <s v="SHRYDUS INDUSTRIES LIMITED"/>
        <s v="Bharat Bhushan Share &amp; Commodity Brokers Ltd."/>
        <s v="Capital Trust Ltd."/>
        <s v="Ushakiran Finance Ltd."/>
        <s v="Vivo Bio tech Ltd."/>
        <s v="Veerhealth Care Limited"/>
        <s v="Pan India Corporation Ltd"/>
        <s v="Sahara HousingFina Corporation Ltd."/>
        <s v="NDA Securities ltd."/>
        <s v="GSB Finance Ltd."/>
        <s v="Morarka Finance Ltd."/>
        <s v="Monarch Networth Capital Limited"/>
        <s v="VINTAGE COFFEE AND BEVERAGES LIMITED"/>
        <s v="Times Guaranty Ltd."/>
        <s v="Ritco Logistics Limited"/>
        <s v="Som Datt Finance Corporation Ltd."/>
        <s v="Shreyas Shipping And Logistics Limited"/>
        <s v="Avonmore Capital &amp; Management Services Limited"/>
        <s v="Libord Finance Limited"/>
        <s v="Kernex Microsystems (India) Ltd."/>
        <s v="Arihant Capital Markets Ltd."/>
        <s v="ISL Consulting Ltd"/>
        <s v="DCM Financial Services Ltd."/>
        <s v="R.R.Financial Consultants Ltd."/>
        <s v="IM+ Capitals Limited"/>
        <s v="Sambhaav Media Ltd."/>
        <s v="Dugar Housing Developments Limited"/>
        <s v="Omega Interactive Technologies Ltd."/>
        <s v="Sugal &amp; Damani Share Brokers Ltd."/>
        <s v="Nettlinx Ltd."/>
        <s v="BGIL Films &amp; Technologies Ltd"/>
        <s v="Scan Steels Limited"/>
        <s v="GIC Housing Finance Ltd."/>
        <s v="Mathew Easow Research Securities Lt"/>
        <s v="Ajcon Global Services Ltd."/>
        <s v="Chartered Capital &amp; Investment Ltd."/>
        <s v="Standard Capital Markets Ltd."/>
        <s v="YOGI LIMITED"/>
        <s v="Cubical Financial Services Ltd."/>
        <s v="Relic Technologies Ltd."/>
        <s v="Nimbus Projects Limited"/>
        <s v="BAID FINSERV LIMITED"/>
        <s v="Vipul Limited"/>
        <s v="K.Z.Leasing &amp; Finance Ltd."/>
        <s v="Pasupati Fincap Ltd."/>
        <s v="Mehta Securities Ltd."/>
        <s v="Mehta Housing Finance Ltd."/>
        <s v="UGRO CAPITAL LIMITED"/>
        <s v="Shalibhadra Finance Ltd."/>
        <s v="Abirami Financial Services (India)"/>
        <s v="Mansi Finance (Chennai) Ltd"/>
        <s v="Seven Hill Industries Limited"/>
        <s v="Aastamangalam Finance Limited"/>
        <s v="Muthoot Capital Services Ltd."/>
        <s v="Master Trust Ltd."/>
        <s v="REMEDIUM LIFECARE LIMITED"/>
        <s v="EFC (I) LIMITED"/>
        <s v="AVG Logistics Limited"/>
        <s v="CNI Research Ltd"/>
        <s v="Saraswati Commercial (India) Ltd."/>
        <s v="Winro Commercial (India) Ltd."/>
        <s v="PTL Enterprises Ltd"/>
        <s v="Oswal Agro Mills Ltd."/>
        <s v="Kapil Cotex  Ltd."/>
        <s v="Alankit Limited"/>
        <s v="Royal India Corporation Limited"/>
        <s v="Luharuka Media &amp; Infra Limited"/>
        <s v="Jet Airways (India) Ltd"/>
        <s v="Riddhi Siddhi Gluco Biols Ltd"/>
        <s v="Kothari Products Ltd."/>
        <s v="Tiger Logistics (India) Limited"/>
        <s v="Mrugesh Trading Ltd."/>
        <s v="Deccan Gold Mines Ltd."/>
        <s v="Indian Railway Catering &amp; Tourism Corporation Ltd"/>
        <s v="Anshuni Commercials Ltd."/>
        <s v="Cranes Software International Ltd."/>
        <s v="Majestic Auto Ltd."/>
        <s v="EYANTRA VENTURES LIMITED"/>
        <s v="Triochem Products Ltd."/>
        <s v="Nidhi Granites Limited"/>
        <s v="VARIMAN GLOBAL ENTERPRISES LIMITED"/>
        <s v="ATLANTAA LIMITED"/>
        <s v="DJ Mediaprint &amp; Logistics Limited"/>
        <s v="Kajal Synthetics and Silk Mills Ltd"/>
        <s v="Avance Technologies Ltd."/>
        <s v="Droneacharya Aerial Innovations Limited"/>
        <s v="Northern Spirits Limited"/>
        <s v="SECUREKLOUD TECHNOLOGIES LIMITED"/>
        <s v="ABans Enterprises Limited"/>
        <s v="Vama Industries Limited"/>
        <s v="TARC LIMITED"/>
        <s v="Mercantile Ventures Limited"/>
        <s v="Uma Exports Limited"/>
        <s v="Prism Medico and Pharmacy Ltd."/>
        <s v="SPV GLOBAL TRADING LIMITED"/>
        <s v="Global Vectra Helicorp Ltd."/>
        <s v="Indigo Paints Limited"/>
        <s v="Ruchi Infrastructure Ltd"/>
        <s v="Ashirwad Capital Ltd."/>
        <s v="Swasti Vinayaka Art And Heritage Corporation Ltd"/>
        <s v="CONFIDENCE FUTURISTIC ENERGETECH LIMITED"/>
        <s v="Media Matrix Worldwide Ltd."/>
        <s v="SEACOAST SHIPPING SERVICES LIMITED"/>
        <s v="Signet Industries Limited"/>
        <s v="Speedage Commercials Ltd."/>
        <s v="Bhagyanagar India Limited"/>
        <s v="Shantai Industries Limited"/>
        <s v="North Eastern Carrying Corporation Limited"/>
        <s v="Maximus International Limited"/>
        <s v="Easy Trip Planners Limited"/>
        <s v="Indiabulls Enterprises Limited"/>
        <s v="IIRM HOLDINGS INDIA LIMITED"/>
        <s v="Yash Trading &amp; Finance Ltd."/>
        <s v="Sheraton Properties &amp; Finance Ltd."/>
        <s v="Noida Toll Bridge Company Ltd"/>
        <s v="Cressanda Solutions Ltd."/>
        <s v="STARTECK FINANCE LIMITED"/>
        <s v="Shardul Securities Ltd."/>
        <s v="SERA INVESTMENTS &amp; FINANCE INDIA LIMITED"/>
        <s v="Bengal Steel Industries Ltd."/>
        <s v="Uniworth Securities Limited"/>
        <s v="Coral India Finance And Housing Ltd"/>
        <s v="Dhruv Consultancy Services Limited"/>
        <s v="Dhoot Industrial Finance Ltd."/>
        <s v="Metroglobal Limited"/>
        <s v="Apollo Finvest (India) Ltd."/>
        <s v="TECHKNOWGREEN SOLUTIONS LIMITED"/>
        <s v="SILICON RENTAL SOLUTIONS LIMITED"/>
        <s v="Devinsu Trading Ltd."/>
        <s v="Shri Jagdamba Polymers Ltd"/>
        <s v="Craftsman Automation Limited"/>
        <s v="Parshva Enterprises Limited"/>
        <s v="LLOYDS ENTERPRISES LIMITED"/>
        <s v="Betex India Ltd."/>
        <s v="VIRYA RESOURCES LIMITED"/>
        <s v="Shreeji Translogistics Limited"/>
        <s v="Oasis Securities Limited"/>
        <s v="Garnet International Limited"/>
        <s v="Shalimar Productions Ltd."/>
        <s v="Meenakshi Steel Industries Ltd."/>
        <s v="Global Offshore Services Ltd"/>
        <s v="Motor &amp; General Finance (M.G.F.) Lt"/>
        <s v="Donear Industries Ltd"/>
        <s v="Super Sales India Ltd."/>
        <s v="Sequent Scientific Limited"/>
        <s v="Lahoti Overseas Ltd."/>
        <s v="Zenith Exports Ltd."/>
        <s v="Kohinoor Foods Ltd"/>
        <s v="Patel Integrated Logistics Ltd"/>
        <s v="Kalyan Jewellers India Limited"/>
        <s v="Zodiac-JRD-MKJ Ltd."/>
        <s v="BN HOLDINGS LIMITED"/>
        <s v="MEP Infrastructure Developers Limited"/>
        <s v="Manbro Industries Limited"/>
        <s v="KEYNOTE FINANCIAL SERVICES LIMITED"/>
        <s v="Nazara Technologies Limited"/>
        <s v="Anik Industries Limited"/>
        <s v="Haria Exports Ltd."/>
        <s v="Bhandari Hosiery Exports Ltd."/>
        <s v="RLF Ltd."/>
        <s v="AAA TECHNOLOGIES LIMITED"/>
        <s v="Orbit Exports Ltd."/>
        <s v="Savera Industries Ltd."/>
        <s v="Chrome Silicon Limited"/>
        <s v="TCI Industries Ltd."/>
        <s v="Macrotech Developers Limited"/>
        <s v="Hindusthan Udyog Ltd"/>
        <s v="Remi Edelstahl Tubulars Limited"/>
        <s v="G.S. Auto International Ltd."/>
        <s v="Trans-Freight Containers Ltd."/>
        <s v="Shivalik Bimetal Controls Ltd."/>
        <s v="Gandhi Special Tubes Ltd."/>
        <s v="Amforge Industries Ltd."/>
        <s v="Oricon Enterprises Ltd."/>
        <s v="Acrow (India) Ltd."/>
        <s v="Steel Strips Infrastructures Limited"/>
        <s v="Pennar Industries Ltd."/>
        <s v="Jyoti Structures Ltd."/>
        <s v="Jay Ushin Ltd."/>
        <s v="Steel Strips &amp; Wheels Ltd"/>
        <s v="Man Industries (India) Ltd"/>
        <s v="Modern Steels Limited"/>
        <s v="Synthiko Foils Ltd."/>
        <s v="Golkonda Aluminium Extrusions Ltd"/>
        <s v="Gujarat Toolroom Ltd."/>
        <s v="Ajmera Realty &amp; Infra India Limited"/>
        <s v="Cochin Minerals &amp; Rutile Ltd."/>
        <s v="India Steel Works Ltd"/>
        <s v="KRISHANVEER FORGE LIMITED"/>
        <s v="Sona BLW Precision Forgings Limited"/>
        <s v="Arshiya Limited"/>
        <s v="Vallabh Steels ltd"/>
        <s v="Ashiana Ispat Limited"/>
        <s v="P.M. Telelinnks Limited"/>
        <s v="Smiths &amp; Founders (India) Limited"/>
        <s v="Bloom Industries Ltd"/>
        <s v="Maitri Enterprises Limited"/>
        <s v="Shah Alloys Limited"/>
        <s v="Elango Industries Ltd"/>
        <s v="Kanishk Steel Industries Ltd"/>
        <s v="Mahalaxmi Seamless Ltd."/>
        <s v="Simplex Castings Ltd."/>
        <s v="Shree Steel Wire Ropes Ltd."/>
        <s v="SIZEMASTERS TECHNOLOGY LIMITED"/>
        <s v="Southern Magnesium And Chemicals Lt"/>
        <s v="Baroda Extrusion Ltd."/>
        <s v="Gujarat Containers Ltd."/>
        <s v="Kalyani Forge Ltd."/>
        <s v="Panchmahal Steel Ltd."/>
        <s v="Aditya Ispat Ltd."/>
        <s v="S.R.Industries Ltd."/>
        <s v="Steelcast Ltd."/>
        <s v="PITTI ENGINEERING LIMITED"/>
        <s v="Glittek Granites Ltd."/>
        <s v="Pradeep Metals Ltd."/>
        <s v="Gujarat Natural Resources Limited"/>
        <s v="Tamilnadu Steel Tubes Ltd."/>
        <s v="Sharda Ispat Ltd."/>
        <s v="Mahamaya Steel Industries Limited"/>
        <s v="Nova Iron &amp; Steel Ltd."/>
        <s v="Sterling Powergensys Limited"/>
        <s v="Foundry Fuel Products Ltd."/>
        <s v="Zomato Limited"/>
        <s v="Tulsyan NEC Ltd"/>
        <s v="Axel Polymers Ltd."/>
        <s v="Rolex Rings Limited"/>
        <s v="Spectra Industries Ltd."/>
        <s v="KIC Metaliks Ltd."/>
        <s v="Solid Stone Company Ltd."/>
        <s v="Shilp Gravures Ltd."/>
        <s v="White Organic Agro Limited"/>
        <s v="MFS Intercorp Limited"/>
        <s v="Aro Granite Industries Ltd."/>
        <s v="RUDRA ECOVATION LIMITED"/>
        <s v="Rajkamal Synthetics Ltd."/>
        <s v="Deepak Spinners Ltd."/>
        <s v="Loyal Textiles Mills Ltd"/>
        <s v="Himatsingka Seide Ltd."/>
        <s v="BSL Ltd."/>
        <s v="MILGREY FINANCE &amp; INVESTMENT LTD"/>
        <s v="P.B.M. Polytex Ltd."/>
        <s v="Adinath Textiles Ltd."/>
        <s v="Konark Synthetics  Ltd"/>
        <s v="Suryalata Spinning Mills Ltd."/>
        <s v="Suryavanshi Spinning Mills Ltd."/>
        <s v="T T Ltd"/>
        <s v="Devyani International Limited"/>
        <s v="Indian Acrylics Ltd"/>
        <s v="Ganesha Ecosphere Limited"/>
        <s v="Ceeta Industries Ltd."/>
        <s v="Vardhman Polytex Ltd."/>
        <s v="Black Rose Industries Ltd"/>
        <s v="S &amp; T Corporation Limited"/>
        <s v="Sanco Trans Ltd."/>
        <s v="Sangam (India) Ltd"/>
        <s v="LIKHAMI CONSULTING LIMITED"/>
        <s v="MKVENTURES CAPITAL LIMITED"/>
        <s v="Kush Industries Limited"/>
        <s v="Sree chem Resins Ltd"/>
        <s v="Surbhi Industries Limited"/>
        <s v="Seasons Textiles Ltd"/>
        <s v="Zenith Fibres Limited"/>
        <s v="Bhilwara Spinners Ltd"/>
        <s v="Aarvee Denims &amp; Exports Ltd."/>
        <s v="Sanrhea Technical Textiles Ltd."/>
        <s v="Ashima Ltd"/>
        <s v="Pioneer Embroideries Ltd."/>
        <s v="Vippy Spinpro Ltd."/>
        <s v="Jaihind Synthetics Ltd."/>
        <s v="Raghuvir Synthetics Ltd."/>
        <s v="Jattashankar Industries Limited"/>
        <s v="Kamadgiri Fashion Limited"/>
        <s v="Omnitex Industries (India) Ltd."/>
        <s v="Patspin India Ltd."/>
        <s v="ONE GLOBAL SERVICE PROVIDER LIMITED"/>
        <s v="Neo Infracon Ltd."/>
        <s v="GENESIS IBRC INDIA LIMITED"/>
        <s v="Winsome Yarns Ltd."/>
        <s v="Premier Polyfilm Ltd."/>
        <s v="EVERLON FINANCIALS LIMITED"/>
        <s v="K&amp;R RAIL ENGINEERING LIMITED"/>
        <s v="GOYAL ALUMINIUMS LIMITED"/>
        <s v="Gujarat Cotex Ltd"/>
        <s v="Dynavision Limited"/>
        <s v="ECO HOTELS AND RESORTS LIMITED"/>
        <s v="SARUP INDUSTRIES LIMITED"/>
        <s v="Mangalam Organics Limited"/>
        <s v="Hindustan Adhesives Ltd."/>
        <s v="Sri KPR Industries Ltd"/>
        <s v="Jyoti Resins &amp; Adhesives Ltd"/>
        <s v="Mahalaxmi Rubtech Ltd."/>
        <s v="Southern Latex Ltd."/>
        <s v="Orissa Bengal Carrier Limited"/>
        <s v="Winsome Textile Industries Ltd"/>
        <s v="Modern Insulators Ltd."/>
        <s v="Regency Ceramics Ltd"/>
        <s v="Sansera Engineering Limited"/>
        <s v="Murudeshwar Ceramics Ltd."/>
        <s v="Saint-Gobain Sekurit India Ltd."/>
        <s v="FSN E-Commerce Ventures Limited"/>
        <s v="Madhusudan Industries Ltd."/>
        <s v="Restile Ceramics Ltd."/>
        <s v="Madhav Marbles &amp; Granites Ltd."/>
        <s v="IFL ENTERPRISES LIMITED"/>
        <s v="Hindusthan National Glass &amp; Industr"/>
        <s v="Haldyn Glass Limited"/>
        <s v="DUROPLY INDUSTRIES LIMITED"/>
        <s v="Shreyans Industries Limited."/>
        <s v="Agio Paper &amp; Industries Limited"/>
        <s v="Star Paper Mills Ltd."/>
        <s v="PAKKA LIMITED"/>
        <s v="TAHMAR ENTERPRISES LIMITED"/>
        <s v="Soma Papers &amp; Industries Ltd."/>
        <s v="Arrow Greentech Limited"/>
        <s v="Vishnu Chemicals Limited"/>
        <s v="Jumbo Bag ltd."/>
        <s v="N.R.Agarwal Industries Ltd."/>
        <s v="3P LAND HOLDINGS LTD."/>
        <s v="Sangal Papers Ltd."/>
        <s v="Ventura Textiles Ltd."/>
        <s v="Shree Karthik Papers Ltd."/>
        <s v="South India Paper Mills Ltd."/>
        <s v="FAMILY CARE HOSPITALS LIMITED"/>
        <s v="Vindhya Telelinks Ltd."/>
        <s v="RIR POWER ELECTRONICS LIMITED"/>
        <s v="Ador Welding Ltd."/>
        <s v="GENPHARMASEC LIMITED"/>
        <s v="Salzer Electronics Ltd."/>
        <s v="Jetking Infotrain Ltd."/>
        <s v="Aplab Ltd."/>
        <s v="PCS Technology Ltd."/>
        <s v="Sapphire Foods India Limited"/>
        <s v="SPEL Semiconductor Ltd."/>
        <s v="Subros Ltd."/>
        <s v="Edvenswa Enterprises Limited"/>
        <s v="Kesar Terminals &amp; Infrastructure Limited"/>
        <s v="Go Fashion (India) Limited"/>
        <s v="Switching Technologies Gunther Ltd."/>
        <s v="Lumax Industries Ltd."/>
        <s v="DIGISPICE TECHNOLOGIES LIMITED"/>
        <s v="Calcom Vision Ltd."/>
        <s v="Kemp &amp; Company Limited"/>
        <s v="BCC Fuba India Ltd."/>
        <s v="Precision Electronics Ltd."/>
        <s v="Fine-line Circuits Ltd."/>
        <s v="Metro Brands Limited"/>
        <s v="S &amp; S Power Switchgears Ltd."/>
        <s v="Gujarat Poly Electronics Limited"/>
        <s v="Gujarat Industries Power Co. Ltd"/>
        <s v="Medplus Health Services Limited"/>
        <s v="Mindteck (India) Ltd"/>
        <s v="Vedant Fashions Limited"/>
        <s v="ACI Infocom Ltd."/>
        <s v="Cravatex Ltd."/>
        <s v="Incap Ltd"/>
        <s v="Gujarat Intrux Limited"/>
        <s v="Igarashi Motors India Ltd."/>
        <s v="Eureka Forbes Limited"/>
        <s v="Vintron Informatics Ltd."/>
        <s v="Pan Electronics India Ltd."/>
        <s v="VXL Instruments Ltd."/>
        <s v="Chartered Logistics Ltd"/>
        <s v="Lee &amp; Nee Softwares (Exports) Ltd."/>
        <s v="Patels Airtemp (I) Ltd."/>
        <s v="Butterfly Gandhimathi Appliances Limited"/>
        <s v="Integra Switchgear Ltd."/>
        <s v="Athena Global Technologies Limited"/>
        <s v="Narmada Macplast Drip Irrigation Sy"/>
        <s v="Dutron  Polymers Ltd."/>
        <s v="R S Software India Ltd."/>
        <s v="Magna Electro Castings Ltd."/>
        <s v="MARSONS LIMITED"/>
        <s v="Elnet Technologies Ltd."/>
        <s v="ACCEL LIMITED"/>
        <s v="Websol Energy System Limited"/>
        <s v="Roto Pumps Ltd."/>
        <s v="Motherson Sumi Wiring India Limited"/>
        <s v="D &amp; H India Limited"/>
        <s v="Rajratan Global Wire Ltd"/>
        <s v="Surana Telecom And Power Limited"/>
        <s v="Onward Technologies Ltd."/>
        <s v="Centum Electronics Ltd"/>
        <s v="Alfa Transformers ltd."/>
        <s v="NHC FOODS LIMITED"/>
        <s v="PVP Ventures Ltd"/>
        <s v="Trigyn Technologies Ltd."/>
        <s v="Campus Activewear Limited"/>
        <s v="Keerthi Industries Ltd"/>
        <s v="Bheema Cements Limited"/>
        <s v="Suraj Products Ltd."/>
        <s v="Anjani Portland Cement Ltd."/>
        <s v="Modi Naturals Limited"/>
        <s v="Prashant India Ltd"/>
        <s v="Shah Foods Ltd"/>
        <s v="Khandelwal Extraction Ltd."/>
        <s v="Tasty Bite Eatables Ltd."/>
        <s v="Ritesh International Ltd"/>
        <s v="AVT Natural Products Ltd."/>
        <s v="ETHOS LIMITED"/>
        <s v="Nahar Industrial Enterprises Ltd"/>
        <s v="Vadilal Enterprises Ltd."/>
        <s v="Vadilal Industries Ltd."/>
        <s v="Ashiana Agro Industries Ltd"/>
        <s v="ADF Foods Limited."/>
        <s v="Retro Green Revolution Limited"/>
        <s v="Williamson Financial Services ltd."/>
        <s v="Ajanta Soya Limited"/>
        <s v="William Magor &amp; Company Limited"/>
        <s v="Chowgule Steamships Ltd."/>
        <s v="Superior Industrial Enterprises Limited"/>
        <s v="Saptarishi Agro Industries Ltd"/>
        <s v="Prima Agro Ltd."/>
        <s v="Tarai Foods Ltd."/>
        <s v="Modern Dairies Ltd."/>
        <s v="Bambino Agro Industries Ltd"/>
        <s v="Prime Industries Ltd."/>
        <s v="Vikas WSP Ltd."/>
        <s v="VSF Projects Limited"/>
        <s v="Poona Dal And Oil Industries Ltd."/>
        <s v="Transglobe Foods Ltd."/>
        <s v="VMS INDUSTRIES LIMITED"/>
        <s v="Sharat Industries Ltd."/>
        <s v="Yaari Digital Integrated Services Ltd"/>
        <s v="KMG Milk Food Limited"/>
        <s v="KSE Ltd."/>
        <s v="Pioneer Agro Extracts ltd."/>
        <s v="Narbada Gems and Jewellery Limited"/>
        <s v="Virat Crane Industries Ltd"/>
        <s v="IB Infotech Enterprises Ltd"/>
        <s v="Ambar Protein Industries Limited"/>
        <s v="Chordia Food Products Ltd"/>
        <s v="CIAN Agro Industries &amp; Infrastructure Limited"/>
        <s v="Lykis Limited"/>
        <s v="N.K.Industries Ltd."/>
        <s v="BKV Industries Ltd."/>
        <s v="NCC Bluewater Products Ltd."/>
        <s v="Norben Tea &amp; Exports Ltd"/>
        <s v="SHARIKA ENTERPRISES LIMITED"/>
        <s v="Electronics Mart India Limited"/>
        <s v="Simran Farms Ltd."/>
        <s v="Hindustan Agrigenetics Ltd."/>
        <s v="Keystone Realtors Limited"/>
        <s v="Kellton Tech Solutions Ltd."/>
        <s v="Suryo Foods &amp; Industries Ltd."/>
        <s v="Integrated Proteins Ltd."/>
        <s v="Mahaan Foods Ltd."/>
        <s v="RICO Auto Industries Ltd."/>
        <s v="Omax Autos Ltd."/>
        <s v="Munjal Showa Ltd."/>
        <s v="Jamna Auto Industries Ltd."/>
        <s v="Senco Gold Limited"/>
        <s v="NIIT Learning Systems Limited"/>
        <s v="Munjal Auto Industries Ltd."/>
        <s v="Jay Bharat Maruti Ltd."/>
        <s v="RACL Geartech Limited"/>
        <s v="Samkrg Pistons and Rings Ltd."/>
        <s v="East Coast Steel Ltd"/>
        <s v="EAST WEST HOLDINGS LIMITED"/>
        <s v="REDTAPE Limited"/>
        <s v="SIGNATUREGLOBAL (INDIA) LIMITED"/>
        <s v="Automotive Stampings and Assemblies Ltd."/>
        <s v="Arcee Indusrtries ltd."/>
        <s v="Excel Realty N Infra Limited"/>
        <s v="Rama Vision Ltd"/>
        <s v="Amrapali Industries Ltd"/>
        <s v="Sibar Auto Parts Ltd."/>
        <s v="LE LAVOIR LIMITED"/>
        <s v="GROWINGTON VENTURES INDIA LIMITED"/>
        <s v="Mehai Technology  Limited"/>
        <s v="TITAN INTECH LIMITED"/>
        <s v="Eurotex Industries &amp; Exports Ltd."/>
        <s v="Max Estates Limited"/>
        <s v="Maral Overseas Ltd."/>
        <s v="Soma Textile &amp; Industries Ltd"/>
        <s v="Source Industries (India) Ltd"/>
        <s v="Advance Lifestyles Ltd."/>
        <s v="Kakatiya Textiles Ltd."/>
        <s v="Perfect-Octave Media Projects Ltd"/>
        <s v="Cello World Limited"/>
        <s v="Hisar Spinning Mills Ltd"/>
        <s v="ASK Automotive Limited"/>
        <s v="Pasari Spinning Mills Ltd."/>
        <s v="Amarjothi Spinning Mills Ltd"/>
        <s v="Olympia Industries Ltd."/>
        <s v="Nagreeka Exports Ltd."/>
        <s v="Suditi Industries Ltd."/>
        <s v="Shree Bhavya Fabrics Limited"/>
        <s v="Gem Spinners India Ltd"/>
        <s v="Eureka Industries Ltd."/>
        <s v="Aditya Spinners Ltd."/>
        <s v="Prime Urban Development India Ltd"/>
        <s v="Dhanlaxmi Fabrics Ltd."/>
        <s v="Sri Lakshmi Saraswathi Textiles (Ar"/>
        <s v="Zodiac Clothing Co. Ltd."/>
        <s v="Sri Ramakrishna Mills (Coimbatore) Ltd."/>
        <s v="Super Spinning Mills Ltd."/>
        <s v="SIL Investments Ltd"/>
        <s v="Suryalakshmi Cotton Mills Ltd."/>
        <s v="Samtex Fashions Ltd."/>
        <s v="Dhanalaxmi Roto Spinners Ltd."/>
        <s v="Damodar Industries Limited"/>
        <s v="Sanblue Corporation Limited"/>
        <s v="Uniroyal Industries Ltd"/>
        <s v="Tatia Global Vennture Limited"/>
        <s v="Balgopal Commercial limited"/>
        <s v="Sri Nachammai Cotton Mills Ltd."/>
        <s v="KKRRAFTON Developers Limited"/>
        <s v="Sambandam Spinning Mills Ltd."/>
        <s v="Kandagiri Spinning Mills Ltd."/>
        <s v="MKP Mobility Limited"/>
        <s v="Paras Petrofils Ltd."/>
        <s v="Kitex Garmenets Ltd."/>
        <s v="Cranex Ltd."/>
        <s v="Batliboi Ltd"/>
        <s v="Austin Engineering Co. Ltd."/>
        <s v="United Drilling Tools Ltd."/>
        <s v="Fluidomat Ltd."/>
        <s v="Ema India Ltd."/>
        <s v="Windsor Machines Limited"/>
        <s v="Shanthi Gears Ltd."/>
        <s v="Miven Machine Tools Ltd."/>
        <s v="HONDA INDIA POWER PRODUCTS LIMITED"/>
        <s v="The Hi-Tech Gears Limited"/>
        <s v="Juniper Hotels Limited"/>
        <s v="United Van Der Horst Ltd."/>
        <s v="Kilburn Engineering Ltd"/>
        <s v="Birla Precision Technologies Ltd"/>
        <s v="Yuken India Ltd."/>
        <s v="TBO TEK LIMITED"/>
        <s v="Voith Paper Fabrics India Ltd"/>
        <s v="Solitaire Machine Tools Ltd"/>
        <s v="Indsil Hydro Power and Manganese Limited"/>
        <s v="TMT (India) ltd."/>
        <s v="ITL Industries Ltd."/>
        <s v="Frontier Springs Ltd."/>
        <s v="Shriram Pistons"/>
        <s v="Rasandik Engg. Industries India Ltd"/>
        <s v="Yogi Sung-won (India) Ltd."/>
        <s v="HLE GLASCOAT LIMITED"/>
        <s v="Gujarat Apollo Industries Ltd."/>
        <s v="Taneja Aerospace &amp; Aviation Ltd."/>
        <s v="Conart Engineers Ltd."/>
        <s v="We Win Limited"/>
        <s v="Shivagrico Implements Ltd."/>
        <s v="M.M.Forgings Ltd."/>
        <s v="Mayur Uniquoters ltd."/>
        <s v="Cenlub Industries Ltd."/>
        <s v="Rajoo Engineers Ltd."/>
        <s v="Dolphin Offshore Enterprises (India) ltd."/>
        <s v="Veejay Lakshmi Engineering Works Lt"/>
        <s v="Ahmedabad Steelcraft Ltd."/>
        <s v="Godrej Industries Ltd."/>
        <s v="Ram Ratna Wires Ltd."/>
        <s v="Jayaswal Neco Industries Ltd"/>
        <s v="Swan Energy Ltd."/>
        <s v="Phoenix International Ltd."/>
        <s v="CANDOUR TECHTEX LIMITED"/>
        <s v="T &amp; I Global Ltd."/>
        <s v="Control Print (India) Ltd."/>
        <s v="Bemco Hydraulics Ltd."/>
        <s v="Ansal Buildwell Ltd."/>
        <s v="Weizmann Limited."/>
        <s v="B.N.Rathi Securities Ltd."/>
        <s v="Rishi Techtex Limited"/>
        <s v="Sinclairs Hotels  Ltd"/>
        <s v="DCM Shriram Limited"/>
        <s v="Binayak Tex Processors  Ltd."/>
        <s v="J.J. Finance Corporation Ltd."/>
        <s v="Cosmo Ferrites Ltd."/>
        <s v="CROPSTER AGRO LIMITED"/>
        <s v="Futuristic Securities Ltd"/>
        <s v="Minal Industries Limited"/>
        <s v="Ador Multiproducts Ltd"/>
        <s v="EIH Associated Hotels Ltd."/>
        <s v="Medi-Caps Ltd."/>
        <s v="CONSTRONICS INFRA LIMITED"/>
        <s v="Morganite Crucible (India) Limited"/>
        <s v="B&amp;A Packaging India Limited"/>
        <s v="Aban  Offshore Ltd."/>
        <s v="Kokuyo Camlin Ltd"/>
        <s v="SRM Energy Limited"/>
        <s v="Bharat Seats Ltd"/>
        <s v="Continental Petroleums Ltd."/>
        <s v="N.B. Footwear Ltd."/>
        <s v="Machino Plastics Ltd"/>
        <s v="Pearl Polymers Ltd."/>
        <s v="Venky's (India) ltd."/>
        <s v="Advani Hotels &amp; Resorts (India) Ltd."/>
        <s v="G.V. Films  Ltd."/>
        <s v="Superhouse limited"/>
        <s v="Bombay Cycle &amp; Motor Agency Ltd."/>
        <s v="TCPL Packaging Limited"/>
        <s v="Shri Gang Industries &amp; Allied Products Limited"/>
        <s v="Purity Flex Pack Ltd"/>
        <s v="Balmer Lawrie &amp; Co. Ltd."/>
        <s v="Kovai Medical Center &amp; Hospital Ltd"/>
        <s v="Eldeco Housing &amp; Ind. Ltd."/>
        <s v="Microse India Limited"/>
        <s v="3M India Ltd."/>
        <s v="DCM Shriram Industries Ltd."/>
        <s v="Mawana Sugars Ltd"/>
        <s v="Mini Diamonds (India) Ltd."/>
        <s v="Maha Rashtra Apex Corporation Ltd"/>
        <s v="Nilkamal Limited"/>
        <s v="Nahar Polyfilms Ltd."/>
        <s v="Aegis Logistics Ltd."/>
        <s v="Hindustan Petroleum Corporation Ltd"/>
        <s v="Mangalore Refinery &amp; Petrochemicals"/>
        <s v="ADC India Communications Limited"/>
        <s v="Tamilnadu Telecommunications Ltd."/>
        <s v="Sunraj Diamond Exports Ltd."/>
        <s v="EVANS ELECTRIC LIMITED"/>
        <s v="Chennai Petroleum Corporation Ltd."/>
        <s v="Ind Bank Housing Ltd"/>
        <s v="Jai Mata Glass Ltd."/>
        <s v="Lotus Chocolate Co. Ltd."/>
        <s v="Pacific Industries ltd."/>
        <s v="Chennai Meenakshi Multispeciality Hospital Ltd."/>
        <s v="Sunrise Efficient Marketing Limited"/>
        <s v="APM Industries Ltd."/>
        <s v="Precision Wires India ltd."/>
        <s v="Krypton Industries Ltd"/>
        <s v="SWISS MILITARY CONSUMER GOODS LIMITED"/>
        <s v="Martin Burn Ltd"/>
        <s v="Future Enterprises Limited"/>
        <s v="Indian Toners &amp; Developers Ltd."/>
        <s v="Kunststoffe Industries Ltd."/>
        <s v="Gini Silk Mills Ltd."/>
        <s v="Sika Interplant Systems Ltd."/>
        <s v="Oil And Natural Gas Corporation Ltd"/>
        <s v="UR SUGAR INDUSTRIES LIMITED"/>
        <s v="Phaarmasia Limited."/>
        <s v="Poddar Housing and Development Limited"/>
        <s v="Reliance Industries Ltd"/>
        <s v="IP Rings Ltd."/>
        <s v="Bharat Petroleum Corpn. Ltd."/>
        <s v="Plastiblends India Ltd."/>
        <s v="Ekansh Concepts Limited"/>
        <s v="Kkalpana Plastick Limited"/>
        <s v="Waterbase Limited"/>
        <s v="Flex Foods Ltd."/>
        <s v="Golkunda Diamonds &amp; Jewellery Ltd."/>
        <s v="Apcotex Industries Limited"/>
        <s v="Fortis Malar Hospitals Limited"/>
        <s v="Castrol India Ltd"/>
        <s v="EIMCO Elecon India Ltd."/>
        <s v="Sayaji Hotel Ltd"/>
        <s v="JMG Corporation Ltd"/>
        <s v="Ashiana Housing Limited"/>
        <s v="Svam Software Ltd"/>
        <s v="Ecoboard Industries Ltd"/>
        <s v="Dhunseri Ventures Limited"/>
        <s v="TRANS INDIA HOUSE IMPEX LIMITED"/>
        <s v="MAHINDRA EPC IRRIGATION LIMITED"/>
        <s v="ITCONS E-Solutions Limited"/>
        <s v="Shukra Jewellers Limited"/>
        <s v="Mazda Ltd."/>
        <s v="Sovereign Diamonds Ltd"/>
        <s v="Menon Bearings Ltd"/>
        <s v="Mukat Pipes Limited"/>
        <s v="Gujarat Raffia Ind. Ltd."/>
        <s v="Simplex Infrastructures Limited"/>
        <s v="Innovative Tech Pack Ltd"/>
        <s v="Super Tannery Limited"/>
        <s v="GANESHA ECOVERSE LIMITED"/>
        <s v="Axtel Industries Ltd."/>
        <s v="V R Woodart Ltd"/>
        <s v="Monotype India Ltd."/>
        <s v="Sandur Manganese &amp; Iron Ores Ltd."/>
        <s v="Hindustan Flurocarbons Ltd."/>
        <s v="Kingfa Science &amp; Technology (India) Ltd"/>
        <s v="Patidar Buildcon Limited"/>
        <s v="Rama Phosphates Ltd."/>
        <s v="Venlon Enterprises Ltd."/>
        <s v="Pet Plastics Ltd."/>
        <s v="Polyplex Corporation Ltd."/>
        <s v="Albert David Ltd."/>
        <s v="Haryana Leather Chemicals Ltd."/>
        <s v="CARYSIL LIMITED"/>
        <s v="Kabra Extrusion Technik Ltd"/>
        <s v="Vinyl Chemicals (India) Ltd."/>
        <s v="Pee Cee Cosma Sope Ltd."/>
        <s v="TCM Ltd."/>
        <s v="IOL Chemicals &amp; Pharmaceuticals Ltd"/>
        <s v="Kesar Petroproducts Ltd"/>
        <s v="Indian Oil Corporation Ltd."/>
        <s v="Lactose (India) Ltd."/>
        <s v="Teesta Agro Industries Ltd"/>
        <s v="Gail (India) Ltd."/>
        <s v="Pentokey Organy (India) Ltd."/>
        <s v="Wanbury Limited"/>
        <s v="Resonance Specialties Limited"/>
        <s v="Indraprashtha Gas Ltd."/>
        <s v="PETRONET LNG LTD."/>
        <s v="Kopran Ltd."/>
        <s v="Aimco Pesticides Ltd."/>
        <s v="Gujarat Terce Laboratories Ltd"/>
        <s v="Seya Industries Ltd"/>
        <s v="Jayant Agro-Organics Limited."/>
        <s v="BCL INDUSTRIES LIMITED"/>
        <s v="Shree Hari Chemicals Export Ltd."/>
        <s v="Indo Borax &amp; Chemicals Ltd."/>
        <s v="Aarti Drugs Limited"/>
        <s v="Bodal Chemicals Ltd"/>
        <s v="Gujarat State Petronet Ltd."/>
        <s v="Vimta Labs Ltd."/>
        <s v="Biofil Chemicals &amp; Pharmaceuticals"/>
        <s v="Ishita Drugs &amp; Industries Ltd."/>
        <s v="Oil India Limited"/>
        <s v="Universal Starch-Chem Allied Ltd."/>
        <s v="Aarey Drugs &amp; Pharmaceuticals Ltd"/>
        <s v="Walchand Peoplefirst Limited"/>
        <s v="Asian Petroproducts &amp; Exports Ltd."/>
        <s v="Camex  Ltd."/>
        <s v="EVEXIA LIFECARE LIMITED"/>
        <s v="Indo Euro Indchem Limited"/>
        <s v="Syncom Formulations (India) Ltd."/>
        <s v="DMR Hydroengineering &amp; Infrastructures Limited"/>
        <s v="Jet Freight Logistics Limited"/>
        <s v="Coal India Limited"/>
        <s v="Kilitch Drugs (I) Ltd."/>
        <s v="Raaj Medisafe India Limited"/>
        <s v="SVC INDUSTRIES LIMITED"/>
        <s v="Coral Laboratories Ltd."/>
        <s v="Tulasee Bio-Ethanol Ltd."/>
        <s v="Bacil Pharma Ltd."/>
        <s v="Krebs Biochemicals &amp; Industries Ltd."/>
        <s v="KMC Speciality Hospitals India Limited"/>
        <s v="Laffans Petrochemicals Ltd."/>
        <s v="Bhaskar Agrochemicals Ltd."/>
        <s v="Sukhjit Starch &amp; Chemicals Ltd."/>
        <s v="Satiate Agri Limited"/>
        <s v="Sharma East India Hospitals And Res"/>
        <s v="Gulf Oil Lubricants India Limited"/>
        <s v="Gayatri BioOrganics Ltd"/>
        <s v="Poddar Pigments Ltd."/>
        <s v="Pharmaids Pharmaceuticals Ltd."/>
        <s v="Vivid Global Industries Limited"/>
        <s v="ABC India Ltd."/>
        <s v="Tirupati Starch &amp; Chemicals Ltd."/>
        <s v="DRA CONSULTANTS LIMITED"/>
        <s v="JD Orgochem Ltd."/>
        <s v="Aeonx Digital Technology Limited"/>
        <s v="AksharChem (India) Ltd."/>
        <s v="BANDARAM PHARMA PACKTECH LIMITED"/>
        <s v="ADLINE CHEM LAB LIMITED"/>
        <s v="Beryl Drugs Ltd."/>
        <s v="IEL LIMITED"/>
        <s v="iStreet Network Limited"/>
        <s v="Gagan Gases Ltd."/>
        <s v="Zodiac Ventures Limited"/>
        <s v="Shukra Pharmaceuticals Limited"/>
        <s v="Alufluoride  Ltd."/>
        <s v="OXYGENTA PHARMACEUTICAL LIMITED"/>
        <s v="Archit Organosys Limited"/>
        <s v="Sikozy Realtors Limited"/>
        <s v="Indo Amines Ltd."/>
        <s v="Ind-Swift Ltd."/>
        <s v="Natural Capsules Ltd."/>
        <s v="Welcure Drugs &amp; Pharmaceuticals ltd"/>
        <s v="Bharat Immunologicals &amp; Biologicals"/>
        <s v="Savita Oil Technologies Limited"/>
        <s v="Hester Biosciences Ltd"/>
        <s v="JOHNSON PHARMACARE LIMITED"/>
        <s v="Basant Agro-Tech (India) Ltd."/>
        <s v="Sandu Pharmaceuticals Ltd."/>
        <s v="NACL Industries Limited"/>
        <s v="Vista Pharmaceuticals Ltd."/>
        <s v="Gujarat Gas Limited"/>
        <s v="Titan Bio-Tech Ltd."/>
        <s v="Ashnisha Industries Limited"/>
        <s v="Span Divergent Limited"/>
        <s v="Jenburkt Pharmaceuticals Ltd."/>
        <s v="Hikal Ltd."/>
        <s v="Mahanagar Gas Limited"/>
        <s v="FISCHER MEDICAL VENTURES LIMITED"/>
        <s v="Link Pharma Chem Ltd."/>
        <s v="DECIPHER LABS LIMITED"/>
        <s v="Emmessar Biotech &amp; Nutrition Ltd."/>
        <s v="NGL Fine Chem Ltd."/>
        <s v="Everest Organics Ltd."/>
        <s v="ADANI TOTAL GAS LIMITED"/>
        <s v="Phyto Chem (India) Ltd."/>
        <s v="Bajaj Hindusthan Sugar Limited"/>
        <s v="Dynamic Industries Ltd."/>
        <s v="Panama Petrochem Ltd."/>
        <s v="Bal Pharma Ltd."/>
        <s v="BDH Industries Ltd."/>
        <s v="Jauss Polymers Ltd"/>
        <s v="Globus Constructors &amp; Developers Limited"/>
        <s v="Cubex Tubings Ltd"/>
        <s v="Polymechplast Machines Ltd."/>
        <s v="STELLANT SECURITIES (INDIA) LIMITED"/>
        <s v="Galaxy Bearings Ltd."/>
        <s v="SC Agrotech Limited"/>
        <s v="Ravileela Granites Limited"/>
        <s v="Uniroyal Marine Exports Ltd."/>
        <s v="Karan Woo-sin ltd."/>
        <s v="Shervani Industrial syndicate Ltd"/>
        <s v="Rose Merc.Limited"/>
        <s v="Supertex Industries Ltd"/>
        <s v="Shetron Ltd."/>
        <s v="Transgene Biotek Ltd."/>
        <s v="MPL Plastics Limited"/>
        <s v="Nikhil Adhesives Ltd."/>
        <s v="Spenta International Ltd."/>
        <s v="Multibase India Ltd"/>
        <s v="Andrew Yule &amp; Company Ltd"/>
        <s v="Ludlow Jute &amp; Specialities Ltd"/>
        <s v="Ashram Online.com Ltd"/>
        <s v="Royal Cushion Vinyl Products Ltd."/>
        <s v="Suraj Industries Limited."/>
        <s v="Hitech Corporation Limited"/>
        <s v="Bloom Dekor Ltd."/>
        <s v="Filatex India Ltd."/>
        <s v="Standard Surfactants Ltd."/>
        <s v="Morgan Ventures Ltd."/>
        <s v="PRISMX GLOBAL VENTURES LIMITED"/>
        <s v="Premier Explosives Ltd."/>
        <s v="Mid East Portfolio Management Ltd."/>
        <s v="Mold-Tek Technologies Ltd"/>
        <s v="Crestchem Ltd."/>
        <s v="Balrampur Chini Mills Ltd."/>
        <s v="Medinova Diagnostic Services Ltd."/>
        <s v="DIVYASHAKTI LIMITED"/>
        <s v="Orient Press ltd."/>
        <s v="Shreyas Intermediates Ltd."/>
        <s v="Panjon Ltd."/>
        <s v="Nirbhay Colours India Limited"/>
        <s v="Duropack Ltd"/>
        <s v="SWARNSARITA JEWELS INDIA LIMITED"/>
        <s v="Dabur India Ltd."/>
        <s v="Godfrey Phillips India Ltd."/>
        <s v="Cindrella Hotels Ltd."/>
        <s v="Balurghat Technologies Ltd."/>
        <s v="Alphageo (India)Ltd."/>
        <s v="HAMPTON SKY REALTY LIMITED"/>
        <s v="Kkalpana Industries (India) Ltd"/>
        <s v="OK Play India Ltd."/>
        <s v="Kriti Industries (India) Ltd."/>
        <s v="ASM Technologies Ltd."/>
        <s v="Perfectpac Limited"/>
        <s v="ERP Soft Systems Ltd."/>
        <s v="Vision Cinemas Limited"/>
        <s v="Datasoft Application Software (I) L"/>
        <s v="Indrayani Biotech Ltd."/>
        <s v="Euro Leder Fashion Ltd."/>
        <s v="Winsome Breweries Ltd."/>
        <s v="Elegant Floriculture &amp; Agrotech (In"/>
        <s v="Sky Industries Ltd"/>
        <s v="FLOMIC GLOBAL LOGISTICS LIMITED"/>
        <s v="BHUDEVI INFRA PROJECTS LIMITED"/>
        <s v="Pratik Panels Ltd."/>
        <s v="Rishiroop Limited"/>
        <s v="PROMACT IMPEX LIMITED"/>
        <s v="Sterling Green  Woods  Limited"/>
        <s v="Systematix Corporate Services Ltd."/>
        <s v="Artefact Projects Ltd"/>
        <s v="Alpine Housing Development Corporat"/>
        <s v="Sanghi Industries Ltd."/>
        <s v="Salora International Limited"/>
        <s v="Kaiser Corporation Limited"/>
        <s v="Square Four Projects India Limited"/>
        <s v="Scanpoint Geomatics Limited"/>
        <s v="Choksi Laboratories Ltd."/>
        <s v="Country Club Hospitality &amp; Holidays Ltd"/>
        <s v="Longview Tea Company ltd."/>
        <s v="Midwest Gold Ltd"/>
        <s v="ICDS Ltd."/>
        <s v="TECHINDIA NIRMAN LIMITED"/>
        <s v="TPL Plastech Limited"/>
        <s v="Wim Plast Ltd."/>
        <s v="Photoquip India Ltd."/>
        <s v="Liberty Shoes Ltd."/>
        <s v="Lippi Systems Ltd."/>
        <s v="Electrotherm (India) Ltd"/>
        <s v="Fervent Synergies Limited"/>
        <s v="Expo Gas Containers Ltd."/>
        <s v="National Plastic Industries Ltd."/>
        <s v="SELLWIN TRADERS LIMITED"/>
        <s v="Texel Industries Ltd."/>
        <s v="Royale Manor Hotels &amp; Industries Lt"/>
        <s v="Mirza International  Limited"/>
        <s v="Tourism Finance Corpn. Of India Ltd"/>
        <s v="Thakker's Developers Ltd."/>
        <s v="Rajdarshan Industries Ltd."/>
        <s v="Bhartiya International Ltd."/>
        <s v="Kamat Hotels (India) ltd."/>
        <s v="Contil India Limited"/>
        <s v="DSJ KEEP LEARNING LIMITED"/>
        <s v="Polo Hotels Ltd."/>
        <s v="Ecoplast Ltd."/>
        <s v="Elegant Marbles &amp; Grani Industries"/>
        <s v="BITS Ltd"/>
        <s v="Adarsh Plant Project Ltd."/>
        <s v="HCP PLASTENE BULKPACK LIMITED"/>
        <s v="Nicco Parks And Resorts Ltd."/>
        <s v="NTC INDUSTRIES LIMITED"/>
        <s v="Sandesh Ltd."/>
        <s v="Garnet Construction Ltd."/>
        <s v="Goldiam International Ltd."/>
        <s v="Bright Brothers Ltd."/>
        <s v="Narmada Gelatines Ltd."/>
        <s v="P.G.Foils Ltd."/>
        <s v="Gratex Industries Ltd."/>
        <s v="Velan Hotels Ltd."/>
        <s v="Howard Hotels Limited"/>
        <s v="Pressure Sensitive Systems (India)"/>
        <s v="Valiant Communications Ltd."/>
        <s v="Dr.Agarwals Eye Hospital Ltd."/>
        <s v="Maharashtra Corporation Ltd."/>
        <s v="Greenply Industries Ltd"/>
        <s v="Sai Capital Ltd."/>
        <s v="Raghunath International Ltd."/>
        <s v="Cheviot Co.Ltd."/>
        <s v="Dai-Ichi Karkaria Ltd."/>
        <s v="Rajeswari Infrastructure Limited"/>
        <s v="SPICE ISLANDS INDUSTRIES LIMITED"/>
        <s v="Confidence Petroleum India Limited"/>
        <s v="Shelter Infra Projects Limited"/>
        <s v="Shakti Press Ltd."/>
        <s v="Ashirwad Steels &amp; Industries  Ltd."/>
        <s v="Banaras Beads Ltd."/>
        <s v="Arex Industries Ltd."/>
        <s v="Bilcare Ltd."/>
        <s v="ISF LIMITED"/>
        <s v="Rishi Laser  Ltd."/>
        <s v="SecUR Credentials Limited"/>
        <s v="Kumbhat Financial Services Ltd."/>
        <s v="Intec Capital Limited"/>
        <s v="Rajasthan Gases Ltd."/>
        <s v="Suncare Traders Limited"/>
        <s v="63 Moons Technologies Limited"/>
        <s v="Sarla Performance Fibers Ltd"/>
        <s v="Market Creators Ltd."/>
        <s v="HIMALAYA FOOD INTERNATIONAL LIMITED"/>
        <s v="Sonal Adhesives Ltd."/>
        <s v="Padmanabh Industries Limited"/>
        <s v="Twentyfirst Century Management Serv"/>
        <s v="Hariyana Ship Breakers Ltd."/>
        <s v="ARUNIS ABODE LIMITED"/>
        <s v="Tyroon Tea Co. Ltd."/>
        <s v="La Opala RG Ltd."/>
        <s v="Stylam Industries Limited"/>
        <s v="Venus Remedies Ltd."/>
        <s v="Woodsvilla Limited"/>
        <s v="LAST MILE ENTERPRISES LIMITED"/>
        <s v="Gujarat Craft Industries Ltd."/>
        <s v="Heera Ispat Ltd."/>
        <s v="Chandra Prabhu International Ltd."/>
        <s v="Crimson Metal Engineering Company Ltd"/>
        <s v="SHRI BAJRANG ALLIANCE LIMITED"/>
        <s v="Ashoka Refineries Ltd."/>
        <s v="Urja Global Limited"/>
        <s v="Ashapura Minechem Ltd"/>
        <s v="Shree Pacetronix Ltd"/>
        <s v="Patanjali Foods Limited"/>
        <s v="Procter &amp; Gamble Hygiene &amp; Health Care Ltd."/>
        <s v="Hindustan Unilever Ltd."/>
        <s v="Mangalore Chemicals &amp; Fertilisers L"/>
        <s v="Standard Industries Ltd."/>
        <s v="Nestle India Ltd."/>
        <s v="THE INVESTMENT TRUST OF INDIA LIMITED"/>
        <s v="Lesha Industries Limited"/>
        <s v="Aadi Industries Ltd"/>
        <s v="Santosh Fine-Fab Ltd."/>
        <s v="Sree Jayalakshmi Autospin Ltd."/>
        <s v="Acknit Industries Ltd"/>
        <s v="Titan Securities Ltd."/>
        <s v="REAL ECO-ENERGY LIMITED"/>
        <s v="Sawaca Business Machines Ltd."/>
        <s v="Vivanza Biosciences Limited"/>
        <s v="Yashraj Containeurs Ltd."/>
        <s v="Lords Ishwar Hotels Limited"/>
        <s v="CSL Finance Limited"/>
        <s v="Sanghvi Movers Ltd."/>
        <s v="Selan Exploration Technology Ltd."/>
        <s v="Freshtrop Fruits Ltd."/>
        <s v="Faze Three Ltd."/>
        <s v="PRADHIN LIMITED"/>
        <s v="ANUPAM FINSERV LIMITED"/>
        <s v="Raj Packaging Industries Ltd."/>
        <s v="TATA CONSUMER PRODUCTS LIMITED"/>
        <s v="Natraj Proteins Ltd."/>
        <s v="Samrat Pharmachem Ltd."/>
        <s v="NPR Finance Ltd."/>
        <s v="Nile Ltd."/>
        <s v="Udaipur Cement Works Limited"/>
        <s v="Amco India Ltd."/>
        <s v="Optiemus Infracom Limited"/>
        <s v="Kreon Finnancial Services Limited"/>
        <s v="Gyan Developers &amp; Builders Ltd."/>
        <s v="Kisan Mouldings Ltd."/>
        <s v="Starlog Enterprises Limited"/>
        <s v="Kerala Ayurveda Limited"/>
        <s v="Moongipa Capital Finance Ltd."/>
        <s v="Mohit Paper Mills Ltd."/>
        <s v="Daulat Securities Ltd."/>
        <s v="Oscar Global Ltd"/>
        <s v="Odyssey Technologies Ltd."/>
        <s v="Surat Trade and Mercantile Limited"/>
        <s v="Atharv Enterprises Limited"/>
        <s v="FUNDVISER CAPITAL (INDIA) LIMITED"/>
        <s v="Themis Medicare Ltd."/>
        <s v="KALLAM TEXTILES LTD"/>
        <s v="Brawn Biotech Limited"/>
        <s v="Kabsons Industries Ltd."/>
        <s v="Kings Infra Ventures Limited"/>
        <s v="Subhash Silk Mills Ltd."/>
        <s v="Auro Laboratories Ltd."/>
        <s v="KJMC Financial Services Ltd."/>
        <s v="Suven Life Sciences Ltd."/>
        <s v="Aryaman Financial Services Ltd."/>
        <s v="Bridge Securities Ltd."/>
        <s v="Megri Soft Limited"/>
        <s v="Rajasthan Tube Mfg. Co"/>
        <s v="Kay Power And Paper Ltd"/>
        <s v="Getalong Enterprise Limited"/>
        <s v="Global Capital Markets Ltd."/>
        <s v="Sainik Finance and Industries Ltd"/>
        <s v="ARIGATO UNIVERSE LIMITED"/>
        <s v="Quantum Digital Vision (India) Ltd."/>
        <s v="Hemang Resources Limited"/>
        <s v="PAOS INDUSTRIES LIMITED"/>
        <s v="Grandma Trading &amp; Agencies Ltd."/>
        <s v="Britannia Industries Ltd."/>
        <s v="Chaman Lal Setia Exports Ltd."/>
        <s v="Informed Technologies India Ltd."/>
        <s v="KIMIA BIOSCIENCES LIMITED"/>
        <s v="Hindustan Tin Works Ltd."/>
        <s v="Godavari Drugs Ltd."/>
        <s v="Premco Global Ltd."/>
        <s v="Mukesh Babu Financial Services Ltd."/>
        <s v="Colgate-Palmolive (India) Ltd."/>
        <s v="ASIAN ENERGY SERVICES LTD"/>
        <s v="KBS INDIA LIMITED"/>
        <s v="PRABHHANS INDUSTRIES LIMITED"/>
        <s v="Ugar Sugar Works Ltd."/>
        <s v="Orient Bell Limited"/>
        <s v="NRB Bearings Ltd."/>
        <s v="Vamshi Rubber Ltd."/>
        <s v="Nila Infrastructures Ltd"/>
        <s v="DB(INTERNATIONAL)Stock Brokers Ltd"/>
        <s v="Vinyoflex Ltd."/>
        <s v="Jindal Capital Ltd."/>
        <s v="EPIC Energy Ltd."/>
        <s v="Sumedha Fiscal Services Ltd."/>
        <s v="Kuwer Industries Ltd."/>
        <s v="Choksi Imaging Ltd."/>
        <s v="Ashish Polyplast Ltd."/>
        <s v="Ador Fontech Ltd"/>
        <s v="Shiva Global Agro Industries Limited"/>
        <s v="Siddha Ventures Limited"/>
        <s v="Kiran Syntex Ltd."/>
        <s v="Safa Systems &amp; Technologies Limited"/>
        <s v="Rungta Irrigation Ltd."/>
        <s v="Cinerad Communications Ltd."/>
        <s v="Valson Industries Ltd."/>
        <s v="Saboo Sodium Chloro Ltd."/>
        <s v="GSL Securities Ltd."/>
        <s v="Tinna Rubber and Infrastructure Limited"/>
        <s v="Vikram Thermo (India) Ltd."/>
        <s v="Future Market Networks Limited"/>
        <s v="A.K.Capital Services Ltd."/>
        <s v="ITC Ltd"/>
        <s v="Virat Industries Ltd."/>
        <s v="RAJNISH RETAIL LIMITED"/>
        <s v="Terai Tea Co. Ltd."/>
        <s v="Manraj Housing Finance Ltd."/>
        <s v="Cosco (India) ltd."/>
        <s v="Ken Financial Services Ltd."/>
        <s v="Bombay Burmah Trading Corpn. Ltd."/>
        <s v="Paramount Communications Ltd."/>
        <s v="NCL Research And Financial Services"/>
        <s v="POPEES CARES LIMITED"/>
        <s v="Beekay Niryat Limited"/>
        <s v="Ladderup Finance Ltd."/>
        <s v="U. Y. FINCORP LIMITED"/>
        <s v="Rithwik Facility Management Services Limited"/>
        <s v="Swastika Investmart Ltd"/>
        <s v="Prima Plastics Ltd."/>
        <s v="TeleCanor Global Limited"/>
        <s v="Jagsonpal Finance &amp; Leasing Ltd."/>
        <s v="Garg Furnace Ltd."/>
        <s v="Sampre Nutritions Ltd."/>
        <s v="Akar Auto Industries Limited"/>
        <s v="Vipul Organics Limited"/>
        <s v="Eco Recycling Limited"/>
        <s v="Goodluck India Limited"/>
        <s v="Goyal Associates Ltd."/>
        <s v="Zenith Health Care Ltd."/>
        <s v="York Exports Ltd."/>
        <s v="Supreme Holdings &amp; Hospitality (India) Ltd"/>
        <s v="Greencrest Financial Services Limited"/>
        <s v="Prime Property Development Corporation Ltd."/>
        <s v="MARKOBENZ VENTURES LIMITED"/>
        <s v="Raj Rayon Industries Limited"/>
        <s v="Flora Textiles Ltd."/>
        <s v="Gowra Leasing &amp; Finance Ltd."/>
        <s v="Jagan Lamps Ltd."/>
        <s v="AJEL Limited"/>
        <s v="Alps Industries Ltd."/>
        <s v="Asit C Mehta Financial Services Limited"/>
        <s v="ENCODE PACKAGING INDIA LIMITED"/>
        <s v="Super Bakers (India) Ltd."/>
        <s v="Ovobel Foods Ltd."/>
        <s v="CHALLANI CAPITAL LIMITED"/>
        <s v="Coral Newsprints Ltd."/>
        <s v="Sterling Tools Ltd."/>
        <s v="AGARWAL FORTUNE INDIA LIMITED"/>
        <s v="Dynamic Protfolio Management &amp; Serv"/>
        <s v="Inland Printers Ltd."/>
        <s v="Ceejay Finance Limited"/>
        <s v="Suncity Synthetics Ltd."/>
        <s v="TRANSVOY LOGISTICS INDIA LIMITED"/>
        <s v="Anna Infrastructures Ltd"/>
        <s v="Bhageria Industries Limited"/>
        <s v="Cargosol Logistics Limited"/>
        <s v="Asian Tea &amp; Exports Ltd."/>
        <s v="Gillette India Ltd."/>
        <s v="SSPDL Limited"/>
        <s v="Daikaffil Chemicals India Ltd."/>
        <s v="Cil Securities Ltd."/>
        <s v="Clio Infotech Ltd."/>
        <s v="Cupid Limited"/>
        <s v="Sunshield Chemicals Ltd."/>
        <s v="Hipolin Ltd."/>
        <s v="GDL Leasing &amp; Finance ltd."/>
        <s v="Chembond Chemicals Ltd."/>
        <s v="CAPITAL INDIA FINANCE LIMITED"/>
        <s v="Arunjyoti Bio Ventures Limited"/>
        <s v="Super Crop Safe Ltd."/>
        <s v="N.G.Industries Ltd."/>
        <s v="Asia Pack Ltd."/>
        <s v="Dhanlaxmi Cotex Ltd."/>
        <s v="Fortune International Ltd."/>
        <s v="MFL India Ltd"/>
        <s v="Remsons Industries Ltd."/>
        <s v="Ramsons Projects Ltd."/>
        <s v="Haryana Financial Corporation ltd."/>
        <s v="DANUBE INDUSTRIES LIMITED"/>
        <s v="Stanpacks (India) Ltd."/>
        <s v="Sri Adhikari Brothers Television Ne"/>
        <s v="RAMINFO LIMITED"/>
        <s v="Sunil Agro Foods ltd."/>
        <s v="Diana Tea Co.Ltd."/>
        <s v="Vikas EcoTech Limited"/>
        <s v="VST Industries Ltd."/>
        <s v="Alfa Ica (India) Ltd"/>
        <s v="Shri Keshav Cements and Infra Limited"/>
        <s v="India Home Loan Limited"/>
        <s v="Roopa Industries Ltd."/>
        <s v="Unique Organics Ltd."/>
        <s v="Avanti Feeds ltd."/>
        <s v="Swarna Securities Ltd."/>
        <s v="Kratos Energy &amp; Infrastructure Limited"/>
        <s v="Visagar Financial Services Ltd"/>
        <s v="Libord Securities Ltd."/>
        <s v="ERAAYA LIFESPACES LIMITED"/>
        <s v="Competent Automobiles Co. Ltd."/>
        <s v="Dhanvantri Jeevan Rekha Ltd."/>
        <s v="Neelkanth Rockminerals ltd."/>
        <s v="Vintage Securities Ltd."/>
        <s v="Oswal Overseas Ltd"/>
        <s v="Sunil Industries Ltd."/>
        <s v="Vijay Solvex Ltd."/>
        <s v="Shri Krishna Devcon Limited"/>
        <s v="Innovative Ideals and Services (India) Limited"/>
        <s v="Nihar Info Global Ltd."/>
        <s v="United Credit ltd."/>
        <s v="OM INFRA LIMITED"/>
        <s v="Checkpoint Trends Limited"/>
        <s v="Ishan Dyes &amp; Chemicals Ltd."/>
        <s v="Gothi Plascon (India) Ltd."/>
        <s v="BALU FORGE INDUSTRIES LIMITED"/>
        <s v="Ceenik Exports (india) Ltd."/>
        <s v="Hindustan Foods Ltd."/>
        <s v="Inani Marbles &amp; Industries Ltd."/>
        <s v="Tarini International Limited"/>
        <s v="El Forge Ltd."/>
        <s v="Medicamen Biotech Ltd."/>
        <s v="Alicon Castalloy Limited"/>
        <s v="Diligent Industries Limited"/>
        <s v="Epsom Properties Limited"/>
        <s v="Alfavision Overseas (India) Ltd."/>
        <s v="Organic Coatings Ltd."/>
        <s v="Lex Nimble Solutions Limited"/>
        <s v="ABM Knowledgeware Ltd."/>
        <s v="Heritage Foods Limited"/>
        <s v="Kemistar Corporation Limited"/>
        <s v="Associated Ceramics Ltd."/>
        <s v="SKP Securities Ltd."/>
        <s v="Syschem (India) Ltd."/>
        <s v="BLS Infotech Limited"/>
        <s v="Mefcom Capital Markets Ltd."/>
        <s v="Diggi Multitrade Limited"/>
        <s v="Arman Financial Services Limited"/>
        <s v="Glance Finance Ltd."/>
        <s v="Shilchar Technologies Ltd."/>
        <s v="Zenlabs Ethica Limited"/>
        <s v="Gconnect Logitech and Supply Chain Limited"/>
        <s v="Nucleus Software Exports Ltd"/>
        <s v="Colinz Laboratories ltd."/>
        <s v="Nalin Lease Finance Ltd."/>
        <s v="CCL Products (India) Ltd."/>
        <s v="RTS Power Corporation Ltd."/>
        <s v="Comfort Intech Ltd"/>
        <s v="Shyama Infosys Ltd."/>
        <s v="Mayur Floorings Ltd."/>
        <s v="Anjani Synthetics Limited"/>
        <s v="XTGLOBAL INFOTECH LIMITED"/>
        <s v="Deco-Mica Ltd."/>
        <s v="Rander Corporation Ltd."/>
        <s v="Rasi Electrodes Ltd."/>
        <s v="SCOOBEE DAY GARMENTS (INDIA) LIMITED"/>
        <s v="Citiport Financial Services Ltd."/>
        <s v="Dhruva Capital Services Ltd."/>
        <s v="MRC AGROTECH LIMITED"/>
        <s v="LINC LIMITED"/>
        <s v="Prima Industries Ltd."/>
        <s v="India Gelatine &amp; Chemicals Ltd."/>
        <s v="Optimus Finance Limited"/>
        <s v="Paragon Finance Ltd."/>
        <s v="Pratiksha Chemicals Ltd."/>
        <s v="Esha Media Research Limited"/>
        <s v="Refex Renewables &amp; Infrastructure Limited"/>
        <s v="V.S.T.Tillers Tractors Ltd."/>
        <s v="B2B Software Technologies Ltd."/>
        <s v="Nikki Global Finance Ltd."/>
        <s v="Radhe Developers (India) ltd."/>
        <s v="Elixir Capital Limited"/>
        <s v="Trishakti Industries Limited"/>
        <s v="Pankaj Polymers Ltd."/>
        <s v="MARBLE CITY INDIA LIMITED"/>
        <s v="Cindrella Financial Services Ltd."/>
        <s v="National Plastic Technologies Ltd"/>
        <s v="Lead Financial Services  Ltd"/>
        <s v="National Fittings Limited"/>
        <s v="Tai Industries Ltd."/>
        <s v="Amit International Ltd."/>
        <s v="Nutech Global Ltd."/>
        <s v="DHP India Ltd."/>
        <s v="RRIL LIMITED"/>
        <s v="Available Finance Ltd."/>
        <s v="INTEGRA CAPITAL LIMITED"/>
        <s v="SRI HAVISHA HOSPITALITY AND INFRASTRUCTURE LIMITED"/>
        <s v="JAYATMA INDUSTRIES LIMITED"/>
        <s v="Roselabs Finance Ltd."/>
        <s v="KRETTO SYSCON LIMITED"/>
        <s v="Roni Households Limited"/>
        <s v="Gujarat Ambuja Exports Ltd."/>
        <s v="WinPro Industries Limited"/>
        <s v="Milestone Global Limited"/>
        <s v="Bervin Investments And Leasing Ltd."/>
        <s v="Gujarat Investa Ltd."/>
        <s v="Shahi Shipping Limited"/>
        <s v="Eastern Treads Ltd."/>
        <s v="Panacea Biotec Ltd."/>
        <s v="Peeti Securities Ltd."/>
        <s v="MERCURY EV-TECH LIMITED"/>
        <s v="Piccadily Agro Industries ltd."/>
        <s v="Shriram Asset Management Co.Ltd."/>
        <s v="SBEC Systems (Ind) Ltd."/>
        <s v="Fruition Venture Limited"/>
        <s v="SPARC ELECTREX LIMITED"/>
        <s v="The Byke Hospitality    Ltd"/>
        <s v="Centenial Surgical Suture Ltd."/>
        <s v="Arihant Foundations &amp; Housing Ltd."/>
        <s v="Hasti Finance Ltd."/>
        <s v="Upsurge Investment And Finance Ltd."/>
        <s v="Padam Cotton Yarns Ltd."/>
        <s v="Women Networks Ltd."/>
        <s v="Polycon International Ltd."/>
        <s v="Source Natural Foods &amp; Herbal Suppl Ltd"/>
        <s v="G.G.Automotive Gears Ltd."/>
        <s v="Almondz Global Securities Limited"/>
        <s v="Cargotrans Maritime Limited"/>
        <s v="ANS Limited"/>
        <s v="Tuni Textile Mills Ltd."/>
        <s v="Radix Industries (India) Limited"/>
        <s v="Kiran Print-Pack Ltd."/>
        <s v="Narendra Properties Ltd."/>
        <s v="Mega Corporation Ltd"/>
        <s v="Tamil Nadu Newsprint And Papers Ltd"/>
        <s v="KRBL Ltd."/>
        <s v="Systematix Securities Ltd."/>
        <s v="Sungold Capital Ltd."/>
        <s v="Saffron Industries Limited"/>
        <s v="Prakash Woollen &amp; Synthetic Mills Ltd"/>
        <s v="AION-TECH SOLUTIONS LIMITED"/>
        <s v="Vardhman Concrete Limited"/>
        <s v="GRM Overseas Ltd."/>
        <s v="Mohit Industries Limited"/>
        <s v="Polylink Polymers (india) Ltd."/>
        <s v="Minaxi Textiles Ltd."/>
        <s v="Continental Controls Ltd."/>
        <s v="Yash Management &amp; Satellite Ltd."/>
        <s v="Duke Offshore Ltd."/>
        <s v="Cybele  Industries Limited"/>
        <s v="Cg-Vak Software &amp; Exports Ltd."/>
        <s v="NAVKAR URBANSTRUCTURE LIMITED"/>
        <s v="Madhucon Projects Ltd."/>
        <s v="Sybly Industries Ltd."/>
        <s v="Emami Ltd"/>
        <s v="Pro Fin Capital Services Ltd"/>
        <s v="Maris Spinners Ltd."/>
        <s v="Indergiri Finance ltd."/>
        <s v="Vrundavan Plantation Limited"/>
        <s v="Eveready Industries India Ltd."/>
        <s v="Step Two Corporation Ltd."/>
        <s v="Orient Tradelink Ltd."/>
        <s v="O. P. Chains Limited"/>
        <s v="VIKAS PROPPANT &amp; GRANITE LTD."/>
        <s v="Desh Rakshak Aushdhalaya Ltd."/>
        <s v="Ace Software Exports ltd."/>
        <s v="Softrak Venture Investments Ltd."/>
        <s v="Zydus Wellness Limited"/>
        <s v="ACCEDERE LIMITED"/>
        <s v="Sarthak Industries Ltd."/>
        <s v="Rishabh Digha Steel And Allied Prod"/>
        <s v="Maruti Infrastructure Ltd."/>
        <s v="KOBO BIOTECH LIMITED"/>
        <s v="Hatsun Agro Products Ltd."/>
        <s v="Somany Ceramics Limited"/>
        <s v="Jhaveri Credits &amp; Capital Ltd."/>
        <s v="Raghunath Tobacco Co. Ltd."/>
        <s v="BNR Udyog Ltd."/>
        <s v="Palm Jewels Limited"/>
        <s v="Ashutosh Paper Mills Ltd."/>
        <s v="Sanjivani Paranteral Ltd."/>
        <s v="Vas Infrastructure  Ltd."/>
        <s v="KMF Builders &amp; Developers Ltd."/>
        <s v="Beryl Securities Ltd"/>
        <s v="Rap Media Ltd."/>
        <s v="Gautam Exim Limited"/>
        <s v="Bampsl Securities Ltd."/>
        <s v="NEERAJ PAPER MARKETING LIMITED"/>
        <s v="Incon Engineers Ltd."/>
        <s v="Marico Limited"/>
        <s v="Triveni Engineering &amp; Industries Ltd"/>
        <s v="Gogia Capital Services Limited"/>
        <s v="Gorani Industries Ltd."/>
        <s v="KG Petrochem Ltd."/>
        <s v="Country Condo's Ltd"/>
        <s v="Orosil Smiths India Limited"/>
        <s v="TEJASSVI AAHARAM LIMITED"/>
        <s v="Lincoln Pharmaceuticals ltd."/>
        <s v="PRAVEG LIMITED"/>
        <s v="Suraj Ltd."/>
        <s v="Suvidha Infraestate Corporation Limited"/>
        <s v="Godrej Consumer Products Ltd."/>
        <s v="Tokyo Finance Ltd."/>
        <s v="B.J.Duplex Boards Ltd."/>
        <s v="National General Industries Ltd."/>
        <s v="Thirdwave Financial Intermediaries"/>
        <s v="Hittco Tools Ltd."/>
        <s v="RR METALMAKERS INDIA LIMITED"/>
        <s v="Vision Corporation Ltd."/>
        <s v="Bisil Plast Limited"/>
        <s v="Inani Securities Ltd."/>
        <s v="Anka India Ltd."/>
        <s v="AMERISE BIOSCIENCES LIMITED"/>
        <s v="Prithvi Exchange (India) Limited"/>
        <s v="Khyati Multimedia-Entertainment Ltd"/>
        <s v="Rainbow Foundations Ltd"/>
        <s v="Nyssa Corporation Limited"/>
        <s v="Tricom Fruit Products Limited"/>
        <s v="Vidhi Specialty Food Ingredients Limited"/>
        <s v="Bhagiradha Chemicals and Industries"/>
        <s v="GACM Technologies Limited"/>
        <s v="Panchsheel Organic Ltd."/>
        <s v="Menon Pistons Ltd."/>
        <s v="Prism Finance Ltd."/>
        <s v="Frontline Corporation Limited"/>
        <s v="Gennex Laboratories Ltd"/>
        <s v="CRP Risk Management Limited"/>
        <s v="Mitshi India Limited"/>
        <s v="Prajay Engineers Syndicate Ltd."/>
        <s v="BIOGEN PHARMACHEM INDUSTRIES LIMITED"/>
        <s v="G.k.Consultants Ltd."/>
        <s v="APOLLO PIPES LIMITED"/>
        <s v="Unjha Formulations Ltd."/>
        <s v="United Spirits Limited"/>
        <s v="SHRADDHA PRIME PROJECTS LTD"/>
        <s v="Kachchh Minerals Ltd."/>
        <s v="Padmanabh Alloys &amp; Polymers Ltd."/>
        <s v="Samyak International Limited"/>
        <s v="KCL Infra Projects Limited"/>
        <s v="Atul Auto Limited"/>
        <s v="Scan Projects Ltd"/>
        <s v="Prerna Infrabuild Limited"/>
        <s v="Metal Coatings (India) Ltd."/>
        <s v="SGN Telecoms Ltd."/>
        <s v="Ganga Papers India Ltd"/>
        <s v="Tirupati Sarjan Ltd."/>
        <s v="Munoth Financial Services Ltd."/>
        <s v="Rodium Realty Limited"/>
        <s v="Nagarjuna Agritech Ltd."/>
        <s v="Natura Hue Chem Ltd."/>
        <s v="IEC Education Limited"/>
        <s v="Indus Finance Limited"/>
        <s v="Golechha Global Finance Ltd."/>
        <s v="ZENITH STEEL PIPES AND  INDUSTRIES LIMITED"/>
        <s v="Trinity League India Limited"/>
        <s v="Asian Star Co. Ltd."/>
        <s v="ORIENTAL RAIL INFRASTRUCTURE LIMITED"/>
        <s v="Joindre Capital Services Ltd."/>
        <s v="Bharat Agri Fert and Realty Ltd"/>
        <s v="Unitech International Ltd"/>
        <s v="Sacheta Metals Ltd."/>
        <s v="Popular Estate Management Ltd"/>
        <s v="Anjani Finance Ltd"/>
        <s v="Muller &amp; Phipps (India) Ltd."/>
        <s v="Rahul Merchandising ltd."/>
        <s v="Rexnord Electronics &amp; Controls Ltd."/>
        <s v="INTEGRATED INDUSTRIES LIMITED"/>
        <s v="Khandwala Securities Ltd."/>
        <s v="White Organic Retail Limited"/>
        <s v="CCL International Ltd"/>
        <s v="Gallops Enterprise  Limited"/>
        <s v="CROISSANCE LIMITED"/>
        <s v="Madhuveer Com 18 Network Limited"/>
        <s v="Galaxy Agrico Exports Ltd."/>
        <s v="Gopal Iron &amp; Steels Co.(Gujarat) Lt"/>
        <s v="Onesource Ideas Venture Limited"/>
        <s v="Agarwal Industrial Corporation Limited"/>
        <s v="Dhampure Speciality Sugars Ltd."/>
        <s v="Shantanu Sheorey Aquakult ltd."/>
        <s v="Innocorp Limited"/>
        <s v="Hira Automobiles Ltd."/>
        <s v="Saianand Commercial Limited"/>
        <s v="Blue Chip India Ltd"/>
        <s v="SERVOTEACH INDUSTRIES LTD"/>
        <s v="Chadha Papers Ltd."/>
        <s v="Vertex Securities Ltd."/>
        <s v="Riba Textiles Ltd."/>
        <s v="Shyam Telecom Ltd."/>
        <s v="Kashyap Tele-Medicines Limited"/>
        <s v="Shree Metalloys Limited"/>
        <s v="IITL PROJECTS LIMITED"/>
        <s v="Hari Govind International Ltd."/>
        <s v="Catvision Limited"/>
        <s v="Ambika Cotton Mills Ltd."/>
        <s v="HIND ALUMINIUM INDUSTRIES LTD."/>
        <s v="Senthil Infotek Limited"/>
        <s v="Spectrum Foods Limited"/>
        <s v="Amraworld Agrico Ltd."/>
        <s v="Odyssey Corporation Ltd."/>
        <s v="VUENOW INFRATECH LIMITED"/>
        <s v="Inducto Steels ltd."/>
        <s v="Sam Industries Ltd."/>
        <s v="NEELKANTH LIMITED"/>
        <s v="VASHU BHAGNANI INDUSTRIES LIMITED"/>
        <s v="Gravity (India) Ltd."/>
        <s v="ESPIRE HOSPITALITY LIMITED"/>
        <s v="LCC Infotech Ltd."/>
        <s v="Filatex Fashions Ltd"/>
        <s v="R.B.Gupta Financials Ltd."/>
        <s v="Sindhu Trade Links Limited"/>
        <s v="Unistar Multimedia Ltd"/>
        <s v="Zenotech Laboratories Limited"/>
        <s v="Hindustan Bio Sciences Ltd."/>
        <s v="Tirth Plastic Ltd."/>
        <s v="Swelect Energy Systems Limited"/>
        <s v="Wallfort Financial Services Ltd."/>
        <s v="KDDL Ltd"/>
        <s v="Adinath Exim Resources Ltd."/>
        <s v="Abhinav Capital Services Limited"/>
        <s v="3B BlackBio Dx Limited"/>
        <s v="Sumuka Agro Industries Limited"/>
        <s v="MONIND LIMITED"/>
        <s v="Enbee Trade &amp; Finance Ltd."/>
        <s v="Vandana Knitwear Limited"/>
        <s v="EPUJA SPIRITECH LIMITED"/>
        <s v="Indo-City Infotech Ltd."/>
        <s v="SBEC Sugar Ltd."/>
        <s v="Brijlaxmi Leasing &amp; Finance ltd."/>
        <s v="BSEL ALGO LIMITED"/>
        <s v="Reliable Ventures India Ltd"/>
        <s v="United Breweries Ltd."/>
        <s v="SMC Credits ltd."/>
        <s v="Mohite Industries Limited"/>
        <s v="Andhra Cement Ltd."/>
        <s v="SKM Egg Products Exports (India) Lt"/>
        <s v="Radico Khaitan Ltd."/>
        <s v="H.S.India Ltd."/>
        <s v="Shree Renuka Sugars Ltd."/>
        <s v="Indraprastha Medical Corporation Lt"/>
        <s v="PARLE INDUSTRIES LIMITED"/>
        <s v="LT Foods Limited"/>
        <s v="JYOTHY LABS LIMITED"/>
        <s v="TRESCON LIMITED"/>
        <s v="Gujarat State Financial corporation"/>
        <s v="Varun Beverages Limited"/>
        <s v="Godrej Agrovet Limited"/>
        <s v="Minolta Finance Ltd."/>
        <s v="Omkar Pharmachem Ltd."/>
        <s v="Adroit Infotech Limited"/>
        <s v="Cybertech Systems and Software Ltd."/>
        <s v="Mrs. Bectors Food Specialities Limited"/>
        <s v="Dodla Dairy Limited"/>
        <s v="Adani Wilmar Limited"/>
        <s v="Dhanlaxmi Bank Limited"/>
        <s v="Bikaji Foods International Limited"/>
        <s v="Gayatri Sugars Ltd."/>
        <s v="Honasa Consumer Limited"/>
        <s v="DOMS Industries Limited"/>
        <s v="Bajaj Finance Limited"/>
        <s v="CRISIL Ltd."/>
        <s v="Archies Ltd."/>
        <s v="IFCI Ltd."/>
        <s v="HB Stockholdings Ltd."/>
        <s v="Siel Financial Services Ltd."/>
        <s v="State Bank Of India"/>
        <s v="Energy Development Company Ltd."/>
        <s v="IDBI Bank Ltd"/>
        <s v="Bengal Tea &amp; fabrics Ltd."/>
        <s v="HDFC Bank Ltd."/>
        <s v="India Nippon Electricals Ltd"/>
        <s v="Nalwa Sons Investment Ltd"/>
        <s v="Kotak Mahindra Bank Ltd."/>
        <s v="YASH INNOVENTURES LIMITED"/>
        <s v="ACCELYA SOLUTIONS INDIA LIMITED"/>
        <s v="ORCHASP LIMITED"/>
        <s v="Lic Housing Finance Ltd."/>
        <s v="TCFC Finance Ltd"/>
        <s v="Geojit Financial Services Limited"/>
        <s v="Maharashtra Scooters Ltd."/>
        <s v="BLB Limited"/>
        <s v="Max Financial Services Limited"/>
        <s v="Piramal Enterprises Limited"/>
        <s v="Integrated Hi-tech ltd."/>
        <s v="KJMC Corporate Advisors (India) Ltd."/>
        <s v="Ind-Swift Laboratories Ltd."/>
        <s v="GE Power India Limited"/>
        <s v="Shree Rama Multi-tech Ltd."/>
        <s v="Federal Bank Ltd."/>
        <s v="Telesys Software Ltd."/>
        <s v="Vaarad Ventures Ltd"/>
        <s v="Bajaj Holdings &amp; Investment Limited"/>
        <s v="Shiva Cement Ltd."/>
        <s v="Cinevista Limited"/>
        <s v="Intense Technologies"/>
        <s v="Danlaw Technologies India Ltd."/>
        <s v="Tata Investment Corporation Ltd."/>
        <s v="HB Portfolio Ltd."/>
        <s v="HB Estate Developers Ltd."/>
        <s v="Ambica Agarbathies &amp; Aroma Ind. Ltd."/>
        <s v="Compucom Software Lt."/>
        <s v="Omni Axs Software Ltd."/>
        <s v="IZMO Limited"/>
        <s v="CHOLAMANDALAM FINANCIAL HOLDINGS LIMITED"/>
        <s v="SoftSol India Limited."/>
        <s v="Sahara Maritime Limited"/>
        <s v="Subex  Ltd"/>
        <s v="A.F. Enterprises Limited"/>
        <s v="Padmalaya Telefilms Ltd."/>
        <s v="Aksh Optifibre Ltd."/>
        <s v="Virgo Global Limited"/>
        <s v="Picturehouse Media Limited"/>
        <s v="Can Fin Homes Ltd."/>
        <s v="Mukta Arts Ltd."/>
        <s v="Nagpur Power &amp; Industries Ltd"/>
        <s v="Dynacons Systems &amp; Solutions Ltd."/>
        <s v="PNB Gilts Ltd"/>
        <s v="Ramco Industries Ltd"/>
        <s v="Ramco Systems Ltd"/>
        <s v="Shriram Finance Limited"/>
        <s v="Virinchi Limited"/>
        <s v="WEP Solutions Ltd"/>
        <s v="Cholamandalam Investment and Finance Company Ltd"/>
        <s v="TVS Holdings Limited"/>
        <s v="MRO-TEK Realty Limited"/>
        <s v="Universal Arts Ltd"/>
        <s v="FIRST FINTEC LIMITED"/>
        <s v="Baba Arts Ltd"/>
        <s v="Balaji Telefilms Ltd."/>
        <s v="Tyche Industries Ltd."/>
        <s v="California Software Co. Ltd."/>
        <s v="Pritish Nandy Communications Ltd"/>
        <s v="JM Financial Limited"/>
        <s v="Taj GVK Hotels &amp; Resorts Ltd."/>
        <s v="Creative Eye Ltd."/>
        <s v="AXISCADES TECHNOLOGIES LIMITED"/>
        <s v="KONNDOR INDUSTRIES LIMITED"/>
        <s v="Usha Martin Education &amp; Solutions Limited"/>
        <s v="POONAWALLA FINCORP LIMITED"/>
        <s v="USG Tech Solutions Ltd"/>
        <s v="Saven Technologies Ltd."/>
        <s v="Avantel Limited"/>
        <s v="Manappuram Finance Limited"/>
        <s v="Megasoft Ltd."/>
        <s v="Transcorp International Ltd."/>
        <s v="Cerebra Integrated Technologies Ltd."/>
        <s v="Next Mediaworks Ltd"/>
        <s v="Smartlink Holdings Limited"/>
        <s v="Choice International Ltd"/>
        <s v="GENUS PRIME INFRA LIMITED"/>
        <s v="DISHA RESOURCES LIMITED"/>
        <s v="Capri Global Capital Limited"/>
        <s v="Sanmit Infra Limited"/>
        <s v="Bank Of Baroda"/>
        <s v="MPS Limited"/>
        <s v="Bank of India"/>
        <s v="T. Spiritual World Ltd."/>
        <s v="ICICI Bank Ltd."/>
        <s v="Shalimar Wires Industries Ltd."/>
        <s v="Gulshan Polyols Ltd."/>
        <s v="Ponni Sugars (Erode) Ltd."/>
        <s v="IndusInd Bank Ltd."/>
        <s v="Jammu and Kashmir Bank Ltd."/>
        <s v="Hazoor Multi Projects Limited"/>
        <s v="City Union Bank Ltd"/>
        <s v="Aptech Ltd."/>
        <s v="AXIS Bank Ltd."/>
        <s v="South Indian Bank Ltd."/>
        <s v="ISMT Limited"/>
        <s v="Future Supply Chain Solutions Limited"/>
        <s v="Indian Overseas Bank"/>
        <s v="Punjab National Bank"/>
        <s v="Balmer Lawrie Investments Ltd."/>
        <s v="Pokarna Ltd."/>
        <s v="Kama Holdings Limited"/>
        <s v="Union Bank of India"/>
        <s v="Canara Bank"/>
        <s v="UCO Bank"/>
        <s v="Rajapalayam Mills Limited"/>
        <s v="Bank of maharashtra"/>
        <s v="IIFL FINANCE LIMITED"/>
        <s v="B.A.G. Films &amp; Media Ltd"/>
        <s v="JSW Holdings Limited"/>
        <s v="Yes Bank Ltd."/>
        <s v="TVS Electronics Ltd."/>
        <s v="Karnataka Bank Ltd."/>
        <s v="T.V.Today Network Limited"/>
        <s v="Palred Technologies Limited"/>
        <s v="IDFC LIMITED"/>
        <s v="Mahindra &amp; Mahindra Financial Services Limited"/>
        <s v="Power Finance Corporation Ltd"/>
        <s v="Indian Bank"/>
        <s v="ICRA Limited"/>
        <s v="Datamatics Global Services Limited"/>
        <s v="New Delhi Television Limited"/>
        <s v="Central Bank of India"/>
        <s v="Jaiprakash Associates Limited"/>
        <s v="Motilal Oswal Financial Services Limited"/>
        <s v="PAISALO DIGITAL LIMITED"/>
        <s v="Religare Enterprises Ltd"/>
        <s v="Edelweiss Financial Services Ltd."/>
        <s v="GP Petroleums Limited"/>
        <s v="REC LIMITED"/>
        <s v="Bajaj Finserv Limited"/>
        <s v="Bengal &amp; Assam Company Limited"/>
        <s v="S.A.L. Steel Ltd."/>
        <s v="PUNJAB &amp; SIND BANK"/>
        <s v="Dwarikesh Sugar Industries Ltd."/>
        <s v="Indoco Remedies Ltd."/>
        <s v="VIP Clothing Limited"/>
        <s v="Impex Ferro tech Ltd."/>
        <s v="Xchanging Solutions Limited"/>
        <s v="Triveni Enterprises Limited"/>
        <s v="Jindal Photo Limited"/>
        <s v="Pondy Oxides &amp; Chemicals Limited"/>
        <s v="MUTHOOT FINANCE LIMITED"/>
        <s v="3i Infotech limited"/>
        <s v="McNally Bharat Engineering Company Limited"/>
        <s v="L&amp;T Finance Limited"/>
        <s v="Sumeru Industries Ltd."/>
        <s v="Multi Commodity Exchange of India Ltd"/>
        <s v="Mangalam Drugs and Organics Ltd."/>
        <s v="INDIABULLS HOUSING FINANCE LIMITED"/>
        <s v="Cyber Media (India) Ltd."/>
        <s v="Nandan Denim Limited"/>
        <s v="Authum Investment &amp; Infrastructure Limited"/>
        <s v="IDFC FIRST BANK LIMITED"/>
        <s v="Esaar (India) Ltd."/>
        <s v="INFIBEAM AVENUES LIMITED"/>
        <s v="Nectar Lifesciences Limited"/>
        <s v="MSP STEEL &amp; POWER LTD."/>
        <s v="SPL INDUSTRIES LIMITED"/>
        <s v="Pilani Investment And Industries Corporation Limited"/>
        <s v="McLeod Russel India Limited"/>
        <s v="FACOR Alloys Limited"/>
        <s v="RBL Bank Limited"/>
        <s v="Rane (Madras)  Ltd."/>
        <s v="HT Media Ltd"/>
        <s v="Sasken Technologies Limited"/>
        <s v="FCS Software Solutions Ltd."/>
        <s v="ICICI Prudential Life Insurance Company Limited"/>
        <s v="PNB Housing Finance Limited"/>
        <s v="Housing &amp;Urban Development Corporation Ltd."/>
        <s v="K. M. Sugar Mills Ltd."/>
        <s v="Bannari Amman Spinning Mills Ltd"/>
        <s v="PBA INFRASTRUCTURE LTD."/>
        <s v="AU Small Finance Bank Limited"/>
        <s v="Everest Kanto Cylinders Ltd."/>
        <s v="Gemstone Investments Ltd."/>
        <s v="Repro India Ltd."/>
        <s v="Aditya Birla Capital Ltd"/>
        <s v="Bartronics India Ltd."/>
        <s v="Celebrity Fashions Ltd."/>
        <s v="Nitin Spinners Ltd."/>
        <s v="Royal Orchid Hotels Ltd"/>
        <s v="Entertainment Network (India) Ltd"/>
        <s v="CELLA SPACE LIMITED"/>
        <s v="ICICI Lombard General Insurance Company Limited"/>
        <s v="Jagran Prakashan Limited"/>
        <s v="Dynemic Products Ltd."/>
        <s v="GVK Power &amp; Infrastructure Ltd"/>
        <s v="Sadbhav Engineering Ltd."/>
        <s v="Sun Retail Limited"/>
        <s v="SBI Life Insurance Company Limited"/>
        <s v="Gillanders Arbuthnot &amp; Co. Ltd."/>
        <s v="Indo Tech Transformers Limited"/>
        <s v="B L Kashyap and Sons Ltd"/>
        <s v="Share India Securities Limited"/>
        <s v="Visa Steel Limited"/>
        <s v="Nitco Ltd."/>
        <s v="MPDL LIMITED"/>
        <s v="MAS Financial Services Limited"/>
        <s v="Indian Energy Exchange Limited"/>
        <s v="Malu Paper Mills Limited"/>
        <s v="Uttam Sugar Mills Ltd"/>
        <s v="STL Global Ltd"/>
        <s v="Kewal Kiran Clothing Ltd."/>
        <s v="General Insurance Corporation of India"/>
        <s v="NIPPON LIFE INDIA ASSET MANAGEMENT LIMITED"/>
        <s v="The New India Assurance Company Limited"/>
        <s v="Emkay Global Financial Services Ltd"/>
        <s v="Tantia Constructions Limited"/>
        <s v="Lokesh Machines Limited"/>
        <s v="Kamdhenu Limited"/>
        <s v="PAUSHAK LIMITED (formerly known as Darshak Limited)"/>
        <s v="GTN Textiles Ltd. (formerly known as GTN Industries Ltd.)"/>
        <s v="Inditrade Capital Limited"/>
        <s v="Prime Focus Limited"/>
        <s v="Coastal Roadways Ltd."/>
        <s v="SRU Steels Limited"/>
        <s v="HDFC LIFE INSURANCE COMPANY LIMITED"/>
        <s v="Bandhan Bank Limited"/>
        <s v="ICICI Securities Limited"/>
        <s v="Photon Capital Advisors Ltd"/>
        <s v="DEEP ENERGY RESOURCES LIMITED"/>
        <s v="HOV Services Limited"/>
        <s v="HDFC Asset Management Company Limited"/>
        <s v="GeeCee Ventures Limited"/>
        <s v="Richa Industries Limited"/>
        <s v="FIEM INDUSTRIES LIMITED"/>
        <s v="JHS Svendgaard Laboratories Ltd."/>
        <s v="DCB Bank Limited"/>
        <s v="Universal Office Automation Limited"/>
        <s v="Inspirisys Solutions Limited"/>
        <s v="GTL Infrastructure Limited"/>
        <s v="SHIVAM AUTOTECH LIMITED"/>
        <s v="CreditAccess Grameen Ltd."/>
        <s v="AAVAS Financiers Limited"/>
        <s v="Parsvnath Developers Ltd."/>
        <s v="SUTLEJ TEXTILES &amp; INDUSTRIES LIMITED"/>
        <s v="Spandana Sphoorty Financial Limited"/>
        <s v="IIFL Securities Limited"/>
        <s v="Ruchira Papers Ltd"/>
        <s v="CSB Bank Limited"/>
        <s v="Zee Media Corporation Limited"/>
        <s v="Siti Networks Limited"/>
        <s v="Lumax Auto Technologies Ltd."/>
        <s v="AUTOLINE INDUSTRIES LTD."/>
        <s v="Ujjivan Small Finance Bank Limited"/>
        <s v="Hubtown Limited"/>
        <s v="SBI CARDS AND PAYMENT SERVICES LIMITED"/>
        <s v="Cambridge Technology Enterprises Ltd."/>
        <s v="Computer Age Management Services Limited"/>
        <s v="Risa International Limited"/>
        <s v="AI CHAMPDANY INDUSTRIES LIMITED"/>
        <s v="Cineline India Limited"/>
        <s v="Pearl Global Industries Limited"/>
        <s v="ZINEMA MEDIA AND ENTERTAINMENT LIMITED"/>
        <s v="ANGEL ONE LIMITED"/>
        <s v="UTI Asset Management Company Limited"/>
        <s v="Transwarranty Finance Limited"/>
        <s v="Equitas Small Finance Bank Limited"/>
        <s v="SMS Pharmaceuticals Ltd"/>
        <s v="Oriental Trimex Limited"/>
        <s v="E-Land Apparel Limited"/>
        <s v="Indian Railway Finance Corporation"/>
        <s v="JAGJANANI TEXTILES LIMITED"/>
        <s v="Raj Television Network Ltd"/>
        <s v="Home First Finance Company India Limited"/>
        <s v="AMD Industries Ltd"/>
        <s v="LEHAR FOOTWEARS LIMITED"/>
        <s v="Aptus Value Housing Finance India Limited"/>
        <s v="Aditya Birla Sun Life AMC Limited"/>
        <s v="Camlin Fine Sciences Ltd"/>
        <s v="PB Fintech Limited"/>
        <s v="Dish TV India Limited"/>
        <s v="SAHYADRI INDUSTRIES LTD."/>
        <s v="Sree Rayalaseema Hi-Strength Hypo Limited"/>
        <s v="One 97 Communications Limited"/>
        <s v="TGB Banquets and Hotels Limited"/>
        <s v="HILTON METAL FORGING LIMITED"/>
        <s v="Delta Corp Limited"/>
        <s v="MIC Electronics Limited"/>
        <s v="Insecticides India Ltd."/>
        <s v="Asahi Songwon Colors Ltd."/>
        <s v="Haryana Capfin Ltd."/>
        <s v="Star Health and Allied Insurance Company Limited"/>
        <s v="DHYAANI TRADEVENTTURES LIMITED"/>
        <s v="Nelcast Limited"/>
        <s v="V2 Retail Limited"/>
        <s v="Anand Rathi Wealth Limited"/>
        <s v="Tarmat Limited"/>
        <s v="Ankit Metal  &amp; Power Limited"/>
        <s v="LIFE INSURANCE CORPORATION OF INDIA"/>
        <s v="Allied Digital Services Limited"/>
        <s v="Alpa Laboratories Limited"/>
        <s v="Sir Shadi Lal Enterprises Ltd"/>
        <s v="OMAXE LIMITED"/>
        <s v="Refex Industries Limited"/>
        <s v="Prudent Corporate Advisory Services Limited"/>
        <s v="SEL Manufacturing Company Limited"/>
        <s v="ASIAN GRANITO INDIA LIMITED"/>
        <s v="Tamilnad Mercantile Bank Limited"/>
        <s v="Take Solutions Ltd"/>
        <s v="Five-Star Business Finance Ltd."/>
        <s v="KFin Technologies Limited"/>
        <s v="VTM Ltd"/>
        <s v="Indowind Energy Ltd."/>
        <s v="Nagreeka Capital &amp; Infrastructure Limited"/>
        <s v="MAGNUM VENTURES LIMITED"/>
        <s v="Jio Financial Services Limited"/>
        <s v="Kaveri Seed Company Ltd"/>
        <s v="UTKARSH SMALL FINANCE BANK LIMITED"/>
        <s v="Supreme Infrastructure India Limited"/>
        <s v="MAAN ALUMINIUM LIMITED"/>
        <s v="IL&amp;FS Engineering and Construction Company Ltd"/>
        <s v="Aravali Securities &amp; Finance Ltd."/>
        <s v="SBFC Finance Limited"/>
        <s v="BARAK VALLEY CEMENTS LIMITED"/>
        <s v="RATHI BARS LIMITED"/>
        <s v="Mukta Agriculture Limited"/>
        <s v="Nuvama Wealth Management Limited"/>
        <s v="RENAISSANCE GLOBAL LIMITED"/>
        <s v="Kolte-Patil Developers Ltd"/>
        <s v="Kaushalya Infrastructure Development Corporation Ltd"/>
        <s v="Indian Renewable Energy Development Agency Limited"/>
        <s v="WORLDWIDE ALUMINIUM LIMITED"/>
        <s v="India Shelter Finance Corporation Limited"/>
        <s v="JANA SMALL FINANCE BANK LIMITED"/>
        <s v="BGR ENERGY SYSTEMS LIMITED"/>
        <s v="Burnpur Cement Limited"/>
        <s v="MANAKSIA LIMITED"/>
        <s v="PORWAL AUTO COMPONENTS LIMITED"/>
        <s v="PPAP Automotive Limited"/>
        <s v="Aries Agro Limited"/>
        <s v="Kuantum Papers Limited"/>
        <s v="Aadhar Housing Finance Limited"/>
        <s v="Go Digit General Insurance Limited"/>
        <s v="Cords Cable Industries Limited"/>
        <s v="Karur Vysya Bank Ltd."/>
        <s v="OnMobile Global Ltd."/>
        <s v="SEPC LIMITED"/>
        <s v="Bang Overseas Ltd"/>
        <s v="IRB Infrastructure Developers Limited"/>
        <s v="GSS Infotech Ltd"/>
        <s v="Nahar Capital &amp; Financial Services Ltd."/>
        <s v="SUNDARAM FINANCE LTD"/>
        <s v="BSE"/>
        <s v="GOKAK TEXTILES LTD."/>
        <s v="Dhani Services Limited"/>
        <s v="C D S L"/>
        <s v="KIRI INDUSTRIES LIMITED"/>
        <s v="Aditya Birla  Money Ltd"/>
        <s v="TELOGICA LIMITED"/>
        <s v="Sundaram Fin.Hol"/>
        <s v="Cipla Ltd."/>
        <s v="Dr. Reddy's Laboratories Ltd."/>
        <s v="Gokul Refoils and Solvent Limited"/>
        <s v="RPG Life Sciences Limited"/>
        <s v="Kotak Mahindra Mutual Fund"/>
        <s v="Niraj Cement Structurals Limited"/>
        <s v="Rane Brake Lining Limited"/>
        <s v="Rane Engine Valve Limited"/>
        <s v="CHL Limited"/>
        <s v="SEJAL GLASS LIMITED"/>
        <s v="Archidply Industries Limited"/>
        <s v="Lotus Eye Hospital And Institute Limited"/>
        <s v="SOMI CONVEYOR BELTINGS LIMITED"/>
        <s v="LGB Forge Limited"/>
        <s v="Landmark Property Development Company Ltd."/>
        <s v="Vaxfab Enterprises Limited"/>
        <s v="SIMPLEX MILLS COMPANY LIMITED"/>
        <s v="SIMPLEX PAPERS LTD."/>
        <s v="20 Microns Limited"/>
        <s v="PROCTER &amp; GAMBLE HEALTH LIMITED"/>
        <s v="Alkali Metals Limited"/>
        <s v="Lupin Ltd"/>
        <s v="Indian Metals &amp; Ferro Alloys Limited"/>
        <s v="Teamo Productions HQ Limited"/>
        <s v="VEDAVAAG Systems Limited"/>
        <s v="Manjeera Constructions Limited"/>
        <s v="Mold-Tek Packaging Limited"/>
        <s v="Torrent Pharmaceuticals Ltd."/>
        <s v="Wagend Infra Venture Limited"/>
        <s v="RAJ OIL MILLS LIMITED"/>
        <s v="Abbott India Ltd."/>
        <s v="GlaxoSmithkline Pharmaceuticals Ltd."/>
        <s v="Sanofi India Ltd"/>
        <s v="Suryaamba Spinning Mills Limited"/>
        <s v="Globus Spirits Limited"/>
        <s v="Pfizer Ltd."/>
        <s v="Bhilwara Technical Textiles Limited"/>
        <s v="Shree Precoated Steels Limited"/>
        <s v="EXPLEO SOLUTIONS LIMITED"/>
        <s v="AstraZeneca Pharma India Ltd."/>
        <s v="DEN Networks Limited"/>
        <s v="ASTEC LIFESCIENCES LIMITED"/>
        <s v="D-Link (India) Ltd"/>
        <s v="J.B. Chemicals &amp; Pharmaceuticals Lt"/>
        <s v="Yunik Managing Advisors Limited"/>
        <s v="Apollo Hospitals Enterprises Ltd."/>
        <s v="Orchid Pharma Limited"/>
        <s v="MBL Infrastructure Ltd"/>
        <s v="Marksans Pharma Ltd."/>
        <s v="Vascon Engineers Limited"/>
        <s v="Thangamayil Jewellery Limited"/>
        <s v="Ipca Laboratories Ltd."/>
        <s v="Emmbi Industries Limited"/>
        <s v="Hathway Cable &amp; Datacom Limited"/>
        <s v="Texmo Pipes and Products Limited"/>
        <s v="Sundaram Multi Pap Ltd."/>
        <s v="Rossell India Limited"/>
        <s v="Neuland Laboratories Limited."/>
        <s v="TAMBOLI INDUSTRIES LIMITED"/>
        <s v="IL&amp;FS Transportation Networks Limited"/>
        <s v="Sun Pharmaceutical Industries Ltd."/>
        <s v="Intrasoft Technologies Limited"/>
        <s v="Goenka Diamond &amp; Jewels Ltd"/>
        <s v="K C P SUGAR AND INDUSTRIES CORPORATION LTD."/>
        <s v="KIRLOSKAR ELECTRIC COMPANY LTD."/>
        <s v="SATCHMO HOLDINGS LIMITED"/>
        <s v="TARAPUR TRANSFORMERS LIMITED"/>
        <s v="Caplin Point Laboratories Ltd."/>
        <s v="Emami Paper Mills Ltd."/>
        <s v="Kriti Nutrients Ltd"/>
        <s v="GKB Ophthalmics Ltd."/>
        <s v="Hindustan Media Ventures Limited"/>
        <s v="EMAMI REALTY LIMITED"/>
        <s v="Asian Hotels (East) Limited"/>
        <s v="BAJAJ CONSUMER CARE LIMITED"/>
        <s v="Prakash Steelage Limited"/>
        <s v="Mystic Electronics Limited"/>
        <s v="Welspun Investments and Commercials Ltd."/>
        <s v="Sastasundar Ventures Limited"/>
        <s v="Career Point Limited"/>
        <s v="Eros International Media Limited"/>
        <s v="Ramky Infrastructure Limited"/>
        <s v="Orient Green Power Company Limited"/>
        <s v="CANTABIL RETAIL INDIA LIMITED"/>
        <s v="SEA TV Network Limited"/>
        <s v="Aurobindo Pharma Ltd."/>
        <s v="Bedmutha Industries Limited"/>
        <s v="Natco Pharma Ltd."/>
        <s v="JUBILANT PHARMOVA LIMITED"/>
        <s v="Shilpa Medicare Ltd."/>
        <s v="FDC Ltd."/>
        <s v="SHAH METACORP LIMITED"/>
        <s v="Poly Medicure Ltd"/>
        <s v="Glenmark Pharmaceuticals ltd"/>
        <s v="RPP INFRA PROJECTS LIMITED"/>
        <s v="RDB Realty &amp; Infrastructure Limited"/>
        <s v="Wockhardt Ltd"/>
        <s v="ZEE LEARN LIMITED"/>
        <s v="Enterprise International Limited"/>
        <s v="A2Z Infra Engineering Limited"/>
        <s v="Zydus Lifesciences Limited"/>
        <s v="Ravi Kumar Distilleries Limited"/>
        <s v="Ajanta Pharma Ltd."/>
        <s v="Mahan Industries Ltd."/>
        <s v="Surana Solar Limited"/>
        <s v="Shekhawati Poly-Yarn Limited"/>
        <s v="Kalyani Investment Company Limited"/>
        <s v="BF Investment Limited"/>
        <s v="SUMMIT SECURITIES LTD."/>
        <s v="Innovassynth Investments Limited"/>
        <s v="STEL HoldingsÂ Limited"/>
        <s v="OMKAR SPECIALITY CHEMICALS LIMITED"/>
        <s v="Jubilant Industries Limited"/>
        <s v="Granules India Ltd."/>
        <s v="Indian Terrain Fashions Limited"/>
        <s v="Fineotex Chemical Limited"/>
        <s v="Dhunseri Investments Ltd"/>
        <s v="Divi's Laboratories Ltd."/>
        <s v="Lovable Lingerie Limited"/>
        <s v="PTC India Financial Services Limited"/>
        <s v="Biocon Ltd."/>
        <s v="CIL Nova Petrochemicals Limited"/>
        <s v="Beeyu Overseas Ltd."/>
        <s v="Karma Energy Limited"/>
        <s v="DELPHI WORLD MONEY LIMITED"/>
        <s v="Rushil Decor Limited"/>
        <s v="Enkei wheels (India) Limited"/>
        <s v="Kridhan Infra Limited"/>
        <s v="INVENTURE GROWTH &amp; SECURITIES LIMITED"/>
        <s v="STRIDES PHARMA SCIENCE LIMITED"/>
        <s v="Ganon Products Limited"/>
        <s v="Tree House Education &amp; Accessories Limited"/>
        <s v="BROOKS LABORATORIES LIMITED"/>
        <s v="RUPA &amp; COMPANY LIMITED"/>
        <s v="Fortis Healthcare Ltd"/>
        <s v="Sun Pharma Advanced Research Company Ltd."/>
        <s v="Vaswani Industries Limited"/>
        <s v="ALEMBIC PHARMACEUTICALS LIMITED"/>
        <s v="Quasar India Limited"/>
        <s v="RDB Rasayans Limited"/>
        <s v="TIJARIA POLYPIPES LIMITED"/>
        <s v="Onelife Capital Advisors Ltd"/>
        <s v="FLEXITUFF VENTURES INTERNATIONAL LIMITED"/>
        <s v="Syngene International Limited"/>
        <s v="Indo Thai Securities Limited"/>
        <s v="AMBASSADOR INTRA HOLDINGS LIMITED"/>
        <s v="Alkem Laboratories Limited"/>
        <s v="GPT Infraprojects limited"/>
        <s v="Shamrock Industrial Co. Ltd."/>
        <s v="THOMAS SCOTT (INDIA) LIMITED"/>
        <s v="Tera Software Ltd."/>
        <s v="PMC Fincorp Limited"/>
        <s v="Futuristic Solutions Ltd."/>
        <s v="Alliance Integrated Metaliks Limited"/>
        <s v="Dr. Lal Pathlabs Limited"/>
        <s v="Narayana Hrudayalaya Limited"/>
        <s v="Pyxis Finvest Limited"/>
        <s v="HealthCare Global Enterprises Limited"/>
        <s v="Olympic Cards Limited"/>
        <s v="Laurus Labs Limited"/>
        <s v="MT EDUCARE LIMITED"/>
        <s v="Hexa Tradex Limited"/>
        <s v="Maxheights Infrastructure Limited"/>
        <s v="Tribhovandas Bhimji Zaveri Limited"/>
        <s v="Vardhman Special Steels Ltd"/>
        <s v="Looks Health Services Limited"/>
        <s v="Speciality Restaurants Limited"/>
        <s v="Lypsa Gems &amp; Jewellery Limited"/>
        <s v="Eris Lifesciences Limited"/>
        <s v="Sampann Utpadan India Limited"/>
        <s v="JTL INDUSTRIES LIMITED"/>
        <s v="ADVANCE METERING TECHNOLOGY LIMITED"/>
        <s v="Jainco Projects (India) Ltd."/>
        <s v="Aster DM Healthcare Limited"/>
        <s v="Jupiter Infomedia Limited"/>
        <s v="VINAYAK POLYCON INTERNATIONAL LIMITED"/>
        <s v="Jointeca Education Solutions Limited"/>
        <s v="Ducon Infratechnologies Limited"/>
        <s v="PROZONE REALTY LIMITED"/>
        <s v="SRG Housing Finance Limited"/>
        <s v="Comfort Commotrade Limited"/>
        <s v="SHANTI GURU INDUSTRIES LIMITED"/>
        <s v="CASPIAN CORPORATE SERVICES LIMITED"/>
        <s v="Aerpace Industries Limited"/>
        <s v="VIRTUAL GLOBAL EDUCATION LTD."/>
        <s v="ZUARI AGRO CHEMICALS LIMITED"/>
        <s v="Steel Exchange India Ltd."/>
        <s v="Trio Mercantile &amp; Trading Limited"/>
        <s v="Cigniti Technologies Ltd"/>
        <s v="CDG PETCHEM LIMITED"/>
        <s v="CARE Ratings Limited"/>
        <s v="PC JEWELLER LIMITED"/>
        <s v="Metropolis Healthcare Limited"/>
        <s v="SUVEN PHARMACEUTICALS LIMITED"/>
        <s v="NIBE LIMITED"/>
        <s v="Ramasigns Industries Limited"/>
        <s v="Explicit Finance Limited"/>
        <s v="COMFORT FINCAP LIMITED"/>
        <s v="Bothra Metals &amp; Alloys Limited"/>
        <s v="Repco Home Finance Limited"/>
        <s v="LAKHOTIA POLYESTERS (INDIA) LIMITED"/>
        <s v="GCM Securities Limited"/>
        <s v="NRB INDUSTRIAL BEARINGS LIMITED"/>
        <s v="Prime Capital Market Limited"/>
        <s v="KIFS Financial Services Ltd"/>
        <s v="Sreeleathers Limited"/>
        <s v="Max Healthcare Institute Limited"/>
        <s v="S V Global Mill Limited"/>
        <s v="SDC TECHMEDIA LIMITED"/>
        <s v="Gland Pharma Limited"/>
        <s v="ObjectOne Information Systems Ltd"/>
        <s v="India Finsec Limited"/>
        <s v="BRAHMAPUTRA INFRASTRUCTURE LIMITED"/>
        <s v="QUEST SOFTECH (INDIA) LIMITED"/>
        <s v="Khoobsurat Ltd."/>
        <s v="Krishna Institute of Medical Sciences Limited"/>
        <s v="Glenmark Life Sciences Limited"/>
        <s v="Ami Organics Limited"/>
        <s v="Money Masters Leasing &amp; Finance Limited"/>
        <s v="Alacrity Securities Limited"/>
        <s v="GCM Commodity &amp; Derivatives Limited"/>
        <s v="Integra Essentia Limited"/>
        <s v="JULIEN AGRO INFRATECH LIMITED"/>
        <s v="Kaarya Facilities and Services Limited"/>
        <s v="JK Agri Genetics Limited"/>
        <s v="Future Lifestyle Fashions Limited"/>
        <s v="PVV Infra Limited"/>
        <s v="VCU Data Management Limited"/>
        <s v="IND Renewable Energy Ltd"/>
        <s v="S R G SECURITIES FINANCE LIMITED"/>
        <s v="Amrapali Capital and Finance Services Limited"/>
        <s v="STELLAR CAPITAL SERVICES LIMITED"/>
        <s v="JINDAL POLY INVESTMENT AND FINANCE COMPANY LIMITED"/>
        <s v="Yuranus Infrastructure Ltd"/>
        <s v="CAPTAIN POLYPLAST LIMITED"/>
        <s v="Arnold Holdings Ltd"/>
        <s v="Sunil Healthcare Limited"/>
        <s v="Suyog Telematics Limited"/>
        <s v="Nath Biogene India Ltd."/>
        <s v="Agri-Tech India Ltd."/>
        <s v="CHEMTECH INDUSTRIAL VALVES LIMITED"/>
        <s v="Denis Chem Lab Limited"/>
        <s v="Polymac Thermoformers Limited"/>
        <s v="Unishire Urban Infra Limited"/>
        <s v="LAXMIPATI ENGINEERING WORKS LIMITED"/>
        <s v="ETT Limited"/>
        <s v="SHREE HANUMAN SUGAR &amp; INDUSTRIES LTD."/>
        <s v="Kiran Vyapar Limited"/>
        <s v="B.C. Power Controls Limited"/>
        <s v="Diksha Greens Limited"/>
        <s v="RACE ECO CHAIN LIMITED"/>
        <s v="Mangalam Industrial Finance Limited"/>
        <s v="VIJI FINANCE LIMITED"/>
        <s v="PHOENIX TOWNSHIP LIMITED"/>
        <s v="INFRONICS SYSTEMS LIMITED"/>
        <s v="Haria Apparels Limited"/>
        <s v="SHRI VASUPRADA PLANTATIONS LIMITED"/>
        <s v="R&amp;B Denims Limited"/>
        <s v="SHARP INVESTMENTS LTD"/>
        <s v="Vijaya Diagnostic Centre Limited"/>
        <s v="Response Informatics Limited"/>
        <s v="GCM Capital Advisors Limited"/>
        <s v="Shiva Suitings Ltd."/>
        <s v="INCREDIBLE INDUSTRIES LIMITED"/>
        <s v="WEST LEISURE RESORTS LIMITED"/>
        <s v="Nam Securities Ltd."/>
        <s v="MAESTROS ELECTRONICS &amp; TELECOMMUNICATIONS SYSTEMS LTD"/>
        <s v="SPS Finquest Limited"/>
        <s v="Jackson Investments Limited"/>
        <s v="MONEYBOXX FINANCE LIMITED"/>
        <s v="Worth Investment &amp; Trading Co Limited"/>
        <s v="Kanel Industries Limited"/>
        <s v="Thirani Projects Limited"/>
        <s v="Amarnath Securities Ltd."/>
        <s v="Capital Trade Links Limited"/>
        <s v="Gold Rock Investments Ltd."/>
        <s v="YAAN ENTERPRISES LIMITED"/>
        <s v="J.Taparia Projects Ltd"/>
        <s v="Ramchandra Leasing &amp; Finance Limited"/>
        <s v="GoldCoin Health Foods Limited"/>
        <s v="Bansal Roofing Products Limited"/>
        <s v="Arman Holdings Limited"/>
        <s v="Skipper Limited"/>
        <s v="Peoples Investments Ltd."/>
        <s v="James Warren Tea Limited"/>
        <s v="Vistar Amar Limited"/>
        <s v="Rainbow Children's Medicare Limited"/>
        <s v="Rapid Investments Ltd."/>
        <s v="SPRINGFORM TECHNOLOGY LIMITED"/>
        <s v="Bhanderi Infracon Limited"/>
        <s v="Amalgamated Electricity Co. Ltd."/>
        <s v="Quantum Build-Tech Limited"/>
        <s v="TTI Enterprise Limited"/>
        <s v="Vishal Fabrics Limited"/>
        <s v="TOYAM SPORTS LIMITED"/>
        <s v="Gajanan Securities Services Ltd."/>
        <s v="Unison Metals Ltd"/>
        <s v="Real Touch Finance Limited"/>
        <s v="Vasundhara Rasayans Ltd."/>
        <s v="Indsoya Limited"/>
        <s v="QGO FINANCE LIMITED"/>
        <s v="Purshottam Investofin Limited"/>
        <s v="SW Investments Limited"/>
        <s v="Sharda Cropchem Limited"/>
        <s v="K K Fincorp Limited"/>
        <s v="Meghna Infracon Infrastructure Limited"/>
        <s v="SHEMAROO ENTERTAINMENT LIMITED"/>
        <s v="Ultracab (India) Limited"/>
        <s v="Rajasthan Cylinders &amp; Containers Limited"/>
        <s v="Econo Trade (India) Limited"/>
        <s v="Atishay Limited"/>
        <s v="Sangam Finserv Limited"/>
        <s v="Dhabriya Polywood Limited"/>
        <s v="Aryaman Capital Markets Limited"/>
        <s v="PIRAMAL PHARMA LIMITED"/>
        <s v="HANMAN FIT LIMITED"/>
        <s v="Vibrant Global Capital Limited"/>
        <s v="Starlit Power Systems Limited"/>
        <s v="CEINSYS TECH LIMITED"/>
        <s v="PANABYTE TECHNOLOGIES LIMITED"/>
        <s v="Mudunuru Limited"/>
        <s v="JLA Infraville Shoppers Limited"/>
        <s v="Crane Infrastructure Limited"/>
        <s v="Niyogin Fintech Limited"/>
        <s v="ASIA CAPITAL LIMITED"/>
        <s v="Kalyan Capitals Limited"/>
        <s v="Goenka Business &amp; Finance Limited"/>
        <s v="Gilada Finance &amp; Investments Ltd."/>
        <s v="Jet Infraventure Limited"/>
        <s v="Shree Ajit Pulp And Paper Ltd"/>
        <s v="Captain Pipes Limited"/>
        <s v="KAIZEN AGRO INFRABUILD LIMITED"/>
        <s v="JMJ Fintech Limited"/>
        <s v="Global Health Limited"/>
        <s v="Monte Carlo Fashions Limited"/>
        <s v="Jeevan Scientific Technology Limited"/>
        <s v="Indo Cotspin Limited"/>
        <s v="Scintilla Commercial &amp; Credit  Limited"/>
        <s v="PANAFIC INDUSTRIALS LTD"/>
        <s v="My Money Securities Ltd."/>
        <s v="SRI AMARNATH FINANCE LIMITED"/>
        <s v="Continental Securities Limited"/>
        <s v="NEXUS SURGICAL AND MEDICARE LIMITED"/>
        <s v="Healthy Investments Ltd."/>
        <s v="Galada Finance Limited"/>
        <s v="Emerald Finance Limited"/>
        <s v="M. K. Exim (India) Ltd."/>
        <s v="Aarti Pharmalabs Limited"/>
        <s v="Octal Credit Capital Ltd."/>
        <s v="Shreenath Investments Co. Ltd."/>
        <s v="Kanchi Karpooram Ltd."/>
        <s v="Dhunseri Tea &amp; Industries Ltd"/>
        <s v="Vani Commercials Limited"/>
        <s v="SKYLINE VENTURES INDIA  LIMITED"/>
        <s v="Modella Woollens Ltd."/>
        <s v="Raghuvansh Agrofarms Limited"/>
        <s v="COSYN Limited"/>
        <s v="SOFCOM SYSTEMS LIMITED"/>
        <s v="Naturite Agro Products Limited"/>
        <s v="Karnavati Finance Limited"/>
        <s v="Multipurpose Trading &amp; Agencies Ltd"/>
        <s v="Ganesh Holding Ltd."/>
        <s v="Sonal Mercantile Limited"/>
        <s v="Abhinav Leasing &amp; Finance Limited"/>
        <s v="GENUS PAPER &amp; BOARDS LIMITED"/>
        <s v="Mankind Pharma Limited"/>
        <s v="Mercury Laboratories Limited"/>
        <s v="Concord Drugs Limited"/>
        <s v="WARDWIZARD INNOVATIONS AND MOBILITY LIMITED"/>
        <s v="Shree Securities Ltd."/>
        <s v="Concord Biotech Limited"/>
        <s v="TALBROS ENGINEERING LIMITED"/>
        <s v="Sar  Auto Products Limited"/>
        <s v="HEM Holdings and Trading Ltd."/>
        <s v="Jupiter Life Line Hospitals Limited"/>
        <s v="CHENNAI FERROUS INDUSTRIES LIMITED"/>
        <s v="Kovalam Inv. &amp; Trading Co.Ltd."/>
        <s v="GITA RENEWABLE ENERGY LIMITED"/>
        <s v="Neil Industries Ltd."/>
        <s v="STAR HOUSING FINANCE LIMITED"/>
        <s v="Beekay Steel Industries Ltd."/>
        <s v="SSPN Finance Limited"/>
        <s v="Multiplus Holdings Ltd."/>
        <s v="Tirupati Tyres Ltd."/>
        <s v="Alna Trading &amp; Exports Ltd."/>
        <s v="AGI Infra Limited"/>
        <s v="Manaksia Steels Limited"/>
        <s v="Manaksia Aluminium Company Ltd"/>
        <s v="Manaksia Coated Metals &amp; Industries Ltd"/>
        <s v="IMAGICAAWORLD ENTERTAINMENT LIMITED"/>
        <s v="Blue Jet Healthcare Limited"/>
        <s v="Rajputana Investment and Finance Ltd."/>
        <s v="Consecutive Investments &amp; Trading Company Limited"/>
        <s v="Aananda Lakshmi Spinning Mills Limited"/>
        <s v="VELOX INDUSTRIES LIMITED"/>
        <s v="Filtra Consultants and Engineers Limited"/>
        <s v="Athena Constructions Limited"/>
        <s v="Northlink Fiscal And Capital Services Ltd."/>
        <s v="SHESHADRI INDUSTRIES LIMITED"/>
        <s v="SAB INDUSTRIES LIMITED"/>
        <s v="Paul Merchants Ltd."/>
        <s v="Alan Scott Industries Ltd."/>
        <s v="Sarvamangal Mercantile Co. Ltd."/>
        <s v="Sujala Trading &amp; Holdings Ltd."/>
        <s v="Viksit Engineering Ltd"/>
        <s v="Jain Marmo Industries Ltd."/>
        <s v="Bangalore Fort Farms Limited"/>
        <s v="Palco Metals Limited"/>
        <s v="V B INDUSTRIES LIMITED"/>
        <s v="Sarvottam Finvest Limited"/>
        <s v="Saptak Chem And Business Limited"/>
        <s v="Wardwizard Foods and Beverages Limited"/>
        <s v="UFO Moviez India Limited"/>
        <s v="PANTH INFINITY LIMITED"/>
        <s v="Shivalik Rasayan Ltd."/>
        <s v="THAKKERS GROUP LIMITED"/>
        <s v="Indegene Limited"/>
        <s v="Arfin India Limited"/>
        <s v="Virat Leasing Limited"/>
        <s v="Helpage Finlease Ltd."/>
        <s v="Indra Industries Ltd."/>
        <s v="Hawa Engineers ltd."/>
        <s v="ABB India Limited"/>
        <s v="Adhbhut Infrastructure Ltd."/>
        <s v="Decillion Finance Ltd."/>
        <s v="POCL ENTERPRISES LTD"/>
        <s v="Amba Enterprises Ltd."/>
        <s v="Capfin India Limited"/>
        <s v="SG FINSERVE LIMITED"/>
        <s v="SATIA INDUSTRIES LIMITED"/>
        <s v="GENOMIC VALLEY BIOTECH LIMITED"/>
        <s v="GARMENT MANTRA LIFESTYLE LIMITED"/>
        <s v="Srestha Finvest Limited"/>
        <s v="Saumya Consultants Ltd."/>
        <s v="MAURIA UDYOG LIMITED"/>
        <s v="Mishka Exim Limited"/>
        <s v="Sportking India Ltd."/>
        <s v="Frontier Capital Limited"/>
        <s v="RUDRA GLOBAL INFRA PRODUCTS LIMITED"/>
        <s v="Loyal Equipments Limited"/>
        <s v="Gala Global Products Limited"/>
        <s v="Chemiesynth (Vapi) Limited"/>
        <s v="Transoceanic Properties Ltd."/>
        <s v="Balkrishna Paper Mills Ltd"/>
        <s v="Shyam Century Ferrous Limited"/>
        <s v="Surya India Limited"/>
        <s v="BEML Ltd"/>
        <s v="STAR DELTA TRANSFORMERS LIMITED"/>
        <s v="Amrapali Fincap Limited"/>
        <s v="SAMSRITA LABS LIMITED"/>
        <s v="Bharat Electronics Ltd."/>
        <s v="PECOS Hotels And Pubs Limited"/>
        <s v="Mangalam Seeds Limited"/>
        <s v="Kaya Limited"/>
        <s v="Alstone Textiles (India) Limited"/>
        <s v="Symbiox Investment &amp; Trading Co. Ltd."/>
        <s v="Ortin Laboratories Limited"/>
        <s v="Avi Polymers Ltd."/>
        <s v="Aurum PropTech Limited"/>
        <s v="Oswal Greentech Limited"/>
        <s v="Vasudhagama Enterprises Limited"/>
        <s v="A.K. Spintex Ltd."/>
        <s v="Arvind SmartSpaces Limited"/>
        <s v="CG Power and Industrial Solutions Limited"/>
        <s v="Rama Steel Tubes Limited"/>
        <s v="THINKINK PICTUREZ LIMITED"/>
        <s v="Universal Autofoundry Limited"/>
        <s v="VETO SWITCHGEARS AND CABLES LIMITED"/>
        <s v="TRILIANCE POLYMERS LIMITED"/>
        <s v="Shree Pushkar Chemicals &amp; Fertilisers Limited"/>
        <s v="Bharat Heavy Electricals Ltd."/>
        <s v="WAAREE TECHNOLOGIES LIMITED"/>
        <s v="Sadbhav Infrastructure Project Limited"/>
        <s v="SAL AUTOMOTIVE LIMITED"/>
        <s v="POLYSPIN EXPORTS LIMITED"/>
        <s v="Pritika Auto Industries Limited"/>
        <s v="Soni Medicare Limited"/>
        <s v="Mahaveer Infoway Limited"/>
        <s v="Krishna Capital And Securities Limited"/>
        <s v="Acme Resources Limited"/>
        <s v="Kabra Commercial Limited"/>
        <s v="Vishal Bearings Limited"/>
        <s v="Bella Casa Fashion &amp; Retail Limited"/>
        <s v="MALLCOM (INDIA) LTD."/>
        <s v="Patdiam Jewellery Limited"/>
        <s v="Naksh Precious Metals Limited"/>
        <s v="SATIN CREDITCARE NETWORK LIMITED"/>
        <s v="Decorous Investment and Trading Co. Ltd."/>
        <s v="Oseaspre Consultants Ltd."/>
        <s v="Generic Engineering Construction and Projects Limited"/>
        <s v="Kuber Udyog Limited"/>
        <s v="Technojet Consultants Ltd."/>
        <s v="Tejnaksh Healthcare Limited"/>
        <s v="Brilliant Portfolios Ltd."/>
        <s v="Richfield Financial Services Ltd."/>
        <s v="Coffee Day Enterprises Limited"/>
        <s v="Electrosteel Castings Ltd."/>
        <s v="BEARDSELL LIMITED"/>
        <s v="Kusam Electrical Industies Ltd."/>
        <s v="Jumbo Finance Ltd."/>
        <s v="S H Kelkar and Company Limited"/>
        <s v="Typhoon Financial Services Limited"/>
        <s v="PANORAMA STUDIOS INTERNATIONAL LIMITED"/>
        <s v="Shree Ganesh Biotech (India) Limited"/>
        <s v="GTV Engineering Limited"/>
        <s v="Tirupati Fin-Lease Ltd."/>
        <s v="Garbi Finvest Limited"/>
        <s v="Smart Finsec Limited"/>
        <s v="Rajkot Investment Trust Limited"/>
        <s v="Adcon Capital Services Limited"/>
        <s v="Quint Digital Limited"/>
        <s v="Uday Jewellery Industries Limited."/>
        <s v="Navigant Corporate Advisors Limited"/>
        <s v="Grovy India Limited"/>
        <s v="Esab India Ltd."/>
        <s v="EPL LIMITED"/>
        <s v="RAJVI LOGITRADE LIMITED"/>
        <s v="Creative Castings Limited"/>
        <s v="Aayush Food And Herbs Limited"/>
        <s v="Millennium Online Solutions (India) Ltd"/>
        <s v="LUX Industries Limited"/>
        <s v="Valley Magnesite Company Limited"/>
        <s v="Abhishek Infraventures Limited"/>
        <s v="Apoorva Leasing Finance &amp; Investment Company Limited"/>
        <s v="Sanchay Finvest Ltd"/>
        <s v="Finolex Cables Ltd."/>
        <s v="F MEC INTERNATIONAL FINANCIAL SERVICES LIMITED"/>
        <s v="Deep Diamond India Limited"/>
        <s v="Abhijit Trading Co. Ltd."/>
        <s v="Regency Trust Ltd."/>
        <s v="AARNAV FASHIONS LIMITED"/>
        <s v="Sunshine Capital Ltd."/>
        <s v="Nilkanth Engineering Ltd."/>
        <s v="Shivansh Finserv Limited"/>
        <s v="Mishtann Foods Limited"/>
        <s v="Delta Industrial Resources Limited"/>
        <s v="CREDENT GLOBAL FINANCE LIMITED"/>
        <s v="Kotia Enterprises Limited"/>
        <s v="Blue Cloud Softech Solutions Limited"/>
        <s v="KANORIA ENERGY AND INFRASTRUCTURE LIMITED"/>
        <s v="BCL Enterprises Limited"/>
        <s v="Precision Camshafts Limited"/>
        <s v="Sobhagya Merchantile Ltd."/>
        <s v="Vidli Restaurants Limited"/>
        <s v="BEST AGROLIFE LIMITED"/>
        <s v="ACE MEN ENGG WORKS LIMITED"/>
        <s v="BFL Asset Finvest Limited"/>
        <s v="RGF Capital Markets Limited"/>
        <s v="Radhagobind Commercial Limited"/>
        <s v="Quick Heal Technologies Limited"/>
        <s v="Kapil Raj Finance Ltd."/>
        <s v="Ganga Pharmaceuticals Limited"/>
        <s v="dynamic Archistructures Limited"/>
        <s v="LUCENT INDUSTRIES LIMITED"/>
        <s v="Shivkamal Impex Limited"/>
        <s v="K.P. Energy Limited"/>
        <s v="INTERACTIVE FINANCIAL SERVICES LIMITED"/>
        <s v="HILIKS TECHNOLOGIES LIMITED"/>
        <s v="Gokul Agro Resources Ltd"/>
        <s v="Fredun Pharmaceuticals Limited"/>
        <s v="Simbhaoli Sugars Ltd"/>
        <s v="Relicab Cable Manufacturing Limited"/>
        <s v="Vantage Knowledge Academy Limited"/>
        <s v="MODERN ENGINEERING AND PROJECTS LIMITED"/>
        <s v="Mega Nirman &amp; Industries Limited"/>
        <s v="Darjeeling Ropeway Company Limited"/>
        <s v="Advik Capital Limited"/>
        <s v="Pudumjee Paper Products Limited"/>
        <s v="Hindustan Construction Co. Ltd."/>
        <s v="Khemani Distributors &amp; Marketing Limited"/>
        <s v="Umiya Tubes Limited"/>
        <s v="Bharat Wire Ropes Limited"/>
        <s v="CHD Chemicals Limited"/>
        <s v="HMT Limited"/>
        <s v="Inertia Steel Limited"/>
        <s v="Mudra Financial Services Ltd."/>
        <s v="PH Trading Ltd."/>
        <s v="Superior Finlease Limited"/>
        <s v="RAGHAV PRODUCTIVITY ENHANCERS LIMITED"/>
        <s v="Franklin Leasing and Finance Limited"/>
        <s v="Ventura Guaranty Ltd."/>
        <s v="NINtec Systems Limited"/>
        <s v="Halder Venture Limited"/>
        <s v="Thyrocare Technologies Limited"/>
        <s v="Bajaj Healthcare Limited"/>
        <s v="RSD Finance Limited"/>
        <s v="Ingersoll-Rand (India) Ltd."/>
        <s v="Kirloskar Brothers Ltd."/>
        <s v="Darshan Orna Limited"/>
        <s v="Parag Milk Foods Limited"/>
        <s v="Madhav Infra Projects Limited"/>
        <s v="NAGARJUNA FERTILIZERS AND CHEMICALS LTD."/>
        <s v="Shanti Educational Initiatives Limited"/>
        <s v="Sanmitra Commercial Ltd."/>
        <s v="WARDWIZARD HEALTHCARE LIMITED"/>
        <s v="Yash Chemex Limited"/>
        <s v="Bazel International Limited"/>
        <s v="JINDAL LEASEFIN LIMITED"/>
        <s v="VISHVPRABHA VENTURES LIMITED"/>
        <s v="Kirloskar Industries Ltd"/>
        <s v="Zeal Aqua Limited"/>
        <s v="Twin Roses Trades &amp; Agencies Ltd."/>
        <s v="DIGJAM LIMITED"/>
        <s v="HINDUSTHAN URBAN INFRASTRUCTURE LIMITED"/>
        <s v="Titaanium Ten Enterprise Limited"/>
        <s v="Commercial Syn Bags Limited"/>
        <s v="M LAKHAMSI INDUSTRIES LIMITED"/>
        <s v="KSB LIMITED"/>
        <s v="Kwality Pharmaceuticals Limited"/>
        <s v="Lakshmi Machine Works Ltd."/>
        <s v="Terraform Realstate Limited"/>
        <s v="Advanced Enzyme Technologies Limited"/>
        <s v="Ladam Affortable Housing Limited"/>
        <s v="Maharashtra Seamless Ltd."/>
        <s v="S.P. Apparels Limited"/>
        <s v="Bigbloc Construction Limited"/>
        <s v="Golden Crest Education &amp; Services Limited"/>
        <s v="ECS Biztech Limited"/>
        <s v="NCC Limited"/>
        <s v="AMS POLYMERS LIMITED"/>
        <s v="Shiva Granito Export Limited"/>
        <s v="Surya Roshni Ltd."/>
        <s v="Mitsu Chem Plast Limited"/>
        <s v="Sprayking Limited"/>
        <s v="Dhatre Udyog Limited"/>
        <s v="Sab Events &amp; Governance Now Media Limited"/>
        <s v="Riddhi Steel and Tube Limited"/>
        <s v="TV VISION LIMITED"/>
        <s v="Visco Trade Associates Ltd"/>
        <s v="TIAAN CONSUMER LIMITED"/>
        <s v="Jindal Saw Ltd."/>
        <s v="G N A Axles Limited"/>
        <s v="Radhika Jeweltech Limited"/>
        <s v="Bentley Commercial Enterprises Ltd."/>
        <s v="Thermax Ltd."/>
        <s v="ISHAAN INFRASTRUCTURE AND SHELTERS LIMITED"/>
        <s v="ARC Finance Limited"/>
        <s v="HPL Electric &amp; Power Limited"/>
        <s v="Sagarsoft (India) Limited"/>
        <s v="Classic Electricals Ltd."/>
        <s v="Valiant Organics Limited"/>
        <s v="ADITYA CONSUMER MARKETING LIMITED"/>
        <s v="Shashijit Infraprojects Limited"/>
        <s v="Bindal Exports Limited"/>
        <s v="Diksat Transworld Limited"/>
        <s v="SKF India Ltd."/>
        <s v="Purple Entertainment Limited"/>
        <s v="Supra Pacific Financial Services Limited"/>
        <s v="Ashok Leyland Ltd."/>
        <s v="Southern Infosys Limited"/>
        <s v="REGENCY FINCORP LIMITED"/>
        <s v="Cummins India Ltd."/>
        <s v="Salem Erode Investments Ltd."/>
        <s v="Nivi Trading Ltd."/>
        <s v="LKP Securities Limited"/>
        <s v="OSIAJEE TEXFAB LIMITED"/>
        <s v="Corporate Merchant Bankers Limited"/>
        <s v="Escorts Kubota Limited"/>
        <s v="EIKO LIFESCIENCES LIMITED"/>
        <s v="Larsen &amp; Toubro Limited"/>
        <s v="Heads UP Ventures Limited"/>
        <s v="Bajaj Global Ltd"/>
        <s v="Tashi India Ltd."/>
        <s v="Siemens Ltd."/>
        <s v="Autoriders International Ltd"/>
        <s v="VEERAM SECURITIES LIMITED"/>
        <s v="MARG TECHNO PROJECTS LIMITED"/>
        <s v="Chambal Breweries &amp; Distilleries Li"/>
        <s v="Mansoon Trading Co. Ltd."/>
        <s v="TruCap Finance Limited"/>
        <s v="SUPER FINE KNITTERS LIMITED"/>
        <s v="CES Limited"/>
        <s v="GARWARE HI-TECH FILMS LIMITED"/>
        <s v="Classic Filaments Limited"/>
        <s v="JITF INFRALOGISTICS LIMITED"/>
        <s v="Sueryaa Knitwear Limited"/>
        <s v="Tanvi Foods (India) Limited"/>
        <s v="RMC SWITCHGEARS LIMITED"/>
        <s v="Parmax Pharma Limited"/>
        <s v="LEADING LEASING FINANCE AND INVESTMENT CO. LIMITED"/>
        <s v="Magnanimous Trade &amp; Finance Ltd."/>
        <s v="Music Broadcast Limited"/>
        <s v="Finolex Industries Ltd."/>
        <s v="Mercury Trade Links Ltd."/>
        <s v="Ontic Finserve Limited"/>
        <s v="Sarthak Metals Limited"/>
        <s v="Chemcrux Enterprises Limited"/>
        <s v="Manomay Tex India Limited"/>
        <s v="Nirav Commercials Ltd."/>
        <s v="Manas Properties Limited"/>
        <s v="CL Educate Limited"/>
        <s v="PRIME FRESH LIMITED"/>
        <s v="Octaware Technologies Limited"/>
        <s v="Shankara Building Products Limited"/>
        <s v="Escorp Asset Management Limited"/>
        <s v="PARMESHWARI SILK MILLS LIMITED"/>
        <s v="KMS Medisurgi Limited"/>
        <s v="Classic Leasing &amp; Finance Ltd."/>
        <s v="STARLINEPS ENTERPRISES LIMITED"/>
        <s v="S Chand And Company Limited"/>
        <s v="KANUNGO FINANCIERS LIMITED"/>
        <s v="Meera Industries Limited"/>
        <s v="BOROSIL RENEWABLES LIMITED"/>
        <s v="PSP Projects Limited"/>
        <s v="Bhakti Gems And Jewellery Limited"/>
        <s v="Yug Decor Limited"/>
        <s v="White Hall Commercial Co.Ltd."/>
        <s v="Bharat Bijlee Ltd."/>
        <s v="Riddhi Corporate Services Limited"/>
        <s v="GMM Pfaudler Ltd."/>
        <s v="Elecon Engineering Co.Ltd."/>
        <s v="GTPL Hathway Limited"/>
        <s v="Kennametal India Limtied"/>
        <s v="Asutosh Enterprise Ltd."/>
        <s v="G G Engineering Limited"/>
        <s v="7NR Retail Limited"/>
        <s v="Salasar Techno Engineering Limited"/>
        <s v="Ganges Securities Ltd."/>
        <s v="Palash Securities Limited"/>
        <s v="AVADH SUGAR &amp; ENERGY LIMITED"/>
        <s v="Magadh Sugar &amp; Energy Limited"/>
        <s v="Jigar Cables Limited"/>
        <s v="Captain Technocast Limited"/>
        <s v="GlobalSpace Technologies Limited"/>
        <s v="Punctual Trading Ltd."/>
        <s v="Grindwell Norton Ltd."/>
        <s v="SMS Lifesciences India Ltd"/>
        <s v="Graphite India Ltd."/>
        <s v="CHOTHANI FOODS LIMITED"/>
        <s v="Smruthi Organics Limited"/>
        <s v="ITD Cementation India Ltd"/>
        <s v="Apex Frozen Foods Limited"/>
        <s v="Shish Industries Limited"/>
        <s v="ANG Lifesciences India Limited"/>
        <s v="Varun Mercantile Ltd."/>
        <s v="HEG Ltd."/>
        <s v="Bharat Road Network Limited"/>
        <s v="Dishman Carbogen Amcis Limited"/>
        <s v="Lasa Supergenerics Limited"/>
        <s v="Vinayak Vanijya Ltd."/>
        <s v="Matrimony.com Limited"/>
        <s v="Reliance Home Finance Limited"/>
        <s v="Capacit'e Infraprojects Limited"/>
        <s v="Sagar Diamonds Limited"/>
        <s v="Supreme Industries Ltd."/>
        <s v="Sita Enterprises LTD."/>
        <s v="AKM CREATIONS LIMITED"/>
        <s v="Jai Corp Limited"/>
        <s v="Prataap Snacks Limited"/>
        <s v="SG MART LIMITED"/>
        <s v="Trident Texofab Limited"/>
        <s v="Poojawestern Metaliks Limited"/>
        <s v="Sayaji Industries Limited"/>
        <s v="Vanta Bioscience Limited"/>
        <s v="Pulsar International Limited"/>
        <s v="IRIS Business Services Limited"/>
        <s v="Shree Ganesh Remedies Limited"/>
        <s v="ASTAL LABORATORIES LIMITED"/>
        <s v="Carborundum Universal Ltd."/>
        <s v="Usha Martin Ltd."/>
        <s v="Honeywell Automation India Ltd."/>
        <s v="KEI Industries Ltd."/>
        <s v="Regent Enterprises Limited"/>
        <s v="SHEETAL COOL PRODUCTS LIMITED"/>
        <s v="Ratnamani Metals &amp; Tubes Ltd"/>
        <s v="Vesuvius India Ltd."/>
        <s v="Jeet Machine Tools Ltd."/>
        <s v="Elgi Equipments Ltd."/>
        <s v="IFGL Refractories Limited"/>
        <s v="Khadim India Limited"/>
        <s v="5paisa Capital Limited"/>
        <s v="Timken India Ltd"/>
        <s v="Sanghvi Brands Limited"/>
        <s v="Ramgopal Polytex Ltd"/>
        <s v="Aspira Pathlab &amp; Diagnostics Limited"/>
        <s v="Diligent Media Corporation Limited"/>
        <s v="Dynamic Cables Limited"/>
        <s v="Ratnabhumi Developers Limited"/>
        <s v="Shalby Limited"/>
        <s v="TTL ENTERPRISES LIMITED"/>
        <s v="Yarn Syndicate Ltd."/>
        <s v="Garware Synthetics Ltd."/>
        <s v="SADHNA BROADCAST LTD"/>
        <s v="Astron Paper &amp; Board Mill Limited"/>
        <s v="Oswal Yarns Ltd."/>
        <s v="International Data Managements Ltd."/>
        <s v="Jhandewalas Foods Limited"/>
        <s v="7SEAS ENTERTAINMENT LIMITED"/>
        <s v="Apollo Micro Systems Limited"/>
        <s v="Diamond Power Infrastructure Limited"/>
        <s v="Praxis Home Retail Limited"/>
        <s v="Praj Industries Ltd."/>
        <s v="Pervasive Commodities Limited"/>
        <s v="TIRUPATI FOAM LIMITED"/>
        <s v="KISAAN PARIVAR INDUSTRIES LIMITED"/>
        <s v="Ashoka Metcast Limited"/>
        <s v="GE T&amp;D India Limited"/>
        <s v="Gautam Gems Limited"/>
        <s v="MEDICO REMEDIES LIMITED"/>
        <s v="Gujarat Hy-Spin Limited"/>
        <s v="LORENZINI APPARELS LIMITED"/>
        <s v="Kenvi Jewels Limited"/>
        <s v="The Indian Wood Products Co. Ltd."/>
        <s v="Tasty Dairy Specialities Limited"/>
        <s v="Bhatia Communications &amp; Retail (India) Limited"/>
        <s v="Shiva Mills Limited"/>
        <s v="KALPATARU PROJECTS INTERNATIONAL LIMITED"/>
        <s v="DATIWARE MARITIME INFRA LIMITED"/>
        <s v="KANCO TEA &amp; INDUSTRIES LIMITED"/>
        <s v="Angel Fibers Limited"/>
        <s v="Genus Power Infrastructures Ltd"/>
        <s v="Inflame Appliances Limited"/>
        <s v="Bharat Parenterals Limited"/>
        <s v="Shreeshay Engineers Limited"/>
        <s v="APEX CAPITAL AND FINANCE LIMITED"/>
        <s v="Patel Engineering Ltd"/>
        <s v="Active Clothing Co  Limited"/>
        <s v="NMS RESOURCES GLOBAL LIMITED"/>
        <s v="Shakti Pumps (India) Ltd."/>
        <s v="Welspun Corp Limited"/>
        <s v="KBC GLOBAL LIMITED"/>
        <s v="Sandhar Technologies Limited"/>
        <s v="YASHO INDUSTRIES LIMITED"/>
        <s v="Benara Bearings and Pistons Limited"/>
        <s v="Engineers India Ltd."/>
        <s v="Apar Industries Ltd"/>
        <s v="Otco International Ltd"/>
        <s v="AVI PRODUCTS INDIA LIMITED"/>
        <s v="Taylormade Renewables Limited"/>
        <s v="Astra Microwave Products Ltd."/>
        <s v="Chemfab Alkalis Ltd"/>
        <s v="HARDWYN INDIA LIMITED"/>
        <s v="DR LALCHANDANI LABS LIMITED"/>
        <s v="Welspun Enterprises Limited"/>
        <s v="Norris Medicines Ltd."/>
        <s v="Akshar Spintex Limited"/>
        <s v="Indo US Bio-Tech Limited"/>
        <s v="IndoStar Capital Finance Limited"/>
        <s v="Milestone Furniture Limited"/>
        <s v="U. H. ZAVERI LIMITED"/>
        <s v="Parvati Sweetners and Power Ltd."/>
        <s v="Megastar Foods Limited"/>
        <s v="Innovators Facade Systems Limited"/>
        <s v="UNIFINZ CAPITAL INDIA LIMITED"/>
        <s v="ZIM Laboratories Limited"/>
        <s v="Affordable Robotic &amp; Automation Limited"/>
        <s v="Dollar Industries Limited"/>
        <s v="NAKODA GROUP OF INDUSTRIES LIMITED"/>
        <s v="Revati Organics Ltd."/>
        <s v="Waa Solar Limited"/>
        <s v="SUZLON ENERGY LTD."/>
        <s v="Unick Fix-A- Form and Printers Limited"/>
        <s v="SOLARA ACTIVE PHARMA SCIENCES LIMITED"/>
        <s v="AIA Engineering Ltd."/>
        <s v="KEC International Ltd."/>
        <s v="GALLANTT ISPAT LIMITED"/>
        <s v="Rajnish Wellness Limited"/>
        <s v="Sophia Traexpo Limited"/>
        <s v="Raw Edge Industrial Solutions Limited"/>
        <s v="TCNS Clothing Co. Limited"/>
        <s v="Supershakti Metaliks Limited"/>
        <s v="Priya Limited."/>
        <s v="RACONTEUR GLOBAL RESOURCES LIMITED"/>
        <s v="GODAWARI POWER AND ISPAT LTD."/>
        <s v="Vivanta Industries Limited"/>
        <s v="Hemo Organic Limited"/>
        <s v="VOLTAMP TRANSFORMERS LIMITED"/>
        <s v="AMIN TANNERY LIMITED"/>
        <s v="Deep Polymers Limited"/>
        <s v="Sungold Media and Entertainment Limited"/>
        <s v="Add-Shop E-Retail Limited"/>
        <s v="Space Incubatrics Technologies Limited"/>
        <s v="Synergy Green Industries Limited"/>
        <s v="Ranjeet Mechatronics Limited"/>
        <s v="Action Construction Equipments Ltd."/>
        <s v="SKY GOLD LIMITED"/>
        <s v="Mac Hotels Limited"/>
        <s v="Manorama Industries Limited"/>
        <s v="Parker Agro Chem Export Ltd."/>
        <s v="Technocraft Industries (India) Ltd."/>
        <s v="Ahluwalia Contracts (India) Ltd"/>
        <s v="A-1 Acid Limited"/>
        <s v="Dolfin Rubbers Limited"/>
        <s v="Shubham Polyspin Limited"/>
        <s v="AKI India Limited"/>
        <s v="Bijoy Hans Ltd"/>
        <s v="S. M. Gold Limited"/>
        <s v="VIVID MERCANTILE LIMITED"/>
        <s v="BCPL Railway Infrastructure Limited"/>
        <s v="ASTRAL LIMITED"/>
        <s v="The Phosphate Company Limited"/>
        <s v="Time Technoplast Limited"/>
        <s v="Ambitious Plastomac Ltd."/>
        <s v="Shree Krishna Infrastructure Limited"/>
        <s v="Mahasagar Travels Ltd."/>
        <s v="Aryan Share &amp; Stock Brokers Ltd."/>
        <s v="NIVAKA FASHIONS LIMITED"/>
        <s v="Transformers and Rectifiers (India) Limited"/>
        <s v="Nila Spaces Ltd"/>
        <s v="Shankar Lal Rampal Dye-Chem Limited"/>
        <s v="Trejhara Solutions Limited"/>
        <s v="Deccan Health Care Limited"/>
        <s v="Axita Cotton Limited"/>
        <s v="J. Kumar Infraprojects Limited"/>
        <s v="Hi-Klass Trading and Investment Limited"/>
        <s v="Siddheswari Garments Ltd."/>
        <s v="Spencer's Retail Limited"/>
        <s v="Gloster Ltd"/>
        <s v="Xelpmoc Design and Tech Limited"/>
        <s v="SPA Capital Services Limited"/>
        <s v="Aar Shyam India Investment Company Limited"/>
        <s v="Harmony Capital Services Ltd."/>
        <s v="KNR Constructions Limited"/>
        <s v="Anmol India Limited"/>
        <s v="Garodia Chemicals Ltd."/>
        <s v="Kranti Industries Limited"/>
        <s v="The Anup Engineering Ltd"/>
        <s v="Inter State Oil Carrier Ltd"/>
        <s v="TITAGARH RAIL SYSTEMS LIMITED"/>
        <s v="S.P.Capital Financing Ltd."/>
        <s v="Jyot International Marketing Limited"/>
        <s v="Ashapuri Gold Ornament Limited"/>
        <s v="Aartech Solonics Limited"/>
        <s v="Humming Bird Education Limited"/>
        <s v="STRATMONT INDUSTRIES LIMITED"/>
        <s v="Roopshri Resorts Limited"/>
        <s v="Ekam Leasing &amp; Finance Co. Ltd."/>
        <s v="Shree Ganesh Elastoplast Ltd"/>
        <s v="ISGEC Heavy Engineering Limited"/>
        <s v="MAN INFRACONSTRUCTION LIMITED"/>
        <s v="Ashoka Buildcon Limited"/>
        <s v="JUPITER WAGONS LIMITED"/>
        <s v="V R FILMS &amp; STUDIOS LIMITED"/>
        <s v="S.I.Capital And Financial Services"/>
        <s v="Neogen Chemicals Limited"/>
        <s v="G. K. P. Printing &amp; Packaging Limited"/>
        <s v="R.R.Securities Ltd."/>
        <s v="Euro Asia Exports Ltd."/>
        <s v="BMW INDUSTRIES LIMITED"/>
        <s v="Artemis Electricals and Projects Limited"/>
        <s v="Cian Healthcare Limited"/>
        <s v="Dhanashree Electronics Limited"/>
        <s v="Harish Textile Engineers Limited"/>
        <s v="Prakash Pipes Limited"/>
        <s v="Digicontent Limited"/>
        <s v="Arihants Securities ltd."/>
        <s v="Anand Rayons Limited"/>
        <s v="Murae Organisor Limited"/>
        <s v="SBC EXPORTS LIMITED"/>
        <s v="Kirloskar Oil Engines Limited"/>
        <s v="City Pulse Multiplex Limited"/>
        <s v="SK International Export Limited"/>
        <s v="DCM NOUVELLE LIMITED"/>
        <s v="Texmaco Rail &amp; Engineering Limited"/>
        <s v="TRADEWELL HOLDINGS LIMITED"/>
        <s v="Zen Technologies Ltd."/>
        <s v="TD Power Systems Ltd"/>
        <s v="Alphalogic Techsys Limited"/>
        <s v="Novateor Research Laboratories Limited"/>
        <s v="360 ONE WAM LIMITED"/>
        <s v="Triveni Turbine Limited"/>
        <s v="MUFIN GREEN FINANCE LIMITED"/>
        <s v="Misquita Engineering Limited"/>
        <s v="Galactico Corporate Services Limited"/>
        <s v="Vikalp Securities Ltd."/>
        <s v="APL Apollo Tubes Limited"/>
        <s v="RHI MAGNESITA INDIA LIMITED"/>
        <s v="GOBLIN INDIA LIMITED"/>
        <s v="Gensol Engineering Limited"/>
        <s v="Vishwaraj Sugar Industries Limited"/>
        <s v="Greenpanel Industries Limited"/>
        <s v="Shahlon Silk Industries Limited"/>
        <s v="MOUNT HOUSING AND INFRASTRUCTURE LIMITED"/>
        <s v="Anuroop Packaging Limited"/>
        <s v="COLAB CLOUD PLATFORMS LIMITED"/>
        <s v="SCHNEIDER ELECTRIC INFRASTRUCTURE LIMITED"/>
        <s v="NBCC (India) Limited"/>
        <s v="Hindware Home Innovation Limited"/>
        <s v="Easun Capital Markets Limited"/>
        <s v="PTC Industries Ltd."/>
        <s v="Assam Entrade Limited"/>
        <s v="Gian Life Care Limited"/>
        <s v="Artemis Medicare Services Limited"/>
        <s v="Inox Wind Limited"/>
        <s v="Janus Corporation Limited"/>
        <s v="Vardhan Capital &amp; Finance Limited"/>
        <s v="UNIVERSUS PHOTO IMAGINGS LIMITED"/>
        <s v="Chandra Bhagat Pharma Limited"/>
        <s v="Octavius Plantations Limited"/>
        <s v="PNC Infratech Limited"/>
        <s v="SM Auto Stamping Limited"/>
        <s v="Power Mech Projects Limited"/>
        <s v="RO Jewels Limited"/>
        <s v="Cospower Engineering Limited"/>
        <s v="LLOYDS ENGINEERING WORKS LIMITED"/>
        <s v="LWS Knitwear Ltd"/>
        <s v="Natural Biocon (India) Limited"/>
        <s v="REGIS INDUSTRIES LIMITED"/>
        <s v="Billwin Industries Limited"/>
        <s v="Aarti Surfactants Limited"/>
        <s v="BONLON INDUSTRIES LIMITED"/>
        <s v="Borosil Limited"/>
        <s v="ROSSARI BIOTECH LIMITED"/>
        <s v="NDR Auto Components Limited"/>
        <s v="SURATWWALA BUSINESS GROUP LIMITED"/>
        <s v="Dilip Buildcon Limited"/>
        <s v="Max India Limited"/>
        <s v="Cochin Shipyard Limited"/>
        <s v="H.G. Infra Engineering Limited"/>
        <s v="Samrat Forgings Limited"/>
        <s v="Advait Infratech Limited"/>
        <s v="Archidply Decor Limited"/>
        <s v="Bharat Dynamics Limited"/>
        <s v="Chemcon Speciality Chemicals Limited"/>
        <s v="Secmark Consultancy Limited"/>
        <s v="Hindustan Aeronautics Limited"/>
        <s v="Atam Valves Limited"/>
        <s v="Mishra Dhatu Nigam Limited"/>
        <s v="RITES Limited"/>
        <s v="G M Polyplast Limited"/>
        <s v="Likhitha Infrastructure Limited"/>
        <s v="Veer Global Infraconstruction Limited"/>
        <s v="Nouveau Global Ventures Limited"/>
        <s v="IRCON International Ltd"/>
        <s v="Shine Fashions (India) Limited"/>
        <s v="Garden Reach Shipbuilders &amp; Engineers Limited"/>
        <s v="Restaurant Brands Asia Limited"/>
        <s v="Techno Electric &amp; Engineering Company Limited"/>
        <s v="Ravinder Heights Limited"/>
        <s v="Fairchem Organics Limited"/>
        <s v="Rail Vikas Nigam Limited"/>
        <s v="Antony Waste Handling Cell Limited"/>
        <s v="RITA FINANCE AND LEASING LIMITED"/>
        <s v="Polycab India Limited"/>
        <s v="STERLING AND WILSON RENEWABLE ENERGY LIMITED"/>
        <s v="Prince Pipes and Fittings Limited"/>
        <s v="STOVE KRAFT LIMITED"/>
        <s v="MRP Agro Limited"/>
        <s v="SMC Global Securities Limited"/>
        <s v="Nureca Limited"/>
        <s v="HITACHI ENERGY INDIA LIMITED"/>
        <s v="Heranba Industries Limited"/>
        <s v="Davangere Sugar Company Limited"/>
        <s v="DRC Systems India Limited"/>
        <s v="Mazagon Dock Shipbuilders Limited"/>
        <s v="MTAR Technologies Limited"/>
        <s v="Inox Wind Energy Limited"/>
        <s v="Shukra Bullions Limited"/>
        <s v="SUUMAYA CORPORATION LIMITED"/>
        <s v="Shyam Metalics and Energy Limited"/>
        <s v="G R Infraprojects Limited"/>
        <s v="Paras Defence and Space Technologies Limited"/>
        <s v="Tega Industries Limited"/>
        <s v="Suryoday Small Finance Bank Limited"/>
        <s v="Data Patterns (India) Limited"/>
        <s v="Suvidhaa Infoserve Limited"/>
        <s v="BARBEQUE-NATION HOSPITALITY LIMITED"/>
        <s v="Jyothi Infraventures Ltd."/>
        <s v="Rajeshwari Cans Limited"/>
        <s v="Jetmall Spices and Masala Limited"/>
        <s v="Syrma SGS Technology Limited"/>
        <s v="Deep Industries Limited"/>
        <s v="KAYNES TECHNOLOGY INDIA LIMITED"/>
        <s v="Vineet Laboratories Limited"/>
        <s v="Cyient DLM Limited"/>
        <s v="R R KABEL LIMITED"/>
        <s v="Devine Impex Limited"/>
        <s v="INOX India Limited"/>
        <s v="Happy Forgings Limited"/>
        <s v="Adeshwar Meditex Limited"/>
        <s v="Times Green Energy (India) Limited"/>
        <s v="India Pesticides Limited"/>
        <s v="Focus Business Solution Limited"/>
        <s v="Azad Engineering Limited"/>
        <s v="Jyoti CNC Automation Limited"/>
        <s v="VSD Confin ltd."/>
        <s v="EXICOM TELE-SYSTEMS LIMITED"/>
        <s v="Tatva Chintan Pharma Chem Limited"/>
        <s v="Gretex Corporate Services Limited"/>
        <s v="Infosys Ltd"/>
        <s v="Exxaro Tiles Limited"/>
        <s v="Krsnaa Diagnostics Limited"/>
        <s v="Windlas Biotech Limited"/>
        <s v="Tata Elxsi Ltd"/>
        <s v="Meghmani Organics Limited"/>
        <s v="BLACK BOX LIMITED"/>
        <s v="CarTrade Tech Limited"/>
        <s v="Zensar Technologies Ltd."/>
        <s v="Wipro  Ltd."/>
        <s v="Mastek Limited"/>
        <s v="SHARPLINE BROADCAST LIMITED"/>
        <s v="Aashka Hospitals Limited"/>
        <s v="Mphasis Limited"/>
        <s v="Cyient Limited"/>
        <s v="SVA India Ltd"/>
        <s v="Sonata Software Ltd."/>
        <s v="Prevest Denpro Limited"/>
        <s v="Markolines Pavement Technologies Limited"/>
        <s v="SBL Infratech Limited"/>
        <s v="HCL Technologies Ltd"/>
        <s v="Hindustan Appliances Ltd"/>
        <s v="Shri Venkatesh Refineries Limited"/>
        <s v="BIRLASOFT LIMITED"/>
        <s v="Promax Power Limited"/>
        <s v="Samor Reality Limited"/>
        <s v="Adishakti Loha and Ispat Limited"/>
        <s v="MOSCHIP TECHNOLOGIES LIMITED"/>
        <s v="Fino Payments Bank Limited"/>
        <s v="S.J.S. Enterprises Limited"/>
        <s v="Sigachi Industries Limited"/>
        <s v="Oracle Financial Services Software Limited"/>
        <s v="Suyog Gurbaxani Funicular Ropeways Limited"/>
        <s v="Tata Consultancy Services Ltd."/>
        <s v="COFORGE LIMITED"/>
        <s v="Aurionpro Solutions Ltd."/>
        <s v="Tarsons Products Limited"/>
        <s v="Omnipotent Industries Limited"/>
        <s v="R Systems International Limited"/>
        <s v="Shree Vatsaa Finance &amp; Leasing Ltd."/>
        <s v="HI-TECH PIPES LIMITED"/>
        <s v="Tech Mahindra Limited"/>
        <s v="TANLA PLATFORMS LIMITED"/>
        <s v="Persistent Systems Limited"/>
        <s v="Zodiac Energy Limited"/>
        <s v="INTELLECT DESIGN ARENA LIMITED"/>
        <s v="Shriram Properties Limited"/>
        <s v="Shri Kalyan Holdings Ltd."/>
        <s v="MAGELLANIC CLOUD LIMITED"/>
        <s v="LTIMindtree Limited"/>
        <s v="L&amp;T Technology Services Limited"/>
        <s v="Newgen Software Technologies Limited"/>
        <s v="HP Adhesives Limited"/>
        <s v="Supriya Lifescience Limited"/>
        <s v="CLARA INDUSTRIES LIMITED"/>
        <s v="Brandbucket Media &amp; Technology Limited"/>
        <s v="Sicagen India Limited"/>
        <s v="Brand Concepts Limited"/>
        <s v="Fabino Life Sciences Limited"/>
        <s v="WONDER ELECTRICALS LIMITED"/>
        <s v="AGS TRANSACT TECHNOLOGIES LIMITED"/>
        <s v="ALKOSIGN LIMITED"/>
        <s v="KPIT Technologies Ltd"/>
        <s v="Quality RO Industries Limited"/>
        <s v="Karnimata Cold Storage Limited"/>
        <s v="DEV INFORMATION TECHNOLOGY LIMITED"/>
        <s v="Affle (India) Limited"/>
        <s v="Maruti Interior Products Limited"/>
        <s v="SoftTech Engineers Limited"/>
        <s v="Ekennis Software Service Limited"/>
        <s v="Happiest Minds Technologies Limited"/>
        <s v="Adarsh Mercantile Limited"/>
        <s v="Latent View Analytics Limited"/>
        <s v="Bhatia Colour Chem Limited"/>
        <s v="RateGain Travel Technologies Limited"/>
        <s v="Achyut Healthcare Limited"/>
        <s v="HIND COMMERCE LIMITED"/>
        <s v="Avro India Limited"/>
        <s v="Sirohia &amp; Sons Limited"/>
        <s v="Veranda Learning Solutions Limited"/>
        <s v="Mihika Industries Ltd."/>
        <s v="Abhishek Finlease limited"/>
        <s v="Hariom Pipe Industries Limited"/>
        <s v="Eighty Jewellers Limited"/>
        <s v="Shashwat Furnishing Solutions Limited"/>
        <s v="Global Longlife Hospital and Research Limited"/>
        <s v="Fone4 Communications (India) Limited"/>
        <s v="Nanavati Ventures Limited"/>
        <s v="C.E. Info Systems Limited"/>
        <s v="eMudhra Limited"/>
        <s v="Silver Touch Technologies Limited"/>
        <s v="NETWEB TECHNOLOGIES INDIA LIMITED"/>
        <s v="Tata Technologies Limited"/>
        <s v="Venus Pipes &amp; Tubes Limited"/>
        <s v="JAYATMA ENTERPRISES LIMITED"/>
        <s v="Adani Ports and Special Economic Zone Ltd"/>
        <s v="Tierra Agrotech Limited"/>
        <s v="InterGlobe Aviation Limited"/>
        <s v="JSW Infrastructure Limited"/>
        <s v="Container Corporation Of India Ltd."/>
        <s v="Fraser And Company Limited"/>
        <s v="Silver Pearl Hospitality &amp; Luxury Spaces Limited"/>
        <s v="Scarnose International Limited"/>
        <s v="Goel Food Products Limited"/>
        <s v="MODIâ€™S NAVNIRMAN LIMITED"/>
        <s v="Pearl Green Clubs and Resorts Limited"/>
        <s v="SAILANI TOURS N TRAVELS LIMITED"/>
        <s v="KESAR INDIA LIMITED"/>
        <s v="B-RIGHT REALESTATE LIMITED"/>
        <s v="JAYANT INFRATECH LIMITED"/>
        <s v="Veerkrupa Jewellers Limited"/>
        <s v="HEALTHY LIFE AGRITEC LIMITED"/>
        <s v="DDEV PLASTIKS INDUSTRIES LIMITED"/>
        <s v="GMR AIRPORTS INFRASTRUCTURE LIMITED"/>
        <s v="Olatech Solutions Limited"/>
        <s v="NATURO INDIABULL LIMITED"/>
        <s v="Rhetan TMT Limited"/>
        <s v="Integrated Capital Services Ltd"/>
        <s v="Dhampur Bio Organics Limited"/>
        <s v="DIPNA PHARMACHEM LIMITED"/>
        <s v="EP BIOCOMPOSITES LIMITED"/>
        <s v="Delhivery Limited"/>
        <s v="Virtuoso Optoelectronics Limited"/>
        <s v="SHANTIDOOT INFRA SERVICES LIMITED"/>
        <s v="Ksolves India Limited"/>
        <s v="Harsha Engineers International Limited"/>
        <s v="CONTAINE TECHNOLOGIES LIMITED"/>
        <s v="MAFIA TRENDS LIMITED"/>
        <s v="Tips Films Limited"/>
        <s v="Jyotirgamya Enterprises Limited"/>
        <s v="Trident Lifeline Limited"/>
        <s v="REETECH INTERNATIONAL CARGO AND COURIER LIMITED"/>
        <s v="Swagtam Trading &amp; Services Limited"/>
        <s v="Concord Control Systems Limited"/>
        <s v="Blue Dart Express Ltd."/>
        <s v="IGC Industries Limited"/>
        <s v="STEELMAN TELECOM LIMITED"/>
        <s v="VEDANT ASSET LIMITED"/>
        <s v="MAAGH ADVERTISING AND MARKETING SERVICES LIMITED"/>
        <s v="ELITECON INTERNATIONAL LIMITED"/>
        <s v="Great Eastern Shipping Co. Ltd."/>
        <s v="Redington Limited"/>
        <s v="Dc Infotech and Communication Limited"/>
        <s v="PACE E-COMMERCE VENTURES LIMITED"/>
        <s v="SHARANAM INFRAPROJECT AND TRADING LIMITED"/>
        <s v="Narmada Agrobase Limited"/>
        <s v="InfoBeans Technologies Limited"/>
        <s v="HINDPRAKASH INDUSTRIES LIMITED"/>
        <s v="DCX Systems Limited"/>
        <s v="DAPS ADVERTISING LIMITED"/>
        <s v="Fusion Micro Finance Limited"/>
        <s v="Firstsource Solutions Ltd."/>
        <s v="MMTC Ltd."/>
        <s v="Technopack Polymers Limited"/>
        <s v="Shipping Corporation Of India Ltd"/>
        <s v="eClerx Services Limited"/>
        <s v="Gujarat Pipavav Port Limited"/>
        <s v="Quess Corp Limited"/>
        <s v="B&amp;B Triplewall Containers Limited"/>
        <s v="TVS Supply Chain Solutions Limited"/>
        <s v="VINNY OVERSEAS LIMITED"/>
        <s v="Medico Intercontinental Limited"/>
        <s v="AMBO AGRITEC LIMITED"/>
        <s v="Sirca Paints India Limited"/>
        <s v="Dharmaj Crop Guard Limited"/>
        <s v="Sarveshwar Foods Limited"/>
        <s v="Uniparts India Limited"/>
        <s v="PNGS GARGI FASHION JEWELLERY LIMITED"/>
        <s v="Sula Vineyards Limited"/>
        <s v="Abans Holdings Limited"/>
        <s v="Sabrimala Industries India Limited"/>
        <s v="LANDMARK CARS LIMITED"/>
        <s v="Franklin Industries Limited"/>
        <s v="CMS Info Systems Limited"/>
        <s v="Elin Electronics Limited"/>
        <s v="Shashank Traders Limited"/>
        <s v="Aveer Foods Limited"/>
        <s v="Sah Polymers Limited"/>
        <s v="Rex Sealing and Packing Industries Limited"/>
        <s v="SVS VENTURES LIMITED"/>
        <s v="LOGICA INFOWAY LIMITED"/>
        <s v="Kamdhenu Ventures Limited"/>
        <s v="Transport Corporation of India Ltd"/>
        <s v="DHARNI CAPITAL SERVICES LIMITED"/>
        <s v="NEW LIGHT APPARELS LIMTED"/>
        <s v="Earthstahl &amp; Alloys Limited"/>
        <s v="Ashika Credit Capital Ltd."/>
        <s v="BODHI TREE MULTIMEDIA LIMITED"/>
        <s v="NMDC Steel Limited"/>
        <s v="INDONG TEA COMPANY LIMITED"/>
        <s v="Sealmatic India Limited"/>
        <s v="Macfos Limited"/>
        <s v="Patron Exim Limited"/>
        <s v="S.V.J.ENTERPRISES LIMITED"/>
        <s v="AMANAYA VENTURES LIMITED"/>
        <s v="RESGEN LIMITED"/>
        <s v="SHANGAR DECOR LIMITED"/>
        <s v="AIRAN LIMITED"/>
        <s v="DIVGI TORQTRANSFER SYSTEMS LIMITED"/>
        <s v="Prospect Commodities Limited"/>
        <s v="SUDARSHAN PHARMA INDUSTRIES LIMITED"/>
        <s v="Global Surfaces Limited"/>
        <s v="LABELKRAFT TECHNOLOGIES LIMITED"/>
        <s v="Bright Outdoor Media Limited"/>
        <s v="Command Polymers Limited"/>
        <s v="Dev Labtech Venture Limited"/>
        <s v="J.A. Finance Limited"/>
        <s v="Udayshivakumar infra Limited"/>
        <s v="Maiden Forgings Limited"/>
        <s v="Exhicon Events Media Solutions Limited"/>
        <s v="Avalon Technologies Limited"/>
        <s v="Sancode Technologies Limited"/>
        <s v="BEML Land Assets Limited"/>
        <s v="ROBUST HOTELS LIMITED"/>
        <s v="Retina Paints Limited"/>
        <s v="SIS LIMITED"/>
        <s v="INNOKAIZ INDIA LIMITED"/>
        <s v="Flora Corporation Limited"/>
        <s v="Atal Realtech Limited"/>
        <s v="Power &amp; Instrumentation (Gujarat) Limited"/>
        <s v="Swati Projects Limited"/>
        <s v="Pavna Industries Limited"/>
        <s v="Hemant Surgical Industries Limited"/>
        <s v="SIGMA SOLVE LIMITED"/>
        <s v="GHCL Textiles Limited"/>
        <s v="M.K.Proteins Limited"/>
        <s v="CFF FLUID CONTROL LIMITED"/>
        <s v="Comrade Appliances Limited"/>
        <s v="IKIO Lighting Limited"/>
        <s v="Sonalis Consumer Products Limited"/>
        <s v="Bizotic Commercial Limited"/>
        <s v="Asian Warehousing Limited"/>
        <s v="Cosmic CRF Limited"/>
        <s v="HMA Agro Industries Limited"/>
        <s v="URAVI T AND WEDGE LAMPS LIMITED"/>
        <s v="VEEFIN SOLUTIONS LIMITED"/>
        <s v="IDEAFORGE TECHNOLOGY LIMITED"/>
        <s v="Nesco Ltd"/>
        <s v="Machhar Industries Limited"/>
        <s v="MSTC Limited"/>
        <s v="ALPHALOGIC INDUSTRIES LIMITED"/>
        <s v="ACCELERATEBS INDIA LIMITED"/>
        <s v="Kaka Industries Limited"/>
        <s v="Allcargo Logistics Ltd"/>
        <s v="AHASOLAR TECHNOLOGIES LIMITED"/>
        <s v="Hemisphere Properties India Limited"/>
        <s v="ASARFI HOSPITAL LIMITED"/>
        <s v="VRL Logistics Limited"/>
        <s v="YATHARTH HOSPITAL &amp; TRAUMA CARE SERVICES LIMITED"/>
        <s v="Innovatus Entertainment Networks Limited"/>
        <s v="Gateway Distriparks Limited"/>
        <s v="Khazanchi Jewellers Limited"/>
        <s v="Raideep Industries Limited"/>
        <s v="KCD INDUSTRIES INDIA LIMITED"/>
        <s v="HFCL LIMITED"/>
        <s v="VL E-Governance &amp; IT Solutions Limited"/>
        <s v="Tata Communications Limited"/>
        <s v="ITI Limited (Indian Teleph.Ind.Ltd)"/>
        <s v="D.P. WIRES LIMITED"/>
        <s v="SHELTER PHARMA LIMITED"/>
        <s v="PRO CLB GLOBAL LIMITED"/>
        <s v="Pyramid Technoplast Limited"/>
        <s v="Shoora Designs Limited"/>
        <s v="Tata Teleservices (Maharashtra) Ltd."/>
        <s v="Aeroflex Industries Limited"/>
        <s v="VISHNU PRAKASH R PUNGLIA LIMITED"/>
        <s v="Shradha AI Technologies Limited"/>
        <s v="Rishabh Instruments Limited"/>
        <s v="Ratnaveer Precision Engineering Limited"/>
        <s v="Kahan Packaging Limited"/>
        <s v="Sterlite Technologies Limited."/>
        <s v="Bharti Airtel  Ltd."/>
        <s v="Meson Valves India Limited"/>
        <s v="EMS LIMITED"/>
        <s v="Samhi Hotels Limited"/>
        <s v="ZAGGLE PREPAID OCEAN SERVICES LIMITED"/>
        <s v="South West Pinnacle Exploration Limited"/>
        <s v="VODAFONE IDEA LIMITED"/>
        <s v="Sai Silks (Kalamandir) Limited"/>
        <s v="INDUS TOWERS LIMITED"/>
        <s v="Chandrima Mercantiles limited"/>
        <s v="YATRA ONLINE LIMITED"/>
        <s v="ARCL Organics Ltd"/>
        <s v="Jonjua Overseas Limited"/>
        <s v="MANOJ VAIBHAV GEMS 'N' JEWELLERS LIMITED"/>
        <s v="Gleam Fabmat Limited"/>
        <s v="ORGANIC RECYCLING SYSTEMS LIMITED"/>
        <s v="Valiant Laboratories Limited"/>
        <s v="CITY CROPS AGRO LIMITED"/>
        <s v="Sunita Tools Limited"/>
        <s v="Vivaa Tradecom Limited"/>
        <s v="Plaza Wires Limited"/>
        <s v="IRM ENERGY LIMITED"/>
        <s v="Tejas Networks Limited"/>
        <s v="Route Mobile Limited"/>
        <s v="Chandni Machines Limited"/>
        <s v="RailTel Corporation of India Limited"/>
        <s v="KK Shah Hospitals Limited"/>
        <s v="Bondada Engineering Limited"/>
        <s v="Mish Designs Limited"/>
        <s v="ESAF Small Finance Bank Ltd"/>
        <s v="Protean eGov Technologies Limited"/>
        <s v="Bharti Hexacom Limited"/>
        <s v="Kalyani Cast-Tech Limited"/>
        <s v="Arrowhead Seperation Engineering Limited"/>
        <s v="CESC Limited"/>
        <s v="Fedbank Financial Services Limited"/>
        <s v="Ion Exchange (India) Ltd"/>
        <s v="Gandhar Oil Refinery (India) Limited"/>
        <s v="Flair Writing Industries Limited"/>
        <s v="Swashthik Plascon Limited"/>
        <s v="DEEPAK CHEMTEX LIMITED"/>
        <s v="Amic Forging Limited"/>
        <s v="Bajel Projects Limited"/>
        <s v="Reliance Infrastructure Ltd"/>
        <s v="Tata Power Co. Ltd"/>
        <s v="NAVA LIMITED"/>
        <s v="Siyaram Recycling Industries Limited"/>
        <s v="Benchmark Computer Solutions Limited"/>
        <s v="Motisons Jewellers Limited"/>
        <s v="Suraj Estate Developers Limited"/>
        <s v="Muthoot Microfin Limited"/>
        <s v="Navoday Enterprises Limited"/>
        <s v="NLC India Limited"/>
        <s v="Credo Brands Marketing Limited"/>
        <s v="SHANTI SPINTEX LIMITED"/>
        <s v="RBZ Jewellers Limited"/>
        <s v="PTC India Ltd"/>
        <s v="SUNDARAM-CLAYTON LIMITED"/>
        <s v="INNOVA CAPTAB LIMITED"/>
        <s v="AIK Pipes and Polymers Limited"/>
        <s v="Manoj Ceramic Limited"/>
        <s v="Shri Balaji Valve Components Limited"/>
        <s v="DIGIDRIVE DISTRIBUTORS LIMITED"/>
        <s v="Sayaji Hotels (Indore) Limited"/>
        <s v="NTPC Limited"/>
        <s v="New Swan Multitech Limited"/>
        <s v="Shree Marutinandan Tubes Limited"/>
        <s v="Medi Assist Healthcare Services Limited"/>
        <s v="Sayaji Hotels (Pune) Limited"/>
        <s v="AA Plus Tradelink Limited"/>
        <s v="Euphoria Infotech (India) Limited"/>
        <s v="EPACK Durable Limited"/>
        <s v="Nova Agritech Limited"/>
        <s v="Brisk Technovision Limited"/>
        <s v="HARSHDEEP HORTICO LIMITED"/>
        <s v="Mayank Cattle Food Limited"/>
        <s v="BLS E-Services Limited"/>
        <s v="Gabriel Pet Straps Limited"/>
        <s v="Apeejay Surrendra Park Hotels Limited"/>
        <s v="JASCH GAUGING TECHNOLOGIES LIMITED"/>
        <s v="Signpost India Limited"/>
        <s v="Jaiprakash Power Ventures Limited"/>
        <s v="Rashi Peripherals Limited"/>
        <s v="Capital Small Finance Bank Ltd"/>
        <s v="Rudra Gas Enterprise Limited"/>
        <s v="Entero Healthcare Solutions Limited"/>
        <s v="VIBHOR STEEL TUBES LIMITED"/>
        <s v="TORRENT POWER LIMITED"/>
        <s v="GPT Healthcare Limited"/>
        <s v="POWER GRID CORPORATION OF INDIA LIMITED"/>
        <s v="Platinum Industries Limited"/>
        <s v="Mukka Proteins Limited"/>
        <s v="R K Swamy Limited"/>
        <s v="J.G.Chemicals Limited"/>
        <s v="KOURA FINE DIAMOND JEWELRY LIMITED"/>
        <s v="Gopal Snacks Limited"/>
        <s v="Pune E - Stock Broking Limited"/>
        <s v="Shipping Corporation of India Land and Assets Limited"/>
        <s v="Royal Sense Limited"/>
        <s v="Popular Vehicles and Services Limited"/>
        <s v="PlatinumOne Business Services Limited"/>
        <s v="KP GREEN ENGINEERING LIMITED"/>
        <s v="CHATHA FOODS LIMITED"/>
        <s v="Evoq Remedies Limited"/>
        <s v="Vruddhi Engineering Works Limited"/>
        <s v="SRM CONTRACTORS LIMITED"/>
        <s v="Jay Kailash Namkeen Limited"/>
        <s v="D P ABHUSHAN LIMITED"/>
        <s v="Reliance Power Limited"/>
        <s v="Greenhitech Ventures Limited"/>
        <s v="Faalcon Concepts Limited"/>
        <s v="SHIVAM CHEMICALS LIMITED"/>
        <s v="EMMFORCE AUTOTECH LIMITED"/>
        <s v="JNK India Limited"/>
        <s v="VARYAA CREATIONS LIMITED"/>
        <s v="Amkay Products Limited"/>
        <s v="Sai Swami Metals and Alloys Limited"/>
        <s v="Storage Technologies and Automation Limited"/>
        <s v="Adani Power Limited"/>
        <s v="Finelistings Technologies Limited"/>
        <s v="NHPC Limited"/>
        <s v="TGIF AGRIBUSINESS LIMITED"/>
        <s v="RattanIndia Power Limited"/>
        <s v="Aztec Fluids &amp; Machinery Limited"/>
        <s v="PIOTEX INDUSTRIES LIMITED"/>
        <s v="JSW Energy Limited"/>
        <s v="Qualitek Labs Limited"/>
        <s v="Associated Coaters Limited"/>
        <s v="Borosil Scientific Limited"/>
        <s v="ADTECH SYSTEMS LIMITED"/>
        <s v="Forbes Precision Tools and Machine Parts Limited"/>
        <s v="KRONOX LAB SCIENCES LIMITED"/>
        <s v="Magenta Lifecare Limited"/>
        <s v="SATTRIX INFORMATION SECURITY LIMITED"/>
        <s v="3C IT Solutions and Telecoms (India) Limited"/>
        <s v="Purple Finance Limited"/>
        <s v="Le Travenues Technology Limited"/>
        <s v="United Cotfab Limited"/>
        <s v="JHS SVENDGAARD RETAIL VENTURES LIMITED"/>
        <s v="DEE DEVELOPMENT ENGINEERS LIMITED"/>
        <s v="GEM Enviro Management Limited"/>
        <s v="Akme Fintrade (India) Limited"/>
        <s v="DINDIGUL FARM PRODUCT LIMITED"/>
        <s v="ICICI Prudential Mutual Fund"/>
        <s v="SJVN LIMITED"/>
        <s v="VA Tech Wabag Limited"/>
        <s v="WAAREE RENEWABLE TECHNOLOGIES LIMITED"/>
        <s v="Tide Water Oil (India) Ltd."/>
        <s v="Amrutanjan Health Care Limited"/>
        <s v="Xpro India Ltd."/>
        <s v="Hisar Metal Industries Ltd."/>
        <s v="Bharat Rasayan Limited"/>
        <s v="Adani Energy Solutions Limited"/>
        <s v="Ginni Filaments Ltd."/>
        <s v="Southern Petrochemical Industries Corporation Limited"/>
        <s v="De Nora India Limited"/>
        <s v="KAVERI TELECOM PRODUCTS LTD."/>
        <s v="Saksoft Limited"/>
        <s v="Salona Cotspin Ltd."/>
        <s v="EQUIPPP SOCIAL IMPACT TECHNOLOGIES LIMITED"/>
        <s v="The Andhra Sugars Ltd."/>
        <s v="INDIA MOTOR PARTS &amp; ACCESSORIES LTD"/>
        <s v="K.C.P. LTD"/>
        <s v="Khaitan (India) Ltd."/>
        <s v="RADAAN MEDIAWORKS (I) LIMITED"/>
        <s v="Adani Green Energy Limited"/>
        <s v="SUNDARAM BRAKE LININGS LTD"/>
        <s v="WHEELS INDIA LTD"/>
        <s v="Lambodhara Textiles Ltd."/>
        <s v="Maithan Alloys Limited"/>
        <s v="Orissa Minerals Development Company Limited"/>
        <s v="Reliance Mutual Fund-Permitted"/>
        <s v="Kotak Mahindra Mutual Fund - Permitted"/>
        <s v="Quantum Asset Management Co. Pvt. Ltd."/>
        <s v="Motilal Oswal Mutual Fund-Permitted"/>
        <s v="Madras Fertilizers Ltd"/>
        <s v="KPI Green Energy Limited"/>
        <s v="Bombay Super Hyb"/>
        <s v="GMR Power and Urban Infra Limited"/>
        <s v="IRB Infra. Trust"/>
        <s v="Jash Engineering"/>
        <s v="M B Agro Prod."/>
        <s v="NDR INVIT Trust"/>
        <s v="Oriana Power Ltd"/>
        <s v="INSOLATION ENERGY LIMITED"/>
        <s v="Spectrum Electr."/>
        <s v="INOX GREEN ENERGY SERVICES LIMITED"/>
        <s v="Thejo Engg."/>
        <s v="Vertoz Advertis."/>
      </sharedItems>
    </cacheField>
    <cacheField name="NSE Code" numFmtId="0">
      <sharedItems>
        <s v="ATUL"/>
        <s v="CENTURYTEX"/>
        <s v="BASF"/>
        <s v="AMBALALSA"/>
        <s v="ANDHRAPET"/>
        <s v="ANSALAPI"/>
        <s v="UTIQUE"/>
        <s v="ARUNAHTEL"/>
        <s v="BOMDYEING"/>
        <s v="ASIANHOTNR"/>
        <s v="CHAMBLFERT"/>
        <s v="ATVPR"/>
        <s v="SAIL"/>
        <s v="ELANTAS"/>
        <s v="EIDPARRY"/>
        <s v="GHCL"/>
        <s v="HSCL"/>
        <s v="BANCOINDIA"/>
        <s v="HINDZINC"/>
        <s v="BANARISUG"/>
        <s v="JSWSTEEL"/>
        <s v="KIRLFER"/>
        <s v="RAMCOCEM"/>
        <s v="VEDL"/>
        <s v="BEPL"/>
        <s v="BIHSPONG"/>
        <s v="BINANIIND"/>
        <s v="BIRLACABLE"/>
        <s v="GRASIM"/>
        <s v="DISAQ"/>
        <s v="QUESTCAP"/>
        <s v="BPL"/>
        <s v="OAL"/>
        <s v="CENTEXT"/>
        <s v="PIDILITIND"/>
        <s v="BIRLACORPN"/>
        <s v="PRSMJOHNSN"/>
        <s v="RAIN"/>
        <s v="DICIND"/>
        <s v="RALLIS"/>
        <s v="JKLAKSHMI"/>
        <s v="SHREECEM"/>
        <s v="DALMIASUG"/>
        <s v="SPLPETRO"/>
        <s v="ACC"/>
        <s v="AMBUJACEM"/>
        <s v="HINDALCO"/>
        <s v="MTNL"/>
        <s v="TATASTEEL"/>
        <s v="DEEPAKFERT"/>
        <s v="GNFC"/>
        <s v="GSFC"/>
        <s v="TATACHEM"/>
        <s v="KESORAMIND"/>
        <s v="DCW"/>
        <s v="DHAMPURSUG"/>
        <s v="DIAMINESQ"/>
        <s v="SRF"/>
        <s v="SARDAEN"/>
        <s v="BAYERCROP"/>
        <s v="COROMANDEL"/>
        <s v="DEEPAKNTR"/>
        <s v="PCBL"/>
        <s v="SUDARSCHEM"/>
        <s v="ESTER"/>
        <s v="FGP"/>
        <s v="PHCAP"/>
        <s v="ALKYLAMINE"/>
        <s v="COCKERILL"/>
        <s v="UFLEX"/>
        <s v="FOSECOIND"/>
        <s v="GOLDENTOBC"/>
        <s v="GANESHBE"/>
        <s v="DHANUKA"/>
        <s v="GTL"/>
        <s v="UPL"/>
        <s v="LLOYDSME"/>
        <s v="ADANIENT"/>
        <s v="GOODRICKE"/>
        <s v="GOODYEAR"/>
        <s v="GTNINDS"/>
        <s v="HINDCOPPER"/>
        <s v="GFLLIMITED"/>
        <s v="GLFL"/>
        <s v="HCL-INSYS"/>
        <s v="LINDEINDIA"/>
        <s v="NFL"/>
        <s v="PIIND"/>
        <s v="VINATIORGA"/>
        <s v="AARTIIND"/>
        <s v="HINDOILEXP"/>
        <s v="AGI"/>
        <s v="RCF"/>
        <s v="NDLVENTURE"/>
        <s v="NMDC"/>
        <s v="PRAGBOS"/>
        <s v="HLVLTD"/>
        <s v="IGPL"/>
        <s v="INDIAGLYCO"/>
        <s v="INDLEASE"/>
        <s v="MARGOFIN"/>
        <s v="INDORAMA"/>
        <s v="GUJALKALI"/>
        <s v="INDIACEM"/>
        <s v="ITHL"/>
        <s v="PRIVISCL"/>
        <s v="ATFL"/>
        <s v="JISLJALEQS"/>
        <s v="JASCH"/>
        <s v="JINDALPOLY"/>
        <s v="BALAMINES"/>
        <s v="UMANGDAIRY"/>
        <s v="JKPAPER"/>
        <s v="KAKATCEM"/>
        <s v="KSL"/>
        <s v="GMDCLTD"/>
        <s v="NATIONALUM"/>
        <s v="KGDENIM"/>
        <s v="KINETICENG"/>
        <s v="JINDALSTEL"/>
        <s v="NAVINFLUOR"/>
        <s v="JSL"/>
        <s v="ENVAIREL"/>
        <s v="ULTRACEMCO"/>
        <s v="KRIFILIND"/>
        <s v="JKCEMENT"/>
        <s v="LGBBROSLTD"/>
        <s v="SOLARINDS"/>
        <s v="JAIBALAJI"/>
        <s v="GRAVITA"/>
        <s v="MOIL"/>
        <s v="LYKALABS"/>
        <s v="ORIENTCEM"/>
        <s v="HYBRIDFIN"/>
        <s v="MAFATIND"/>
        <s v="STARCEMENT"/>
        <s v="KIOCL"/>
        <s v="GALAXYSURF"/>
        <s v="MANALIPETC"/>
        <s v="BARODARY"/>
        <s v="FINEORG"/>
        <s v="MIDINDIA"/>
        <s v="MIRCELECTR"/>
        <s v="CENTENKA"/>
        <s v="MODTHREAD"/>
        <s v="LORDSCHLO"/>
        <s v="DALBHARAT"/>
        <s v="MOREPENLAB"/>
        <s v="FLUOROCHEM"/>
        <s v="HEIDELBERG"/>
        <s v="SUMICHEM"/>
        <s v="JUBLINGREA"/>
        <s v="NAHARSPING"/>
        <s v="NAPEROL"/>
        <s v="ANURAS"/>
        <s v="LXCHEM"/>
        <s v="NIITLTD"/>
        <s v="JAYKAY"/>
        <s v="CLEAN"/>
        <s v="EPIGRAL"/>
        <s v="OILCOUNTUB"/>
        <s v="ORIENTHOT"/>
        <s v="NUVOCO"/>
        <s v="INDSUCR"/>
        <s v="PANCM"/>
        <s v="CHEMPLASTS"/>
        <s v="PILITA"/>
        <s v="PARADEEP"/>
        <s v="AETHER"/>
        <s v="PIXTRANS"/>
        <s v="ACI"/>
        <s v="FACT"/>
        <s v="PRIMESECU"/>
        <s v="ARE&amp;M"/>
        <s v="BAJAJELEC"/>
        <s v="PRUDMOULI"/>
        <s v="AMJLAND"/>
        <s v="PUNJCOMMU"/>
        <s v="RSWM"/>
        <s v="RAJSREESUG"/>
        <s v="FORCEMOT"/>
        <s v="RAMANEWS"/>
        <s v="RAMAPPR-B"/>
        <s v="RAPICUT"/>
        <s v="WELSPLSOL"/>
        <s v="RUBFILA"/>
        <s v="BATAINDIA"/>
        <s v="BLUESTARCO"/>
        <s v="EXIDEIND"/>
        <s v="ARVIND"/>
        <s v="TITAN"/>
        <s v="SKPMIL"/>
        <s v="KANSAINER"/>
        <s v="HEROMOTOCO"/>
        <s v="SPMLINFRA"/>
        <s v="KAJARIACER"/>
        <s v="SUNFLAG"/>
        <s v="WHIRLPOOL"/>
        <s v="SWARAJENG"/>
        <s v="TRENT"/>
        <s v="MRF"/>
        <s v="RAYMOND"/>
        <s v="TIRUMALCHM"/>
        <s v="SUNDRMFAST"/>
        <s v="TIMEX"/>
        <s v="TOKYOPLAST"/>
        <s v="THOMASCOOK"/>
        <s v="TPINDIA"/>
        <s v="TRANSCHEM"/>
        <s v="BHARATFORG"/>
        <s v="UTLINDS"/>
        <s v="UNIENTER"/>
        <s v="VHL"/>
        <s v="M&amp;M"/>
        <s v="WSTCSTPAPR"/>
        <s v="HOCL"/>
        <s v="MPILCORPL"/>
        <s v="PASUPTAC"/>
        <s v="KORE"/>
        <s v="BOSCHLTD"/>
        <s v="MUKANDLTD"/>
        <s v="TATAMOTORS"/>
        <s v="UCAL"/>
        <s v="HARRMALAYA"/>
        <s v="VOLTAS"/>
        <s v="AKZOINDIA"/>
        <s v="ASIANPAINT"/>
        <s v="EIHOTEL"/>
        <s v="INDHOTEL"/>
        <s v="APOLLOTYRE"/>
        <s v="CEATLTD"/>
        <s v="BALKRISIND"/>
        <s v="VTL"/>
        <s v="PHOENIXLTD"/>
        <s v="HINDMOTORS"/>
        <s v="NATIONSTD"/>
        <s v="EICHERMOT"/>
        <s v="RESPONIND"/>
        <s v="PREMIER"/>
        <s v="WESTLIFE"/>
        <s v="ZEEL"/>
        <s v="GABRIEL"/>
        <s v="IFBIND"/>
        <s v="SCHAEFFLER"/>
        <s v="VIPIND"/>
        <s v="EXCELINDUS"/>
        <s v="BERGEPAINT"/>
        <s v="GARFIBRES"/>
        <s v="SUNTECK"/>
        <s v="NOVARTIND"/>
        <s v="WELSPUNLIV"/>
        <s v="ASAHIINDIA"/>
        <s v="ANANTRAJ"/>
        <s v="HBLPOWER"/>
        <s v="MOTHERSON"/>
        <s v="NOCIL"/>
        <s v="HAVELLS"/>
        <s v="TNPETRO"/>
        <s v="ZUARIIND"/>
        <s v="SYMPHONY"/>
        <s v="TTKPRESTIG"/>
        <s v="JTEKTINDIA"/>
        <s v="ICIL"/>
        <s v="TRIDENT"/>
        <s v="ALOKINDS"/>
        <s v="SAFARI"/>
        <s v="JCHAC"/>
        <s v="GANESHHOUC"/>
        <s v="JKTYRE"/>
        <s v="RELAXO"/>
        <s v="MODIRUBBER"/>
        <s v="RAJESHEXPO"/>
        <s v="SUNRINV"/>
        <s v="JINDWORLD"/>
        <s v="VAIBHAVGBL"/>
        <s v="DSINVEST"/>
        <s v="CENTRUM"/>
        <s v="TCIFINANCE"/>
        <s v="SAREGAMA"/>
        <s v="ANTARIKSH"/>
        <s v="IITL"/>
        <s v="INDPRUD"/>
        <s v="ITDC"/>
        <s v="JAYBHCR"/>
        <s v="MAHLIFE"/>
        <s v="TVSMOTOR"/>
        <s v="TIPSINDLTD"/>
        <s v="OLECTRA"/>
        <s v="ZSWASTSA"/>
        <s v="WHBRADY"/>
        <s v="TECHNVISN"/>
        <s v="SHAILY"/>
        <s v="CERA"/>
        <s v="MARUTI"/>
        <s v="GREAVESCOT"/>
        <s v="SUPRAJIT"/>
        <s v="RKFORGE"/>
        <s v="UNOMINDA"/>
        <s v="ANANDPROJ"/>
        <s v="INDIANVSH"/>
        <s v="COASTCORP"/>
        <s v="CENTURYPLY"/>
        <s v="JBMA"/>
        <s v="ASIIL"/>
        <s v="SAGCEM"/>
        <s v="HEMACEM"/>
        <s v="DECCANCE"/>
        <s v="MANGLMCEM"/>
        <s v="NCLIND"/>
        <s v="SAURASHCEM"/>
        <s v="SHREDIGCEM"/>
        <s v="GOKEX"/>
        <s v="LERTHAI"/>
        <s v="TRIVENIGQ"/>
        <s v="NILACHAL"/>
        <s v="ANDHRAPAP"/>
        <s v="SHOPERSTOP"/>
        <s v="ORIENTPPR"/>
        <s v="CITADEL"/>
        <s v="ROLLT"/>
        <s v="SESHAPAPER"/>
        <s v="NATHIND"/>
        <s v="VAPIENTER"/>
        <s v="DCM"/>
        <s v="ZGAEKWAR"/>
        <s v="FORBESCO"/>
        <s v="HPCOTTON"/>
        <s v="UNITEDINT"/>
        <s v="JAMSHRI"/>
        <s v="KATRSPG"/>
        <s v="PVRINOX"/>
        <s v="LAKSHMIMIL"/>
        <s v="SUNTV"/>
        <s v="PENINLAND"/>
        <s v="PASUSPG"/>
        <s v="CIEINDIA"/>
        <s v="MARATHON"/>
        <s v="RAJABAH"/>
        <s v="RELCHEMQ"/>
        <s v="RUBYMILLS"/>
        <s v="SIMPLXREA"/>
        <s v="NAUKRI"/>
        <s v="VICTMILL"/>
        <s v="ZSVTRADI"/>
        <s v="ZSVARAJT"/>
        <s v="KSHITIJ"/>
        <s v="SALSAIN"/>
        <s v="SOBHA"/>
        <s v="NETWORK18"/>
        <s v="VEERENRGY"/>
        <s v="TV18BRDCST"/>
        <s v="TILAK"/>
        <s v="PAGEIND"/>
        <s v="UNIJOLL"/>
        <s v="TEAMLEASE"/>
        <s v="ELCIDIN"/>
        <s v="MEDIAONE"/>
        <s v="TCIEXP"/>
        <s v="SPICEJET"/>
        <s v="BANSWRAS"/>
        <s v="HGS"/>
        <s v="MODIPON"/>
        <s v="SHRIDINE"/>
        <s v="IBREALEST"/>
        <s v="SIYSIL"/>
        <s v="SWADPOL"/>
        <s v="SHRAJSYNQ"/>
        <s v="ZSATYASL"/>
        <s v="DLF"/>
        <s v="ELPROINTL"/>
        <s v="GEE"/>
        <s v="HIRECT"/>
        <s v="NIPPOBATRY"/>
        <s v="KPRMILL"/>
        <s v="JYOTI"/>
        <s v="JSLINDL"/>
        <s v="KAYCEEI"/>
        <s v="INDOKEM"/>
        <s v="PANAENERG"/>
        <s v="NELCO"/>
        <s v="PERMAGN"/>
        <s v="HIGHENE"/>
        <s v="STDBAT"/>
        <s v="UNIVCABLES"/>
        <s v="WSI"/>
        <s v="DLTNCBL"/>
        <s v="LAKSELEC"/>
        <s v="MODULEX"/>
        <s v="DELTAMAGNT"/>
        <s v="CONFINT"/>
        <s v="RELTD"/>
        <s v="GDTRAGN"/>
        <s v="EMPOWER"/>
        <s v="NIRLON"/>
        <s v="RIDHISYN"/>
        <s v="MAHLOG"/>
        <s v="SOFTBPO"/>
        <s v="AWFIS"/>
        <s v="DREDGECORP"/>
        <s v="KRISHNA"/>
        <s v="BFUTILITIE"/>
        <s v="UNIABEXAL"/>
        <s v="PURVA"/>
        <s v="BGWTATO"/>
        <s v="BOMBWIR"/>
        <s v="IBRIGST"/>
        <s v="INDIANHUME"/>
        <s v="INVPRECQ"/>
        <s v="VERITAS"/>
        <s v="KAIRA"/>
        <s v="ORIENTCER"/>
        <s v="BRIGADE"/>
        <s v="RATHIST"/>
        <s v="DUNCANENG"/>
        <s v="VGUARD"/>
        <s v="STOVACQ"/>
        <s v="TATAYODOGA"/>
        <s v="BAJAJ-AUTO"/>
        <s v="ZWELCAST"/>
        <s v="WMINIMT"/>
        <s v="AUTOAXLES"/>
        <s v="AUTOPRD"/>
        <s v="ACGL"/>
        <s v="SETCO"/>
        <s v="INRADIA"/>
        <s v="TALBROAUTO"/>
        <s v="ZFSTEERING"/>
        <s v="SMLISUZU"/>
        <s v="TIL"/>
        <s v="ZFCVINDIA"/>
        <s v="JAINEX"/>
        <s v="ALFREDHE"/>
        <s v="VELJAN"/>
        <s v="DYNAMATECH"/>
        <s v="GGDPROP"/>
        <s v="MHRIL"/>
        <s v="KIRLPNU"/>
        <s v="TULIVE"/>
        <s v="KPT"/>
        <s v="LXMIATO"/>
        <s v="MANUGRAPH"/>
        <s v="HARSHILAGR"/>
        <s v="SEAMECLTD"/>
        <s v="SPRIGHT"/>
        <s v="INTEGRAEN"/>
        <s v="SEMAC"/>
        <s v="DREAMFOLKS"/>
        <s v="WENDT"/>
        <s v="PSITINFRA"/>
        <s v="SINDUVA"/>
        <s v="GODREJPROP"/>
        <s v="SHYMINV"/>
        <s v="RPSGVENT"/>
        <s v="UDS"/>
        <s v="DOLATALGO"/>
        <s v="DBCORP"/>
        <s v="JUBLFOOD"/>
        <s v="RIIL"/>
        <s v="SVPGLOB"/>
        <s v="TEXINFRA"/>
        <s v="SKYLMILAR"/>
        <s v="BIMETAL"/>
        <s v="TAPARIA"/>
        <s v="BHARATGEAR"/>
        <s v="BRADYM"/>
        <s v="LATIMMETAL"/>
        <s v="DBREALTY"/>
        <s v="DECANBRG"/>
        <s v="GRAUWEIL"/>
        <s v="HIMTEK"/>
        <s v="OBEROIRLTY"/>
        <s v="HERCULES"/>
        <s v="AQFINTECH"/>
        <s v="PRESTIGE"/>
        <s v="SINGER"/>
        <s v="INTLCOMBQ"/>
        <s v="FMGOETZE"/>
        <s v="JOSTS"/>
        <s v="PGEL"/>
        <s v="MPCOSEMB"/>
        <s v="RANEHOLDIN"/>
        <s v="ROLCOEN"/>
        <s v="SNL"/>
        <s v="JAIPAN"/>
        <s v="MANCREDIT"/>
        <s v="TRF"/>
        <s v="WPIL"/>
        <s v="RTNINDIA"/>
        <s v="HINDHARD"/>
        <s v="TRITONV"/>
        <s v="SUDAI"/>
        <s v="PRAKASH"/>
        <s v="HVL"/>
        <s v="ZPRBHSTE"/>
        <s v="NAVKARCORP"/>
        <s v="VMART"/>
        <s v="LAKPRE"/>
        <s v="STANROS"/>
        <s v="GENESYS"/>
        <s v="ALLSEC"/>
        <s v="PANKAJPIYUS"/>
        <s v="PARNAXLAB"/>
        <s v="GOURMET"/>
        <s v="VIVIDHA"/>
        <s v="ISHWATR"/>
        <s v="TERRAFORM"/>
        <s v="APIS"/>
        <s v="TINNATFL"/>
        <s v="EMERGENT"/>
        <s v="KANANIIND"/>
        <s v="GCKL"/>
        <s v="YSL"/>
        <s v="ARIHANTSUP"/>
        <s v="PQIF"/>
        <s v="BLISSGVS"/>
        <s v="STYRENIX"/>
        <s v="ALEMBICLTD"/>
        <s v="AMNPLST"/>
        <s v="ANUHPHR"/>
        <s v="MODISONLTD"/>
        <s v="SHARDAMOTR"/>
        <s v="CHEMOPH"/>
        <s v="HEUBACHIND"/>
        <s v="JUSTDIAL"/>
        <s v="ABFRL"/>
        <s v="DMCC"/>
        <s v="FERMENTA"/>
        <s v="GOCLCORP"/>
        <s v="JAYCH"/>
        <s v="KANORICHEM"/>
        <s v="KELENRG"/>
        <s v="KMEW"/>
        <s v="NITTAGELA"/>
        <s v="MPAGI"/>
        <s v="OCCL"/>
        <s v="WONDERLA"/>
        <s v="AMAL"/>
        <s v="POLYCHEM"/>
        <s v="PUNJABCHEM"/>
        <s v="GUJCMDS"/>
        <s v="SADHNANIQ"/>
        <s v="PDSL"/>
        <s v="TECILCHEM"/>
        <s v="ULTRAMAR"/>
        <s v="TRANSPEK"/>
        <s v="UNICHEMLAB"/>
        <s v="MYSORPETRO"/>
        <s v="MINDACORP"/>
        <s v="TUTIALKA"/>
        <s v="GREENLAM"/>
        <s v="PRIMO"/>
        <s v="TANFACIND"/>
        <s v="GUJPETR"/>
        <s v="GUJTHEM"/>
        <s v="SNOWMAN"/>
        <s v="MAKERSL"/>
        <s v="CONTCHM"/>
        <s v="CROMPTON"/>
        <s v="IGLFXPL-B"/>
        <s v="RAJSPTR"/>
        <s v="APTPACK"/>
        <s v="BLUECHIPT"/>
        <s v="JAGAJITIND"/>
        <s v="KESARENT"/>
        <s v="TI"/>
        <s v="EMERALL"/>
        <s v="RAVALSUGAR"/>
        <s v="SAKHTISUG"/>
        <s v="WALCHANNAG"/>
        <s v="IFBAGRO"/>
        <s v="KFBL"/>
        <s v="CAPRO"/>
        <s v="GMBREW"/>
        <s v="RANASUG"/>
        <s v="PICCASUG"/>
        <s v="SDBL"/>
        <s v="CJGEL"/>
        <s v="ASALCBR"/>
        <s v="ACLGATI"/>
        <s v="CORAGRO"/>
        <s v="FOODSIN"/>
        <s v="IVP"/>
        <s v="KLRFM"/>
        <s v="OLYOI"/>
        <s v="MLKFOOD"/>
        <s v="POLSON"/>
        <s v="SAGRSOY-B"/>
        <s v="BLS"/>
        <s v="ORIBEVER"/>
        <s v="ENDURANCE"/>
        <s v="TTKHLTCARE"/>
        <s v="TGVSL"/>
        <s v="LIMECHM"/>
        <s v="KANPRPLA"/>
        <s v="TAINWALCHM"/>
        <s v="JAGSNPHARM"/>
        <s v="KHAICHEM"/>
        <s v="UNTTEMI"/>
        <s v="NOL"/>
        <s v="SFL"/>
        <s v="WIREFABR"/>
        <s v="ANSALHSG"/>
        <s v="COMPUPN"/>
        <s v="MCCHRLS-B"/>
        <s v="ADDIND"/>
        <s v="PIONRINV"/>
        <s v="ASHNOOR"/>
        <s v="UNITECH"/>
        <s v="AVL"/>
        <s v="FIBERWEB"/>
        <s v="LKPFIN"/>
        <s v="MNPLFIN"/>
        <s v="BAJAJST"/>
        <s v="KIDUJA"/>
        <s v="KEYCORP"/>
        <s v="SHIKHARLETR"/>
        <s v="GUJHOTE"/>
        <s v="RAJATH"/>
        <s v="RASRESOR"/>
        <s v="PARMCOS-B"/>
        <s v="JINDHOT"/>
        <s v="JPTRLES"/>
        <s v="SIMMOND"/>
        <s v="BNALTD"/>
        <s v="HAWKINCOOK"/>
        <s v="WARRENTEA"/>
        <s v="COCHMAL"/>
        <s v="BESTEAST"/>
        <s v="NEAGI"/>
        <s v="ISTLTD"/>
        <s v="COSMOFIRST"/>
        <s v="PRICOLLTD"/>
        <s v="NITINCAST"/>
        <s v="SMIFS"/>
        <s v="EVERESTIND"/>
        <s v="IRONWOOD"/>
        <s v="MSRINDIA"/>
        <s v="AYMSYNTEX"/>
        <s v="PANCARBON"/>
        <s v="FINKURVE"/>
        <s v="HBLEAS"/>
        <s v="SHRICON"/>
        <s v="STRLGUA"/>
        <s v="SULABEN"/>
        <s v="TCC"/>
        <s v="NAVNETEDUL"/>
        <s v="KEDIACN"/>
        <s v="SATRAPROP"/>
        <s v="ATL"/>
        <s v="AUSOMENT"/>
        <s v="THAKRAL"/>
        <s v="LANCER"/>
        <s v="VJTFEDU"/>
        <s v="VOLLF"/>
        <s v="NETLINK"/>
        <s v="KRYSTAL"/>
        <s v="LANCORHOL"/>
        <s v="INDINFO"/>
        <s v="BANASFN"/>
        <s v="VISAKAIND"/>
        <s v="HATHWAYB"/>
        <s v="GUFICBIO"/>
        <s v="TREL"/>
        <s v="GRPLTD"/>
        <s v="INDAG"/>
        <s v="MMRUBBR-B"/>
        <s v="SICALLOG"/>
        <s v="TVSSRICHAK"/>
        <s v="SEL"/>
        <s v="BENARAS"/>
        <s v="BHAGWOX"/>
        <s v="BOMOXY-B1"/>
        <s v="SAKUMA"/>
        <s v="DMART"/>
        <s v="CAPRIHANS"/>
        <s v="DIXON"/>
        <s v="TIINDIA"/>
        <s v="EMPIND"/>
        <s v="GRAVISSHO"/>
        <s v="AMBER"/>
        <s v="GARWAMAR"/>
        <s v="GOACARBON"/>
        <s v="HARDCAS"/>
        <s v="LEMONTREE"/>
        <s v="HINDCOMPOS"/>
        <s v="ZHINDHSG"/>
        <s v="HIL"/>
        <s v="INDIANCARD"/>
        <s v="INTLCONV"/>
        <s v="JAYSREETEA"/>
        <s v="KOTIC"/>
        <s v="MODRNSH"/>
        <s v="STCINDIA"/>
        <s v="HUHTAMAKI"/>
        <s v="PREMSYN"/>
        <s v="RJSHAH"/>
        <s v="SHAHCON"/>
        <s v="SHALPAINTS"/>
        <s v="SINNAR"/>
        <s v="HINDMILL"/>
        <s v="ZSOUTGAS"/>
        <s v="ESSARSHPNG"/>
        <s v="ORIENTELEC"/>
        <s v="THACKER"/>
        <s v="UPHOT"/>
        <s v="VARROC"/>
        <s v="SWASTIVI"/>
        <s v="MADHUSE"/>
        <s v="YAMNINV"/>
        <s v="PREMCAP"/>
        <s v="VIKASLIFE"/>
        <s v="JINDRILL"/>
        <s v="TRACXN"/>
        <s v="EKI"/>
        <s v="SAKTHIFIN"/>
        <s v="EASYFIN"/>
        <s v="SATINDLTD"/>
        <s v="JMDVL"/>
        <s v="TVOLCON"/>
        <s v="SHIVATEX"/>
        <s v="VBDESAI"/>
        <s v="QUADRANT"/>
        <s v="1STCUS"/>
        <s v="KAMANWALA"/>
        <s v="WSFX"/>
        <s v="ANJANIFOODS"/>
        <s v="PARSHWANA"/>
        <s v="TAALENT"/>
        <s v="NEWINFRA"/>
        <s v="RADIANTCMS"/>
        <s v="CHALET"/>
        <s v="MUNCAPM"/>
        <s v="IVC"/>
        <s v="ARVINDFASN"/>
        <s v="INDIAMART"/>
        <s v="BOMTALKIES"/>
        <s v="SAGARSYST"/>
        <s v="IDINFO"/>
        <s v="VLSFINANCE"/>
        <s v="INDCEMCAP"/>
        <s v="ADMANUM"/>
        <s v="MEHIF"/>
        <s v="INTRGLB"/>
        <s v="MCLTD"/>
        <s v="SHRISTI"/>
        <s v="CREST"/>
        <s v="VAKRANGEE"/>
        <s v="GUJCRED"/>
        <s v="SYLPH"/>
        <s v="DHARFIN"/>
        <s v="ALEXANDER"/>
        <s v="INDBANK"/>
        <s v="SHRYDUS"/>
        <s v="BHARAT"/>
        <s v="CAPTRUST"/>
        <s v="USHAKIRA"/>
        <s v="VIVOBIOT"/>
        <s v="VEERHEALTH"/>
        <s v="PANINDIAC"/>
        <s v="SAHARAHOUS"/>
        <s v="NDASEC"/>
        <s v="GSBFIN"/>
        <s v="MORARKFI"/>
        <s v="MONARCH"/>
        <s v="VINCOFE"/>
        <s v="TIMESGTY"/>
        <s v="RITCO"/>
        <s v="SODFC"/>
        <s v="SHREYAS"/>
        <s v="AVONMORE"/>
        <s v="LIBORDFIN"/>
        <s v="KERNEX"/>
        <s v="ARIHANTCAP"/>
        <s v="ISLCONSUL"/>
        <s v="DCMFINSERV"/>
        <s v="RRFIN"/>
        <s v="IMCAP"/>
        <s v="SAMBHAAV"/>
        <s v="DUGARHOU"/>
        <s v="OMEGAIN"/>
        <s v="SUGALDAM"/>
        <s v="NETTLINX"/>
        <s v="BGIL"/>
        <s v="SCANSTL"/>
        <s v="GICHSGFIN"/>
        <s v="MATHEWE"/>
        <s v="AJCON"/>
        <s v="CHRTEDCA"/>
        <s v="STANCAP"/>
        <s v="YOGI"/>
        <s v="CUBIFIN"/>
        <s v="RELICTEC"/>
        <s v="NIMBSPROJ"/>
        <s v="BAIDFIN"/>
        <s v="VIPULLTD"/>
        <s v="KZLFIN"/>
        <s v="PASUFIN"/>
        <s v="MEHSECU"/>
        <s v="MEHTAHG"/>
        <s v="UGROCAP"/>
        <s v="SAHLIBHFI"/>
        <s v="ABIRAFN"/>
        <s v="MANSIFIN"/>
        <s v="SEVENHILL"/>
        <s v="AASTAFIN"/>
        <s v="MUTHOOTCAP"/>
        <s v="MASTERTR"/>
        <s v="REMLIFE"/>
        <s v="EFCIL"/>
        <s v="AVG"/>
        <s v="CNIRESLTD"/>
        <s v="ZSARACOM"/>
        <s v="WINROC"/>
        <s v="PTL"/>
        <s v="OSWALAGRO"/>
        <s v="KAPILCO"/>
        <s v="ALANKIT"/>
        <s v="ROYALIND"/>
        <s v="LUHARUKA"/>
        <s v="JETAIRWAYS"/>
        <s v="RIDDHI"/>
        <s v="KOTHARIPRO"/>
        <s v="TIGERLOGS"/>
        <s v="MRUTR"/>
        <s v="DECNGOLD"/>
        <s v="IRCTC"/>
        <s v="ANSHNCO"/>
        <s v="CRANESSOFT"/>
        <s v="MAJESAUT"/>
        <s v="EY"/>
        <s v="TRIPR"/>
        <s v="NIDHGRN"/>
        <s v="VARIMAN"/>
        <s v="ATLANTAA"/>
        <s v="DJML"/>
        <s v="KAJALSY"/>
        <s v="AVANCE"/>
        <s v="DRONACHRYA"/>
        <s v="NSL"/>
        <s v="SECURKLOUD"/>
        <s v="ABANSENT"/>
        <s v="VAMA"/>
        <s v="TARC"/>
        <s v="MERCANTILE"/>
        <s v="UMAEXPORTS"/>
        <s v="PRISMMEDI"/>
        <s v="SPVGLOBAL"/>
        <s v="GLOBALVECT"/>
        <s v="INDIGOPNTS"/>
        <s v="RUCHINFRA"/>
        <s v="ASHCAP"/>
        <s v="SVARTCORP"/>
        <s v="CFEL"/>
        <s v="MMWL"/>
        <s v="SEACOAST"/>
        <s v="SIGIND"/>
        <s v="ZSPEEDCO"/>
        <s v="BHAGYANGR"/>
        <s v="SHANTAI"/>
        <s v="NECCLTD"/>
        <s v="MAXIMUS"/>
        <s v="EASEMYTRIP"/>
        <s v="IEL"/>
        <s v="IIRM"/>
        <s v="YASTF"/>
        <s v="ZSHERAPR"/>
        <s v="NOIDATOLL"/>
        <s v="CRESSAN"/>
        <s v="STARTECK"/>
        <s v="SHARDUL"/>
        <s v="SERA"/>
        <s v="BENGALS"/>
        <s v="UNIWSEC"/>
        <s v="CORALFINAC"/>
        <s v="DHRUV"/>
        <s v="DHOOTIN"/>
        <s v="METROGLOBL"/>
        <s v="APOLLOFI"/>
        <s v="TECHKGREEN"/>
        <s v="SRSOLTD"/>
        <s v="DEVITRD"/>
        <s v="SHRJAGP"/>
        <s v="CRAFTSMAN"/>
        <s v="PARSHVA"/>
        <s v="LLOYDSENT"/>
        <s v="BETXIND"/>
        <s v="VIRYA"/>
        <s v="STL"/>
        <s v="OASISEC"/>
        <s v="GARNETINT"/>
        <s v="SHALPRO"/>
        <s v="MEENST"/>
        <s v="GLOBOFFS"/>
        <s v="MOTOGENFIN"/>
        <s v="DONEAR"/>
        <s v="SUPER"/>
        <s v="SEQUENT"/>
        <s v="LAHOTIOV"/>
        <s v="ZENITHEXPO"/>
        <s v="KOHINOOR"/>
        <s v="PATINTLOG"/>
        <s v="KALYANKJIL"/>
        <s v="ZODJRDMKJ"/>
        <s v="BNHOLDINGS"/>
        <s v="MEP"/>
        <s v="MANBRO"/>
        <s v="KEYFINSERV"/>
        <s v="NAZARA"/>
        <s v="ANIKINDS"/>
        <s v="HARIAEXPO"/>
        <s v="BHANDARI"/>
        <s v="RLF"/>
        <s v="AAATECH"/>
        <s v="ORBTEXP"/>
        <s v="SAVERA"/>
        <s v="CHROME"/>
        <s v="TCIIND"/>
        <s v="LODHA"/>
        <s v="ZHINUDYP"/>
        <s v="REMIEDEL"/>
        <s v="GSAUTO"/>
        <s v="TRANSFRE"/>
        <s v="SBCL"/>
        <s v="GANDHITUBE"/>
        <s v="AMFORG"/>
        <s v="ORICONENT"/>
        <s v="ACROW"/>
        <s v="STLSTRINF"/>
        <s v="PENIND"/>
        <s v="JYOTISTRUC"/>
        <s v="JAYUSH"/>
        <s v="SSWL"/>
        <s v="MANINDS"/>
        <s v="MDRNSTL"/>
        <s v="SYNTHFO"/>
        <s v="GOLKONDA"/>
        <s v="GUJTLRM"/>
        <s v="AJMERA"/>
        <s v="COCHINM"/>
        <s v="ISWL"/>
        <s v="KVFORGE"/>
        <s v="SONACOMS"/>
        <s v="ARSHIYA"/>
        <s v="VALLABHSQ"/>
        <s v="ASHIS"/>
        <s v="PMTELELIN"/>
        <s v="SMFIL"/>
        <s v="BLOIN"/>
        <s v="MAITRI"/>
        <s v="SHAHALLOYS"/>
        <s v="ELANGO"/>
        <s v="KANSHST"/>
        <s v="MAHALXSE"/>
        <s v="SIMPLEXCAS"/>
        <s v="SSWRL"/>
        <s v="SIZEMASTER"/>
        <s v="SOUTHMG"/>
        <s v="BAROEXT"/>
        <s v="GUJCONT"/>
        <s v="KALYANIFRG"/>
        <s v="PANCHMAHQ"/>
        <s v="ADITYA"/>
        <s v="SRIND"/>
        <s v="STEELCAS"/>
        <s v="PITTIENG"/>
        <s v="GLITTEKG"/>
        <s v="PRADPME"/>
        <s v="GNRL"/>
        <s v="TNSTLTU"/>
        <s v="SHRDAIS"/>
        <s v="MAHASTEEL"/>
        <s v="NOVIS"/>
        <s v="STERPOW"/>
        <s v="FFPL"/>
        <s v="ZOMATO"/>
        <s v="TULSYAN"/>
        <s v="AXELPOLY"/>
        <s v="ROLEXRINGS"/>
        <s v="SPECTRA"/>
        <s v="KAJARIR"/>
        <s v="SOLIDSTON"/>
        <s v="SHILGRAVQ"/>
        <s v="WHITEORG"/>
        <s v="MFSINTRCRP"/>
        <s v="AROGRANITE"/>
        <s v="RUDRAECO"/>
        <s v="RAJKSYN"/>
        <s v="DEEPAKSP"/>
        <s v="LOYALTEX"/>
        <s v="HIMATSEIDE"/>
        <s v="BSL"/>
        <s v="ZMILGFIN"/>
        <s v="PBMPOLY"/>
        <s v="ADINATH"/>
        <s v="KONARKSY"/>
        <s v="SURYALA"/>
        <s v="SURYVANSP"/>
        <s v="TTL"/>
        <s v="DEVYANI"/>
        <s v="INDIANACRY"/>
        <s v="GANECOS"/>
        <s v="CEETAIN"/>
        <s v="VARDMNPOLY"/>
        <s v="BLACKROSE"/>
        <s v="STCORP"/>
        <s v="SANCTRN"/>
        <s v="SANGAMIND"/>
        <s v="LIKHAMI"/>
        <s v="MKVENTURES"/>
        <s v="KUSHIND"/>
        <s v="SRECR"/>
        <s v="SURBHIN"/>
        <s v="SEASONST"/>
        <s v="ZENIFIB"/>
        <s v="BHILSPIN"/>
        <s v="AARVEEDEN"/>
        <s v="SANTETX"/>
        <s v="ASHIMASYN"/>
        <s v="PIONEEREMB"/>
        <s v="VIPPYSP"/>
        <s v="JAIHINDS"/>
        <s v="RAGHUSYN"/>
        <s v="JATTAINDUS"/>
        <s v="KAMADGIRI"/>
        <s v="OMNITEX"/>
        <s v="PATSPINLTD"/>
        <s v="ONEGLOBAL"/>
        <s v="NEOINFRA"/>
        <s v="GENESIS"/>
        <s v="WINSOME"/>
        <s v="PREMIERPOL"/>
        <s v="EVERFIN"/>
        <s v="KRRAIL"/>
        <s v="GOYALALUM"/>
        <s v="GUJCOTEX"/>
        <s v="DYNAVSN"/>
        <s v="ECOHOTELS"/>
        <s v="SARUPINDUS"/>
        <s v="MANORG"/>
        <s v="HINDADH"/>
        <s v="SRIKPRIND"/>
        <s v="JYOTIRES"/>
        <s v="MHLXMIRU"/>
        <s v="SOUTLAT"/>
        <s v="OBCL"/>
        <s v="WINSOMTX"/>
        <s v="MODINSU"/>
        <s v="REGENCERAM"/>
        <s v="SANSERA"/>
        <s v="MURUDCERA"/>
        <s v="SAINTGOBAIN"/>
        <s v="NYKAA"/>
        <s v="MADHUDIN"/>
        <s v="RESTILE"/>
        <s v="MADHAV"/>
        <s v="IFL"/>
        <s v="HINDNATGLS"/>
        <s v="HALDYNGL"/>
        <s v="DUROPLY"/>
        <s v="SHREYANIND"/>
        <s v="AGIOPAPER"/>
        <s v="STARPAPER"/>
        <s v="PAKKA"/>
        <s v="TAHMARENT"/>
        <s v="SOMAPPR"/>
        <s v="ARROWGREEN"/>
        <s v="VISHNU"/>
        <s v="JUMBO"/>
        <s v="NRAIL"/>
        <s v="3PLAND"/>
        <s v="SANPA"/>
        <s v="VENTURA"/>
        <s v="SHKARTP"/>
        <s v="STHINPA"/>
        <s v="FAMILYCARE"/>
        <s v="VINDHYATEL"/>
        <s v="RIR"/>
        <s v="ADORWELD"/>
        <s v="GENPHARMA"/>
        <s v="SALZERELEC"/>
        <s v="JETKINGQ"/>
        <s v="APLAB"/>
        <s v="PCS"/>
        <s v="SAPPHIRE"/>
        <s v="SPELS"/>
        <s v="SUBROS"/>
        <s v="EDVENSWA"/>
        <s v="KTIL"/>
        <s v="GOCOLORS"/>
        <s v="SWITCHTE"/>
        <s v="LUMAXIND"/>
        <s v="DIGISPICE"/>
        <s v="CALCOM"/>
        <s v="KEMP"/>
        <s v="BCCFUBA"/>
        <s v="PRECISIO"/>
        <s v="FINELINE"/>
        <s v="METROBRAND"/>
        <s v="S&amp;SPOWER"/>
        <s v="GUJARATPOLY"/>
        <s v="GIPCL"/>
        <s v="MEDPLUS"/>
        <s v="MINDTECK"/>
        <s v="MANYAVAR"/>
        <s v="ACIIN"/>
        <s v="CRAVATEX"/>
        <s v="INCAP"/>
        <s v="GUJINTRX"/>
        <s v="IGARASHI"/>
        <s v="EUREKAFORBE"/>
        <s v="VINTRON"/>
        <s v="PANELEC"/>
        <s v="VXLINSTR"/>
        <s v="CHLOGIST"/>
        <s v="LEENEE"/>
        <s v="PATELSAI"/>
        <s v="BUTTERFLY"/>
        <s v="INTEGSW"/>
        <s v="ATHENAGLO"/>
        <s v="NARMP"/>
        <s v="DUTRON"/>
        <s v="RSSOFTWARE"/>
        <s v="MAGNAELQ"/>
        <s v="MARSONS"/>
        <s v="ELNET"/>
        <s v="ACCEL"/>
        <s v="WEBELSOLAR"/>
        <s v="ROTO"/>
        <s v="MSUMI"/>
        <s v="DHINDIA"/>
        <s v="RAJRATAN"/>
        <s v="SURANAT&amp;P"/>
        <s v="ONWARDTEC"/>
        <s v="CENTUM"/>
        <s v="ALFATRAN"/>
        <s v="NHCFOODS"/>
        <s v="PVP"/>
        <s v="TRIGYN"/>
        <s v="CAMPUS"/>
        <s v="KEERTHI"/>
        <s v="BHEEMACEM"/>
        <s v="SURAJ"/>
        <s v="APCL"/>
        <s v="MODINATUR"/>
        <s v="PRSNTIN"/>
        <s v="SHAHFOOD"/>
        <s v="ZKHANDEN"/>
        <s v="TASTYBITE"/>
        <s v="RITESHIN"/>
        <s v="AVTNPL"/>
        <s v="ETHOSLTD"/>
        <s v="NAHARINDUS"/>
        <s v="VADILENT"/>
        <s v="VADILALIND"/>
        <s v="ASHAI"/>
        <s v="ADFFOODS"/>
        <s v="RGRL"/>
        <s v="WILLIMFI"/>
        <s v="AJANTSOY"/>
        <s v="WILLAMAGOR"/>
        <s v="CHOWGULSTM"/>
        <s v="SIEL"/>
        <s v="SPTRSHI"/>
        <s v="PRIMAGR"/>
        <s v="TARAI"/>
        <s v="MODAIRY"/>
        <s v="BAMBINO"/>
        <s v="PRIMIND"/>
        <s v="VIKASWSP"/>
        <s v="VSFPROJ"/>
        <s v="POONADAL"/>
        <s v="TRANSFD"/>
        <s v="VMS"/>
        <s v="SHINDL"/>
        <s v="YAARI"/>
        <s v="KMGMILK"/>
        <s v="KSE"/>
        <s v="PIONAGR"/>
        <s v="NARBADA"/>
        <s v="VIRATCRA"/>
        <s v="IBINFO"/>
        <s v="AMBARPIL"/>
        <s v="CHORDIA"/>
        <s v="CIANAGRO"/>
        <s v="LYKISLTD"/>
        <s v="NKIND"/>
        <s v="BKV"/>
        <s v="NCCBLUE"/>
        <s v="NORBTEAEXP"/>
        <s v="SHARIKA"/>
        <s v="EMIL"/>
        <s v="SIMRAN"/>
        <s v="HINDUST"/>
        <s v="RUSTOMJEE"/>
        <s v="KELLTONTEC"/>
        <s v="SURFI"/>
        <s v="INTEGFD"/>
        <s v="MAHAANF"/>
        <s v="RICOAUTO"/>
        <s v="OMAXAUTO"/>
        <s v="MUNJALSHOW"/>
        <s v="JAMNAAUTO"/>
        <s v="SENCO"/>
        <s v="NIITMTS"/>
        <s v="MUNJALAU"/>
        <s v="JAYBARMARU"/>
        <s v="RACLGEAR"/>
        <s v="SAMKRG"/>
        <s v="ECSTSTL"/>
        <s v="EASTWEST"/>
        <s v="REDTAPE"/>
        <s v="SIGNATURE"/>
        <s v="ASAL"/>
        <s v="ARCEEIN"/>
        <s v="EXCEL"/>
        <s v="RAMAVISION"/>
        <s v="AMRAPLIN"/>
        <s v="SIBARAUT"/>
        <s v="LELAVOIR"/>
        <s v="GROWINGTON"/>
        <s v="MEHAI"/>
        <s v="TITANIN"/>
        <s v="EUROTEXIND"/>
        <s v="MAXESTATES"/>
        <s v="MARALOVER"/>
        <s v="SOMATEX"/>
        <s v="SOURCEIND"/>
        <s v="ADVLIFE"/>
        <s v="KAKTEX"/>
        <s v="OCTAVE"/>
        <s v="CELLO"/>
        <s v="HISARSP"/>
        <s v="ASKAUTOLTD"/>
        <s v="PASARI"/>
        <s v="AMARJOTHI"/>
        <s v="OLYMPTX"/>
        <s v="NAGREEKEXP"/>
        <s v="SUDTIND-B"/>
        <s v="SBFL"/>
        <s v="GEMSPIN"/>
        <s v="EUREKAI"/>
        <s v="ADITYASP"/>
        <s v="PRIMEURB"/>
        <s v="DHANFAB"/>
        <s v="SLSTLQ"/>
        <s v="ZODIACLOTH"/>
        <s v="SRMCL"/>
        <s v="SUPERSPIN"/>
        <s v="SILINV"/>
        <s v="SURYALAXMI"/>
        <s v="SAMTEX"/>
        <s v="DHANROTO"/>
        <s v="DAMODARIND"/>
        <s v="SANBLUE"/>
        <s v="UNIROYAL"/>
        <s v="TATIAGLOB"/>
        <s v="BALGOPAL"/>
        <s v="SRINACHA"/>
        <s v="KDL"/>
        <s v="SAMBANDAM"/>
        <s v="KANDAGIRI"/>
        <s v="MKPMOB"/>
        <s v="PARASPETRO"/>
        <s v="KITEX"/>
        <s v="CRANEX"/>
        <s v="BATLIBOI"/>
        <s v="AUSTENG"/>
        <s v="UNIDT"/>
        <s v="FLUIDOM"/>
        <s v="EMAINDIA"/>
        <s v="WINDMACHIN"/>
        <s v="SHANTIGEAR"/>
        <s v="MIVENMACH"/>
        <s v="HONDAPOWER"/>
        <s v="HITECHGEAR"/>
        <s v="JUNIPER"/>
        <s v="UVDRHOR"/>
        <s v="KLBRENG-B"/>
        <s v="BIRLAPREC"/>
        <s v="YUKEN"/>
        <s v="TBOTEK"/>
        <s v="VOITHPAPR"/>
        <s v="SOLIMAC"/>
        <s v="TATAMTRDVR"/>
        <s v="INDSILHYD"/>
        <s v="TMTIND-B1"/>
        <s v="ITL"/>
        <s v="FRONTSP"/>
        <s v="SHRIPISTON"/>
        <s v="RASANDIK"/>
        <s v="YOGISUNG"/>
        <s v="HLEGLAS"/>
        <s v="GUJAPOLLO"/>
        <s v="TANAA"/>
        <s v="CONART"/>
        <s v="WEWIN"/>
        <s v="SHIVAGR"/>
        <s v="MMFL"/>
        <s v="MAYURUNIQ"/>
        <s v="CENLUB"/>
        <s v="RAJOOENG"/>
        <s v="DOLPHIN"/>
        <s v="VJLAXMIE"/>
        <s v="AHMDSTE"/>
        <s v="GODREJIND"/>
        <s v="RAMRAT"/>
        <s v="JAYNECOIND"/>
        <s v="SWANENERGY"/>
        <s v="PHOENXINTL"/>
        <s v="CANDOUR"/>
        <s v="TIGLOB"/>
        <s v="CONTROLPR"/>
        <s v="BEMHY"/>
        <s v="ANSALBU"/>
        <s v="WEIZMANIND"/>
        <s v="BNRSEC"/>
        <s v="RISHITECH"/>
        <s v="SINCLAIR"/>
        <s v="DCMSHRIRAM"/>
        <s v="ZBINTXPP"/>
        <s v="JJFINCOR"/>
        <s v="COSMOFE"/>
        <s v="CROPSTER"/>
        <s v="FUTURSEC"/>
        <s v="MINALIND"/>
        <s v="ADORMUL"/>
        <s v="EIHAHOTELS"/>
        <s v="MEDICAPQ"/>
        <s v="CONSTRONIC"/>
        <s v="MORGANITE"/>
        <s v="BAPACK"/>
        <s v="ABAN"/>
        <s v="KOKUYOCMLN"/>
        <s v="SRMENERGY"/>
        <s v="BHARATSE"/>
        <s v="CONTPTR"/>
        <s v="NBFOOT"/>
        <s v="MACPLASQ"/>
        <s v="PEARLPOLY"/>
        <s v="VENKEYS"/>
        <s v="ADVANIHOTR"/>
        <s v="GVFILM"/>
        <s v="SUPERHOUSE"/>
        <s v="BOMBCYC"/>
        <s v="TCPLPACK"/>
        <s v="SHRIGANG"/>
        <s v="PURITY"/>
        <s v="BALMLAWRIE"/>
        <s v="KOVAI"/>
        <s v="ELDEHSG"/>
        <s v="MICROSE"/>
        <s v="3MINDIA"/>
        <s v="DCMSRIND"/>
        <s v="MAWANASUG"/>
        <s v="MINID"/>
        <s v="MAHAPEXLTD"/>
        <s v="NILKAMAL"/>
        <s v="NAHARPOLY"/>
        <s v="AEGISLOG"/>
        <s v="HINDPETRO"/>
        <s v="MRPL"/>
        <s v="ADCINDIA"/>
        <s v="TNTELE"/>
        <s v="SUNRAJDI"/>
        <s v="EVANS"/>
        <s v="CHENNPETRO"/>
        <s v="INDBNK"/>
        <s v="JAIMATAG"/>
        <s v="LOTUSCHO"/>
        <s v="PACIFICI"/>
        <s v="CMMHOSP"/>
        <s v="SEML"/>
        <s v="APMIN"/>
        <s v="PRECWIRE"/>
        <s v="KRYPTONQ"/>
        <s v="SWISSMLTRY"/>
        <s v="MARBU"/>
        <s v="FEL"/>
        <s v="INDTONER"/>
        <s v="KUNSTOFF"/>
        <s v="GINISILK"/>
        <s v="SIKA"/>
        <s v="ONGC"/>
        <s v="URSUGAR"/>
        <s v="PHRMASI"/>
        <s v="PODDARHOUS"/>
        <s v="RELIANCE"/>
        <s v="IPRINGLTD"/>
        <s v="BPCL"/>
        <s v="PLASTIBLEN"/>
        <s v="EKANSH"/>
        <s v="KKPLASTICK"/>
        <s v="WATERBASE"/>
        <s v="FLEXFO"/>
        <s v="GOLKUNDIA"/>
        <s v="APCOTEXIND"/>
        <s v="FORTISMLR"/>
        <s v="CASTROLIND"/>
        <s v="EIMCOELECO"/>
        <s v="SAYAJIHOTL"/>
        <s v="JMGCORP"/>
        <s v="ASHIANA"/>
        <s v="SVAMSOF"/>
        <s v="ECOBOAR"/>
        <s v="DVL"/>
        <s v="TIHIL"/>
        <s v="MAHEPC"/>
        <s v="ITCONS"/>
        <s v="SHUKJEW"/>
        <s v="MAZDA"/>
        <s v="SOVERDIA"/>
        <s v="MENONBE"/>
        <s v="MUKATPIP"/>
        <s v="GUJRAFFIA"/>
        <s v="SIMPLEXINF"/>
        <s v="INNOVTEC"/>
        <s v="SUPTANERY"/>
        <s v="GANVERSE"/>
        <s v="AXTEL"/>
        <s v="VRWODAR"/>
        <s v="MONOT"/>
        <s v="SANDUMA"/>
        <s v="HINFLUR"/>
        <s v="KINGFA"/>
        <s v="PATIDAR"/>
        <s v="RAMAPHO"/>
        <s v="VENLONENT"/>
        <s v="PETPLST"/>
        <s v="POLYPLEX"/>
        <s v="ALBERTDAVD"/>
        <s v="HARLETH"/>
        <s v="CARYSIL"/>
        <s v="KABRAEXTRU"/>
        <s v="VINYLINDIA"/>
        <s v="PCCOSMA"/>
        <s v="TCMLMTD"/>
        <s v="IOLCP"/>
        <s v="KESARPE"/>
        <s v="IOC"/>
        <s v="LACTOSE"/>
        <s v="TEEAI"/>
        <s v="GAIL"/>
        <s v="PNTKYOR"/>
        <s v="WANBURY"/>
        <s v="RESONANCE"/>
        <s v="IGL"/>
        <s v="PETRONET"/>
        <s v="KOPRAN"/>
        <s v="AIMCOPEST"/>
        <s v="GUJTERC"/>
        <s v="SEYAIND"/>
        <s v="JAYAGROGN"/>
        <s v="BCLIND"/>
        <s v="SHHARICH"/>
        <s v="INDOBORAX"/>
        <s v="AARTIDRUGS"/>
        <s v="BODALCHEM"/>
        <s v="GSPL"/>
        <s v="VIMTALABS"/>
        <s v="BIOFILCHEM"/>
        <s v="ISHITADR"/>
        <s v="OIL"/>
        <s v="UNIVSTAR"/>
        <s v="AAREYDRUGS"/>
        <s v="WALCHPF"/>
        <s v="ASINPET"/>
        <s v="CAMEXLTD"/>
        <s v="EVEXIA"/>
        <s v="INDOEURO"/>
        <s v="SYNCOMF"/>
        <s v="DMR"/>
        <s v="JETFREIGHT"/>
        <s v="COALINDIA"/>
        <s v="KILITCH"/>
        <s v="RAAJMEDI"/>
        <s v="SVCIND"/>
        <s v="CORALAB"/>
        <s v="TULASEEBIOE"/>
        <s v="BACPHAR"/>
        <s v="KREBSBIO"/>
        <s v="KMCSHIL"/>
        <s v="LAFFANSQ"/>
        <s v="BHASKAGR"/>
        <s v="SUKHJITS"/>
        <s v="SATAGRI"/>
        <s v="SHARMEH"/>
        <s v="GULFOILLUB"/>
        <s v="GAYATRIBI"/>
        <s v="PODDARMENT"/>
        <s v="PHARMAID"/>
        <s v="VIVIDIND"/>
        <s v="ABCINDQ"/>
        <s v="TIRUSTA"/>
        <s v="DRA"/>
        <s v="JDORGOCHEM"/>
        <s v="AEONXDIGI"/>
        <s v="AKSHARCHEM"/>
        <s v="BANDARAM"/>
        <s v="ADLINE"/>
        <s v="BERLDRG"/>
        <s v="INDXTRA"/>
        <s v="ISTRNETWK"/>
        <s v="GAGAN"/>
        <s v="ZODIACVEN"/>
        <s v="SHUKRAPHAR"/>
        <s v="ALUFLUOR"/>
        <s v="OXYGENTAPH"/>
        <s v="ARCHITORG"/>
        <s v="SIKOZY"/>
        <s v="INDOAMIN"/>
        <s v="INDSWFTLTD"/>
        <s v="NATCAPSUQ"/>
        <s v="WELCURE"/>
        <s v="BIBCL"/>
        <s v="SOTL"/>
        <s v="HESTERBIO"/>
        <s v="JOHNPHARMA"/>
        <s v="BASANTGL"/>
        <s v="SANDUPHQ"/>
        <s v="NACLIND"/>
        <s v="VISTAPH"/>
        <s v="GUJGASLTD"/>
        <s v="TITANBIO"/>
        <s v="ASHNI"/>
        <s v="SDL"/>
        <s v="JENBURPH"/>
        <s v="HIKAL"/>
        <s v="MGL"/>
        <s v="FISCHER"/>
        <s v="LINKPH"/>
        <s v="DECIPHER"/>
        <s v="EMMESSA"/>
        <s v="NGLFINE"/>
        <s v="EVERESTO"/>
        <s v="ATGL"/>
        <s v="PHYTO"/>
        <s v="BAJAJHIND"/>
        <s v="DYNAMIND"/>
        <s v="PANAMAPET"/>
        <s v="BALPHARMA"/>
        <s v="BDH"/>
        <s v="JAUSPOL"/>
        <s v="GLOBUSCON"/>
        <s v="CUBEXTUB"/>
        <s v="POLYCHMP"/>
        <s v="STELLANT"/>
        <s v="GALXBRG"/>
        <s v="SCAGRO"/>
        <s v="RALEGRA"/>
        <s v="UNRYLMA"/>
        <s v="KARANWO"/>
        <s v="SHERVANI"/>
        <s v="ROSEMER"/>
        <s v="SUPERTEX"/>
        <s v="SHETR"/>
        <s v="TRABI"/>
        <s v="MPL"/>
        <s v="NIKHILAD"/>
        <s v="SPENTA"/>
        <s v="MULTIBASE"/>
        <s v="ANDREWYU"/>
        <s v="LUDLOWJUT"/>
        <s v="ASHRAM"/>
        <s v="ROYALCU"/>
        <s v="SURJIND"/>
        <s v="HITECHCORP"/>
        <s v="BLOOM"/>
        <s v="FILATEX"/>
        <s v="STDSFAC"/>
        <s v="MORGAN"/>
        <s v="PRISMX"/>
        <s v="PREMEXPLN"/>
        <s v="MIDEASTP"/>
        <s v="MOLDTECH"/>
        <s v="CRSTCHM"/>
        <s v="BALRAMCHIN"/>
        <s v="MEDINOV"/>
        <s v="DIVSHKT"/>
        <s v="ORIENTLTD"/>
        <s v="SHREYASI"/>
        <s v="PANJON"/>
        <s v="NIRBHAYIND"/>
        <s v="DUROPACK"/>
        <s v="SWARNSAR"/>
        <s v="DABUR"/>
        <s v="GODFRYPHLP"/>
        <s v="CINDHO"/>
        <s v="BALTE"/>
        <s v="ALPHAGEO"/>
        <s v="HAMPTON"/>
        <s v="KKALPANAIND"/>
        <s v="OKPLA"/>
        <s v="KRITI"/>
        <s v="ASMTEC"/>
        <s v="PERFEPA"/>
        <s v="ERPSOFT"/>
        <s v="VISIONCINE"/>
        <s v="DATASOFT"/>
        <s v="INDRANIB"/>
        <s v="EUROLED"/>
        <s v="WINSOMBR"/>
        <s v="ELEFLOR"/>
        <s v="SKYIND"/>
        <s v="FLOMIC"/>
        <s v="BHUDEVI"/>
        <s v="PRATIK"/>
        <s v="RISHIROOP"/>
        <s v="PROMACT"/>
        <s v="STRGRENWO"/>
        <s v="SYSTMTXC"/>
        <s v="ARTEFACT"/>
        <s v="ALPINEHOU"/>
        <s v="SANGHIIND"/>
        <s v="SALORAINTL"/>
        <s v="KACL"/>
        <s v="SFPIL"/>
        <s v="SCANPGEOM"/>
        <s v="CHOKSILA"/>
        <s v="CCHHL"/>
        <s v="LONTE"/>
        <s v="MIDWEST"/>
        <s v="ICDSLTD"/>
        <s v="TECHIN"/>
        <s v="TPLPLASTEH"/>
        <s v="WIMPLAST"/>
        <s v="PHOTOQUP"/>
        <s v="LIBERTSHOE"/>
        <s v="LIPPISYS"/>
        <s v="ELECTHERM"/>
        <s v="FERVENTSYN"/>
        <s v="EXPOGAS"/>
        <s v="NATPLAS"/>
        <s v="SELLWIN"/>
        <s v="TEXELIN"/>
        <s v="RAYALEMA"/>
        <s v="MIRZAINT"/>
        <s v="TFCILTD"/>
        <s v="THAKDEV"/>
        <s v="ARENTERP"/>
        <s v="BIL"/>
        <s v="KAMATHOTEL"/>
        <s v="CONTILI"/>
        <s v="KEEPLEARN"/>
        <s v="POLOHOT"/>
        <s v="ECOPLAST"/>
        <s v="ELEMARB"/>
        <s v="BITS"/>
        <s v="ADARSHPL"/>
        <s v="HPBL"/>
        <s v="NICCOPAR"/>
        <s v="NTCIND"/>
        <s v="SANDESH"/>
        <s v="GARNET"/>
        <s v="GOLDIAM"/>
        <s v="BRIGHTBR"/>
        <s v="SHAWGELTIN"/>
        <s v="PGFOILQ"/>
        <s v="GRATEXI"/>
        <s v="VELHO"/>
        <s v="HOWARHO"/>
        <s v="PRESSURS"/>
        <s v="VALIANT"/>
        <s v="DRAGARWQ"/>
        <s v="MAHACORP"/>
        <s v="GREENPLY"/>
        <s v="SAICAPI"/>
        <s v="RAGHUNAT"/>
        <s v="CHEVIOT"/>
        <s v="DAICHI"/>
        <s v="RAJINFRA"/>
        <s v="SPICEISLIN"/>
        <s v="CONFIPET"/>
        <s v="SIPL"/>
        <s v="SHAKTIPR"/>
        <s v="ASHSI"/>
        <s v="BANARBEADS"/>
        <s v="AREXMIS"/>
        <s v="BI"/>
        <s v="ISFL"/>
        <s v="RISHILASE"/>
        <s v="SECURCRED"/>
        <s v="KUMPFIN"/>
        <s v="INTECCAP"/>
        <s v="RAJGASES"/>
        <s v="SCTL"/>
        <s v="63MOONS"/>
        <s v="SARLAPOLY"/>
        <s v="MKTCREAT"/>
        <s v="HFIL"/>
        <s v="SONALAD"/>
        <s v="PADMAIND"/>
        <s v="21STCENMGM"/>
        <s v="HRYNSHP"/>
        <s v="ARUNIS"/>
        <s v="TYROON"/>
        <s v="LAOPALA"/>
        <s v="STYLAMIND"/>
        <s v="VENUSREM"/>
        <s v="WOODSVILA"/>
        <s v="LASTMILE"/>
        <s v="GUJCRAFT"/>
        <s v="HEERAISP"/>
        <s v="CHANDRAP"/>
        <s v="CRIMSON"/>
        <s v="SHBAJRG"/>
        <s v="ASHOKRE"/>
        <s v="URJA"/>
        <s v="ASHAPURMIN"/>
        <s v="SHREEPAC"/>
        <s v="PATANJALI"/>
        <s v="PGHH"/>
        <s v="HINDUNILVR"/>
        <s v="MANGCHEFER"/>
        <s v="SIL"/>
        <s v="NESTLEIND"/>
        <s v="THEINVEST"/>
        <s v="LESHAIND"/>
        <s v="AADIIND"/>
        <s v="SANTOSHF"/>
        <s v="SREEJAYA"/>
        <s v="ACKNIT"/>
        <s v="TITANSEC"/>
        <s v="REALECO"/>
        <s v="SAWABUSI"/>
        <s v="VIVANZA"/>
        <s v="YASHRAJC"/>
        <s v="LORDSHOTL"/>
        <s v="CSLFINANCE"/>
        <s v="SANGHVIMOV"/>
        <s v="SELAN"/>
        <s v="FRSHTRP"/>
        <s v="FAZE3Q"/>
        <s v="PRADHIN"/>
        <s v="ANUPAM"/>
        <s v="RAJPACK"/>
        <s v="TATACONSUM"/>
        <s v="NATRAJPR"/>
        <s v="SAMRATPH"/>
        <s v="NPRFIN"/>
        <s v="NILE"/>
        <s v="UDAICEMENT"/>
        <s v="AMCOIND"/>
        <s v="OPTIEMUS"/>
        <s v="KREONFIN"/>
        <s v="GYANDEV"/>
        <s v="KISAN"/>
        <s v="STARLOG"/>
        <s v="KERALAYUR"/>
        <s v="MONGIPA"/>
        <s v="MOHITPPR"/>
        <s v="DAULAT"/>
        <s v="OSCARGLO"/>
        <s v="ODYSSEY"/>
        <s v="SURATRAML"/>
        <s v="ATHARVENT"/>
        <s v="FUNDVISER"/>
        <s v="THEMISMED"/>
        <s v="KALLAM"/>
        <s v="BRAWN"/>
        <s v="KABSON"/>
        <s v="KINGSINFR"/>
        <s v="SUBSM"/>
        <s v="AUROLAB"/>
        <s v="KJMCFIN"/>
        <s v="SUVEN"/>
        <s v="ARYAMAN"/>
        <s v="BRIDGESE"/>
        <s v="MEGRISOFT"/>
        <s v="RAJTUBE"/>
        <s v="KAYPOWR"/>
        <s v="GETALONG"/>
        <s v="GLOBALCA"/>
        <s v="SAINIK"/>
        <s v="ARIGATO"/>
        <s v="QUANTDIA"/>
        <s v="HEMANG"/>
        <s v="PAOS"/>
        <s v="GRANDMA"/>
        <s v="BRITANNIA"/>
        <s v="CLSEL"/>
        <s v="INFORTEC"/>
        <s v="KIMIABL"/>
        <s v="HINDTIN"/>
        <s v="GODAVARI"/>
        <s v="PREMCO"/>
        <s v="MUKESHB"/>
        <s v="COLPAL"/>
        <s v="ASIANENE"/>
        <s v="KBSINDIA"/>
        <s v="PRABHHANS"/>
        <s v="UGARSUGAR"/>
        <s v="ORIENTBELL"/>
        <s v="NRBBEARING"/>
        <s v="VAMSHIRU"/>
        <s v="NILAINFRA"/>
        <s v="DBSTOCKBRO"/>
        <s v="VINYOFL"/>
        <s v="JINDCAP"/>
        <s v="EPIC"/>
        <s v="SUMEDHA"/>
        <s v="KUWERIN"/>
        <s v="CHOKSI"/>
        <s v="ASHISHPO"/>
        <s v="ADORFO"/>
        <s v="SHIVAAGRO"/>
        <s v="SIDDHA"/>
        <s v="KIRANSY-B"/>
        <s v="SSTL"/>
        <s v="RUNGTAIR"/>
        <s v="CINERAD"/>
        <s v="VALSONQ"/>
        <s v="SABOOSOD"/>
        <s v="GSLSEC"/>
        <s v="TINNARUBR"/>
        <s v="VIKRAMTH"/>
        <s v="FMNL"/>
        <s v="AKCAPIT"/>
        <s v="ITC"/>
        <s v="VIRAT"/>
        <s v="RRETAIL"/>
        <s v="TERAI"/>
        <s v="MANRAJH"/>
        <s v="COSCO"/>
        <s v="KENFIN"/>
        <s v="BBTC"/>
        <s v="PARACABLES"/>
        <s v="NCLRESE"/>
        <s v="POPEES"/>
        <s v="BNL"/>
        <s v="LADDERUP"/>
        <s v="UYFINCORP"/>
        <s v="RITHWIKFMS"/>
        <s v="SWASTIKA"/>
        <s v="PRIMAPLA"/>
        <s v="TELECANOR"/>
        <s v="JAGSONFI"/>
        <s v="GARGFUR"/>
        <s v="SAMPRE"/>
        <s v="AAIL"/>
        <s v="VIPULORG"/>
        <s v="ECORECO"/>
        <s v="GOODLUCK"/>
        <s v="GOYALASS"/>
        <s v="ZENITHHE"/>
        <s v="YORKEXP"/>
        <s v="SUPREME"/>
        <s v="GREENCREST"/>
        <s v="PRIMEPRO"/>
        <s v="MARKOBENZ"/>
        <s v="RAJRILTD"/>
        <s v="FLORATX"/>
        <s v="GOWRALE"/>
        <s v="JAGANLAM"/>
        <s v="AJEL"/>
        <s v="ALPSINDUS"/>
        <s v="ASITCFIN"/>
        <s v="ENCODE"/>
        <s v="SUPERBAK"/>
        <s v="OVOBELE"/>
        <s v="CHALLANI"/>
        <s v="CORNE"/>
        <s v="STERTOOLS"/>
        <s v="AGARWAL"/>
        <s v="DYNAMICP"/>
        <s v="INLANPR"/>
        <s v="CEEJAY"/>
        <s v="SUNCITYSY"/>
        <s v="TRANSVOY"/>
        <s v="ANNAINFRA"/>
        <s v="BHAGERIA"/>
        <s v="CARGOSOL"/>
        <s v="ASIANTNE"/>
        <s v="GILLETTE"/>
        <s v="SSPDL"/>
        <s v="DAIKAFFI"/>
        <s v="CILSEC"/>
        <s v="CLIOINFO"/>
        <s v="CUPID"/>
        <s v="SUNSHIEL"/>
        <s v="HIPOLIN"/>
        <s v="GDLLEAS"/>
        <s v="CHEMBOND"/>
        <s v="CIFL"/>
        <s v="ABVL"/>
        <s v="SUCROSA"/>
        <s v="NGIND"/>
        <s v="ASIAPAK"/>
        <s v="DHANCOT"/>
        <s v="FORINTL"/>
        <s v="MFLINDIA"/>
        <s v="REMSONSIND"/>
        <s v="RAMSONS"/>
        <s v="HARAFIN"/>
        <s v="DANUBE"/>
        <s v="STANPACK"/>
        <s v="SABTNL"/>
        <s v="RAMINFO"/>
        <s v="SUNILAGR"/>
        <s v="DIANATEA"/>
        <s v="VIKASECO"/>
        <s v="VSTIND"/>
        <s v="ALFAICA"/>
        <s v="SKCIL"/>
        <s v="INDIAHOME"/>
        <s v="ROOPAIND"/>
        <s v="UNIQUEO"/>
        <s v="AVANTIFEED"/>
        <s v="SWRNASE"/>
        <s v="KRATOSENER"/>
        <s v="VISAGAR"/>
        <s v="LIBORD"/>
        <s v="ERAAYA"/>
        <s v="COMPEAU"/>
        <s v="ZDHJERK"/>
        <s v="NEELKAN"/>
        <s v="VINTAGES"/>
        <s v="OSWALOR"/>
        <s v="SUNILTX"/>
        <s v="VIJSOLX"/>
        <s v="SHRIKRISH"/>
        <s v="INNOVATIVE"/>
        <s v="NIHARINF"/>
        <s v="UNITDCR"/>
        <s v="OMINFRAL"/>
        <s v="CHECKPOINT"/>
        <s v="ISHANCH"/>
        <s v="GOTHIPL"/>
        <s v="BALUFORGE"/>
        <s v="CEENIK"/>
        <s v="HNDFDS"/>
        <s v="INANI"/>
        <s v="TARINI"/>
        <s v="ELFORGE"/>
        <s v="MEDICAMEQ"/>
        <s v="ALICON"/>
        <s v="DILIGENT"/>
        <s v="EPSOMPRO"/>
        <s v="ALFAVIO"/>
        <s v="ORGCOAT"/>
        <s v="LEX"/>
        <s v="ABMKNO"/>
        <s v="HERITGFOOD"/>
        <s v="KEMISTAR"/>
        <s v="ASSOCER"/>
        <s v="SKPSEC"/>
        <s v="SYSCHEM"/>
        <s v="BLSINFOTE"/>
        <s v="MEFCOMCAP"/>
        <s v="DML"/>
        <s v="ARMANFIN"/>
        <s v="GLANCE"/>
        <s v="SHILCTECH"/>
        <s v="ZENLABS"/>
        <s v="GCONNECT"/>
        <s v="NUCLEUS"/>
        <s v="COLINZ"/>
        <s v="NLFL"/>
        <s v="CCL"/>
        <s v="RTSPOWR"/>
        <s v="COMFINTE"/>
        <s v="SHYAMAINFO"/>
        <s v="MAYURFL"/>
        <s v="ANJANI"/>
        <s v="XTGLOBAL"/>
        <s v="DECOMIC"/>
        <s v="RANDER"/>
        <s v="RASIELEC"/>
        <s v="SCOOBEEDAY"/>
        <s v="CITIPOR"/>
        <s v="DHRUVCA"/>
        <s v="MRCAGRO"/>
        <s v="LINC"/>
        <s v="PRIMAIN"/>
        <s v="INDGELA"/>
        <s v="OPTIFIN"/>
        <s v="PARAGONF"/>
        <s v="PRATIKSH"/>
        <s v="ESHAMEDIA"/>
        <s v="REFEXRENEW"/>
        <s v="VSTTILLERS"/>
        <s v="B2BSOFT"/>
        <s v="NIKKIGL"/>
        <s v="RADHEDE"/>
        <s v="ELIXIR"/>
        <s v="TRISHAKT"/>
        <s v="PANKAJPO"/>
        <s v="MARBLE"/>
        <s v="CINDRELL"/>
        <s v="NATPLASTI"/>
        <s v="LEADFIN"/>
        <s v="NATFIT"/>
        <s v="TAIIND"/>
        <s v="AMITINT"/>
        <s v="NUTECGLOB"/>
        <s v="DHPIND"/>
        <s v="RRIL"/>
        <s v="AVAILFC"/>
        <s v="INTCAPL"/>
        <s v="HAVISHA"/>
        <s v="JAYIND"/>
        <s v="ROSELABS"/>
        <s v="KRETTOSYS"/>
        <s v="RONI"/>
        <s v="GAEL"/>
        <s v="WINPRO"/>
        <s v="MILESTONE"/>
        <s v="BERVINL"/>
        <s v="GUJINV"/>
        <s v="SHAHISHIP"/>
        <s v="EASTRED"/>
        <s v="PANACEABIO"/>
        <s v="PEETISEC"/>
        <s v="MERCURYEV"/>
        <s v="PICCADIL"/>
        <s v="SRAMSET"/>
        <s v="SBECSYS"/>
        <s v="FRUTION"/>
        <s v="SPAR"/>
        <s v="BYKE"/>
        <s v="CSURGSU"/>
        <s v="ARIHANT"/>
        <s v="HASTIFIN"/>
        <s v="UPSURGE"/>
        <s v="PADAMCO"/>
        <s v="WOMENNET"/>
        <s v="POLYCON"/>
        <s v="SOURCENTRL"/>
        <s v="GGAUTO"/>
        <s v="ALMONDZ"/>
        <s v="CARGOTRANS"/>
        <s v="ANSINDUS"/>
        <s v="TUNITEX"/>
        <s v="RADIXIND"/>
        <s v="KIRANPR"/>
        <s v="NARPROP"/>
        <s v="MEGACOR"/>
        <s v="TNPL"/>
        <s v="KRBL"/>
        <s v="SYTIXSE"/>
        <s v="SUNGOLD"/>
        <s v="SAFFRON"/>
        <s v="PWASML"/>
        <s v="GOLDTECH"/>
        <s v="VARDHMAN"/>
        <s v="GRMOVER"/>
        <s v="MOHITIND"/>
        <s v="POLYLINK"/>
        <s v="MINAXI"/>
        <s v="CONTICON"/>
        <s v="YASHMGM"/>
        <s v="DUKEOFS"/>
        <s v="CYBELEIND"/>
        <s v="CGVAK"/>
        <s v="NAVKAR"/>
        <s v="MADHUCON"/>
        <s v="SYBLY"/>
        <s v="EMAMILTD"/>
        <s v="PROFINC"/>
        <s v="MARIS"/>
        <s v="INDERGR"/>
        <s v="VPL"/>
        <s v="EVEREADY"/>
        <s v="STEP2COR"/>
        <s v="ORIENTTR"/>
        <s v="OPCHAINS"/>
        <s v="VIKASPROP"/>
        <s v="DESHRAK"/>
        <s v="ACESOFT"/>
        <s v="SOFTRAKV"/>
        <s v="ZYDUSWELL"/>
        <s v="ACCEDERE"/>
        <s v="SARTHAKIND"/>
        <s v="RISHDIGA"/>
        <s v="MAINFRA"/>
        <s v="KOBO"/>
        <s v="HATSUN"/>
        <s v="SOMANYCERA"/>
        <s v="JHACC"/>
        <s v="RAGHUTOB"/>
        <s v="BNRUDY"/>
        <s v="PALMJEWELS"/>
        <s v="ASHUTPM"/>
        <s v="SANJIVIN"/>
        <s v="VASINFRA"/>
        <s v="KMFBLDR"/>
        <s v="BERYLSE"/>
        <s v="RAP"/>
        <s v="GEL"/>
        <s v="BAMPSL"/>
        <s v="NEERAJ"/>
        <s v="INCON"/>
        <s v="MARICO"/>
        <s v="TRIVENI"/>
        <s v="GOGIACAP"/>
        <s v="GORANIN"/>
        <s v="KGPETRO"/>
        <s v="COUNCODOS"/>
        <s v="OROSMITHS"/>
        <s v="TEJASSVI"/>
        <s v="LINCOLN"/>
        <s v="PRAVEG"/>
        <s v="SURAJLTD"/>
        <s v="SICL"/>
        <s v="GODREJCP"/>
        <s v="TOKYOFIN"/>
        <s v="BJDUP"/>
        <s v="NATGENI"/>
        <s v="THIRDFIN"/>
        <s v="HITTCO"/>
        <s v="RRMETAL"/>
        <s v="VISIONCO"/>
        <s v="BISIL"/>
        <s v="INANISEC"/>
        <s v="ANKIN"/>
        <s v="AMERISE"/>
        <s v="PRITHVIEXCH"/>
        <s v="KHYATI"/>
        <s v="RAINBOWF"/>
        <s v="NYSSACORP"/>
        <s v="TRICOMFRU"/>
        <s v="VIDHIING"/>
        <s v="BHAGCHEM"/>
        <s v="GATECH"/>
        <s v="PANCHSHEEL"/>
        <s v="MENNPIS"/>
        <s v="PRISMFN"/>
        <s v="FRONTCORP"/>
        <s v="GENNEX"/>
        <s v="CRPRISK"/>
        <s v="MITSHI"/>
        <s v="PRAENG"/>
        <s v="BIOGEN"/>
        <s v="GKCONS"/>
        <s v="APOLLOPIPE"/>
        <s v="UNJHAFOR"/>
        <s v="UNITDSPR"/>
        <s v="SHRADDHA"/>
        <s v="KACHCHH"/>
        <s v="PADALPO"/>
        <s v="SAMYAKINT"/>
        <s v="KCLINFRA"/>
        <s v="ATULAUTO"/>
        <s v="SCANPRO"/>
        <s v="PRERINFRA"/>
        <s v="METALCO"/>
        <s v="SGNTE"/>
        <s v="GANGAPA"/>
        <s v="TIRSARJ"/>
        <s v="MUNOTHFI"/>
        <s v="RODIUM"/>
        <s v="NAGTECH"/>
        <s v="NATHUEC"/>
        <s v="IECEDU"/>
        <s v="INDUSFINL"/>
        <s v="GOLECHA"/>
        <s v="ZENITHSTL"/>
        <s v="TRINITYLEA"/>
        <s v="ASTAR"/>
        <s v="ORIRAIL"/>
        <s v="JOINDRE"/>
        <s v="BHARATAGRI"/>
        <s v="UNITINT"/>
        <s v="SACHEMT"/>
        <s v="POPULARES"/>
        <s v="ANJANIFIN"/>
        <s v="MULLER"/>
        <s v="RAHME"/>
        <s v="REXNORD"/>
        <s v="IIL"/>
        <s v="KHANDSE"/>
        <s v="WORL"/>
        <s v="CCLINTER"/>
        <s v="GALLOPENT"/>
        <s v="CROISSANCE"/>
        <s v="MADHUVEER"/>
        <s v="GALAGEX"/>
        <s v="GOPAIST"/>
        <s v="OIVL"/>
        <s v="AGARIND"/>
        <s v="DHAMPURE"/>
        <s v="SHAQUAK"/>
        <s v="INNOCORP"/>
        <s v="HIRAUTO"/>
        <s v="SAICOM"/>
        <s v="BLUECHIP"/>
        <s v="SERVOTEACH"/>
        <s v="CHADPAP"/>
        <s v="VERTEX"/>
        <s v="RIBATEX"/>
        <s v="SHYAMTEL"/>
        <s v="KASHYAP"/>
        <s v="SHREMETAL"/>
        <s v="IITLPROJ"/>
        <s v="HARIGOV"/>
        <s v="CATVISION"/>
        <s v="AMBIKCO"/>
        <s v="HINDALUMI"/>
        <s v="SENINFO"/>
        <s v="SPECFOOD"/>
        <s v="AMRAAGRI"/>
        <s v="ODYCORP"/>
        <s v="VUENOW"/>
        <s v="INDCTST"/>
        <s v="SAMINDUS"/>
        <s v="NEELKANTH"/>
        <s v="POOJAENT"/>
        <s v="GRAVITY"/>
        <s v="ESPIRE"/>
        <s v="LCCINFOTEC"/>
        <s v="FILATFASH"/>
        <s v="RBGUPTA"/>
        <s v="SINDHUTRAD"/>
        <s v="UNISTRMU"/>
        <s v="ZENOTECH"/>
        <s v="HINDBIO"/>
        <s v="TIRTPLS"/>
        <s v="SWELECTES"/>
        <s v="WALLFORT"/>
        <s v="KDDL"/>
        <s v="ADIEXRE"/>
        <s v="ABHICAP"/>
        <s v="3BBLACKBIO"/>
        <s v="SUMUKA"/>
        <s v="MONIND"/>
        <s v="ENBETRD"/>
        <s v="VANDANA"/>
        <s v="EPUJA"/>
        <s v="INDOCITY"/>
        <s v="SBECSUG"/>
        <s v="BRIJLEAS"/>
        <s v="BSELALGO"/>
        <s v="RELIABVEN"/>
        <s v="UBL"/>
        <s v="SMCREDT"/>
        <s v="MOHITE"/>
        <s v="ACL"/>
        <s v="SKMEGGPROD"/>
        <s v="RADICO"/>
        <s v="HOTLSILV"/>
        <s v="RENUKA"/>
        <s v="INDRAMEDCO"/>
        <s v="PARLEIND"/>
        <s v="LTFOODS"/>
        <s v="JYOTHYLAB"/>
        <s v="TRESCON"/>
        <s v="GUJSTATFIN"/>
        <s v="VBL"/>
        <s v="GODREJAGRO"/>
        <s v="MINOLTAF"/>
        <s v="OMKARPH"/>
        <s v="ADROITINFO"/>
        <s v="CYBERTECH"/>
        <s v="BECTORFOOD"/>
        <s v="DODLA"/>
        <s v="AWL"/>
        <s v="DHANBANK"/>
        <s v="BIKAJI"/>
        <s v="GAYATRI"/>
        <s v="HONASA"/>
        <s v="DOMS"/>
        <s v="BAJFINANCE"/>
        <s v="CRISIL"/>
        <s v="ARCHIES"/>
        <s v="IFCI"/>
        <s v="HBSL"/>
        <s v="SIELFNS"/>
        <s v="SBIN"/>
        <s v="ENERGYDEV"/>
        <s v="IDBI"/>
        <s v="BENGALT"/>
        <s v="HDFCBANK"/>
        <s v="INDNIPPON"/>
        <s v="NSIL"/>
        <s v="KOTAKBANK"/>
        <s v="YASHINNO"/>
        <s v="ACCELYA"/>
        <s v="ORCHASP"/>
        <s v="LICHSGFIN"/>
        <s v="TCFCFINQ"/>
        <s v="GEOJITFSL"/>
        <s v="MAHSCOOTER"/>
        <s v="BLBLIMITED"/>
        <s v="MFSL"/>
        <s v="PEL"/>
        <s v="INTEGHIT"/>
        <s v="KJMCCORP"/>
        <s v="INDSWFTLAB"/>
        <s v="GEPIL"/>
        <s v="SHREERAMA"/>
        <s v="FEDERALBNK"/>
        <s v="TELESYS"/>
        <s v="VAARAD"/>
        <s v="BAJAJHLDNG"/>
        <s v="SHIVACEM"/>
        <s v="CINEVISTA"/>
        <s v="INTENTECH"/>
        <s v="DANLAW"/>
        <s v="TATAINVEST"/>
        <s v="HBPOR"/>
        <s v="HBESD"/>
        <s v="AMBICAAGAR"/>
        <s v="COMPUSOFT"/>
        <s v="OMNIAX"/>
        <s v="IZMO"/>
        <s v="CHOLAHLDNG"/>
        <s v="SOFTSOL"/>
        <s v="SMARITIME"/>
        <s v="SUBEXLTD"/>
        <s v="AFEL"/>
        <s v="PADMALAYAT"/>
        <s v="AKSHOPTFBR"/>
        <s v="VIRGOGLOB"/>
        <s v="PICTUREHS"/>
        <s v="CANFINHOME"/>
        <s v="MUKTAARTS"/>
        <s v="NAGPI"/>
        <s v="DSSL"/>
        <s v="PNBGILTS"/>
        <s v="RAMCOIND"/>
        <s v="RAMCOSYS"/>
        <s v="SHRIRAMFIN"/>
        <s v="VIRINCHI"/>
        <s v="WEPSOLN"/>
        <s v="CHOLAFIN"/>
        <s v="TVSHLTD"/>
        <s v="MRO-TEK"/>
        <s v="UNIVARTS"/>
        <s v="FIRSTFIN"/>
        <s v="BABA"/>
        <s v="BALAJITELE"/>
        <s v="TYCHE"/>
        <s v="CALSOFT"/>
        <s v="PNC"/>
        <s v="JMFINANCIL"/>
        <s v="TAJGVK"/>
        <s v="CREATIVEYE"/>
        <s v="AXISCADES"/>
        <s v="KONNDOR"/>
        <s v="UMESLTD"/>
        <s v="POONAWALLA"/>
        <s v="USGTECH"/>
        <s v="7TEC"/>
        <s v="AVANTEL"/>
        <s v="MANAPPURAM"/>
        <s v="MEGASOFT"/>
        <s v="TRANSCOR"/>
        <s v="CEREBRAINT"/>
        <s v="NEXTMEDIA"/>
        <s v="SMARTLINK"/>
        <s v="CHOICEIN"/>
        <s v="GENUSPRIME"/>
        <s v="DRL"/>
        <s v="CGCL"/>
        <s v="SANINFRA"/>
        <s v="BANKBARODA"/>
        <s v="MPSLTD"/>
        <s v="BANKINDIA"/>
        <s v="TSPIRITUAL"/>
        <s v="ICICIBANK"/>
        <s v="SHALIWIR"/>
        <s v="GULPOLY"/>
        <s v="PONNIERODE"/>
        <s v="INDUSINDBK"/>
        <s v="J&amp;KBANK"/>
        <s v="HAZOOR"/>
        <s v="CUB"/>
        <s v="APTECHT"/>
        <s v="AXISBANK"/>
        <s v="SOUTHBANK"/>
        <s v="ISMTLTD"/>
        <s v="FSC"/>
        <s v="IOB"/>
        <s v="PNB"/>
        <s v="BLIL"/>
        <s v="POKARNA"/>
        <s v="KAMAHOLD"/>
        <s v="UNIONBANK"/>
        <s v="CANBK"/>
        <s v="UCOBANK"/>
        <s v="RAJPALAYAM"/>
        <s v="MAHABANK"/>
        <s v="IIFL"/>
        <s v="BAGFILMS"/>
        <s v="JSWHL"/>
        <s v="YESBANK"/>
        <s v="TVSELECT"/>
        <s v="KTKBANK"/>
        <s v="TVTODAY"/>
        <s v="PALREDTEC"/>
        <s v="IDFC"/>
        <s v="M&amp;MFIN"/>
        <s v="PFC"/>
        <s v="INDIANB"/>
        <s v="ICRA"/>
        <s v="DATAMATICS"/>
        <s v="NDTV"/>
        <s v="CENTRALBK"/>
        <s v="JPASSOCIAT"/>
        <s v="MOTILALOFS"/>
        <s v="PAISALO"/>
        <s v="RELIGARE"/>
        <s v="EDELWEISS"/>
        <s v="GULFPETRO"/>
        <s v="RECLTD"/>
        <s v="BAJAJFINSV"/>
        <s v="BENGALASM"/>
        <s v="SALSTEEL"/>
        <s v="PSB"/>
        <s v="DWARKESH"/>
        <s v="INDOCO"/>
        <s v="VIPCLOTHNG"/>
        <s v="IMPEXFERRO"/>
        <s v="XCHANGING"/>
        <s v="TRIVENIENT"/>
        <s v="JINDALPHOT"/>
        <s v="POCL"/>
        <s v="MUTHOOTFIN"/>
        <s v="3IINFOLTD"/>
        <s v="MBECL"/>
        <s v="LTF"/>
        <s v="SUMERUIND"/>
        <s v="MCX"/>
        <s v="MANGALAM"/>
        <s v="IBULHSGFIN"/>
        <s v="CYBERMEDIA"/>
        <s v="NDL"/>
        <s v="AIIL"/>
        <s v="IDFCFIRSTB"/>
        <s v="ESARIND"/>
        <s v="INFIBEAM"/>
        <s v="NECLIFE"/>
        <s v="MSPL"/>
        <s v="SPLIL"/>
        <s v="PILANIINVS"/>
        <s v="MCLEODRUSS"/>
        <s v="FACORALL"/>
        <s v="RBLBANK"/>
        <s v="RML"/>
        <s v="HTMEDIA"/>
        <s v="SASKEN"/>
        <s v="FCSSOFT"/>
        <s v="ICICIPRULI"/>
        <s v="PNBHOUSING"/>
        <s v="HUDCO"/>
        <s v="KMSUGAR"/>
        <s v="BASML"/>
        <s v="PBAINFRA"/>
        <s v="AUBANK"/>
        <s v="EKC"/>
        <s v="GEMSI"/>
        <s v="REPRO"/>
        <s v="ABCAPITAL"/>
        <s v="ASMS"/>
        <s v="CELEBRITY"/>
        <s v="NITINSPIN"/>
        <s v="ROHLTD"/>
        <s v="ENIL"/>
        <s v="CELLA"/>
        <s v="ICICIGI"/>
        <s v="JAGRAN"/>
        <s v="DYNPRO"/>
        <s v="GVKPIL"/>
        <s v="SADBHAV"/>
        <s v="SUNRETAIL"/>
        <s v="SBILIFE"/>
        <s v="GILLANDERS"/>
        <s v="INDOTECH"/>
        <s v="BLKASHYAP"/>
        <s v="SHAREINDIA"/>
        <s v="VISASTEEL"/>
        <s v="NITCO"/>
        <s v="MPDL"/>
        <s v="MASFIN"/>
        <s v="IEX"/>
        <s v="MALUPAPER"/>
        <s v="UTTAMSUGAR"/>
        <s v="SGL"/>
        <s v="KKCL"/>
        <s v="GICRE"/>
        <s v="NAM-INDIA"/>
        <s v="NIACL"/>
        <s v="EMKAY"/>
        <s v="TCLCONS"/>
        <s v="LOKESHMACH"/>
        <s v="KAMDHENU"/>
        <s v="PAUSHAKLTD"/>
        <s v="GTNTEX"/>
        <s v="INDICAP"/>
        <s v="PFOCUS"/>
        <s v="COARO"/>
        <s v="SRUSTEELS"/>
        <s v="HDFCLIFE"/>
        <s v="BANDHANBNK"/>
        <s v="ISEC"/>
        <s v="PHOTON"/>
        <s v="DEEPENR"/>
        <s v="HOVS"/>
        <s v="HDFCAMC"/>
        <s v="GEECEE"/>
        <s v="RICHAIND"/>
        <s v="FIEMIND"/>
        <s v="JHS"/>
        <s v="DCBBANK"/>
        <s v="UNIOFFICE"/>
        <s v="INSPIRISYS"/>
        <s v="GTLINFRA"/>
        <s v="SHIVAMAUTO"/>
        <s v="CREDITACC"/>
        <s v="AAVAS"/>
        <s v="PARSVNATH"/>
        <s v="SUTLEJTEX"/>
        <s v="SPANDANA"/>
        <s v="IIFLSEC"/>
        <s v="RUCHIRA"/>
        <s v="CSBBANK"/>
        <s v="ZEEMEDIA"/>
        <s v="SITINET"/>
        <s v="LUMAXTECH"/>
        <s v="AUTOIND"/>
        <s v="UJJIVANSFB"/>
        <s v="HUBTOWN"/>
        <s v="SBICARD"/>
        <s v="CTE"/>
        <s v="CAMS"/>
        <s v="RISAINTL"/>
        <s v="AICHAMP"/>
        <s v="CINELINE"/>
        <s v="PGIL"/>
        <s v="ZINEMA"/>
        <s v="ANGELONE"/>
        <s v="UTIAMC"/>
        <s v="TFL"/>
        <s v="EQUITASBNK"/>
        <s v="SMSPHARMA"/>
        <s v="ORIENTALTL"/>
        <s v="ELAND"/>
        <s v="IRFC"/>
        <s v="JAGJANANI"/>
        <s v="RAJTV"/>
        <s v="HOMEFIRST"/>
        <s v="AMDIND"/>
        <s v="LEHAR"/>
        <s v="APTUS"/>
        <s v="ABSLAMC"/>
        <s v="CAMLINFINE"/>
        <s v="POLICYBZR"/>
        <s v="DISHTV"/>
        <s v="SAHYADRI"/>
        <s v="SRHHYPOLTD"/>
        <s v="PAYTM"/>
        <s v="TGBHOTELS"/>
        <s v="HILTON"/>
        <s v="DELTACORP"/>
        <s v="MICEL"/>
        <s v="INSECTICID"/>
        <s v="ASAHISONG"/>
        <s v="HARYNACAP"/>
        <s v="STARHEALTH"/>
        <s v="DHYAANITR"/>
        <s v="NELCAST"/>
        <s v="V2RETAIL"/>
        <s v="ANANDRATHI"/>
        <s v="TARMAT"/>
        <s v="ANKITMETAL"/>
        <s v="LICI"/>
        <s v="ADSL"/>
        <s v="ALPA"/>
        <s v="SSLEL"/>
        <s v="OMAXE"/>
        <s v="REFEX"/>
        <s v="PRUDENT"/>
        <s v="SELMC"/>
        <s v="ASIANTILES"/>
        <s v="TMB"/>
        <s v="TAKE"/>
        <s v="FIVESTAR"/>
        <s v="KFINTECH"/>
        <s v="VTMLTD"/>
        <s v="INDOWIND"/>
        <s v="NAGREEKCAP"/>
        <s v="MAGNUM"/>
        <s v="JIOFIN"/>
        <s v="KSCL"/>
        <s v="UTKARSHBNK"/>
        <s v="SUPREMEINF"/>
        <s v="MAANALU"/>
        <s v="IL&amp;FSENGG"/>
        <s v="ARAVALIS"/>
        <s v="SBFC"/>
        <s v="BVCL"/>
        <s v="RATHIBAR"/>
        <s v="MUKTA"/>
        <s v="NUVAMA"/>
        <s v="RGL"/>
        <s v="KOLTEPATIL"/>
        <s v="KAUSHALYA"/>
        <s v="IREDA"/>
        <s v="WWALUM"/>
        <s v="INDIASHLTR"/>
        <s v="JSFB"/>
        <s v="BGRENERGY"/>
        <s v="BURNPUR"/>
        <s v="MANAKSIA"/>
        <s v="PORWAL"/>
        <s v="PPAP"/>
        <s v="ARIES"/>
        <s v="KUANTUM"/>
        <s v="AADHARHFC"/>
        <s v="GODIGIT"/>
        <s v="CORDSCABLE"/>
        <s v="KARURVYSYA"/>
        <s v="ONMOBILE"/>
        <s v="SEPC"/>
        <s v="BANG"/>
        <s v="IRB"/>
        <s v="GSS"/>
        <s v="NAHARCAP"/>
        <s v="SUNDARMFIN"/>
        <s v="BSE"/>
        <s v="GOKAKTEX"/>
        <s v="DHANI"/>
        <s v="CDSL"/>
        <s v="KIRIINDUS"/>
        <s v="BIRLAMONEY"/>
        <s v="TELOGICA"/>
        <s v="SUNDARMHLD"/>
        <s v="CIPLA"/>
        <s v="DRREDDY"/>
        <s v="GOKUL"/>
        <s v="RPGLIFE"/>
        <s v="SENSEX1"/>
        <s v="NIRAJ"/>
        <s v="RBL"/>
        <s v="RANEENGINE"/>
        <s v="CHLLTD"/>
        <s v="SEJALLTD"/>
        <s v="ARCHIDPLY"/>
        <s v="LOTUSEYE"/>
        <s v="SOMICONVEY"/>
        <s v="LGBFORGE"/>
        <s v="LPDC"/>
        <s v="VEL"/>
        <s v="SIMPLXMIL"/>
        <s v="SIMPLXPAP"/>
        <s v="20MICRONS"/>
        <s v="PGHL"/>
        <s v="ALKALI"/>
        <s v="LUPIN"/>
        <s v="IMFA"/>
        <s v="TPHQ"/>
        <s v="VEDAVAAG"/>
        <s v="MANJEERA"/>
        <s v="MOLDTKPAC"/>
        <s v="TORNTPHARM"/>
        <s v="WAGEND"/>
        <s v="ROML"/>
        <s v="ABBOTINDIA"/>
        <s v="GLAXO"/>
        <s v="SANOFI"/>
        <s v="SURYAAMBA"/>
        <s v="GLOBUSSPR"/>
        <s v="PFIZER"/>
        <s v="BTTL"/>
        <s v="SPSL"/>
        <s v="EXPLEOSOL"/>
        <s v="ASTRAZEN"/>
        <s v="DEN"/>
        <s v="ASTEC"/>
        <s v="DLINKINDIA"/>
        <s v="JBCHEPHARM"/>
        <s v="YUNIKM"/>
        <s v="APOLLOHOSP"/>
        <s v="ORCHPHARMA"/>
        <s v="MBLINFRA"/>
        <s v="MARKSANS"/>
        <s v="VASCONEQ"/>
        <s v="THANGAMAYL"/>
        <s v="IPCALAB"/>
        <s v="EMMBI"/>
        <s v="HATHWAY"/>
        <s v="TEXMOPIPES"/>
        <s v="SUNDARAM"/>
        <s v="ROSSELLIND"/>
        <s v="NEULANDLAB"/>
        <s v="TAMBOLIIN"/>
        <s v="IL&amp;FSTRANS"/>
        <s v="SUNPHARMA"/>
        <s v="ISFT"/>
        <s v="GOENKA"/>
        <s v="KCPSUGIND"/>
        <s v="KECL"/>
        <s v="SATCH"/>
        <s v="TARAPUR"/>
        <s v="CAPLIPOINT"/>
        <s v="EMAMIPAP"/>
        <s v="KRITINUT"/>
        <s v="GKB"/>
        <s v="HMVL"/>
        <s v="EMAMIREAL"/>
        <s v="AHLEAST"/>
        <s v="BAJAJCON"/>
        <s v="PRAKASHSTL"/>
        <s v="MYSTICELE"/>
        <s v="WELINV"/>
        <s v="SASTASUNDR"/>
        <s v="CAREERP"/>
        <s v="EROSMEDIA"/>
        <s v="RAMKY"/>
        <s v="GREENPOWER"/>
        <s v="CANTABIL"/>
        <s v="SEATV"/>
        <s v="AUROPHARMA"/>
        <s v="BEDMUTHA"/>
        <s v="NATCOPHARM"/>
        <s v="JUBLPHARMA"/>
        <s v="SHILPAMED"/>
        <s v="FDC"/>
        <s v="SHAH"/>
        <s v="POLYMED"/>
        <s v="GLENMARK"/>
        <s v="RPPINFRA"/>
        <s v="RDBRIL"/>
        <s v="WOCKPHARMA"/>
        <s v="ZEELEARN"/>
        <s v="ENTRINT"/>
        <s v="A2ZINFRA"/>
        <s v="ZYDUSLIFE"/>
        <s v="RKDL"/>
        <s v="AJANTPHARM"/>
        <s v="MAHANIN"/>
        <s v="SURANASOL"/>
        <s v="SPYL"/>
        <s v="KICL"/>
        <s v="BFINVEST"/>
        <s v="SUMMITSEC"/>
        <s v="INOVSYNTH"/>
        <s v="STEL"/>
        <s v="OMKARCHEM"/>
        <s v="JUBLINDS"/>
        <s v="GRANULES"/>
        <s v="INDTERRAIN"/>
        <s v="FCL"/>
        <s v="DHUNINV"/>
        <s v="DIVISLAB"/>
        <s v="LOVABLE"/>
        <s v="PFS"/>
        <s v="BIOCON"/>
        <s v="CNOVAPETRO"/>
        <s v="BEEYU"/>
        <s v="KARMAENG"/>
        <s v="DELPHIFX"/>
        <s v="RUSHIL"/>
        <s v="ENKEIWHEL"/>
        <s v="KRIDHANINF"/>
        <s v="INVENTURE"/>
        <s v="STAR"/>
        <s v="GANONPRO"/>
        <s v="TREEHOUSE"/>
        <s v="BROOKS"/>
        <s v="RUPA"/>
        <s v="FORTIS"/>
        <s v="SPARC"/>
        <s v="VASWANI"/>
        <s v="APLLTD"/>
        <s v="QUASAR"/>
        <s v="RDBRL"/>
        <s v="TIJARIA"/>
        <s v="ONELIFECAP"/>
        <s v="FLEXITUFF"/>
        <s v="SYNGENE"/>
        <s v="INDOTHAI"/>
        <s v="AIHL"/>
        <s v="ALKEM"/>
        <s v="GPTINFRA"/>
        <s v="SHAMROIN"/>
        <s v="THOMASCOTT"/>
        <s v="TERASOFT"/>
        <s v="PMCFIN"/>
        <s v="FUTSOL"/>
        <s v="AIML"/>
        <s v="LALPATHLAB"/>
        <s v="NH"/>
        <s v="PYXISFIN"/>
        <s v="HCG"/>
        <s v="OLPCL"/>
        <s v="LAURUSLABS"/>
        <s v="MTEDUCARE"/>
        <s v="HEXATRADEX"/>
        <s v="MAXHEIGHTS"/>
        <s v="TBZ"/>
        <s v="VSSL"/>
        <s v="LOOKS"/>
        <s v="SPECIALITY"/>
        <s v="LYPSAGEMS"/>
        <s v="ERIS"/>
        <s v="SAMPANN"/>
        <s v="JTLIND"/>
        <s v="AMTL"/>
        <s v="JAINCO"/>
        <s v="ASTERDM"/>
        <s v="JUPITERIN"/>
        <s v="VINAYAKPOL"/>
        <s v="JOINTECAED"/>
        <s v="DUCON"/>
        <s v="PROZONER"/>
        <s v="SRGHFL"/>
        <s v="COMCL"/>
        <s v="SHANTIGURU"/>
        <s v="CASPIAN"/>
        <s v="AERPACE"/>
        <s v="VIRTUALG"/>
        <s v="ZUARI"/>
        <s v="STEELXIND"/>
        <s v="TRIOMERC"/>
        <s v="CIGNITITEC"/>
        <s v="CDG"/>
        <s v="CARERATING"/>
        <s v="PCJEWELLER"/>
        <s v="METROPOLIS"/>
        <s v="SUVENPHAR"/>
        <s v="NIBE"/>
        <s v="RAMASIGNS"/>
        <s v="EXPLICITFIN"/>
        <s v="COMFINCAP"/>
        <s v="BMAL"/>
        <s v="REPCOHOME"/>
        <s v="LAKHOTIA"/>
        <s v="GCMSECU"/>
        <s v="NIBL"/>
        <s v="PRIMECAPM"/>
        <s v="KIFS"/>
        <s v="SREEL"/>
        <s v="MAXHEALTH"/>
        <s v="SVGLOBAL"/>
        <s v="SDC"/>
        <s v="GLAND"/>
        <s v="OONE"/>
        <s v="IFINSEC"/>
        <s v="BRAHMINFRA"/>
        <s v="QUEST"/>
        <s v="KHOOBSURAT"/>
        <s v="KIMS"/>
        <s v="GLS"/>
        <s v="AMIORG"/>
        <s v="MMLF"/>
        <s v="ALSL"/>
        <s v="GCMCOMM"/>
        <s v="ESSENTIA"/>
        <s v="JULIEN"/>
        <s v="KAARYAFSL"/>
        <s v="JK AGRI"/>
        <s v="FLFL"/>
        <s v="PVVINFRA"/>
        <s v="VCU"/>
        <s v="INDRENEW"/>
        <s v="SRGSFL"/>
        <s v="ACFSL"/>
        <s v="STELLAR"/>
        <s v="JPOLYINVST"/>
        <s v="YURANUS"/>
        <s v="CPL"/>
        <s v="ARNOLD"/>
        <s v="SUNLOC"/>
        <s v="SUYOG"/>
        <s v="NATHBIOGEN"/>
        <s v="AGRITECH"/>
        <s v="CHEMTECH"/>
        <s v="DENISCHEM"/>
        <s v="POLYMAC"/>
        <s v="UNISHIRE"/>
        <s v="LAXMIPATI"/>
        <s v="ETT"/>
        <s v="HANSUGAR"/>
        <s v="KIRANVYPAR"/>
        <s v="BCP"/>
        <s v="DGL"/>
        <s v="RACE"/>
        <s v="MANGIND"/>
        <s v="VIJIFIN"/>
        <s v="PHOENIXTN"/>
        <s v="INFRONICS"/>
        <s v="HARIAAPL"/>
        <s v="VASUPRADA"/>
        <s v="RNBDENIMS"/>
        <s v="SHARPINV"/>
        <s v="VIJAYA"/>
        <s v="RESPONSINF"/>
        <s v="GCMCAPI"/>
        <s v="SHVSUIT"/>
        <s v="INCREDIBLE"/>
        <s v="WESTLEIRES"/>
        <s v="NAM"/>
        <s v="METSL"/>
        <s v="SPS"/>
        <s v="JACKSON"/>
        <s v="MONEYBOXX"/>
        <s v="WORTH"/>
        <s v="KANELIND"/>
        <s v="TPROJECT"/>
        <s v="AMARSEC"/>
        <s v="CTL"/>
        <s v="ZGOLDINV"/>
        <s v="YAANENT"/>
        <s v="JTAPARIA"/>
        <s v="RLFL"/>
        <s v="GOLDCOINHF"/>
        <s v="BRPL"/>
        <s v="ARMAN"/>
        <s v="SKIPPER"/>
        <s v="PEOPLIN"/>
        <s v="JAMESWARREN"/>
        <s v="VISTARAMAR"/>
        <s v="RAINBOW"/>
        <s v="RAPIDIN"/>
        <s v="SFTL"/>
        <s v="BHANDERI"/>
        <s v="AMALGAM"/>
        <s v="QUANTBUILD"/>
        <s v="TTIENT"/>
        <s v="VISHAL"/>
        <s v="TOYAMSL"/>
        <s v="GAJANANSEC"/>
        <s v="UNISON"/>
        <s v="RTFL"/>
        <s v="VRL"/>
        <s v="INDSOYA"/>
        <s v="QGO"/>
        <s v="PURSHOTTAM"/>
        <s v="SW1"/>
        <s v="SHARDACROP"/>
        <s v="KKFIN"/>
        <s v="MIIL"/>
        <s v="SHEMAROO"/>
        <s v="ULTRACAB"/>
        <s v="RCCL"/>
        <s v="ETIL"/>
        <s v="ATISHAY"/>
        <s v="SANGAMFIN"/>
        <s v="DHABRIYA"/>
        <s v="ARYACAPM"/>
        <s v="PPLPHARMA"/>
        <s v="HANMAN"/>
        <s v="VGCL"/>
        <s v="STARLIT"/>
        <s v="CEINSYSTECH"/>
        <s v="PANABYTE"/>
        <s v="MUDUNURU"/>
        <s v="JSHL"/>
        <s v="CRANEINFRA"/>
        <s v="NIYOGIN"/>
        <s v="ASIACAP"/>
        <s v="KALYANCAP"/>
        <s v="GBFL"/>
        <s v="GILADAFINS"/>
        <s v="JETINFRA"/>
        <s v="SAPPL"/>
        <s v="CAPPIPES"/>
        <s v="KAIZENAGRO"/>
        <s v="JMJFIN"/>
        <s v="MEDANTA"/>
        <s v="MONTECARLO"/>
        <s v="JSTL"/>
        <s v="ICL"/>
        <s v="SCC"/>
        <s v="PANAFIC"/>
        <s v="MYMONEY"/>
        <s v="AMARNATH"/>
        <s v="CSL"/>
        <s v="NEXUSSURGL"/>
        <s v="HEALINV"/>
        <s v="GALADAFIN"/>
        <s v="EMERALD"/>
        <s v="MKEXIM"/>
        <s v="AARTIPHARM"/>
        <s v="OCTAL"/>
        <s v="SHRENTI"/>
        <s v="KANCHI"/>
        <s v="DTIL"/>
        <s v="VANICOM"/>
        <s v="SKILVEN"/>
        <s v="MODWOOL"/>
        <s v="RAFL"/>
        <s v="COSYN"/>
        <s v="SOFCOM"/>
        <s v="NAPL"/>
        <s v="KARNAVATI"/>
        <s v="ZMULTIPU"/>
        <s v="GANHOLD"/>
        <s v="SONAL"/>
        <s v="ALFL"/>
        <s v="GENUSPAPER"/>
        <s v="MANKIND"/>
        <s v="MERCURYLAB"/>
        <s v="CONCORD"/>
        <s v="WARDINMOBI"/>
        <s v="SHREESEC"/>
        <s v="CONCORDBIO"/>
        <s v="TALBROSENG"/>
        <s v="SAPL"/>
        <s v="ZHEMHOLD"/>
        <s v="JLHL"/>
        <s v="CHENFERRO"/>
        <s v="ZKOVALIN"/>
        <s v="GITARENEW"/>
        <s v="NEIL"/>
        <s v="STARHFL"/>
        <s v="BEEKAY"/>
        <s v="SSPNFIN"/>
        <s v="MULTIIN"/>
        <s v="TTIL"/>
        <s v="ALNATRD"/>
        <s v="AGIIL"/>
        <s v="MANAKSTEEL"/>
        <s v="MANAKALUCO"/>
        <s v="MANAKCOAT"/>
        <s v="IMAGICAA"/>
        <s v="BLUEJET"/>
        <s v="RAJPUTANA"/>
        <s v="CITL"/>
        <s v="AANANDALAK"/>
        <s v="VELOXIND"/>
        <s v="FILTRA"/>
        <s v="ATHCON"/>
        <s v="NORTHLINK"/>
        <s v="SHESHAINDS"/>
        <s v="SAB"/>
        <s v="PML"/>
        <s v="ALAN SCOTT"/>
        <s v="ZSARVAMA"/>
        <s v="SUJALA"/>
        <s v="VIKSHEN"/>
        <s v="JAINMARMO"/>
        <s v="BFFL"/>
        <s v="PALCO"/>
        <s v="VBIND"/>
        <s v="SARVOTTAM"/>
        <s v="SCBL"/>
        <s v="WARDWIZFBL"/>
        <s v="UFO"/>
        <s v="PANTH"/>
        <s v="SHIVALIK"/>
        <s v="THAKKERS"/>
        <s v="INDGN"/>
        <s v="ARFIN"/>
        <s v="VLL"/>
        <s v="HELPAGE"/>
        <s v="INDRAIND"/>
        <s v="HAWAENG"/>
        <s v="ABB"/>
        <s v="ADHBHUTIN"/>
        <s v="DFL"/>
        <s v="POEL"/>
        <s v="AEL"/>
        <s v="CAPFIN"/>
        <s v="SGFIN"/>
        <s v="SATIA"/>
        <s v="GVBL"/>
        <s v="GARMNTMNTR"/>
        <s v="SRESTHA"/>
        <s v="SAUMYA"/>
        <s v="MUL"/>
        <s v="MISHKA"/>
        <s v="SPORTKING"/>
        <s v="FRONTCAP"/>
        <s v="RUDRA"/>
        <s v="LOYAL"/>
        <s v="GGPL"/>
        <s v="CHEMIESYNT"/>
        <s v="TRANOCE"/>
        <s v="BALKRISHNA"/>
        <s v="SHYAMCENT"/>
        <s v="SURYAINDIA"/>
        <s v="BEML"/>
        <s v="STARDELTA"/>
        <s v="AMRAFIN"/>
        <s v="SAMSRITA"/>
        <s v="BEL"/>
        <s v="PECOS"/>
        <s v="MSL"/>
        <s v="KAYA"/>
        <s v="ALSTONE"/>
        <s v="SYMBIOX"/>
        <s v="ORTINLAB"/>
        <s v="AVI"/>
        <s v="AURUM"/>
        <s v="OSWALGREEN"/>
        <s v="VASUDHAGAM"/>
        <s v="AKSPINTEX"/>
        <s v="ARVSMART"/>
        <s v="CGPOWER"/>
        <s v="RAMASTEEL"/>
        <s v="THINKINK"/>
        <s v="UNIAUTO"/>
        <s v="VETO"/>
        <s v="TRILIANCE"/>
        <s v="SHREEPUSHK"/>
        <s v="BHEL"/>
        <s v="WAAREE"/>
        <s v="SADBHIN"/>
        <s v="SALAUTO"/>
        <s v="POLYSPIN"/>
        <s v="PRITIKAUTO"/>
        <s v="SML"/>
        <s v="MINFY"/>
        <s v="KRISHNACAP"/>
        <s v="ACME"/>
        <s v="KCL"/>
        <s v="VISHALBL"/>
        <s v="BELLACASA"/>
        <s v="MALLCOM"/>
        <s v="PJL"/>
        <s v="NAKSH"/>
        <s v="SATIN"/>
        <s v="DITCO"/>
        <s v="OSEASPR"/>
        <s v="GENCON"/>
        <s v="KUBERJI"/>
        <s v="TECHCON"/>
        <s v="TEJNAKSH"/>
        <s v="BRIPORT"/>
        <s v="RFSL"/>
        <s v="COFFEEDAY"/>
        <s v="ELECTCAST"/>
        <s v="BEARDSELL"/>
        <s v="KUSUMEL"/>
        <s v="JUMBFNL"/>
        <s v="SHK"/>
        <s v="TFSL"/>
        <s v="PANORAMA"/>
        <s v="SHREEGANES"/>
        <s v="GTV"/>
        <s v="TFLL"/>
        <s v="GARBIFIN"/>
        <s v="SMARTFIN"/>
        <s v="RAJKOTINV"/>
        <s v="ADCON"/>
        <s v="QUINT"/>
        <s v="UDAYJEW"/>
        <s v="NAVIGANT"/>
        <s v="GROVY"/>
        <s v="ESABINDIA"/>
        <s v="EPL"/>
        <s v="RAJVI"/>
        <s v="CREATIVE"/>
        <s v="AAYUSH"/>
        <s v="MILLENNIUM"/>
        <s v="LUXIND"/>
        <s v="VALLEY"/>
        <s v="ABHIINFRA"/>
        <s v="APOORVA"/>
        <s v="SANCF"/>
        <s v="FINCABLES"/>
        <s v="FMEC"/>
        <s v="DDIL"/>
        <s v="ABHIJIT"/>
        <s v="REGTRUS"/>
        <s v="AARNAV"/>
        <s v="SCL"/>
        <s v="ZNILKENG"/>
        <s v="SHIVA"/>
        <s v="MISHTANN"/>
        <s v="DELTA"/>
        <s v="CGFL"/>
        <s v="KEL"/>
        <s v="BLUECLOUDS"/>
        <s v="KEIL"/>
        <s v="BCLENTERPR"/>
        <s v="PRECAM"/>
        <s v="SOBME"/>
        <s v="VIDLI"/>
        <s v="BESTAGRO"/>
        <s v="ACEMEN"/>
        <s v="BFLAFL"/>
        <s v="RGF"/>
        <s v="RCL"/>
        <s v="QUICKHEAL"/>
        <s v="KAPILRAJ"/>
        <s v="GANGAPHARM"/>
        <s v="DAL"/>
        <s v="LUCENT"/>
        <s v="SHIVKAMAL"/>
        <s v="KPEL"/>
        <s v="IFINSER"/>
        <s v="HILIKS"/>
        <s v="GOKULAGRO"/>
        <s v="FREDUN"/>
        <s v="SIMBHALS"/>
        <s v="RELICAB"/>
        <s v="VKAL"/>
        <s v="MEAPL"/>
        <s v="MNIL"/>
        <s v="DARJEELING"/>
        <s v="ADVIKCA"/>
        <s v="PDMJEPAPER"/>
        <s v="HCC"/>
        <s v="KDML"/>
        <s v="UMIYA"/>
        <s v="BHARATWIRE"/>
        <s v="CHDCHEM"/>
        <s v="HMT"/>
        <s v="INERTIAST"/>
        <s v="MUDRA"/>
        <s v="PHTRADING"/>
        <s v="SUPERIOR"/>
        <s v="RPEL"/>
        <s v="FRANKLIN"/>
        <s v="SHYAM"/>
        <s v="NINSYS"/>
        <s v="HALDER"/>
        <s v="THYROCARE"/>
        <s v="BAJAJHCARE"/>
        <s v="RSDFIN"/>
        <s v="INGERRAND"/>
        <s v="KIRLOSBROS"/>
        <s v="DARSHANORNA"/>
        <s v="PARAGMILK"/>
        <s v="MADHAVIPL"/>
        <s v="NAGAFERT"/>
        <s v="SEIL"/>
        <s v="ZSANMCOM"/>
        <s v="WARDHEALTH"/>
        <s v="YASHCHEM"/>
        <s v="BAZELINTER"/>
        <s v="JLL"/>
        <s v="VISVEN"/>
        <s v="KIRLOSIND"/>
        <s v="ZEAL"/>
        <s v="TWIROST"/>
        <s v="DIGJAMLMTD"/>
        <s v="HUIL"/>
        <s v="TITAANIUM"/>
        <s v="COMSYN"/>
        <s v="MLINDLTD"/>
        <s v="KSB"/>
        <s v="KPL"/>
        <s v="LAXMIMACH"/>
        <s v="TERRAREAL"/>
        <s v="ADVENZYMES"/>
        <s v="LAHL"/>
        <s v="MAHSEAMLES"/>
        <s v="SPAL"/>
        <s v="BIGBLOC"/>
        <s v="GOLDENCREST"/>
        <s v="ECS"/>
        <s v="NCC"/>
        <s v="AMS"/>
        <s v="SHIVAEXPO"/>
        <s v="SURYAROSNI"/>
        <s v="MITSU"/>
        <s v="SPRAYKING"/>
        <s v="DHATRE"/>
        <s v="SABEVENTS"/>
        <s v="RSTL"/>
        <s v="TVVISION"/>
        <s v="VISCO"/>
        <s v="TIAANC"/>
        <s v="JINDALSAW"/>
        <s v="GNA"/>
        <s v="RADHIKAJWE"/>
        <s v="BENTCOM"/>
        <s v="THERMAX"/>
        <s v="IISL"/>
        <s v="ARCFIN"/>
        <s v="HPL"/>
        <s v="SAGARSOFT"/>
        <s v="CLASELE"/>
        <s v="VALIANTORG"/>
        <s v="ACML"/>
        <s v="SHASHIJIT"/>
        <s v="BINDALEXPO"/>
        <s v="DIKSAT"/>
        <s v="SKFINDIA"/>
        <s v="PURPLE"/>
        <s v="SUPRAPFSL"/>
        <s v="ASHOKLEY"/>
        <s v="SOUTHERNIN"/>
        <s v="REGENCY"/>
        <s v="CUMMINSIND"/>
        <s v="SALEM"/>
        <s v="ZNIVITRD"/>
        <s v="LKPSEC"/>
        <s v="OSIAJEE"/>
        <s v="CMBL"/>
        <s v="ESCORTS"/>
        <s v="EIKO"/>
        <s v="LT"/>
        <s v="HEADSUP"/>
        <s v="BAJGLOB"/>
        <s v="TASHIND"/>
        <s v="SIEMENS"/>
        <s v="AUTOINT"/>
        <s v="VSL"/>
        <s v="MTPL"/>
        <s v="CHMBBRW"/>
        <s v="ZMANSOON"/>
        <s v="TRU"/>
        <s v="SKL"/>
        <s v="CESL"/>
        <s v="GRWRHITECH"/>
        <s v="CFL"/>
        <s v="JITFINFRA"/>
        <s v="SUERYAAKNI"/>
        <s v="TANVI"/>
        <s v="RMC"/>
        <s v="PARMAX"/>
        <s v="LLFICL"/>
        <s v="MAGANTR"/>
        <s v="RADIOCITY"/>
        <s v="FINPIPE"/>
        <s v="MERCTRD"/>
        <s v="ONTIC"/>
        <s v="SMLT"/>
        <s v="CHEMCRUX"/>
        <s v="MANOMAY"/>
        <s v="NIRAVCOM"/>
        <s v="MANAS"/>
        <s v="CLEDUCATE"/>
        <s v="PRIMEFRESH"/>
        <s v="OCTAWARE"/>
        <s v="SHANKARA"/>
        <s v="ESCORP"/>
        <s v="PARMSILK"/>
        <s v="KMSMEDI"/>
        <s v="CLFL"/>
        <s v="STARLENT"/>
        <s v="SCHAND"/>
        <s v="KANUNGO"/>
        <s v="MEERA"/>
        <s v="BORORENEW"/>
        <s v="PSPPROJECT"/>
        <s v="BGJL"/>
        <s v="YUG"/>
        <s v="WHITHAL"/>
        <s v="BBL"/>
        <s v="RIDDHICORP"/>
        <s v="GMMPFAUDLR"/>
        <s v="ELECON"/>
        <s v="GTPL"/>
        <s v="KENNAMET"/>
        <s v="ASUTENT"/>
        <s v="GGENG"/>
        <s v="7NR"/>
        <s v="SALASAR"/>
        <s v="GANGESSECU"/>
        <s v="PALASHSECU"/>
        <s v="AVADHSUGAR"/>
        <s v="MAGADSUGAR"/>
        <s v="JIGAR"/>
        <s v="CTCL"/>
        <s v="GSTL"/>
        <s v="PUNCTRD"/>
        <s v="GRINDWELL"/>
        <s v="SMSLIFE"/>
        <s v="GRAPHITE"/>
        <s v="CHOTHANI"/>
        <s v="SMRUTHIORG"/>
        <s v="ITDCEM"/>
        <s v="APEX"/>
        <s v="SHISHIND"/>
        <s v="ANG"/>
        <s v="VARUNME"/>
        <s v="HEG"/>
        <s v="BRNL"/>
        <s v="DCAL"/>
        <s v="LASA"/>
        <s v="VINVANI"/>
        <s v="MATRIMONY"/>
        <s v="RHFL"/>
        <s v="CAPACITE"/>
        <s v="SAGAR"/>
        <s v="SUPREMEIND"/>
        <s v="SITAENT"/>
        <s v="AKM"/>
        <s v="JAICORPLTD"/>
        <s v="DIAMONDYD"/>
        <s v="SGMART"/>
        <s v="TTFL"/>
        <s v="POOJA"/>
        <s v="SAYAJIIND"/>
        <s v="VANTABIO"/>
        <s v="PULSRIN"/>
        <s v="IRIS"/>
        <s v="SGRL"/>
        <s v="ASTALLTD"/>
        <s v="CARBORUNIV"/>
        <s v="USHAMART"/>
        <s v="HONAUT"/>
        <s v="KEI"/>
        <s v="REGENTRP"/>
        <s v="SCPL"/>
        <s v="RATNAMANI"/>
        <s v="VESUVIUS"/>
        <s v="ZJEETMAC"/>
        <s v="ELGIEQUIP"/>
        <s v="IFGLEXPOR"/>
        <s v="KHADIM"/>
        <s v="5PAISA"/>
        <s v="TIMKEN"/>
        <s v="SBRANDS"/>
        <s v="RAMGOPOLY"/>
        <s v="ASPIRA"/>
        <s v="DNAMEDIA"/>
        <s v="DYCL"/>
        <s v="RATNABHUMI"/>
        <s v="SHALBY"/>
        <s v="TTLEL"/>
        <s v="YARNSYN"/>
        <s v="GARWSYN"/>
        <s v="SADHNA"/>
        <s v="ASTRON"/>
        <s v="OSWAYRN"/>
        <s v="IDM"/>
        <s v="JFL"/>
        <s v="7SEASL"/>
        <s v="APOLLO"/>
        <s v="DIACABS"/>
        <s v="PRAXIS"/>
        <s v="PRAJIND"/>
        <s v="PERVASIVE"/>
        <s v="TIRUFOAM"/>
        <s v="KISAAN"/>
        <s v="ASHOKAMET"/>
        <s v="GET&amp;D"/>
        <s v="GGL"/>
        <s v="MEDICO"/>
        <s v="GUJHYSPIN"/>
        <s v="LAL"/>
        <s v="KENVI"/>
        <s v="IWP"/>
        <s v="TDSL"/>
        <s v="BHATIA"/>
        <s v="SHIVAMILLS"/>
        <s v="KPIL"/>
        <s v="DATIWARE"/>
        <s v="KANCOTEA"/>
        <s v="ANGEL"/>
        <s v="GENUSPOWER"/>
        <s v="INFLAME"/>
        <s v="BPLPHARMA"/>
        <s v="SHREESHAY"/>
        <s v="ACFL"/>
        <s v="PATELENG"/>
        <s v="ACTIVE"/>
        <s v="NMSRESRC"/>
        <s v="SHAKTIPUMP"/>
        <s v="WELCORP"/>
        <s v="KBCGLOBAL"/>
        <s v="SANDHAR"/>
        <s v="YASHO"/>
        <s v="BENARA"/>
        <s v="ENGINERSIN"/>
        <s v="APARINDS"/>
        <s v="OTCO"/>
        <s v="APIL"/>
        <s v="TRL"/>
        <s v="ASTRAMICRO"/>
        <s v="CHEMFAB"/>
        <s v="HARDWYN"/>
        <s v="DLCL"/>
        <s v="WELENT"/>
        <s v="NORRIS"/>
        <s v="AKSHAR"/>
        <s v="INDOUS"/>
        <s v="INDOSTAR"/>
        <s v="MILEFUR"/>
        <s v="UHZAVERI"/>
        <s v="PARVATI"/>
        <s v="MEGASTAR"/>
        <s v="INNOVATORS"/>
        <s v="UCIL"/>
        <s v="ZIMLAB"/>
        <s v="AFFORDABLE"/>
        <s v="DOLLAR"/>
        <s v="NGIL"/>
        <s v="REVAORG"/>
        <s v="WAA"/>
        <s v="SUZLON"/>
        <s v="UNICK"/>
        <s v="SOLARA"/>
        <s v="AIAENG"/>
        <s v="KEC"/>
        <s v="GALLANTT"/>
        <s v="RAJNISH"/>
        <s v="STRAEXPO"/>
        <s v="RAWEDGE"/>
        <s v="TCNSBRANDS"/>
        <s v="SUPERSHAKT"/>
        <s v="PRIYALT"/>
        <s v="RACONTEUR"/>
        <s v="GPIL"/>
        <s v="VIVANTA"/>
        <s v="HEMORGANIC"/>
        <s v="VOLTAMP"/>
        <s v="AMINTAN"/>
        <s v="DEEP"/>
        <s v="SMEL"/>
        <s v="ASRL"/>
        <s v="SPACEINCUBA"/>
        <s v="SGIL"/>
        <s v="RANJEET"/>
        <s v="ACE"/>
        <s v="SKYGOLD"/>
        <s v="MACH"/>
        <s v="MANORAMA"/>
        <s v="PARKERAC"/>
        <s v="TIIL"/>
        <s v="AHLUCONT"/>
        <s v="AAL"/>
        <s v="DOLFIN"/>
        <s v="SHUBHAM"/>
        <s v="AKI"/>
        <s v="BIJHANS"/>
        <s v="SMGOLD"/>
        <s v="VIVIDM"/>
        <s v="BCPL"/>
        <s v="ASTRAL"/>
        <s v="PHOSPHATE"/>
        <s v="TIMETECHNO"/>
        <s v="AMBIT"/>
        <s v="SKIFL"/>
        <s v="MHSGRMS"/>
        <s v="ARYAN"/>
        <s v="NIVAKA"/>
        <s v="TRIL"/>
        <s v="NILASPACES"/>
        <s v="SRD"/>
        <s v="TREJHARA"/>
        <s v="DECCAN"/>
        <s v="AXITA"/>
        <s v="JKIL"/>
        <s v="HIKLASS"/>
        <s v="SIDDHEGA"/>
        <s v="SPENCERS"/>
        <s v="GLOSTERLTD"/>
        <s v="XELPMOC"/>
        <s v="SPACAPS"/>
        <s v="AARSHYAM"/>
        <s v="HRMNYCP"/>
        <s v="KNRCON"/>
        <s v="ANMOL"/>
        <s v="GARODCH"/>
        <s v="KRANTI"/>
        <s v="ANUP"/>
        <s v="INTSTOIL"/>
        <s v="TITAGARH"/>
        <s v="SPCAPIT"/>
        <s v="JYOTIN"/>
        <s v="AGOL"/>
        <s v="AARTECH"/>
        <s v="HBEL"/>
        <s v="STRATMONT"/>
        <s v="ROOPSHRI"/>
        <s v="EKAMLEA"/>
        <s v="SHGANEL"/>
        <s v="ISGEC"/>
        <s v="MANINFRA"/>
        <s v="ASHOKA"/>
        <s v="JWL"/>
        <s v="VRFILMS"/>
        <s v="SICAPIT"/>
        <s v="NEOGEN"/>
        <s v="GKP"/>
        <s v="RRSECUR"/>
        <s v="EUROASIA"/>
        <s v="BMW"/>
        <s v="AEPL"/>
        <s v="CHCL"/>
        <s v="DEL"/>
        <s v="HARISH"/>
        <s v="PPL"/>
        <s v="DGCONTENT"/>
        <s v="ARISE"/>
        <s v="ARL"/>
        <s v="MURAE"/>
        <s v="SBC"/>
        <s v="KIRLOSENG"/>
        <s v="CPML"/>
        <s v="SKIEL"/>
        <s v="DCMNVL"/>
        <s v="TEXRAIL"/>
        <s v="TRADEWELL"/>
        <s v="ZENTEC"/>
        <s v="TDPOWERSYS"/>
        <s v="ALPHALOGIC"/>
        <s v="NOVATEOR"/>
        <s v="360ONE"/>
        <s v="TRITURBINE"/>
        <s v="MUFIN"/>
        <s v="MISQUITA"/>
        <s v="GALACTICO"/>
        <s v="VIKALPS"/>
        <s v="APLAPOLLO"/>
        <s v="RHIM"/>
        <s v="GOBLIN"/>
        <s v="GENSOL"/>
        <s v="VISHWARAJ"/>
        <s v="GREENPANEL"/>
        <s v="SHAHLON"/>
        <s v="MOUNT"/>
        <s v="ANUROOP"/>
        <s v="COLABCLOUD"/>
        <s v="SCHNEIDER"/>
        <s v="NBCC"/>
        <s v="HINDWAREAP"/>
        <s v="EASUN"/>
        <s v="PTCIL"/>
        <s v="ASSAMENT"/>
        <s v="GIANLIFE"/>
        <s v="ARTEMISMED"/>
        <s v="INOXWIND"/>
        <s v="JANUSCORP"/>
        <s v="VARDHANCFL"/>
        <s v="UNIVPHOTO"/>
        <s v="CBPL"/>
        <s v="OCTAVIUSPL"/>
        <s v="PNCINFRA"/>
        <s v="SMAUTO"/>
        <s v="POWERMECH"/>
        <s v="ROJL"/>
        <s v="COSPOWER"/>
        <s v="LLOYDSENGG"/>
        <s v="LWSKNIT"/>
        <s v="NATURAL"/>
        <s v="REGIS"/>
        <s v="BILLWIN"/>
        <s v="AARTISURF"/>
        <s v="BONLON"/>
        <s v="BOROLTD"/>
        <s v="ROSSARI"/>
        <s v="NDRAUTO"/>
        <s v="SBGLP"/>
        <s v="DBL"/>
        <s v="MAXIND"/>
        <s v="COCHINSHIP"/>
        <s v="HGINFRA"/>
        <s v="SAMRATFORG"/>
        <s v="ADVAIT"/>
        <s v="ADL"/>
        <s v="BDL"/>
        <s v="CHEMCON"/>
        <s v="SECMARK"/>
        <s v="HAL"/>
        <s v="ATAM"/>
        <s v="MIDHANI"/>
        <s v="RITES"/>
        <s v="GMPL"/>
        <s v="LIKHITHA"/>
        <s v="VGIL"/>
        <s v="NOUVEAU"/>
        <s v="IRCON"/>
        <s v="SHINEFASH"/>
        <s v="GRSE"/>
        <s v="RBA"/>
        <s v="TECHNOE"/>
        <s v="RVHL"/>
        <s v="FAIRCHEMOR"/>
        <s v="RVNL"/>
        <s v="AWHCL"/>
        <s v="RFLL"/>
        <s v="POLYCAB"/>
        <s v="SWSOLAR"/>
        <s v="PRINCEPIPE"/>
        <s v="STOVEKRAFT"/>
        <s v="MRP"/>
        <s v="SMCGLOBAL"/>
        <s v="NURECA"/>
        <s v="POWERINDIA"/>
        <s v="HERANBA"/>
        <s v="DAVANGERE"/>
        <s v="DRCSYSTEMS"/>
        <s v="MAZDOCK"/>
        <s v="MTARTECH"/>
        <s v="IWEL"/>
        <s v="SKRABUL"/>
        <s v="SUUMAYA"/>
        <s v="SHYAMMETL"/>
        <s v="GRINFRA"/>
        <s v="PARAS"/>
        <s v="TEGA"/>
        <s v="SURYODAY"/>
        <s v="DATAPATTNS"/>
        <s v="SUVIDHAA"/>
        <s v="BARBEQUE"/>
        <s v="JYOTHI"/>
        <s v="RCAN"/>
        <s v="JETMALL"/>
        <s v="SYRMA"/>
        <s v="DEEPINDS"/>
        <s v="KAYNES"/>
        <s v="VINEETLAB"/>
        <s v="CYIENTDLM"/>
        <s v="RRKABEL"/>
        <s v="DEVINE"/>
        <s v="INOXINDIA"/>
        <s v="HAPPYFORGE"/>
        <s v="ADESHWAR"/>
        <s v="TIMESGREEN"/>
        <s v="IPL"/>
        <s v="FOCUS"/>
        <s v="AZAD"/>
        <s v="JYOTICNC"/>
        <s v="VSDCONF"/>
        <s v="EXICOM"/>
        <s v="TATVA"/>
        <s v="JISLDVREQS"/>
        <s v="GCSL"/>
        <s v="INFY"/>
        <s v="EXXARO"/>
        <s v="KRSNAA"/>
        <s v="WINDLAS"/>
        <s v="TATAELXSI"/>
        <s v="MOL"/>
        <s v="BBOX"/>
        <s v="CARTRADE"/>
        <s v="ZENSARTECH"/>
        <s v="WIPRO"/>
        <s v="MASTEK"/>
        <s v="SHARPLINE"/>
        <s v="AASHKA"/>
        <s v="MPHASIS"/>
        <s v="CYIENT"/>
        <s v="SVAINDIA"/>
        <s v="SONATSOFTW"/>
        <s v="PREVEST"/>
        <s v="MARKOLINES"/>
        <s v="SBLI"/>
        <s v="HCLTECH"/>
        <s v="HINDAPL"/>
        <s v="SVRL"/>
        <s v="BSOFT"/>
        <s v="PROMAX"/>
        <s v="SAMOR"/>
        <s v="ADISHAKTI"/>
        <s v="MOSCHIP"/>
        <s v="FINOPB"/>
        <s v="SJS"/>
        <s v="SIGACHI"/>
        <s v="OFSS"/>
        <s v="SGFRL"/>
        <s v="TCS"/>
        <s v="COFORGE"/>
        <s v="AURIONPRO"/>
        <s v="TARSONS"/>
        <s v="OMNIPOTENT"/>
        <s v="RSYSTEMS"/>
        <s v="SHVFL"/>
        <s v="HITECH"/>
        <s v="TECHM"/>
        <s v="TANLA"/>
        <s v="PERSISTENT"/>
        <s v="ZODIAC"/>
        <s v="INTELLECT"/>
        <s v="SHRIRAMPPS"/>
        <s v="SHKALYN"/>
        <s v="MCLOUD"/>
        <s v="LTIM"/>
        <s v="LTTS"/>
        <s v="NEWGEN"/>
        <s v="HPAL"/>
        <s v="SUPRIYA"/>
        <s v="CLARA"/>
        <s v="BRANDBUCKT"/>
        <s v="SICAGEN"/>
        <s v="BCONCEPTS"/>
        <s v="FABINO"/>
        <s v="WEL"/>
        <s v="AGSTRA"/>
        <s v="ALKOSIGN"/>
        <s v="KPITTECH"/>
        <s v="QRIL"/>
        <s v="KCSL"/>
        <s v="DEVIT"/>
        <s v="AFFLE"/>
        <s v="SPITZE"/>
        <s v="SOFTTECH"/>
        <s v="EKENNIS"/>
        <s v="HAPPSTMNDS"/>
        <s v="ADARSH"/>
        <s v="LATENTVIEW"/>
        <s v="BCCL"/>
        <s v="RATEGAIN"/>
        <s v="ACHYUT"/>
        <s v="HCLTD"/>
        <s v="AVROIND"/>
        <s v="SIROHIA"/>
        <s v="VERANDA"/>
        <s v="MIHIKA"/>
        <s v="ABHIFIN"/>
        <s v="HARIOMPIPE"/>
        <s v="EIGHTY"/>
        <s v="SFSL"/>
        <s v="GLHRL"/>
        <s v="FONE4"/>
        <s v="NVENTURES"/>
        <s v="MAPMYINDIA"/>
        <s v="EMUDHRA"/>
        <s v="SILVERTUC"/>
        <s v="NETWEB"/>
        <s v="TATATECH"/>
        <s v="VENUSPIPES"/>
        <s v="JAYATMA"/>
        <s v="ADANIPORTS"/>
        <s v="TIERRA"/>
        <s v="INDIGO"/>
        <s v="JSWINFRA"/>
        <s v="CONCOR"/>
        <s v="FRASER"/>
        <s v="SILVERPRL"/>
        <s v="SCARNOSE"/>
        <s v="GOEL"/>
        <s v="MODIS"/>
        <s v="PGCRL"/>
        <s v="SAILANI"/>
        <s v="KESAR"/>
        <s v="BRRL"/>
        <s v="JAYANT"/>
        <s v="VEERKRUPA"/>
        <s v="HEALTHYLIFE"/>
        <s v="DDEVPLASTIK"/>
        <s v="GMRINFRA"/>
        <s v="OLATECH"/>
        <s v="NATURO"/>
        <s v="RHETAN"/>
        <s v="ICSL"/>
        <s v="DBOL"/>
        <s v="DPL"/>
        <s v="EPBIO"/>
        <s v="DELHIVERY"/>
        <s v="VOEPL"/>
        <s v="SISL"/>
        <s v="KSOLVES"/>
        <s v="HARSHA"/>
        <s v="CONTAINE"/>
        <s v="MAFIA"/>
        <s v="TIPSFILMS"/>
        <s v="JEL"/>
        <s v="TLL"/>
        <s v="REETECH"/>
        <s v="SWAGTAM"/>
        <s v="CNCRD"/>
        <s v="BLUEDART"/>
        <s v="IGCIL"/>
        <s v="STML"/>
        <s v="VEDANTASSET"/>
        <s v="MAAGHADV"/>
        <s v="ELITECON"/>
        <s v="GESHIP"/>
        <s v="REDINGTON"/>
        <s v="DCI"/>
        <s v="PACE"/>
        <s v="SIPTL"/>
        <s v="NARMADA"/>
        <s v="INFOBEAN"/>
        <s v="HPIL"/>
        <s v="DCXINDIA"/>
        <s v="DAPS"/>
        <s v="FUSION"/>
        <s v="FSL"/>
        <s v="MMTC"/>
        <s v="TECHNOPACK"/>
        <s v="SCI"/>
        <s v="ECLERX"/>
        <s v="GPPL"/>
        <s v="QUESS"/>
        <s v="BBTCL"/>
        <s v="TVSSCS"/>
        <s v="VINNY"/>
        <s v="MIL"/>
        <s v="AMBOAGRI"/>
        <s v="SIRCA"/>
        <s v="DHARMAJ"/>
        <s v="SARVESHWAR"/>
        <s v="UNIPARTS"/>
        <s v="GARGI"/>
        <s v="SULA"/>
        <s v="AHL"/>
        <s v="SIIL"/>
        <s v="LANDMARK"/>
        <s v="FRANKLININD"/>
        <s v="CMSINFO"/>
        <s v="ELIN"/>
        <s v="SHASHANK"/>
        <s v="AVEER"/>
        <s v="SAH"/>
        <s v="REXSEAL"/>
        <s v="SVS"/>
        <s v="LOGICA"/>
        <s v="KAMOPAINTS"/>
        <s v="TCI"/>
        <s v="DHARNI"/>
        <s v="NEWLIGHT"/>
        <s v="EARTH"/>
        <s v="ASHIKA"/>
        <s v="BTML"/>
        <s v="NSLNISP"/>
        <s v="INDONG"/>
        <s v="SEALMATIC"/>
        <s v="ROBU"/>
        <s v="PATRON"/>
        <s v="SVJ"/>
        <s v="AMANAYA"/>
        <s v="RESGEN"/>
        <s v="SHANGAR"/>
        <s v="AIRAN"/>
        <s v="DIVGIITTS"/>
        <s v="PCL"/>
        <s v="SUDARSHAN"/>
        <s v="GSLSU"/>
        <s v="LABELKRAFT"/>
        <s v="BRIGHT"/>
        <s v="COMMAND"/>
        <s v="DEVLAB"/>
        <s v="JAFINANCE"/>
        <s v="USK"/>
        <s v="MAIDEN"/>
        <s v="EXHICON"/>
        <s v="AVALON"/>
        <s v="SANCODE"/>
        <s v="BLAL"/>
        <s v="RHL"/>
        <s v="RETINA"/>
        <s v="SIS"/>
        <s v="INNOKAIZ"/>
        <s v="FLORACORP"/>
        <s v="ATALREAL"/>
        <s v="PIGL"/>
        <s v="SWATIPRO"/>
        <s v="PAVNAIND"/>
        <s v="HSIL"/>
        <s v="SIGMA"/>
        <s v="GHCLTEXTIL"/>
        <s v="MKPL"/>
        <s v="CFF"/>
        <s v="COMRADE"/>
        <s v="IKIO"/>
        <s v="SONALIS"/>
        <s v="BIZOTIC"/>
        <s v="ASIAN"/>
        <s v="COSMICCRF"/>
        <s v="HMAAGRO"/>
        <s v="URAVI"/>
        <s v="VEEFIN"/>
        <s v="IDEAFORGE"/>
        <s v="NESCO"/>
        <s v="MACIND"/>
        <s v="MSTCLTD"/>
        <s v="ALPHAIND"/>
        <s v="ACCELERATE"/>
        <s v="KAKA"/>
        <s v="ALLCARGO"/>
        <s v="AHASOLAR"/>
        <s v="HEMIPROP"/>
        <s v="ASARFI"/>
        <s v="VRLLOG"/>
        <s v="YATHARTH"/>
        <s v="INNOVATUS"/>
        <s v="GATEWAY"/>
        <s v="KHAZANCHI"/>
        <s v="RAIDEEPIND"/>
        <s v="KCDGROUP"/>
        <s v="HFCL"/>
        <s v="VLEGOV"/>
        <s v="TATACOMM"/>
        <s v="ITI"/>
        <s v="DPWIRES"/>
        <s v="SHELTER"/>
        <s v="PROCLB"/>
        <s v="PYRAMID"/>
        <s v="SHOORA"/>
        <s v="TTML"/>
        <s v="AEROFLEX"/>
        <s v="VPRPL"/>
        <s v="SHRAAITECH"/>
        <s v="RISHABH"/>
        <s v="RATNAVEER"/>
        <s v="KAHAN"/>
        <s v="STLTECH"/>
        <s v="BHARTIARTL"/>
        <s v="MESON"/>
        <s v="EMSLIMITED"/>
        <s v="SAMHI"/>
        <s v="ZAGGLE"/>
        <s v="SOUTHWEST"/>
        <s v="IDEA"/>
        <s v="KALAMANDIR"/>
        <s v="INDUSTOWER"/>
        <s v="CHANDRIMA"/>
        <s v="YATRA"/>
        <s v="ARCL"/>
        <s v="JONJUA"/>
        <s v="MVGJL"/>
        <s v="GLEAM"/>
        <s v="ORGANICREC"/>
        <s v="VALIANTLAB"/>
        <s v="CCAL"/>
        <s v="SUNITATOOL"/>
        <s v="VIVAA"/>
        <s v="PLAZACABLE"/>
        <s v="IRMENERGY"/>
        <s v="TEJASNET"/>
        <s v="ROUTE"/>
        <s v="CHANDNIMACH"/>
        <s v="RAILTEL"/>
        <s v="KKSHL"/>
        <s v="BONDADA"/>
        <s v="MISHDESIGN"/>
        <s v="ESAFSFB"/>
        <s v="PROTEAN"/>
        <s v="BHARTIHEXA"/>
        <s v="KALYANI"/>
        <s v="ARROWHEAD"/>
        <s v="CESC"/>
        <s v="FEDFINA"/>
        <s v="IONEXCHANG"/>
        <s v="GANDHAR"/>
        <s v="FLAIR"/>
        <s v="SPL"/>
        <s v="DEEPAKCHEM"/>
        <s v="AMIC"/>
        <s v="BAJEL"/>
        <s v="RELINFRA"/>
        <s v="TATAPOWER"/>
        <s v="NAVA"/>
        <s v="SIYARAM"/>
        <s v="BENCHMARK"/>
        <s v="MOTISONS"/>
        <s v="SURAJEST"/>
        <s v="MUTHOOTMF"/>
        <s v="NAVODAYENT"/>
        <s v="NLCINDIA"/>
        <s v="MUFTI"/>
        <s v="SHANTIDENM"/>
        <s v="RBZJEWEL"/>
        <s v="PTC"/>
        <s v="SUNCLAY"/>
        <s v="INNOVACAP"/>
        <s v="AIKPIPES"/>
        <s v="MCPL"/>
        <s v="SBVCL"/>
        <s v="DIGIDRIVE"/>
        <s v="SHILINDORE"/>
        <s v="NTPC"/>
        <s v="SWANAGRO"/>
        <s v="SHREE"/>
        <s v="MEDIASSIST"/>
        <s v="SHPLPUNE"/>
        <s v="AAPLUSTRAD"/>
        <s v="EUPHORIAIT"/>
        <s v="EPACK"/>
        <s v="NOVAAGRI"/>
        <s v="BRISK"/>
        <s v="HARSHDEEP"/>
        <s v="MCFL"/>
        <s v="BLSE"/>
        <s v="GPSL"/>
        <s v="PARKHOTELS"/>
        <s v="JGTL"/>
        <s v="SIGNPOST"/>
        <s v="JPPOWER"/>
        <s v="RPTECH"/>
        <s v="CAPITALSFB"/>
        <s v="RUDRAGAS"/>
        <s v="ENTERO"/>
        <s v="VSTL"/>
        <s v="TORNTPOWER"/>
        <s v="GPTHEALTH"/>
        <s v="POWERGRID"/>
        <s v="PLATIND"/>
        <s v="MUKKA"/>
        <s v="RKSWAMY"/>
        <s v="JGCHEM"/>
        <s v="KOURA"/>
        <s v="GOPAL"/>
        <s v="PESB"/>
        <s v="SCILAL"/>
        <s v="ROYAL"/>
        <s v="PVSL"/>
        <s v="POBS"/>
        <s v="KPGEL"/>
        <s v="CHATHA"/>
        <s v="EVOQ"/>
        <s v="VRUDDHI"/>
        <s v="SRM"/>
        <s v="JAYKAILASH"/>
        <s v="DPABHUSHAN"/>
        <s v="RPOWER"/>
        <s v="GVL"/>
        <s v="FAALCON"/>
        <s v="SHIVAM"/>
        <s v="EMMFORCE"/>
        <s v="JNKINDIA"/>
        <s v="VARYAA"/>
        <s v="AMKAY"/>
        <s v="SAI"/>
        <s v="STAL"/>
        <s v="ADANIPOWER"/>
        <s v="FTL"/>
        <s v="NHPC"/>
        <s v="TGIF"/>
        <s v="RTNPOWER"/>
        <s v="AZTEC"/>
        <s v="PIOTEX"/>
        <s v="JSWENERGY"/>
        <s v="QLL"/>
        <s v="ASSOCIATED"/>
        <s v="BOROSCI"/>
        <s v="ADTECH"/>
        <s v="TOTEM"/>
        <s v="KRONOX"/>
        <s v="MAGENTA"/>
        <s v="SATTRIX"/>
        <s v="3CIT"/>
        <s v="PURPLEFIN"/>
        <s v="IXIGO"/>
        <s v="COTFAB"/>
        <s v="RETAIL"/>
        <s v="DEEDEV"/>
        <s v="GEMENVIRO"/>
        <s v="AFIL"/>
        <s v="DFPL"/>
        <s v="SENSEXIETF"/>
        <s v="SJVN"/>
        <s v="FELDVR"/>
        <s v="WABAG"/>
        <s v="GATECHDVR"/>
        <s v="WAAREERTL"/>
        <s v="TIDEWATER"/>
        <s v="AMRUTANJAN"/>
        <s v="XPROINDIA"/>
        <s v="HISARMETAL"/>
        <s v="BHARATRAS"/>
        <s v="ADANIENSOL"/>
        <s v="GINNIFILA"/>
        <s v="SPIC"/>
        <s v="DENORA"/>
        <s v="KAVVERITEL"/>
        <s v="SAKSOFT"/>
        <s v="SALONA"/>
        <s v="EQUIPPP"/>
        <s v="ANDHRSUGAR"/>
        <s v="IMPAL"/>
        <s v="KCP"/>
        <s v="KHAITANLTD"/>
        <s v="RADAAN"/>
        <s v="ADANIGREEN"/>
        <s v="SUNDRMBRAK"/>
        <s v="WHEELS"/>
        <s v="LAMBODHARA"/>
        <s v="MAITHANALL"/>
        <s v="ORISSAMINE"/>
        <s v="NIFTYBEES"/>
        <s v="JUNIORBEES"/>
        <s v="BANKBEES"/>
        <s v="PSUBANK"/>
        <s v="PSUBNKBEES"/>
        <s v="SHARIABEES"/>
        <s v="QNIFTY"/>
        <s v="MOM50"/>
        <s v="MADRASFERT"/>
        <s v="KPIGREEN"/>
        <s v="BSHSL"/>
        <s v="GMRP&amp;UI"/>
        <s v="IRBIT"/>
        <s v="JASH"/>
        <s v="MBAPL"/>
        <s v="NDRINVIT"/>
        <s v="ORIANA"/>
        <s v="INA"/>
        <s v="SPECTRUM"/>
        <s v="INOXGREEN"/>
        <s v="THEJO"/>
        <s v="VERTOZ"/>
      </sharedItems>
    </cacheField>
    <cacheField name="Security Name" numFmtId="0">
      <sharedItems>
        <s v="ATUL LTD."/>
        <s v="CENTURY TEXTILES &amp; INDUSTRIES LTD."/>
        <s v="BASF INDIA LTD."/>
        <s v="AMBALAL SARABHAI ENTERPRISES LTD."/>
        <s v="ANDHRA PETROCHEMICALS LTD."/>
        <s v="ANSAL PROPERTIES &amp; INFRASTRUCTURE LTD."/>
        <s v="Utique Enterprises Ltd"/>
        <s v="ARUNA HOTELS LTD."/>
        <s v="BOMBAY DYEING &amp; MFG.CO.LTD."/>
        <s v="Asian Hotels (North) Limited"/>
        <s v="CHAMBAL FERTILISERS &amp; CHEMICALS LTD."/>
        <s v="ATV PROJECTS INDIA LTD."/>
        <s v="STEEL AUTHORITY OF INDIA LTD."/>
        <s v="ELANTAS BECK INDIA LTD.-$"/>
        <s v="E.I.D.-PARRY (INDIA) LTD."/>
        <s v="GHCL LTD."/>
        <s v="Himadri Speciality Chemical Ltd"/>
        <s v="BANCO PRODUCTS (INDIA) LTD.-$"/>
        <s v="HINDUSTAN ZINC LTD."/>
        <s v="BANNARI AMMAN SUGARS LTD."/>
        <s v="JSW STEEL LTD."/>
        <s v="KIRLOSKAR FERROUS INDUSTRIES LTD."/>
        <s v="The Ramco Cements Limited"/>
        <s v="Vedanta Limited"/>
        <s v="BHANSALI ENGINEERING POLYMERS LTD.-$"/>
        <s v="BIHAR SPONGE IRON LTD."/>
        <s v="BINANI INDUSTRIES LTD."/>
        <s v="Birla Cable Ltd"/>
        <s v="GRASIM INDUSTRIES LTD."/>
        <s v="DISA INDIA LTD."/>
        <s v="Quest Capital Markets Ltd"/>
        <s v="BPL LTD."/>
        <s v="Oriental Aromatics Ltd-$"/>
        <s v="CENTURY EXTRUSIONS LTD."/>
        <s v="PIDILITE INDUSTRIES LTD."/>
        <s v="BIRLA CORPORATION LTD."/>
        <s v="Prism Johnson Ltd"/>
        <s v="Rain Industries Ltd"/>
        <s v="DIC INDIA LTD."/>
        <s v="RALLIS INDIA LTD."/>
        <s v="JK LAKSHMI CEMENT LTD."/>
        <s v="SHREE CEMENT LTD."/>
        <s v="Dalmia Bharat Sugar and Industries Ltd"/>
        <s v="SUPREME PETROCHEM LTD."/>
        <s v="ACC LTD."/>
        <s v="AMBUJA CEMENTS LTD."/>
        <s v="HINDALCO INDUSTRIES LTD."/>
        <s v="MAHANAGAR TELEPHONE NIGAM LTD."/>
        <s v="TATA STEEL LTD."/>
        <s v="DEEPAK FERTILISERS &amp; PETROCHEMICALS CORPORATION LTD."/>
        <s v="GUJARAT NARMADA VALLEY FERTILIZERS &amp; CHEMICALS LTD."/>
        <s v="GUJARAT STATE FERTILIZERS &amp; CHEMICALS LTD."/>
        <s v="TATA CHEMICALS LTD."/>
        <s v="KESORAM INDUSTRIES LTD."/>
        <s v="DCW LTD."/>
        <s v="DHAMPUR SUGAR MILLS LTD."/>
        <s v="DIAMINES &amp; CHEMICALS LTD.-$"/>
        <s v="SRF LTD."/>
        <s v="SARDA ENERGY &amp; MINERALS LTD.-$"/>
        <s v="BAYER CROPSCIENCE LTD."/>
        <s v="COROMANDEL INTERNATIONAL LTD."/>
        <s v="DEEPAK NITRITE LTD.-$"/>
        <s v="PCBL Ltd"/>
        <s v="SUDARSHAN CHEMICAL INDUSTRIES LTD."/>
        <s v="ESTER INDUSTRIES LTD."/>
        <s v="FGP LTD."/>
        <s v="PH CAPITAL LTD."/>
        <s v="ALKYL AMINES CHEMICALS LTD.-$"/>
        <s v="John Cockerill India Ltd-$"/>
        <s v="UFLEX LTD."/>
        <s v="FOSECO INDIA LTD."/>
        <s v="GOLDEN TOBACCO LTD."/>
        <s v="GANESH BENZOPLAST LTD."/>
        <s v="DHANUKA AGRITECH LTD."/>
        <s v="GTL LTD."/>
        <s v="UPL Limited"/>
        <s v="LLOYDS METALS AND ENERGY LTD."/>
        <s v="ADANI ENTERPRISES LTD."/>
        <s v="GOODRICKE GROUP LTD."/>
        <s v="GOODYEAR INDIA LTD."/>
        <s v="GTN INDUSTRIES LTD."/>
        <s v="HINDUSTAN COPPER LTD."/>
        <s v="GFL Ltd"/>
        <s v="GUJARAT LEASE FINANCING LTD."/>
        <s v="HCL INFOSYSTEMS LTD."/>
        <s v="Linde India Limited"/>
        <s v="NATIONAL FERTILIZERS LTD."/>
        <s v="PI Industries Ltd"/>
        <s v="VINATI ORGANICS LTD.-$"/>
        <s v="AARTI INDUSTRIES LTD."/>
        <s v="HINDUSTAN OIL EXPLORATION CO.LTD."/>
        <s v="Agi Greenpac Ltd"/>
        <s v="RASHTRIYA CHEMICALS &amp; FERTILIZERS LTD."/>
        <s v="NDL Ventures Ltd"/>
        <s v="NMDC LTD."/>
        <s v="PRAG BOSIMI SYNTHETICS LTD."/>
        <s v="HLV Ltd"/>
        <s v="I G PETROCHEMICALS LTD."/>
        <s v="INDIA GLYCOLS LTD."/>
        <s v="INDIA LEASE DEVELOPMENT LTD."/>
        <s v="Margo Finance Limited"/>
        <s v="INDO RAMA SYNTHETICS (INDIA) LTD."/>
        <s v="GUJARAT ALKALIES &amp; CHEMICALS LTD."/>
        <s v="INDIA CEMENTS LTD."/>
        <s v="INTERNATIONAL TRAVEL HOUSE LTD.-$"/>
        <s v="Privi Speciality Chemicals Ltd"/>
        <s v="AGRO TECH FOODS LTD."/>
        <s v="JAIN IRRIGATION SYSTEMS LTD."/>
        <s v="JASCH INDUSTRIES LTD."/>
        <s v="JINDAL POLY FILMS LTD."/>
        <s v="BALAJI AMINES LTD.-$"/>
        <s v="UMANG DAIRIES LTD."/>
        <s v="JK PAPER LTD."/>
        <s v="KAKATIYA CEMENT SUGAR &amp; INDUSTRIES LTD."/>
        <s v="KALYANI STEELS LTD."/>
        <s v="GUJARAT MINERAL DEVELOPMENT CORPORATION LTD."/>
        <s v="NATIONAL ALUMINIUM CO.LTD."/>
        <s v="KG DENIM LTD."/>
        <s v="KINETIC ENGINEERING LTD."/>
        <s v="JINDAL STEEL &amp; POWER LTD."/>
        <s v="Navin Fluorine International Limited-$"/>
        <s v="JINDAL STAINLESS LTD."/>
        <s v="ENVAIR ELECTRODYNE LTD."/>
        <s v="ULTRATECH CEMENT LTD."/>
        <s v="Krishna Filament Industries Ltd"/>
        <s v="J.K.CEMENT LTD."/>
        <s v="L.G.BALAKRISHNAN &amp; BROS.LTD."/>
        <s v="SOLAR INDUSTRIES INDIA LTD."/>
        <s v="JAI BALAJI INDUSTRIES LTD."/>
        <s v="GRAVITA INDIA LTD."/>
        <s v="MOIL LTD."/>
        <s v="LYKA LABS LTD."/>
        <s v="Orient Cement Ltd"/>
        <s v="Hybrid Financial Services Ltd"/>
        <s v="MAFATLAL INDUSTRIES LTD.-$"/>
        <s v="Star Cement Ltd"/>
        <s v="KIOCL Ltd"/>
        <s v="Galaxy Surfactants Ltd"/>
        <s v="MANALI PETROCHEMICAL LTD."/>
        <s v="BARODA RAYON CORPORATION LTD."/>
        <s v="Fine Organic Industries Ltd"/>
        <s v="MID INDIA INDUSTRIES LTD."/>
        <s v="MIRC ELECTRONICS LTD."/>
        <s v="CENTURY ENKA LTD."/>
        <s v="MODERN THREADS (INDIA) LTD."/>
        <s v="LORDS CHLORO ALKALI LTD."/>
        <s v="Dalmia Bharat Ltd"/>
        <s v="MOREPEN LABORATORIES LTD."/>
        <s v="Gujarat Fluorochemicals Ltd"/>
        <s v="HEIDELBERGCEMENT INDIA LTD."/>
        <s v="Sumitomo Chemical India Ltd"/>
        <s v="Jubilant Ingrevia Ltd"/>
        <s v="NAHAR SPINNING MILLS LTD."/>
        <s v="Naperol Investments Ltd"/>
        <s v="Anupam Rasayan India Ltd"/>
        <s v="Laxmi Organic Industries Ltd"/>
        <s v="NIIT LTD."/>
        <s v="JAYKAY ENTERPRISES LTD."/>
        <s v="Clean Science and Technology Ltd"/>
        <s v="Epigral Ltd"/>
        <s v="OIL COUNTRY TUBULAR LTD."/>
        <s v="ORIENTAL HOTELS LTD."/>
        <s v="Nuvoco Vistas Corporation Ltd"/>
        <s v="INDIAN SUCROSE LTD."/>
        <s v="PANYAM CEMENTS &amp; MINERAL INDUSTRIES LTD."/>
        <s v="Chemplast Sanmar Ltd"/>
        <s v="Pil Italica Lifestyle Ltd"/>
        <s v="Paradeep Phosphates Ltd"/>
        <s v="Aether Industries Ltd"/>
        <s v="PIX TRANSMISSIONS LTD."/>
        <s v="Archean Chemical Industries Ltd"/>
        <s v="FERTILIZERS &amp; CHEMICALS TRAVANCORE LTD."/>
        <s v="PRIME SECURITIES LTD."/>
        <s v="Amara Raja Energy &amp; Mobility Ltd"/>
        <s v="BAJAJ ELECTRICALS LTD.-$"/>
        <s v="PRUDENTIAL SUGAR CORPORATION LTD."/>
        <s v="AMJ Land Holdings Ltd"/>
        <s v="PUNJAB COMMUNICATIONS LTD.-$"/>
        <s v="RSWM LTD."/>
        <s v="RAJSHREE SUGARS &amp; CHEMICALS LTD."/>
        <s v="FORCE MOTORS LTD.-$"/>
        <s v="SHREE RAMA NEWSPRINT LTD."/>
        <s v="RAMA PAPER MILLS LTD."/>
        <s v="RAPICUT CARBIDES LTD."/>
        <s v="Welspun Specialty Solutions Ltd"/>
        <s v="RUBFILA INTERNATIONAL LTD."/>
        <s v="BATA INDIA LTD."/>
        <s v="BLUE STAR LTD."/>
        <s v="EXIDE INDUSTRIES LTD."/>
        <s v="ARVIND LTD."/>
        <s v="Titan Company Limited"/>
        <s v="SHREE KRISHNA PAPER MILLS &amp; INDUSTRIES LTD."/>
        <s v="KANSAI NEROLAC PAINTS LTD."/>
        <s v="HERO MOTOCORP LTD."/>
        <s v="SPML Infra Limited"/>
        <s v="KAJARIA CERAMICS LTD."/>
        <s v="SUNFLAG IRON &amp; STEEL CO.LTD."/>
        <s v="WHIRLPOOL OF INDIA LTD."/>
        <s v="SWARAJ ENGINES LTD."/>
        <s v="TRENT LTD."/>
        <s v="MRF LTD."/>
        <s v="RAYMOND LTD."/>
        <s v="THIRUMALAI CHEMICALS LTD."/>
        <s v="SUNDRAM FASTENERS LTD."/>
        <s v="TIMEX GROUP INDIA LTD.-$"/>
        <s v="TOKYO PLAST INTERNATIONAL LTD."/>
        <s v="THOMAS COOK (INDIA) LTD."/>
        <s v="TPI INDIA LTD."/>
        <s v="TRANSCHEM LTD.-$"/>
        <s v="BHARAT FORGE LTD."/>
        <s v="UTL Industries Limited"/>
        <s v="UNIPHOS ENTERPRISES LTD."/>
        <s v="VARDHMAN HOLDINGS LTD."/>
        <s v="MAHINDRA &amp; MAHINDRA LTD."/>
        <s v="WEST COAST PAPER MILLS LTD."/>
        <s v="HINDUSTAN ORGANIC CHEMICALS LTD."/>
        <s v="MPIL CORPORATION LTD."/>
        <s v="PASUPATI ACRYLON LTD."/>
        <s v="Kore Foods Ltd"/>
        <s v="BOSCH LTD."/>
        <s v="MUKAND LTD."/>
        <s v="TATA MOTORS LTD."/>
        <s v="Ucal  Ltd"/>
        <s v="HARRISONS MALAYALAM LTD."/>
        <s v="VOLTAS LTD."/>
        <s v="Akzo Nobel India Limited"/>
        <s v="ASIAN PAINTS LTD."/>
        <s v="EIH LTD."/>
        <s v="INDIAN HOTELS CO.LTD."/>
        <s v="APOLLO TYRES LTD."/>
        <s v="CEAT LTD."/>
        <s v="BALKRISHNA INDUSTRIES LTD.-$"/>
        <s v="VARDHMAN TEXTILES LTD."/>
        <s v="The Phoenix Mills Ltd"/>
        <s v="HINDUSTAN MOTORS LTD."/>
        <s v="NATIONAL STANDARD (INDIA) LTD."/>
        <s v="EICHER MOTORS LTD."/>
        <s v="RESPONSIVE INDUSTRIES LTD."/>
        <s v="PREMIER LTD."/>
        <s v="Westlife Foodworld Ltd"/>
        <s v="ZEE ENTERTAINMENT ENTERPRISES LTD."/>
        <s v="GABRIEL INDIA LTD.-$"/>
        <s v="IFB INDUSTRIES LTD."/>
        <s v="Schaeffler India Ltd"/>
        <s v="V.I.P.INDUSTRIES LTD.-$"/>
        <s v="EXCEL INDUSTRIES LTD."/>
        <s v="BERGER PAINTS INDIA LTD."/>
        <s v="Garware Technical Fibres Ltd"/>
        <s v="SUNTECK REALTY LTD."/>
        <s v="NOVARTIS INDIA LTD."/>
        <s v="Welspun Living Ltd"/>
        <s v="ASAHI INDIA GLASS LTD."/>
        <s v="Anant Raj Limited-$"/>
        <s v="HBL POWER SYSTEMS LTD.-$"/>
        <s v="Samvardhana Motherson International Ltd"/>
        <s v="NOCIL LTD."/>
        <s v="HAVELLS INDIA LTD."/>
        <s v="TAMILNADU PETROPRODUCTS LTD."/>
        <s v="Zuari Industries Ltd"/>
        <s v="Symphony Limited"/>
        <s v="TTK PRESTIGE LTD."/>
        <s v="Jtekt India Ltd"/>
        <s v="INDO COUNT INDUSTRIES LTD."/>
        <s v="TRIDENT LTD."/>
        <s v="ALOK INDUSTRIES LTD."/>
        <s v="SAFARI INDUSTRIES (INDIA) LTD."/>
        <s v="Johnson Controls-Hitachi Air Conditioning India Ltd"/>
        <s v="GANESH HOUSING CORPORATION LTD.-$"/>
        <s v="JK TYRE &amp; INDUSTRIES LTD."/>
        <s v="RELAXO FOOTWEARS LTD.-$"/>
        <s v="MODI RUBBER LTD."/>
        <s v="RAJESH EXPORTS LTD."/>
        <s v="SUNRISE INDUSTRIAL TRADERS LTD."/>
        <s v="JINDAL WORLDWIDE LTD."/>
        <s v="Vaibhav Global Ltd"/>
        <s v="DALAL STREET INVESTMENTS LTD."/>
        <s v="CENTRUM CAPITAL LTD."/>
        <s v="TCI FINANCE LTD."/>
        <s v="SAREGAMA INDIA LTD."/>
        <s v="Antariksh Industries Ltd"/>
        <s v="INDUSTRIAL INVESTMENT TRUST LTD."/>
        <s v="INDUSTRIAL &amp; PRUDENTIAL INVESTMENTS CO.LTD."/>
        <s v="INDIA TOURISM DEVELOPMENT CORPORATION LTD."/>
        <s v="JAYABHARAT CREDIT LTD.-$"/>
        <s v="MAHINDRA LIFESPACE DEVELOPERS LTD."/>
        <s v="TVS MOTOR COMPANY LTD."/>
        <s v="TIPS INDUSTRIES LTD."/>
        <s v="Olectra Greentech Ltd"/>
        <s v="SWASTIK SAFE DEPOSIT &amp; INVESTMENTS LTD."/>
        <s v="W.H.BRADY &amp; CO.LTD."/>
        <s v="TECHNVISION VENTURES LTD."/>
        <s v="SHAILY ENGINEERING PLASTICS LTD."/>
        <s v="CERA SANITARYWARE LTD."/>
        <s v="MARUTI SUZUKI INDIA LTD."/>
        <s v="GREAVES COTTON LTD."/>
        <s v="SUPRAJIT ENGINEERING LTD.-$"/>
        <s v="RAMKRISHNA FORGINGS LTD."/>
        <s v="UNO Minda Ltd-$"/>
        <s v="Anand Projects Ltd"/>
        <s v="INDIANIVESH LTD."/>
        <s v="COASTAL CORPORATION LTD."/>
        <s v="CENTURY PLYBOARDS (I) LTD.-$"/>
        <s v="JBM AUTO LTD."/>
        <s v="ASI Industries Ltd"/>
        <s v="SAGAR CEMENTS LTD.-$"/>
        <s v="HEMADRI CEMENTS LTD."/>
        <s v="DECCAN CEMENTS LTD.-$"/>
        <s v="MANGALAM CEMENT LTD."/>
        <s v="NCL INDUSTRIES LTD.-$"/>
        <s v="SAURASHTRA CEMENT LTD."/>
        <s v="SHREE DIGVIJAY CEMENT CO.LTD.-$"/>
        <s v="GOKALDAS EXPORTS LTD."/>
        <s v="Lerthai Finance Ltd"/>
        <s v="TRIVENI GLASS LTD.-$"/>
        <s v="NILACHAL REFRACTORIES LTD."/>
        <s v="Andhra Paper Ltd"/>
        <s v="SHOPPERS STOP LTD."/>
        <s v="ORIENT PAPER &amp; INDUSTRIES LTD."/>
        <s v="CITADEL REALTY AND DEVELOPERS LTD."/>
        <s v="ROLLATAINERS LTD."/>
        <s v="SESHASAYEE PAPER &amp; BOARDS LTD."/>
        <s v="Nath Industries Ltd"/>
        <s v="Vapi Enterprise Ltd"/>
        <s v="DCM LTD."/>
        <s v="GAEKWAR MILLS LTD."/>
        <s v="FORBES &amp; COMPANY LTD.-$"/>
        <s v="H.P.COTTON TEXTILE MILLS LTD."/>
        <s v="UNITED INTERACTIVE LTD."/>
        <s v="Jamshri Realty Ltd-$"/>
        <s v="KATARE SPINNING MILLS LTD."/>
        <s v="PVR Inox Ltd"/>
        <s v="LAKSHMI MILLS COMPANY LTD.-$"/>
        <s v="SUN TV NETWORK LTD."/>
        <s v="PENINSULA LAND LTD."/>
        <s v="PASUPATI SPG.&amp; WVG.MILLS LTD."/>
        <s v="CIE Automotive India Ltd"/>
        <s v="MARATHON NEXTGEN REALTY LTD."/>
        <s v="RAJA BAHADUR INTERNATIONAL LTD."/>
        <s v="RELIANCE CHEMOTEX INDUSTRIES LTD.-$"/>
        <s v="RUBY MILLS LTD."/>
        <s v="SIMPLEX REALTY LTD."/>
        <s v="INFO EDGE (INDIA) LTD."/>
        <s v="VICTORIA MILLS LTD."/>
        <s v="S.V.TRADING &amp; AGENCIES LTD."/>
        <s v="SVARAJ TRADING &amp; AGENCIES LTD."/>
        <s v="Kshitij Investments Ltd"/>
        <s v="SHREE SALASAR INVESTMENT LTD."/>
        <s v="Sobha Limited"/>
        <s v="NETWORK18 MEDIA &amp; INVESTMENTS LTD."/>
        <s v="VEER ENERGY &amp; INFRASTRUCTURE LTD."/>
        <s v="TV18 BROADCAST LTD."/>
        <s v="Tilak Ventures Ltd"/>
        <s v="PAGE INDUSTRIES LTD."/>
        <s v="UNIJOLLY INVESTMENTS CO.LTD."/>
        <s v="TeamLease Services Ltd"/>
        <s v="ELCID INVESTMENTS LTD."/>
        <s v="MEDIAONE GLOBAL ENTERTAINMENT LTD."/>
        <s v="TCI Express Ltd"/>
        <s v="SPICEJET LTD."/>
        <s v="BANSWARA SYNTEX LTD.-$"/>
        <s v="HINDUJA GLOBAL SOLUTIONS LTD."/>
        <s v="MODIPON LTD."/>
        <s v="SHRI DINESH MILLS LTD.-$"/>
        <s v="INDIABULLS REAL ESTATE LTD."/>
        <s v="SIYARAM SILK MILLS LTD.-$"/>
        <s v="SWADESHI POLYTEX LTD."/>
        <s v="SHREE RAJASTHAN SYNTEX LTD.-$"/>
        <s v="SATYAM SILK MILLS LTD."/>
        <s v="DLF LTD."/>
        <s v="ELPRO INTERNATIONAL LTD."/>
        <s v="GEE LTD."/>
        <s v="HIND RECTIFIERS LTD."/>
        <s v="INDO-NATIONAL LTD."/>
        <s v="K.P.R. Mill Limited"/>
        <s v="JYOTI LTD.-$"/>
        <s v="JSL INDUSTRIES LTD."/>
        <s v="KAYCEE INDUSTRIES LTD."/>
        <s v="INDOKEM LTD."/>
        <s v="PANASONIC ENERGY INDIA COMPANY LTD.-$"/>
        <s v="NELCO LTD."/>
        <s v="PERMANENT MAGNETS LTD.-$"/>
        <s v="HIGH ENERGY BATTERIES (INDIA) LTD."/>
        <s v="STANDARD BATTERIES LTD."/>
        <s v="UNIVERSAL CABLES LTD."/>
        <s v="W.S.INDUSTRIES (INDIA) LTD.-$"/>
        <s v="DELTON CABLES LTD."/>
        <s v="LAKSHMI ELECTRICAL CONTROL SYSTEMS LTD."/>
        <s v="Modulex Construction Technologies Ltd"/>
        <s v="Delta Manufacturing Ltd"/>
        <s v="Confidence Finance And Trading Limited"/>
        <s v="Ravindra Energy Ltd"/>
        <s v="G.D.TRADING &amp; AGENCIES LTD."/>
        <s v="EMPOWER INDIA LTD."/>
        <s v="NIRLON LTD."/>
        <s v="RIDHI SYNTHETICS LTD."/>
        <s v="Mahindra Logistics Ltd"/>
        <s v="SOFTBPO GLOBAL SERVICES LTD."/>
        <s v="Awfis Space Solutions Ltd"/>
        <s v="DREDGING CORPORATION OF INDIA LTD."/>
        <s v="Krishna Ventures Limited"/>
        <s v="BF UTILITIES LTD.-$"/>
        <s v="UNI ABEX ALLOY PRODUCTS LTD."/>
        <s v="Puravankara Ltd"/>
        <s v="BHAGWATI AUTOCAST LTD."/>
        <s v="BOMBAY WIRE ROPES LTD."/>
        <s v="INDIAN BRIGHT STEEL CO.LTD."/>
        <s v="INDIAN HUME PIPE CO.LTD."/>
        <s v="INVESTMENT &amp; PRECISION CASTINGS LTD."/>
        <s v="VERITAS (INDIA) LTD."/>
        <s v="KAIRA CAN CO.LTD."/>
        <s v="Orient Ceratech Ltd-$"/>
        <s v="BRIGADE ENTERPRISES LTD."/>
        <s v="RATHI STEEL &amp; POWER LTD.-$"/>
        <s v="Duncan Engineering Ltd-$"/>
        <s v="V-GUARD INDUSTRIES LTD."/>
        <s v="STOVEC INDUSTRIES LTD."/>
        <s v="TAYO ROLLS LTD.-$"/>
        <s v="BAJAJ AUTO LTD."/>
        <s v="WELCAST STEELS LTD."/>
        <s v="WESTERN MINISTIL LTD."/>
        <s v="AUTOMOTIVE AXLES LTD."/>
        <s v="AUTOMOBILE PRODUCTS OF INDIA LTD."/>
        <s v="AUTOMOBILE CORPORATION OF GOA LTD.-$"/>
        <s v="SETCO AUTOMOTIVE LTD."/>
        <s v="INDIA RADIATORS LTD."/>
        <s v="TALBROS AUTOMOTIVE COMPONENTS LTD."/>
        <s v="Z.F.STEERING GEAR (INDIA) LTD.-$"/>
        <s v="SML ISUZU LIMITED"/>
        <s v="TIL LTD."/>
        <s v="ZF Commercial Vehicle Control Systems India Ltd"/>
        <s v="JAINEX AAMCOL LTD."/>
        <s v="ALFRED HERBERT (INDIA) LTD."/>
        <s v="Veljan Denison Limited"/>
        <s v="DYNAMATIC TECHNOLOGIES LTD.-$"/>
        <s v="G. G. Dandekar Properties Ltd"/>
        <s v="MAHINDRA HOLIDAYS &amp; RESORTS INDIA LTD."/>
        <s v="KIRLOSKAR PNEUMATIC CO.LTD."/>
        <s v="Tulive Developers Limited"/>
        <s v="KPT Industries Ltd"/>
        <s v="LAKSHMI AUTOMATIC LOOM WORKS LTD."/>
        <s v="MANUGRAPH INDIA LTD.-$"/>
        <s v="Harshil Agrotech Ltd"/>
        <s v="SEAMEC LTD."/>
        <s v="Spright Agro Ltd"/>
        <s v="INTEGRA ENGINEERING INDIA LTD."/>
        <s v="Semac Consultants Ltd-$"/>
        <s v="Dreamfolks Services Ltd"/>
        <s v="WENDT (INDIA) LTD."/>
        <s v="PS IT Infrastructure &amp; Services Limited"/>
        <s v="SINDU VALLEY TECHNOLOGIES LTD."/>
        <s v="Godrej Properties Ltd"/>
        <s v="SHYAMKAMAL INVESTMENTS LTD."/>
        <s v="RPSG Ventures Ltd"/>
        <s v="Updater Services Ltd"/>
        <s v="Dolat Algotech Ltd"/>
        <s v="D B Corp Ltd"/>
        <s v="Jubilant FoodWorks Ltd"/>
        <s v="RELIANCE INDUSTRIAL INFRASTRUCTURE LTD."/>
        <s v="SVP Global Textiles Ltd"/>
        <s v="TEXMACO INFRASTRUCTURE &amp; HOLDINGS LTD."/>
        <s v="SKYLINE MILLARS LTD."/>
        <s v="BIMETAL BEARINGS LTD.-$"/>
        <s v="TAPARIA TOOLS LTD."/>
        <s v="BHARAT GEARS LTD."/>
        <s v="BRADY &amp; MORRIS ENGINEERING CO.LTD."/>
        <s v="La Tim Metal &amp; Industries Ltd"/>
        <s v="Valor Estate Ltd"/>
        <s v="DECCAN BEARINGS LTD."/>
        <s v="GRAUER &amp; WEIL (INDIA) LTD.-$"/>
        <s v="Him Teknoforge Ltd"/>
        <s v="OBEROI REALTY LTD."/>
        <s v="HERCULES HOISTS LTD."/>
        <s v="Algoquant Fintech Ltd"/>
        <s v="PRESTIGE ESTATES PROJECTS LTD."/>
        <s v="SINGER INDIA LTD."/>
        <s v="INTERNATIONAL COMBUSTION (INDIA) LTD."/>
        <s v="FEDERAL-MOGUL GOETZE (INDIA) LTD."/>
        <s v="JOST'S ENGINEERING CO.LTD."/>
        <s v="PG ELECTROPLAST LTD."/>
        <s v="MIPCO SEAMLESS RINGS (GUJARAT) LTD."/>
        <s v="RANE HOLDINGS LTD."/>
        <s v="ROLCON ENGINEERING CO.LTD."/>
        <s v="SNL BEARINGS LTD."/>
        <s v="JAIPAN INDUSTRIES LTD."/>
        <s v="MANGAL CREDIT AND FINCORP LTD."/>
        <s v="TRF LTD.-$"/>
        <s v="WPIL LTD."/>
        <s v="Rattanindia Enterprises Ltd"/>
        <s v="Hindustan Hardy Ltd"/>
        <s v="TRITON VALVES LTD."/>
        <s v="SUDAL INDUSTRIES LTD."/>
        <s v="PRAKASH INDUSTRIES LTD."/>
        <s v="Hariyana Ventures Ltd"/>
        <s v="PRABHU STEEL INDUSTRIES LTD."/>
        <s v="Navkar Corporation Ltd"/>
        <s v="V-MART RETAIL LTD."/>
        <s v="LAKSHMI PRECISION SCREWS LTD."/>
        <s v="STANROSE MAFATLAL INVESTMENTS AND FINANCE LTD."/>
        <s v="GENESYS INTERNATIONAL CORPORATION LTD."/>
        <s v="ALLSEC TECHNOLOGIES LTD."/>
        <s v="Pankaj Piyush Trade &amp; Investment Ltd"/>
        <s v="PARNAX LAB LTD."/>
        <s v="Gourmet Gateway India Ltd"/>
        <s v="VISAGAR POLYTEX LTD."/>
        <s v="ISHWARSHAKTI HOLDINGS &amp; TRADERS LTD."/>
        <s v="TERRAFORM MAGNUM LTD."/>
        <s v="APIS INDIA LTD."/>
        <s v="Tinna Trade Ltd"/>
        <s v="Emergent Industrial Solutions Ltd"/>
        <s v="KANANI INDUSTRIES LTD."/>
        <s v="Galaxy Cloud Kitchens Ltd-$"/>
        <s v="The Yamuna Syndicate Ltd"/>
        <s v="Arihant Superstructures Limited"/>
        <s v="Polo Queen Industrial and Fintech Ltd"/>
        <s v="BLISS GVS PHARMA LTD."/>
        <s v="Styrenix Performance Materials Ltd"/>
        <s v="ALEMBIC LTD."/>
        <s v="AMINES &amp; PLASTICIZERS LTD."/>
        <s v="ANUH PHARMA LTD."/>
        <s v="Modison Ltd-$"/>
        <s v="Sharda Motor Industries Ltd"/>
        <s v="CHEMO PHARMA LABORATORIES LTD."/>
        <s v="Heubach Colorants India Ltd"/>
        <s v="JUST DIAL LTD."/>
        <s v="Aditya Birla Fashion and Retail Ltd"/>
        <s v="DMCC Speciality Chemicals Ltd"/>
        <s v="Fermenta Biotech Ltd"/>
        <s v="GOCL Corporation Ltd-$"/>
        <s v="JAYSHREE CHEMICALS LTD."/>
        <s v="KANORIA CHEMICALS &amp; INDUSTRIES LTD."/>
        <s v="KELTECH ENERGIES LTD."/>
        <s v="Knowledge Marine &amp; Engineering Works Ltd"/>
        <s v="NITTA GELATIN INDIA LTD.-$"/>
        <s v="M.P.AGRO INDUSTRIES LTD."/>
        <s v="ORIENTAL CARBON &amp; CHEMICALS LTD.-$"/>
        <s v="Wonderla Holidays Ltd"/>
        <s v="AMAL LTD."/>
        <s v="POLYCHEM LTD."/>
        <s v="PUNJAB CHEMICALS AND CROP PROTECTION LTD.-$"/>
        <s v="GUJCHEM DISTILLERS INDIA LTD."/>
        <s v="SADHANA NITROCHEM LTD."/>
        <s v="PDS Ltd"/>
        <s v="TECIL CHEMICALS &amp; HYDRO POWER LTD."/>
        <s v="ULTRAMARINE &amp; PIGMENTS LTD.-$"/>
        <s v="TRANSPEK INDUSTRY LTD.-$"/>
        <s v="UNICHEM LABORATORIES LTD."/>
        <s v="MYSORE PETRO CHEMICALS LTD.-$"/>
        <s v="Minda Corporation Ltd"/>
        <s v="Tuticorin Alkali Chemicals And Fertilizers Ltd"/>
        <s v="Greenlam Industries Ltd"/>
        <s v="Primo Chemicals Ltd"/>
        <s v="TANFAC INDUSTRIES LTD.-$"/>
        <s v="GUJARAT PETROSYNTHESE LTD."/>
        <s v="GUJARAT THEMIS BIOSYN LTD."/>
        <s v="Snowman Logistics Ltd"/>
        <s v="MAKERS LABORATORIES LTD.-$"/>
        <s v="CONTINENTAL CHEMICALS LTD."/>
        <s v="Crompton Greaves Consumer Electricals Ltd"/>
        <s v="INDO GULF INDUSTRIES LTD."/>
        <s v="RAJASTHAN PETRO SYNTHETICS LTD."/>
        <s v="APT PACKAGING LTD."/>
        <s v="BLUE CHIP TEX INDUSTRIES LTD."/>
        <s v="JAGATJIT INDUSTRIES LTD."/>
        <s v="KESAR ENTERPRISES LTD.-$"/>
        <s v="TILAKNAGAR INDUSTRIES LTD.-$"/>
        <s v="Emerald Leisures Ltd"/>
        <s v="The Ravalgaon Sugar Farm Ltd"/>
        <s v="SAKTHI SUGARS LTD."/>
        <s v="WALCHANDNAGAR INDUSTRIES LTD."/>
        <s v="IFB AGRO INDUSTRIES LTD."/>
        <s v="KOTHARI FERMENTATION &amp; BIOCHEM LTD."/>
        <s v="CAPROLACTAM CHEMICALS LTD."/>
        <s v="G.M.BREWERIES LTD."/>
        <s v="RANA SUGARS LTD."/>
        <s v="PICCADILY SUGAR &amp; ALLIED INDUSTRIES LTD."/>
        <s v="SOM DISTILLERIES &amp; BREWERIES LTD."/>
        <s v="C.J.GELATINE PRODUCTS LTD."/>
        <s v="ASSOCIATED ALCOHOLS &amp; BREWERIES LTD."/>
        <s v="Allcargo Gati Ltd"/>
        <s v="COROMANDEL AGRO PRODUCTS &amp; OILS LTD."/>
        <s v="FOODS &amp; INNS LTD."/>
        <s v="IVP LTD."/>
        <s v="Kovilpatti Lakshmi Roller Flour Mills Ltd"/>
        <s v="OLYMPIC OIL INDUSTRIES LTD."/>
        <s v="MILKFOOD LTD."/>
        <s v="POLSON LTD."/>
        <s v="SAGAR SOYA PRODUCTS LTD."/>
        <s v="BLS International Services Ltd"/>
        <s v="ORIENT BEVERAGES LTD."/>
        <s v="Endurance Technologies Ltd"/>
        <s v="TTK HEALTHCARE LTD.-$"/>
        <s v="TGV Sraac Ltd"/>
        <s v="LIME CHEMICALS LTD."/>
        <s v="KANPUR PLASTIPACK LTD."/>
        <s v="TAINWALA CHEMICALS &amp; PLASTICS (INDIA) LTD."/>
        <s v="JAGSONPAL PHARMACEUTICALS LTD."/>
        <s v="KHAITAN CHEMICALS &amp; FERTILIZERS LTD."/>
        <s v="UNITED LEASING &amp; INDUSTRIES LTD."/>
        <s v="NATIONAL OXYGEN LTD."/>
        <s v="Sheela Foam Ltd"/>
        <s v="WIRES &amp; FABRIKS (SA) LTD."/>
        <s v="Ansal Housing Ltd-$"/>
        <s v="COMPUTER POINT LTD."/>
        <s v="MAC CHARLES (INDIA) LTD."/>
        <s v="ADDI INDUSTRIES LTD.-$"/>
        <s v="PIONEER INVESTCORP LTD."/>
        <s v="ASHNOOR TEXTILE MILLS LTD."/>
        <s v="UNITECH LTD."/>
        <s v="Aditya Vision Ltd"/>
        <s v="FIBERWEB (INDIA) LTD."/>
        <s v="LKP Finance Limited"/>
        <s v="MANIPAL FINANCE CORPORATION LTD."/>
        <s v="BAJAJ STEEL INDUSTRIES LTD."/>
        <s v="KIDUJA INDIA LTD."/>
        <s v="KEY CORP LTD."/>
        <s v="SHIKHAR LEASING &amp; TRADING LTD."/>
        <s v="GUJARAT HOTELS LTD."/>
        <s v="Rajath Finance Limited"/>
        <s v="RAS RESORTS &amp; APART HOTELS LTD."/>
        <s v="PARAMOUNT COSMETICS (INDIA) LTD."/>
        <s v="JINDAL HOTELS LTD."/>
        <s v="JUPITER INDUSTRIES &amp; LEASING LTD."/>
        <s v="SIMMONDS MARSHALL LTD."/>
        <s v="B &amp; A LTD."/>
        <s v="HAWKINS COOKERS LTD.-$"/>
        <s v="WARREN TEA LTD.-$"/>
        <s v="COCHIN MALABAR ESTATES &amp; INDUSTRIES LTD."/>
        <s v="BEST EASTERN HOTELS LTD."/>
        <s v="NEELAMALAI AGRO INDUSTRIES LTD."/>
        <s v="IST LTD."/>
        <s v="Cosmo First Ltd"/>
        <s v="Pricol Ltd"/>
        <s v="Nitin Castings Ltd"/>
        <s v="SMIFS CAPITAL MARKETS LTD."/>
        <s v="EVEREST INDUSTRIES LTD."/>
        <s v="Ironwood Education Ltd"/>
        <s v="MSR INDIA LTD."/>
        <s v="AYM Syntex Ltd"/>
        <s v="PANASONIC CARBON INDIA CO.LTD.-$"/>
        <s v="Finkurve Financial Services Ltd"/>
        <s v="HB LEASING &amp; FINANCE CO.LTD."/>
        <s v="SHRICON INDUSTRIES LTD."/>
        <s v="STERLING GUARANTY &amp; FINANCE LTD."/>
        <s v="SULABH ENGINEERS &amp; SERVICES LTD."/>
        <s v="TCC Concept Ltd"/>
        <s v="Navneet Education Limited"/>
        <s v="KEDIA CONSTRUCTION CO.LTD."/>
        <s v="SATRA PROPERTIES (INDIA) LTD."/>
        <s v="Allcargo Terminals Ltd"/>
        <s v="AuSom Enterprise Limited"/>
        <s v="THAKRAL SERVICES (INDIA) LTD."/>
        <s v="Lancer Container Lines Ltd"/>
        <s v="VJTF EDUSERVICES LTD."/>
        <s v="VOLTAIRE LEASING &amp; FINANCE LTD."/>
        <s v="NETLINK SOLUTIONS (INDIA) LTD."/>
        <s v="Krystal Integrated Services Ltd"/>
        <s v="LANCOR HOLDINGS LTD."/>
        <s v="INDIAN INFOTECH &amp; SOFTWARE LTD."/>
        <s v="BANAS FINANCE LTD."/>
        <s v="VISAKA INDUSTRIES LTD."/>
        <s v="HATHWAY BHAWANI CABLETEL &amp; DATACOM LTD."/>
        <s v="GUFIC BIOSCIENCES LTD."/>
        <s v="Transindia Real Estate Ltd"/>
        <s v="GRP LTD."/>
        <s v="INDAG RUBBER LTD.-$"/>
        <s v="MM RUBBER COMPANY LTD."/>
        <s v="SICAL LOGISTICS LTD."/>
        <s v="TVS SRICHAKRA LTD.-$"/>
        <s v="Sanathnagar Enterprises Limited"/>
        <s v="BENARES HOTELS LTD."/>
        <s v="BHAGWATI OXYGEN LTD."/>
        <s v="Bombay Oxygen Investments Ltd"/>
        <s v="SAKUMA EXPORTS LTD."/>
        <s v="Avenue Supermarts Ltd"/>
        <s v="CAPRIHANS INDIA LTD.-$"/>
        <s v="Dixon Technologies (India) Ltd"/>
        <s v="Tube Investments of India Ltd"/>
        <s v="EMPIRE INDUSTRIES LTD."/>
        <s v="GRAVISS HOSPITALITY LTD."/>
        <s v="Amber Enterprises India Ltd"/>
        <s v="GARWARE MARINE INDUSTRIES LTD."/>
        <s v="GOA CARBON LTD.-$"/>
        <s v="HARDCASTLE &amp; WAUD MFG.CO.LTD."/>
        <s v="Lemon Tree Hotels Ltd"/>
        <s v="HINDUSTAN COMPOSITES LTD."/>
        <s v="HINDUSTAN HOUSING CO.LTD."/>
        <s v="HIL LTD."/>
        <s v="INDIAN CARD CLOTHING CO.LTD."/>
        <s v="INTERNATIONAL CONVEYORS LTD."/>
        <s v="JAY SHREE TEA &amp; INDUSTRIES LTD."/>
        <s v="KOTHARI INDUSTRIAL CORPORATION LTD."/>
        <s v="MODERN SHARES &amp; STOCKBROKERS LTD."/>
        <s v="STATE TRADING CORPORATION OF INDIA LTD."/>
        <s v="Huhtamaki India Ltd"/>
        <s v="PREMIER SYNTHETICS LTD."/>
        <s v="R.J.SHAH &amp; CO.LTD."/>
        <s v="SHAH CONSTRUCTION CO.LTD."/>
        <s v="SHALIMAR PAINTS LTD.-$"/>
        <s v="SINNAR BIDI UDYOG LTD."/>
        <s v="HINDOOSTAN MILLS LTD."/>
        <s v="SOUTHERN GAS LTD."/>
        <s v="ESSAR SHIPPING LTD."/>
        <s v="Orient Electric Ltd"/>
        <s v="THACKER &amp; CO.LTD."/>
        <s v="U.P.HOTELS LTD."/>
        <s v="Varroc Engineering Ltd"/>
        <s v="SWASTI VINAYAKA SYNTHETICS LTD."/>
        <s v="MADHUSUDAN SECURITIES LTD."/>
        <s v="YAMINI INVESTMENTS COMPANY LTD."/>
        <s v="PREMIER CAPITAL SERVICES LTD."/>
        <s v="Vikas Lifecare Ltd"/>
        <s v="JINDAL DRILLING &amp; INDUSTRIES LTD."/>
        <s v="Tracxn Technologies Ltd"/>
        <s v="EKI Energy Services Ltd"/>
        <s v="SAKTHI FINANCE LTD."/>
        <s v="Easy Fincorp Ltd"/>
        <s v="SAT INDUSTRIES LTD.-$"/>
        <s v="JMD Ventures Ltd"/>
        <s v="TIVOLI CONSTRUCTION LTD."/>
        <s v="SHIVA TEXYARN LTD."/>
        <s v="V.B.DESAI FINANCIAL SERVICES LTD."/>
        <s v="Quadrant Televentures Limited-$"/>
        <s v="FIRST CUSTODIAN FUND (INDIA) LTD."/>
        <s v="KAMANWALA HOUSING CONSTRUCTION LTD."/>
        <s v="WSFx Global Pay Ltd"/>
        <s v="Anjani Foods Ltd"/>
        <s v="PARSHWANATH CORPORATION LTD."/>
        <s v="TAAL Enterprises Ltd"/>
        <s v="Newtime Infrastructure Limited"/>
        <s v="Radiant Cash Management Services Ltd"/>
        <s v="Chalet Hotels Ltd"/>
        <s v="MUNOTH CAPITAL MARKET LTD."/>
        <s v="IL&amp;FS INVESTMENT MANAGERS LTD."/>
        <s v="Arvind Fashions Ltd"/>
        <s v="IndiaMART InterMESH Ltd"/>
        <s v="Bombay Talkies Ltd"/>
        <s v="SAGAR SYSTECH LTD."/>
        <s v="ID Info Business Services Ltd"/>
        <s v="VLS FINANCE LTD."/>
        <s v="INDIA CEMENTS CAPITAL LTD."/>
        <s v="AD-MANUM FINANCE LTD."/>
        <s v="MEHTA INTEGRATED FINANCE LTD."/>
        <s v="INTER GLOBE FINANCE LTD."/>
        <s v="Munoth Communication Ltd"/>
        <s v="SHRISTI INFRASTRUCTURE DEVELOPMENT CORPORATION LTD."/>
        <s v="CREST VENTURES LIMITED"/>
        <s v="Vakrangee Limited-$"/>
        <s v="GUJARAT CREDIT CORPORATION LTD."/>
        <s v="SYLPH TECHNOLOGIES LTD."/>
        <s v="DHARANI FINANCE LTD."/>
        <s v="Alexander Stamps And Coin Ltd"/>
        <s v="INDBANK MERCHANT BANKING SERVICES LTD."/>
        <s v="Shrydus Industries Ltd"/>
        <s v="BHARAT BHUSHAN SHARE &amp; COMMODITY BROKERS LTD."/>
        <s v="CAPITAL TRUST LTD."/>
        <s v="USHAKIRAN FINANCE LTD."/>
        <s v="VIVO BIO TECH LTD."/>
        <s v="Veerhealth Care Limited"/>
        <s v="PAN INDIA CORPORATION LTD."/>
        <s v="SAHARA HOUSINGFINA CORPORATION LTD."/>
        <s v="NDA SECURITIES LTD."/>
        <s v="GSB FINANCE LTD."/>
        <s v="MORARKA FINANCE LTD."/>
        <s v="Monarch Networth Capital Ltd"/>
        <s v="Vintage Coffee And Beverages Ltd"/>
        <s v="TIMES GUARANTY LTD."/>
        <s v="Ritco Logistics Ltd"/>
        <s v="SOM DATT FINANCE CORPORATION LTD."/>
        <s v="SHREYAS SHIPPING &amp; LOGISTICS LTD."/>
        <s v="Avonmore Capital &amp; Management Services Limited"/>
        <s v="Libord Finance Ltd"/>
        <s v="KERNEX MICROSYSTEMS (INDIA) LTD."/>
        <s v="ARIHANT CAPITAL MARKETS LTD."/>
        <s v="ISL CONSULTING LTD."/>
        <s v="DCM FINANCIAL SERVICES LTD."/>
        <s v="RR FINANCIAL CONSULTANTS LTD."/>
        <s v="IM+ Capitals Limited"/>
        <s v="SAMBHAAV MEDIA LTD."/>
        <s v="DUGAR HOUSING DEVELOPMENTS LTD."/>
        <s v="OMEGA INTERACTIVE TECHNOLOGIES LTD."/>
        <s v="SUGAL &amp; DAMANI SHARE BROKERS LTD."/>
        <s v="NETTLINX LTD."/>
        <s v="BGIL FILMS &amp; TECHNOLOGIES LTD."/>
        <s v="Scan Steels Limited"/>
        <s v="GIC HOUSING FINANCE LTD."/>
        <s v="MATHEW EASOW RESEARCH SECURITIES LTD."/>
        <s v="AJCON GLOBAL SERVICES LTD."/>
        <s v="CHARTERED CAPITAL &amp; INVESTMENT LTD."/>
        <s v="STANDARD CAPITAL MARKETS LTD."/>
        <s v="YOGI Ltd"/>
        <s v="CUBICAL FINANCIAL SERVICES LTD."/>
        <s v="RELIC TECHNOLOGIES LTD."/>
        <s v="NIMBUS PROJECTS LTD."/>
        <s v="Baid Finserv Ltd"/>
        <s v="VIPUL LTD."/>
        <s v="K.Z.LEASING &amp; FINANCE LTD."/>
        <s v="PASUPATI FINCAP LTD."/>
        <s v="MEHTA SECURITIES LTD."/>
        <s v="MEHTA HOUSING FINANCE LTD."/>
        <s v="Ugro Capital Ltd"/>
        <s v="SHALIBHADRA FINANCE LTD."/>
        <s v="ABIRAMI FINANCIAL SERVICES (INDIA) LTD."/>
        <s v="MANSI FINANCE (CHENNAI) LTD."/>
        <s v="Seven Hill Industries Limited"/>
        <s v="Aastamangalam Finance Ltd"/>
        <s v="MUTHOOT CAPITAL SERVICES LTD."/>
        <s v="MASTER TRUST LTD."/>
        <s v="Remedium Lifecare Ltd"/>
        <s v="EFC (I) Ltd"/>
        <s v="AVG Logistics Ltd"/>
        <s v="CNI RESEARCH LTD."/>
        <s v="SARASWATI COMMERCIAL (INDIA) LTD."/>
        <s v="WINRO COMMERCIAL (INDIA) LTD."/>
        <s v="PTL ENTERPRISES LTD.-$"/>
        <s v="OSWAL AGRO MILLS LTD."/>
        <s v="KAPIL COTEX LTD."/>
        <s v="Alankit Ltd"/>
        <s v="Royal India Corporation Limited"/>
        <s v="Luharuka Media &amp; Infra Ltd"/>
        <s v="JET AIRWAYS (INDIA) LTD."/>
        <s v="RIDDHI SIDDHI GLUCO BIOLS LTD.-$"/>
        <s v="KOTHARI PRODUCTS LTD."/>
        <s v="Tiger Logistics (India) Ltd"/>
        <s v="MRUGESH TRADING LTD."/>
        <s v="DECCAN GOLD MINES LTD."/>
        <s v="Indian Railway Catering and Tourism Corporation Ltd"/>
        <s v="ANSHUNI COMMERCIALS LTD."/>
        <s v="CRANES SOFTWARE INTERNATIONAL LTD."/>
        <s v="MAJESTIC AUTO LTD.-$"/>
        <s v="Eyantra Ventures Ltd"/>
        <s v="TRIOCHEM PRODUCTS LTD."/>
        <s v="NIDHI GRANITES LTD."/>
        <s v="Variman Global Enterprises Ltd"/>
        <s v="Atlantaa Ltd"/>
        <s v="DJ Mediaprint &amp; Logistics Ltd"/>
        <s v="KAJAL SYNTHETICS &amp; SILK MILLS LTD."/>
        <s v="AVANCE TECHNOLOGIES LTD."/>
        <s v="Droneacharya Aerial Innovations Ltd"/>
        <s v="Northern Spirits Ltd"/>
        <s v="Securekloud Technologies Ltd"/>
        <s v="Abans Enterprises Ltd"/>
        <s v="VAMA INDUSTRIES LTD."/>
        <s v="Tarc Ltd"/>
        <s v="Mercantile Ventures Ltd"/>
        <s v="Uma Exports Ltd"/>
        <s v="PRISM MEDICO AND PHARMACY LTD."/>
        <s v="SPV Global Trading Ltd"/>
        <s v="GLOBAL VECTRA HELICORP LTD."/>
        <s v="Indigo Paints Ltd"/>
        <s v="RUCHI INFRASTRUCTURE LTD."/>
        <s v="ASHIRWAD CAPITAL LTD."/>
        <s v="Swasti Vinayaka Art And Heritage Corporation Ltd"/>
        <s v="Confidence Futuristic Energetech Ltd"/>
        <s v="MEDIA MATRIX WORLDWIDE LTD."/>
        <s v="Seacoast Shipping Services Ltd"/>
        <s v="Signet Industries Limited"/>
        <s v="SPEEDAGE COMMERCIALS LTD."/>
        <s v="BHAGYANAGAR INDIA LTD."/>
        <s v="Shantai Industries Ltd"/>
        <s v="NORTH EASTERN CARRYING CORPORATION LTD."/>
        <s v="Maximus International Ltd"/>
        <s v="Easy Trip Planners Ltd"/>
        <s v="Indiabulls Enterprises Ltd"/>
        <s v="IIRM Holdings India Ltd"/>
        <s v="YASH TRADING &amp; FINANCE LTD."/>
        <s v="SHERATON PROPERTIES &amp; FINANCE LTD."/>
        <s v="NOIDA TOLL BRIDGE COMPANY LTD."/>
        <s v="CRESSANDA SOLUTIONS LTD."/>
        <s v="Starteck Finance Ltd"/>
        <s v="SHARDUL SECURITIES LTD."/>
        <s v="Sera Investments &amp; Finance India Ltd"/>
        <s v="BENGAL STEEL INDUSTRIES LTD."/>
        <s v="UNIWORTH SECURITIES LTD."/>
        <s v="CORAL INDIA FINANCE &amp; HOUSING LTD."/>
        <s v="Dhruv Consultancy Services Ltd"/>
        <s v="DHOOT INDUSTRIAL FINANCE LTD."/>
        <s v="Metroglobal Limited"/>
        <s v="APOLLO FINVEST (INDIA) LTD."/>
        <s v="Techknowgreen Solutions Ltd"/>
        <s v="Silicon Rental Solutions Ltd"/>
        <s v="DEVINSU TRADING LTD."/>
        <s v="SHRI JAGDAMBA POLYMERS LTD."/>
        <s v="Craftsman Automation Ltd"/>
        <s v="Parshva Enterprises Ltd"/>
        <s v="Lloyds Enterprises Ltd"/>
        <s v="BETEX INDIA LTD."/>
        <s v="Virya Resources Ltd"/>
        <s v="Shreeji Translogistics Ltd"/>
        <s v="OASIS SECURITIES LTD."/>
        <s v="GARNET INTERNATIONAL LTD."/>
        <s v="SHALIMAR PRODUCTIONS LTD."/>
        <s v="MEENAKSHI STEEL INDUSTRIES LTD."/>
        <s v="GLOBAL OFFSHORE SERVICES LTD.-$"/>
        <s v="MOTOR &amp; GENERAL FINANCE LTD."/>
        <s v="DONEAR INDUSTRIES LTD.-$"/>
        <s v="SUPER SALES INDIA LTD.-$"/>
        <s v="SEQUENT SCIENTIFIC LTD."/>
        <s v="LAHOTI OVERSEAS LTD.-$"/>
        <s v="ZENITH EXPORTS LTD."/>
        <s v="KOHINOOR FOODS LTD."/>
        <s v="PATEL INTEGRATED LOGISTICS LTD.-$"/>
        <s v="Kalyan Jewellers India Ltd"/>
        <s v="ZODIAC-JRD-MKJ LTD."/>
        <s v="BN Holdings Ltd"/>
        <s v="MEP Infrastructure Developers Ltd"/>
        <s v="Manbro Industries Ltd"/>
        <s v="Keynote Financial Services Ltd"/>
        <s v="Nazara Technologies Ltd"/>
        <s v="ANIK INDUSTRIES LTD."/>
        <s v="HARIA EXPORTS LTD.-$"/>
        <s v="BHANDARI HOSIERY EXPORTS LTD."/>
        <s v="RLF LTD."/>
        <s v="AAA Technologies Ltd"/>
        <s v="ORBIT EXPORTS LTD."/>
        <s v="SAVERA INDUSTRIES LTD."/>
        <s v="Chrome Silicon Ltd-$"/>
        <s v="TCI INDUSTRIES LTD."/>
        <s v="Macrotech Developers Ltd"/>
        <s v="HINDUSTHAN UDYOG LTD."/>
        <s v="Remi Edelstahl Tubulars Limited"/>
        <s v="G.S.AUTO INTERNATIONAL LTD."/>
        <s v="TRANS-FREIGHT CONTAINERS LTD."/>
        <s v="SHIVALIK BIMETAL CONTROLS LTD."/>
        <s v="GANDHI SPECIAL TUBES LTD.-$"/>
        <s v="AMFORGE INDUSTRIES LTD."/>
        <s v="ORICON ENTERPRISES LTD.-$"/>
        <s v="ACROW INDIA LTD."/>
        <s v="STEEL STRIPS INFRASTRUCTURES LTD."/>
        <s v="PENNAR INDUSTRIES LTD.-$"/>
        <s v="JYOTI STRUCTURES LTD."/>
        <s v="JAY USHIN LTD."/>
        <s v="STEEL STRIPS WHEELS LTD.-$"/>
        <s v="MAN INDUSTRIES (INDIA) LTD.-$"/>
        <s v="MODERN STEELS LTD.-$"/>
        <s v="SYNTHIKO FOILS LTD."/>
        <s v="Golkonda Aluminium Extrusions Ltd-$"/>
        <s v="GUJARAT TOOLROOM LTD."/>
        <s v="AJMERA REALTY &amp; INFRA INDIA LTD."/>
        <s v="COCHIN MINERALS &amp; RUTILE LTD.-$"/>
        <s v="INDIA STEEL WORKS LTD."/>
        <s v="Krishanveer Forge Ltd"/>
        <s v="Sona BLW Precision Forgings Ltd"/>
        <s v="Arshiya Limited"/>
        <s v="VALLABH STEELS LTD.-$"/>
        <s v="ASHIANA ISPAT LTD."/>
        <s v="P.M.TELELINNKS LTD."/>
        <s v="Smiths &amp; Founders (India) Limited"/>
        <s v="BLOOM INDUSTRIES LTD."/>
        <s v="Maitri Enterprises Ltd"/>
        <s v="SHAH ALLOYS LTD."/>
        <s v="ELANGO INDUSTRIES LTD."/>
        <s v="KANISHK STEEL INDUSTRIES LTD."/>
        <s v="MAHALAXMI SEAMLESS LTD.-$"/>
        <s v="SIMPLEX CASTINGS LTD."/>
        <s v="SHREE STEEL WIRE ROPES LTD."/>
        <s v="Sizemasters Technology Ltd"/>
        <s v="SOUTHERN MAGNESIUM &amp; CHEMICALS LTD."/>
        <s v="BARODA EXTRUSION LTD."/>
        <s v="GUJARAT CONTAINERS LTD."/>
        <s v="KALYANI FORGE LTD."/>
        <s v="PANCHMAHAL STEEL LTD."/>
        <s v="ADITYA ISPAT LTD."/>
        <s v="S.R.INDUSTRIES LTD."/>
        <s v="STEELCAST LTD."/>
        <s v="Pitti Engineering Ltd-$"/>
        <s v="GLITTEK GRANITES LTD."/>
        <s v="PRADEEP METALS LTD."/>
        <s v="Gujarat Natural Resources Limited"/>
        <s v="TAMILNADU STEEL TUBES LTD."/>
        <s v="SHARDA ISPAT LTD."/>
        <s v="MAHAMAYA STEEL INDUSTRIES LTD."/>
        <s v="NOVA IRON &amp; STEEL LTD."/>
        <s v="Sterling Powergensys Limited"/>
        <s v="FOUNDRY FUEL PRODUCTS LTD."/>
        <s v="Zomato Ltd"/>
        <s v="TULSYAN NEC LTD.-$"/>
        <s v="AXEL POLYMERS LTD."/>
        <s v="Rolex Rings Ltd"/>
        <s v="SPECTRA INDUSTRIES LTD."/>
        <s v="KIC METALIKS LTD."/>
        <s v="SOLID STONE COMPANY LTD."/>
        <s v="SHILP GRAVURES LTD.-$"/>
        <s v="White Organic Agro Ltd"/>
        <s v="MFS INTERCORP LTD."/>
        <s v="ARO GRANITE INDUSTRIES LTD.-$"/>
        <s v="Rudra Ecovation Ltd"/>
        <s v="RAJKAMAL SYNTHETICS LTD."/>
        <s v="DEEPAK SPINNERS LTD.-$"/>
        <s v="LOYAL TEXTILE MILLS LTD.-$"/>
        <s v="HIMATSINGKA SEIDE LTD."/>
        <s v="BSL LTD."/>
        <s v="Milgrey Finance &amp; Investments Ltd"/>
        <s v="PBM POLYTEX LTD.-$"/>
        <s v="ADINATH TEXTILES LTD."/>
        <s v="KONARK SYNTHETIC LTD."/>
        <s v="SURYALATA SPINNING MILLS LTD.-$"/>
        <s v="SURYAVANSHI SPINNING MILLS LTD.-$"/>
        <s v="T T LTD.-$"/>
        <s v="Devyani International Ltd"/>
        <s v="INDIAN ACRYLICS LTD."/>
        <s v="GANESHA ECOSPHERE LTD."/>
        <s v="CEETA INDUSTRIES LTD."/>
        <s v="VARDHMAN POLYTEX LTD."/>
        <s v="BLACK ROSE INDUSTRIES LTD."/>
        <s v="S&amp;T CORPORATION LTD."/>
        <s v="SANCO TRANS LTD."/>
        <s v="SANGAM (INDIA) LTD."/>
        <s v="Likhami Consulting Ltd"/>
        <s v="Mkventures Capital Ltd"/>
        <s v="Kush Industries Ltd"/>
        <s v="SREECHEM RESINS LTD."/>
        <s v="SURBHI INDUSTRIES LTD."/>
        <s v="SEASONS TEXTILES LTD.-$"/>
        <s v="ZENITH FIBRES LTD.-$"/>
        <s v="BHILWARA SPINNERS LTD."/>
        <s v="AARVEE DENIMS &amp; EXPORTS LTD."/>
        <s v="SANRHEA TECHNICAL TEXTILES LTD."/>
        <s v="ASHIMA LTD."/>
        <s v="PIONEER EMBROIDERIES LTD.-$"/>
        <s v="VIPPY SPINPRO LTD."/>
        <s v="JAIHIND SYNTHETICS LTD."/>
        <s v="RAGHUVIR SYNTHETICS LTD."/>
        <s v="JATTASHANKAR INDUSTIES LTD."/>
        <s v="KAMADGIRI FASHION LTD.-$"/>
        <s v="OMNITEX INDUSTRIES (INDIA) LTD."/>
        <s v="PATSPIN INDIA LTD."/>
        <s v="One Global Service Provider Ltd"/>
        <s v="NEO INFRACON LTD."/>
        <s v="Genesis Ibrc India Ltd"/>
        <s v="WINSOME YARNS LTD."/>
        <s v="PREMIER POLYFILM LTD."/>
        <s v="Everlon Financials Ltd"/>
        <s v="K&amp;R Rail Engineering Ltd"/>
        <s v="Goyal Aluminiums Ltd"/>
        <s v="GUJARAT COTEX LTD."/>
        <s v="DYNAVISION LTD."/>
        <s v="Eco Hotels And Resorts Ltd"/>
        <s v="SARUP INDUSTRIES LTD.-$"/>
        <s v="Mangalam Organics Limited"/>
        <s v="HINDUSTAN ADHESIVES LTD."/>
        <s v="SRI KPR INDUSTRIES LTD."/>
        <s v="JYOTI RESINS &amp; ADHESIVES LTD."/>
        <s v="MAHALAXMI RUBTECH LTD."/>
        <s v="SOUTHERN LATEX LTD."/>
        <s v="Orissa Bengal Carrier Ltd"/>
        <s v="WINSOME TEXTILE INDUSTRIES LTD.-$"/>
        <s v="MODERN INSULATORS LTD."/>
        <s v="REGENCY CERAMICS LTD."/>
        <s v="Sansera Engineering Ltd"/>
        <s v="MURUDESHWAR CERAMICS LTD."/>
        <s v="SAINT-GOBAIN SEKURIT INDIA LTD."/>
        <s v="FSN E-Commerce Ventures Ltd"/>
        <s v="MADHUSUDAN INDUSTRIES LTD."/>
        <s v="RESTILE CERAMICS LTD."/>
        <s v="MADHAV MARBLES &amp; GRANITES LTD."/>
        <s v="IFL Enterprises Ltd"/>
        <s v="HINDUSTHAN NATIONAL GLASS &amp; INDUSTRIES LTD.-$"/>
        <s v="Haldyn Glass Ltd-$"/>
        <s v="Duroply Industries Ltd"/>
        <s v="SHREYANS INDUSTRIES LTD.-$"/>
        <s v="AGIO PAPER &amp; INDUSTRIES LTD.-$"/>
        <s v="STAR PAPER MILLS LTD."/>
        <s v="Pakka Ltd-$"/>
        <s v="Tahmar Enterprises Ltd"/>
        <s v="SOMA PAPERS &amp; INDUSTRIES LTD."/>
        <s v="Arrow Greentech Ltd"/>
        <s v="VISHNU CHEMICALS LTD."/>
        <s v="JUMBO BAG LTD."/>
        <s v="N.R.AGARWAL INDUSTRIES LTD."/>
        <s v="3P Land Holdings Ltd"/>
        <s v="SANGAL PAPERS LTD."/>
        <s v="VENTURA TEXTILES LTD."/>
        <s v="SHREE KARTHIK PAPERS LTD."/>
        <s v="SOUTH INDIA PAPER MILLS LTD."/>
        <s v="Family Care Hospitals Ltd"/>
        <s v="VINDHYA TELELINKS LTD."/>
        <s v="RIR Power Electronics Ltd"/>
        <s v="ADOR WELDING LTD."/>
        <s v="Genpharmasec Ltd"/>
        <s v="SALZER ELECTRONICS LTD.-$"/>
        <s v="JETKING INFOTRAIN LTD."/>
        <s v="APLAB LTD.-$"/>
        <s v="PCS TECHNOLOGY LTD."/>
        <s v="Sapphire Foods India Ltd"/>
        <s v="SPEL SEMICONDUCTOR LTD."/>
        <s v="SUBROS LTD."/>
        <s v="Edvenswa Enterprises Ltd"/>
        <s v="KESAR TERMINALS &amp; INFRASTRUCTURE LTD."/>
        <s v="Go Fashion (India) Ltd"/>
        <s v="SWITCHING TECHNOLOGIES GUNTHER LTD."/>
        <s v="LUMAX INDUSTRIES LTD."/>
        <s v="Digispice Technologies Ltd-$"/>
        <s v="CALCOM VISION LTD."/>
        <s v="KEMP &amp; COMPANY LTD."/>
        <s v="BCC FUBA INDIA LTD."/>
        <s v="PRECISION ELECTRONICS LTD."/>
        <s v="FINE-LINE CIRCUITS LTD."/>
        <s v="Metro Brands Ltd"/>
        <s v="S&amp;S POWER SWITCHGEAR LTD."/>
        <s v="Gujarat Poly Electronics Ltd"/>
        <s v="GUJARAT INDUSTRIES POWER CO.LTD."/>
        <s v="Medplus Health Services Ltd"/>
        <s v="MINDTECK (INDIA) LTD."/>
        <s v="Vedant Fashions Ltd"/>
        <s v="ACI INFOCOM LTD."/>
        <s v="CRAVATEX LTD."/>
        <s v="INCAP LTD."/>
        <s v="GUJARAT INTRUX LTD.-$"/>
        <s v="IGARASHI MOTORS INDIA LTD."/>
        <s v="Eureka Forbes Ltd"/>
        <s v="VINTRON INFORMATICS LTD."/>
        <s v="PAN ELECTRONICS INDIA LTD."/>
        <s v="VXL INSTRUMENTS LTD."/>
        <s v="CHARTERED LOGISTICS LTD."/>
        <s v="LEE &amp; NEE SOFTWARES (EXPORTS) LTD."/>
        <s v="PATELS AIRTEMP (INDIA) LTD."/>
        <s v="Butterfly Gandhimathi Appliances Ltd"/>
        <s v="INTEGRA SWITCHGEAR LTD."/>
        <s v="Athena Global Technologies Ltd-$"/>
        <s v="NARMADA MACPLAST DRIP IRRIGATION SYSTEMS LTD."/>
        <s v="DUTRON POLYMERS LTD.-$"/>
        <s v="R.S.SOFTWARE INDIA LTD."/>
        <s v="MAGNA ELECTRO CASTINGS LTD.-$"/>
        <s v="MARSONS LIMITED"/>
        <s v="ELNET TECHNOLOGIES LTD.-$"/>
        <s v="Accel Ltd"/>
        <s v="WEBSOL ENERGY SYSTEM LTD."/>
        <s v="ROTO PUMPS LTD."/>
        <s v="Motherson Sumi Wiring India Ltd"/>
        <s v="D&amp;H India Ltd-$"/>
        <s v="RAJRATAN GLOBAL WIRE LTD."/>
        <s v="Surana Telecom And Power Limited"/>
        <s v="ONWARD TECHNOLOGIES LTD."/>
        <s v="CENTUM ELECTRONICS LTD."/>
        <s v="ALFA TRANSFORMERS LTD."/>
        <s v="NHC FOODS LTD."/>
        <s v="PVP VENTURES LTD."/>
        <s v="TRIGYN TECHNOLOGIES LTD."/>
        <s v="Campus Activewear Ltd"/>
        <s v="KEERTHI INDUSTRIES LTD."/>
        <s v="BHEEMA CEMENTS LTD."/>
        <s v="SURAJ PRODUCTS LTD."/>
        <s v="ANJANI PORTLAND CEMENT LTD.-$"/>
        <s v="Modi Naturals Limited"/>
        <s v="PRASHANT INDIA LTD."/>
        <s v="SHAH FOODS LTD."/>
        <s v="KHANDELWAL EXTRACTION LTD."/>
        <s v="TASTY BITE EATABLES LTD."/>
        <s v="RITESH INTERNATIONAL LTD."/>
        <s v="AVT NATURAL PRODUCTS LTD."/>
        <s v="Ethos Ltd"/>
        <s v="NAHAR INDUSTRIAL ENTERPRISES LTD.-$"/>
        <s v="VADILAL ENTERPRISES LTD."/>
        <s v="VADILAL INDUSTRIES LTD.-$"/>
        <s v="ASHIANA AGRO INDUSTRIES LTD."/>
        <s v="ADF FOODS LTD.-$"/>
        <s v="Retro Green Revolution Ltd"/>
        <s v="WILLIAMSON FINANCIAL SERVICES LTD."/>
        <s v="AJANTA SOYA LTD."/>
        <s v="WILLIAMSON MAGOR &amp; COMPANY LTD."/>
        <s v="CHOWGULE STEAMSHIPS LTD."/>
        <s v="Superior Industrial Enterprises Limited"/>
        <s v="SAPTARISHI AGRO INDUSTRIES LTD."/>
        <s v="PRIMA AGRO LTD."/>
        <s v="TARAI FOODS LTD."/>
        <s v="MODERN DAIRIES LTD."/>
        <s v="BAMBINO AGRO INDUSTRIES LTD."/>
        <s v="PRIME INDUSTRIES LTD."/>
        <s v="VIKAS WSP LTD."/>
        <s v="VSF PROJECTS LTD."/>
        <s v="POONA DAL &amp; OIL INDUSTRIES LTD."/>
        <s v="TRANSGLOBE FOODS LTD."/>
        <s v="VMS INDUSTRIES LTD."/>
        <s v="SHARAT INDUSTRIES LTD."/>
        <s v="Yaari Digital Integrated Services Ltd"/>
        <s v="KMG MILK FOOD LTD."/>
        <s v="KSE LTD.-$"/>
        <s v="PIONEER AGRO EXTRACTS LTD."/>
        <s v="NARBADA GEMS AND JEWELLERY LTD."/>
        <s v="VIRAT CRANE INDUSTRIES LTD."/>
        <s v="IB INFOTECH ENTERPRISES LTD."/>
        <s v="Ambar Protein Industries Ltd"/>
        <s v="CHORDIA FOOD PRODUCTS LTD."/>
        <s v="CIAN Agro Industries &amp; Infrastructure Ltd"/>
        <s v="Lykis Limited"/>
        <s v="N.K.INDUSTRIES LTD."/>
        <s v="BKV INDUSTRIES LTD."/>
        <s v="NCC BLUE WATER PRODUCTS LTD."/>
        <s v="NORBEN TEA &amp; EXPORTS LTD."/>
        <s v="Sharika Enterprises Ltd"/>
        <s v="Electronics Mart India Ltd"/>
        <s v="SIMRAN FARMS LTD."/>
        <s v="HINDUSTAN AGRIGENETICS LTD."/>
        <s v="Keystone Realtors Ltd"/>
        <s v="Kellton Tech Solutions Ltd."/>
        <s v="SURYO FOODS &amp; INDUSTRIES LTD."/>
        <s v="INTEGRATED PROTEINS LTD."/>
        <s v="MAHAAN FOODS LTD."/>
        <s v="RICO AUTO INDUSTRIES LTD."/>
        <s v="OMAX AUTOS LTD."/>
        <s v="MUNJAL SHOWA LTD."/>
        <s v="JAMNA AUTO INDUSTRIES LTD."/>
        <s v="Senco Gold Ltd"/>
        <s v="NIIT Learning Systems Ltd"/>
        <s v="MUNJAL AUTO INDUSTRIES LTD."/>
        <s v="JAY BHARAT MARUTI LTD."/>
        <s v="RACL Geartech Ltd"/>
        <s v="SAMKRG PISTONS &amp; RINGS LTD.-$"/>
        <s v="EAST COAST STEEL LTD."/>
        <s v="East West Holdings Ltd"/>
        <s v="Redtape Ltd"/>
        <s v="Signatureglobal (India) Ltd"/>
        <s v="AUTOMOTIVE STAMPINGS &amp; ASSEMBLIES LTD."/>
        <s v="ARCEE INDUSTRIES LTD."/>
        <s v="Excel Realty N Infra Ltd"/>
        <s v="RAMA VISION LTD."/>
        <s v="AMRAPALI INDUSTRIES LTD."/>
        <s v="SIBAR AUTO PARTS LTD."/>
        <s v="LE Lavoir Ltd"/>
        <s v="Growington Ventures India Ltd"/>
        <s v="Mehai Technology Ltd"/>
        <s v="Titan Intech Ltd"/>
        <s v="EUROTEX INDUSTRIES &amp; EXPORTS LTD."/>
        <s v="Max Estates Ltd"/>
        <s v="MARAL OVERSEAS LTD."/>
        <s v="SOMA TEXTILES &amp; INDUSTRIES LTD."/>
        <s v="SOURCE INDUSTRIES (INDIA) LTD."/>
        <s v="ADVANCE LIFESTYLES LTD."/>
        <s v="KAKATIYA TEXTILES LTD."/>
        <s v="Perfect-Octave Media Projects Ltd"/>
        <s v="Cello World Ltd"/>
        <s v="HISAR SPINNING MILLS LTD."/>
        <s v="ASK Automotive Ltd"/>
        <s v="PASARI SPINNING MILLS LTD."/>
        <s v="AMARJOTHI SPINNING MILLS LTD."/>
        <s v="OLYMPIA INDUSTRIES LTD."/>
        <s v="NAGREEKA EXPORTS LTD.-$"/>
        <s v="SUDITI INDUSTRIES LTD."/>
        <s v="Shree Bhavya Fabrics Ltd"/>
        <s v="GEM SPINNERS INDIA LTD."/>
        <s v="EUREKA INDUSTRIES LTD."/>
        <s v="ADITYA SPINNERS LTD."/>
        <s v="PRIME URBAN DEVELOPMENT INDIA LTD."/>
        <s v="DHANLAXMI FABRICS LTD."/>
        <s v="SRI LAKSHMI SARASWATHI TEXTILES (ARNI) LTD.-$"/>
        <s v="ZODIAC CLOTHING CO.LTD."/>
        <s v="SRI RAMAKRISHNA MILLS (COIMBATORE) LTD.-$"/>
        <s v="SUPER SPINNING MILLS LTD."/>
        <s v="SIL INVESTMENTS LTD."/>
        <s v="SURYALAKSHMI COTTON MILLS LTD."/>
        <s v="SAMTEX FASHIONS LTD.-$"/>
        <s v="DHANALAXMI ROTO SPINNERS LTD."/>
        <s v="DAMODAR INDUSTRIES LTD.-$"/>
        <s v="SANBLUE CORPORATION LTD."/>
        <s v="UNIROYAL INDUSTRIES LTD."/>
        <s v="TATIA GLOBAL VENNTURE LTD."/>
        <s v="Balgopal Commercial Ltd"/>
        <s v="SRI NACHAMMAI COTTON MILLS LTD.-$"/>
        <s v="KKRRAFTON Developers Ltd"/>
        <s v="SAMBANDAM SPINNING MILLS LTD.-$"/>
        <s v="KANDAGIRI SPINNING MILLS LTD.-$"/>
        <s v="MKP Mobility Ltd"/>
        <s v="PARAS PETROFILS LTD."/>
        <s v="KITEX GARMENTS LTD."/>
        <s v="CRANEX LTD."/>
        <s v="BATLIBOI LTD.-$"/>
        <s v="AUSTIN ENGINEERING CO.LTD."/>
        <s v="UNITED DRILLING TOOLS LTD."/>
        <s v="FLUIDOMAT LTD."/>
        <s v="EMA INDIA LTD."/>
        <s v="WINDSOR MACHINES LTD."/>
        <s v="SHANTHI GEARS LTD."/>
        <s v="MIVEN MACHINE TOOLS LTD."/>
        <s v="Honda India Power Products Ltd"/>
        <s v="The Hi-Tech Gears Ltd"/>
        <s v="Juniper Hotels Ltd"/>
        <s v="UNITED VAN DER HORST LTD."/>
        <s v="KILBURN ENGINEERING LTD."/>
        <s v="BIRLA PRECISION TECHNOLOGIES LTD."/>
        <s v="YUKEN INDIA LTD.-$"/>
        <s v="TBO TEK Ltd"/>
        <s v="VOITH PAPER FABRICS INDIA LTD.-$"/>
        <s v="SOLITAIRE MACHINE TOOLS LTD."/>
        <s v="Tata Motors  Ltd - DVR"/>
        <s v="INDSIL HYDRO POWER AND MANGANESE LTD.-$"/>
        <s v="TMT (INDIA) LTD."/>
        <s v="ITL INDUSTRIES LTD.-$"/>
        <s v="FRONTIER SPRINGS LTD."/>
        <s v="Shriram Pistons"/>
        <s v="RASANDIK ENGINEERING INDUSTRIES INDIA LTD.-$"/>
        <s v="YOGI SUNG-WON (INDIA) LTD."/>
        <s v="HLE Glascoat Ltd"/>
        <s v="GUJARAT APOLLO INDUSTRIES LTD."/>
        <s v="TANEJA AEROSPACE &amp; AVIATION LTD.-$"/>
        <s v="CONART ENGINEERS LTD.-$"/>
        <s v="We Win Ltd"/>
        <s v="SHIVAGRICO IMPLEMENTS LTD."/>
        <s v="M.M.FORGINGS LTD.-$"/>
        <s v="MAYUR UNIQUOTERS LTD.-$"/>
        <s v="CENLUB INDUSTRIES LTD."/>
        <s v="RAJOO ENGINEERS LTD.-$"/>
        <s v="DOLPHIN OFFSHORE ENTERPRISES (INDIA) LTD.-$"/>
        <s v="VEEJAY LAKSHMI ENGINEERING WORKS LTD.-$"/>
        <s v="AHMEDABAD STEELCRAFT LTD."/>
        <s v="GODREJ INDUSTRIES LTD."/>
        <s v="RAM RATNA WIRES LTD.-$"/>
        <s v="JAYASWAL NECO INDUSTRIES LTD."/>
        <s v="SWAN ENERGY LTD."/>
        <s v="PHOENIX INTERNATIONAL LTD."/>
        <s v="Candour Techtex Ltd"/>
        <s v="T &amp; I GLOBAL LTD."/>
        <s v="CONTROL PRINT LTD.-$"/>
        <s v="BEMCO HYDRAULICS LTD."/>
        <s v="ANSAL BUILDWELL LTD.-$"/>
        <s v="WEIZMANN LTD."/>
        <s v="B.N.RATHI SECURITIES LTD."/>
        <s v="RISHI TECHTEX LTD."/>
        <s v="SINCLAIRS HOTELS LTD.-$"/>
        <s v="DCM Shriram Limited"/>
        <s v="BINAYAK TEX PROCESSORS LTD."/>
        <s v="J.J.FINANCE CORPORATION LTD."/>
        <s v="COSMO FERRITES LTD.-$"/>
        <s v="Cropster Agro Ltd"/>
        <s v="FUTURISTIC SECURITIES LTD."/>
        <s v="Minal Industries Limited"/>
        <s v="ADOR MULTIPRODUCTS LTD."/>
        <s v="EIH ASSOCIATED HOTELS LTD.-$"/>
        <s v="MEDI-CAPS LTD.-$"/>
        <s v="Constronics Infra Ltd"/>
        <s v="MORGANITE CRUCIBLE (INDIA) LTD."/>
        <s v="B&amp;A Packaging India Limited"/>
        <s v="ABAN OFFSHORE LTD."/>
        <s v="KOKUYO CAMLIN LTD.-$"/>
        <s v="SRM ENERGY LTD."/>
        <s v="BHARAT SEATS LTD.-$"/>
        <s v="CONTINENTAL PETROLEUMS LTD."/>
        <s v="NB FOOTWEAR LTD."/>
        <s v="MACHINO PLASTICS LTD.-$"/>
        <s v="PEARL POLYMERS LTD."/>
        <s v="VENKY'S (INDIA) LTD."/>
        <s v="ADVANI HOTELS &amp; RESORTS (INDIA) LTD."/>
        <s v="GV FILMS LTD."/>
        <s v="SUPERHOUSE LTD."/>
        <s v="BOMBAY CYCLE &amp; MOTOR AGENCY LTD."/>
        <s v="TCPL PACKAGING LTD.-$"/>
        <s v="SHRI GANG INDUSTRIES AND ALLIED PRODUCTS LTD."/>
        <s v="PURITY FLEX PACK LTD."/>
        <s v="BALMER LAWRIE &amp; CO.LTD."/>
        <s v="KOVAI MEDICAL CENTER &amp; HOSPITAL LTD."/>
        <s v="ELDECO HOUSING &amp; INDUSTRIES LTD."/>
        <s v="MICROSE INDIA LTD."/>
        <s v="3M INDIA LTD."/>
        <s v="DCM SHRIRAM INDUSTRIES LTD.-$"/>
        <s v="MAWANA SUGARS LTD."/>
        <s v="MINI DIAMONDS (INDIA) LTD."/>
        <s v="MAHA RASHTRA APEX CORPORATION LTD."/>
        <s v="NILKAMAL LTD."/>
        <s v="NAHAR POLYFILMS LTD."/>
        <s v="AEGIS LOGISTICS LTD."/>
        <s v="HINDUSTAN PETROLEUM CORPORATION LTD."/>
        <s v="MANGALORE REFINERY &amp; PETROCHEMICALS LTD."/>
        <s v="ADC India Communications Limited-$"/>
        <s v="TAMILNADU TELECOMMUNICATIONS LTD."/>
        <s v="SUNRAJ DIAMOND EXPORTS LTD."/>
        <s v="Evans Electric Ltd"/>
        <s v="CHENNAI PETROLEUM CORPORATION LTD."/>
        <s v="IND BANK HOUSING LTD."/>
        <s v="JAI MATA GLASS LTD."/>
        <s v="LOTUS CHOCOLATE CO.LTD."/>
        <s v="PACIFIC INDUSTRIES LTD."/>
        <s v="CHENNAI MEENAKSHI MULTISPECIALITY HOSPITAL LTD.-$"/>
        <s v="Sunrise Efficient Marketing Ltd"/>
        <s v="APM INDUSTRIES LTD.-$"/>
        <s v="PRECISION WIRES INDIA LTD."/>
        <s v="KRYPTON INDUSTRIES LTD."/>
        <s v="Swiss Military Consumer Goods Ltd"/>
        <s v="MARTIN BURN LTD."/>
        <s v="Future Enterprises Ltd"/>
        <s v="INDIAN TONERS &amp; DEVELOPERS LTD.-$"/>
        <s v="KUNSTSTOFFE INDUSTRIES LTD."/>
        <s v="GINI SILK MILLS LTD.-$"/>
        <s v="SIKA INTERPLANT SYSTEMS LTD."/>
        <s v="Oil and Natural Gas Corporation Ltd"/>
        <s v="UR Sugar Industries Ltd"/>
        <s v="PHAARMASIA LTD."/>
        <s v="Poddar Housing and Development Ltd"/>
        <s v="RELIANCE INDUSTRIES LTD."/>
        <s v="IP RINGS LTD.-$"/>
        <s v="BHARAT PETROLEUM CORPORATION LTD."/>
        <s v="PLASTIBLENDS INDIA LTD.-$"/>
        <s v="Ekansh Concepts Ltd"/>
        <s v="Kkalpana Plastick Limited"/>
        <s v="WATERBASE LTD."/>
        <s v="FLEX FOODS LTD.-$"/>
        <s v="GOLKUNDA DIAMONDS &amp; JEWELLERY LTD."/>
        <s v="APCOTEX INDUSTRIES LTD."/>
        <s v="Fortis Malar Hospitals Limited"/>
        <s v="CASTROL INDIA LTD."/>
        <s v="EIMCO ELECON (INDIA) LTD."/>
        <s v="SAYAJI HOTELS LTD."/>
        <s v="JMG CORPORATION LTD."/>
        <s v="ASHIANA HOUSING LTD.-$"/>
        <s v="SVAM SOFTWARE LTD."/>
        <s v="ECOBOARD INDUSTRIES LTD."/>
        <s v="Dhunseri Ventures Ltd-$"/>
        <s v="Trans India House Impex Ltd"/>
        <s v="Mahindra EPC Irrigation Ltd"/>
        <s v="ITCONS E-Solutions Ltd"/>
        <s v="SHUKRA JEWELLERS LTD."/>
        <s v="MAZDA LTD.-$"/>
        <s v="SOVEREIGN DIAMONDS LTD."/>
        <s v="MENON BEARINGS LTD.-$"/>
        <s v="MUKAT PIPES LTD.-$"/>
        <s v="GUJARAT RAFFIA INDUSTRIES LTD."/>
        <s v="SIMPLEX INFRASTRUCTURES LTD."/>
        <s v="INNOVATIVE TECH PACK LTD."/>
        <s v="Super Tannery Limited"/>
        <s v="Ganesha Ecoverse Ltd"/>
        <s v="AXTEL INDUSTRIES LTD."/>
        <s v="V R WOODART LTD."/>
        <s v="MONOTYPE INDIA LTD."/>
        <s v="SANDUR MANGANESE &amp; IRON ORES LTD."/>
        <s v="HINDUSTAN FLUOROCARBONS LTD."/>
        <s v="Kingfa Science &amp; Technology (India) Ltd-$"/>
        <s v="Patidar Buildcon Limited"/>
        <s v="RAMA PHOSPHATES LTD."/>
        <s v="VENLON ENTERPRISES LTD."/>
        <s v="PET PLASTICS LTD."/>
        <s v="POLYPLEX CORPORATION LTD."/>
        <s v="ALBERT DAVID LTD.-$"/>
        <s v="HARYANA LEATHER CHEMICALS LTD."/>
        <s v="Carysil Ltd"/>
        <s v="KABRA EXTRUSIONTECHNIK LTD."/>
        <s v="VINYL CHEMICALS (INDIA) LTD."/>
        <s v="PEE CEE COSMA SOPE LTD."/>
        <s v="TCM LTD."/>
        <s v="IOL CHEMICALS &amp; PHARMACEUTICALS LTD."/>
        <s v="KESAR PETROPRODUCTS LTD."/>
        <s v="INDIAN OIL CORPORATION LTD."/>
        <s v="LACTOSE (INDIA) LTD."/>
        <s v="TEESTA AGRO INDUSTRIES LTD."/>
        <s v="GAIL (INDIA) LTD."/>
        <s v="PENTOKEY ORGANY (INDIA) LTD."/>
        <s v="WANBURY LTD."/>
        <s v="RESONANCE SPECIALTIES LTD.-$"/>
        <s v="INDRAPRASTHA GAS LTD."/>
        <s v="PETRONET LNG LTD."/>
        <s v="KOPRAN LTD."/>
        <s v="AIMCO PESTICIDES LTD."/>
        <s v="GUJARAT TERCE LABORATORIES LTD."/>
        <s v="SEYA INDUSTRIES LTD."/>
        <s v="JAYANT AGRO-ORGANICS LTD."/>
        <s v="BCL Industries Ltd-$"/>
        <s v="SHREE HARI CHEMICALS EXPORT LTD."/>
        <s v="INDO BORAX &amp; CHEMICALS LTD.-$"/>
        <s v="AARTI DRUGS LTD."/>
        <s v="BODAL CHEMICALS LTD."/>
        <s v="GUJARAT STATE PETRONET LTD."/>
        <s v="VIMTA LABS LTD.-$"/>
        <s v="BIOFIL CHEMICALS &amp; PHARMACEUTICALS LTD."/>
        <s v="ISHITA DRUGS &amp; INDUSTRIES LTD."/>
        <s v="OIL INDIA LTD."/>
        <s v="UNIVERSAL STARCH-CHEM ALLIED LTD."/>
        <s v="AAREY DRUGS &amp; PHARMACEUTICALS LTD."/>
        <s v="WALCHAND PEOPLEFIRST LTD."/>
        <s v="ASIAN PETROPRODUCTS &amp; EXPORTS LTD."/>
        <s v="CAMEX LTD."/>
        <s v="Evexia Lifecare Ltd"/>
        <s v="INDO EURO INDCHEM LTD."/>
        <s v="SYNCOM FORMULATIONS (INDIA) LTD.-$"/>
        <s v="DMR Hydroengineering &amp; Infrastructures Ltd"/>
        <s v="Jet Freight Logistics Ltd"/>
        <s v="COAL INDIA LTD."/>
        <s v="KILITCH DRUGS (INDIA) LTD."/>
        <s v="RAAJ MEDISAFE INDIA LTD."/>
        <s v="SVC INDUSTRIES Ltd"/>
        <s v="CORAL LABORATORIES LTD."/>
        <s v="TULASEE BIO-ETHANOL LTD."/>
        <s v="BACIL PHARMA LTD."/>
        <s v="KREBS BIOCHEMICALS &amp; INDUSTRIES LTD.-$"/>
        <s v="KMC SPECIALITY HOSPITALS (INDIA) LTD."/>
        <s v="LAFFANS PETROCHEMICALS LTD.-$"/>
        <s v="BHASKAR AGROCHEMICALS LTD."/>
        <s v="SUKHJIT STARCH &amp; CHEMICALS LTD.-$"/>
        <s v="Satiate Agri Ltd"/>
        <s v="SHARMA EAST INDIA HOSPITALS &amp; MEDICAL RESEARCH LTD."/>
        <s v="Gulf Oil Lubricants India Ltd"/>
        <s v="GAYATRI BIOORGANICS LTD."/>
        <s v="PODDAR PIGMENTS LTD.-$"/>
        <s v="PHARMAIDS PHARMACEUTICALS LTD."/>
        <s v="VIVID GLOBAL INDUSTRIES LTD."/>
        <s v="ABC INDIA LTD.-$"/>
        <s v="TIRUPATI STARCH &amp; CHEMICALS LTD."/>
        <s v="DRA Consultants Ltd"/>
        <s v="JD ORGOCHEM LTD."/>
        <s v="Aeonx Digital Technology Ltd"/>
        <s v="AKSHARCHEM (INDIA) LTD.-$"/>
        <s v="Bandaram Pharma Packtech Ltd"/>
        <s v="Adline Chem Lab Ltd"/>
        <s v="BERYL DRUGS LTD."/>
        <s v="IEL Ltd"/>
        <s v="iStreet Network Limited"/>
        <s v="GAGAN GASES LTD."/>
        <s v="Zodiac Ventures Limited"/>
        <s v="Shukra Pharmaceuticals Ltd"/>
        <s v="ALUFLUORIDE LTD."/>
        <s v="Oxygenta Pharmaceutical Ltd"/>
        <s v="ARCHIT ORGANOSYS LTD."/>
        <s v="Sikozy Realtors Limited"/>
        <s v="INDO AMINES LTD.-$"/>
        <s v="IND-SWIFT LTD."/>
        <s v="NATURAL CAPSULES LTD."/>
        <s v="WELCURE DRUGS &amp; PHARMACEUTICALS LTD."/>
        <s v="BHARAT IMMUNOLOGICALS &amp; BIOLOGICALS CORPORATION LTD.-$"/>
        <s v="SAVITA OIL TECHNOLOGIES LTD."/>
        <s v="HESTER BIOSCIENCES LTD."/>
        <s v="Johnson Pharmacare Ltd"/>
        <s v="BASANT AGRO TECH (INDIA) LTD.-$"/>
        <s v="SANDU PHARMACEUTICALS LTD."/>
        <s v="NACL Industries Ltd"/>
        <s v="VISTA PHARMACEUTICALS LTD."/>
        <s v="Gujarat Gas Ltd"/>
        <s v="TITAN BIOTECH LTD."/>
        <s v="Ashnisha Industries Ltd"/>
        <s v="Span Divergent Ltd-$"/>
        <s v="JENBURKT PHARMACEUTICALS LTD."/>
        <s v="HIKAL LTD."/>
        <s v="Mahanagar Gas Ltd"/>
        <s v="Fischer Medical Ventures Ltd"/>
        <s v="LINK PHARMA CHEM LTD."/>
        <s v="Decipher Labs Ltd"/>
        <s v="EMMESSAR BIOTECH &amp; NUTRITION LTD."/>
        <s v="NGL FINE-CHEM LTD."/>
        <s v="EVEREST ORGANICS LTD."/>
        <s v="Adani Total Gas Ltd"/>
        <s v="PHYTO CHEM (INDIA) LTD."/>
        <s v="Bajaj Hindusthan Sugar Limited"/>
        <s v="DYNAMIC INDUSTRIES LTD.-$"/>
        <s v="PANAMA PETROCHEM LTD."/>
        <s v="BAL PHARMA LTD."/>
        <s v="BDH INDUSTRIES LTD."/>
        <s v="JAUSS POLYMERS LTD."/>
        <s v="Globus Constructors &amp; Developers Limited"/>
        <s v="CUBEX TUBINGS LTD."/>
        <s v="POLYMECHPLAST MACHINES LTD."/>
        <s v="STELLANT SECURITIES (INDIA) LTD."/>
        <s v="GALAXY BEARINGS LTD."/>
        <s v="SC Agrotech Ltd"/>
        <s v="RAVILEELA GRANITES LTD."/>
        <s v="UNIROYAL MARINE EXPORTS LTD."/>
        <s v="KARAN WOO-SIN LTD."/>
        <s v="SHERVANI INDUSTRIAL SYNDICATE LTD."/>
        <s v="ROSE MERC.LTD."/>
        <s v="SUPERTEX INDUSTRIES LTD."/>
        <s v="SHETRON LTD."/>
        <s v="TRANSGENE BIOTEK LTD."/>
        <s v="MPL Plastics Limited"/>
        <s v="NIKHIL ADHESIVES LTD.-$"/>
        <s v="SPENTA INTERNATIONAL LTD."/>
        <s v="MULTIBASE INDIA LTD."/>
        <s v="ANDREW YULE &amp; COMPANY LTD."/>
        <s v="LUDLOW JUTE &amp; SPECIALITIES LTD."/>
        <s v="ASHRAM ONLINE.COM LTD."/>
        <s v="ROYAL CUSHION VINYL PRODUCTS LTD.-$"/>
        <s v="SURAJ INDUSTRIES LTD."/>
        <s v="Hitech Corporation Ltd-$"/>
        <s v="BLOOM DEKOR LTD.-$"/>
        <s v="FILATEX INDIA LTD.-$"/>
        <s v="STANDARD SURFACTANTS LTD."/>
        <s v="MORGAN VENTURES LTD."/>
        <s v="Prismx Global Ventures Ltd"/>
        <s v="PREMIER EXPLOSIVES LTD."/>
        <s v="MID EAST PORTFOLIO MANAGEMENT LTD."/>
        <s v="MOLD-TEK TECHNOLOGIES LTD."/>
        <s v="CRESTCHEM LTD."/>
        <s v="BALRAMPUR CHINI MILLS LTD."/>
        <s v="MEDINOVA DIAGNOSTIC SERVICES LTD."/>
        <s v="Divyashakti Ltd"/>
        <s v="ORIENT PRESS LTD."/>
        <s v="SHREYAS INTERMEDIATES LTD."/>
        <s v="PANJON LTD."/>
        <s v="Nirbhay Colours India Ltd"/>
        <s v="DUROPACK LTD."/>
        <s v="Swarnsarita Jewels India Ltd"/>
        <s v="DABUR INDIA LTD."/>
        <s v="GODFREY PHILLIPS INDIA LTD."/>
        <s v="CINDRELLA HOTELS LTD.-$"/>
        <s v="BALURGHAT TECHNOLOGIES LTD."/>
        <s v="ALPHAGEO (INDIA) LTD.-$"/>
        <s v="Hampton Sky Realty Ltd"/>
        <s v="Kkalpana Industries (India) Ltd"/>
        <s v="OK PLAY INDIA LTD."/>
        <s v="KRITI INDUSTRIES (INDIA) LTD.-$"/>
        <s v="ASM TECHNOLOGIES LTD."/>
        <s v="PERFECTPAC LTD."/>
        <s v="ERP SOFT SYSTEMS LTD."/>
        <s v="VISION CINEMAS LTD."/>
        <s v="DATASOFT APPLICATION SOFTWARE (INDIA) LTD."/>
        <s v="INDRAYANI BIOTECH LTD."/>
        <s v="EURO LEDER FASHION LTD."/>
        <s v="WINSOME BREWERIES LTD."/>
        <s v="ELEGANT FLORICULTURE &amp; AGROTECH (INDIA) LTD."/>
        <s v="SKY INDUSTRIES LTD.-$"/>
        <s v="Flomic Global Logistics Ltd"/>
        <s v="Bhudevi Infra Projects Ltd"/>
        <s v="PRATIK PANELS LTD."/>
        <s v="Rishiroop Ltd"/>
        <s v="Promact Impex Ltd"/>
        <s v="STERLING GREEN WOODS LTD."/>
        <s v="SYSTEMATIX CORPORATE SERVICES LTD."/>
        <s v="ARTEFACT PROJECTS LTD."/>
        <s v="ALPINE HOUSING DEVELOPMENT CORPORATION LTD."/>
        <s v="SANGHI INDUSTRIES LTD."/>
        <s v="SALORA INTERNATIONAL LTD."/>
        <s v="Kaiser Corporation Limited"/>
        <s v="Square Four Projects India Limited"/>
        <s v="SCANPOINT GEOMATICS LTD."/>
        <s v="CHOKSI LABORATORIES LTD."/>
        <s v="Country Club Hospitality &amp; Holidays Ltd"/>
        <s v="LONGVIEW TEA COMPANY LTD."/>
        <s v="MIDWEST GOLD LTD."/>
        <s v="ICDS LTD."/>
        <s v="TECHINDIA NIRMAN LIMITED"/>
        <s v="TPL PLASTECH LTD."/>
        <s v="WIM PLAST LTD.-$"/>
        <s v="PHOTOQUIP INDIA LTD."/>
        <s v="LIBERTY SHOES LTD."/>
        <s v="LIPPI SYSTEMS LTD.-$"/>
        <s v="ELECTROTHERM (INDIA) LTD."/>
        <s v="FERVENT SYNERGIES LTD."/>
        <s v="EXPO GAS CONTAINERS LTD."/>
        <s v="NATIONAL PLASTIC INDUSTRIES LTD."/>
        <s v="Sellwin Traders Ltd"/>
        <s v="TEXEL INDUSTRIES LTD."/>
        <s v="ROYALE MANOR HOTELS &amp; INDUSTRIES LTD."/>
        <s v="MIRZA INTERNATIONAL LTD."/>
        <s v="TOURISM FINANCE CORPORATION OF INDIA LTD."/>
        <s v="THAKKERS DEVELOPERS LTD."/>
        <s v="RAJDARSHAN INDUSTRIES LTD."/>
        <s v="BHARTIYA INTERNATIONAL LTD."/>
        <s v="KAMAT HOTELS (INDIA) LTD."/>
        <s v="CONTIL INDIA LTD."/>
        <s v="DSJ keep Learning Ltd"/>
        <s v="POLO HOTELS LTD."/>
        <s v="ECOPLAST LTD.-$"/>
        <s v="ELEGANT MARBLES &amp; GRANI INDUSTRIES LTD."/>
        <s v="BITS LTD."/>
        <s v="ADARSH PLANT PROTECT LTD."/>
        <s v="HCP Plastene Bulkpack Ltd"/>
        <s v="NICCO PARKS &amp; RESORTS LTD.-$"/>
        <s v="NTC INDUSTRIES LTD."/>
        <s v="SANDESH LTD."/>
        <s v="GARNET CONSTRUCTION LTD."/>
        <s v="GOLDIAM INTERNATIONAL LTD."/>
        <s v="BRIGHT BROTHERS LTD.-$"/>
        <s v="NARMADA GELATINES LTD."/>
        <s v="PG FOILS LTD."/>
        <s v="GRATEX INDUSTRIES LTD."/>
        <s v="VELAN HOTELS LTD."/>
        <s v="HOWARD HOTELS LTD."/>
        <s v="PRESSURE SENSITIVE SYSTEMS (INDIA) LTD."/>
        <s v="VALIANT COMMUNICATIONS LTD.-$"/>
        <s v="DR.AGARWALS EYE HOSPITAL LTD.-$"/>
        <s v="MAHARASHTRA CORPORATION LTD."/>
        <s v="GREENPLY INDUSTRIES LTD."/>
        <s v="SAI CAPITAL LTD."/>
        <s v="RAGHUNATH INTERNATIONAL LTD."/>
        <s v="CHEVIOT CO.LTD.-$"/>
        <s v="DAI-ICHI KARKARIA LTD.-$"/>
        <s v="Rajeswari Infrastructure Limited"/>
        <s v="Spice Islands Industries Ltd-$"/>
        <s v="CONFIDENCE PETROLEUM INDIA LTD."/>
        <s v="SHELTER INFRA PROJECTS LTD.-$"/>
        <s v="SHAKTI PRESS LTD."/>
        <s v="ASHIRWAD STEELS &amp; INDUSTRIES LTD."/>
        <s v="BANARAS BEADS LTD."/>
        <s v="AREX INDUSTRIES LTD."/>
        <s v="BILCARE LTD.-$"/>
        <s v="ISF LIMITED"/>
        <s v="RISHI LASER LTD."/>
        <s v="SecUR Credentials Ltd"/>
        <s v="KUMBHAT FINANCIAL SERVICES LTD."/>
        <s v="INTEC CAPITAL LTD."/>
        <s v="RAJASTHAN GASES LTD."/>
        <s v="Suncare Traders Ltd"/>
        <s v="63 Moons Technologies Ltd"/>
        <s v="SARLA PERFORMANCE FIBERS LTD.-$"/>
        <s v="MARKET CREATORS LTD."/>
        <s v="Himalaya Food International Ltd"/>
        <s v="SONAL ADHESIVES LTD."/>
        <s v="Padmanabh Industries Limited"/>
        <s v="TWENTYFIRST CENTURY MANAGEMENT SERVICES LTD."/>
        <s v="HARIYANA SHIP BREAKERS LTD.-$"/>
        <s v="Arunis Abode Ltd"/>
        <s v="TYROON TEA CO.LTD."/>
        <s v="LA OPALA RG LTD."/>
        <s v="Stylam Industries Limited"/>
        <s v="VENUS REMEDIES LTD."/>
        <s v="WOODSVILLA LTD."/>
        <s v="Last Mile Enterprises Ltd"/>
        <s v="GUJARAT CRAFT INDUSTRIES LTD."/>
        <s v="HEERA ISPAT LTD."/>
        <s v="CHANDRA PRABHU INTERNATIONAL LTD.-$"/>
        <s v="Crimson Metal Engineering Company Ltd"/>
        <s v="Shri Bajrang Alliance Ltd"/>
        <s v="ASHOKA REFINERIES LTD."/>
        <s v="URJA GLOBAL LTD."/>
        <s v="ASHAPURA MINECHEM LTD."/>
        <s v="SHREE PACETRONIX LTD."/>
        <s v="Patanjali Foods Ltd"/>
        <s v="PROCTER &amp; GAMBLE HYGIENE &amp; HEALTH CARE LTD."/>
        <s v="HINDUSTAN UNILEVER LTD."/>
        <s v="MANGALORE CHEMICALS &amp; FERTILIZERS LTD."/>
        <s v="STANDARD INDUSTRIES LTD."/>
        <s v="NESTLE INDIA LTD."/>
        <s v="The Investment Trust Of India Ltd"/>
        <s v="LESHA INDUSTRIES LTD."/>
        <s v="AADI INDUSTRIES LTD."/>
        <s v="SANTOSH FINE-FAB LTD."/>
        <s v="SREE JAYALAKSHMI AUTOSPIN LTD."/>
        <s v="ACKNIT INDUSTRIES LTD."/>
        <s v="TITAN SECURITIES LTD."/>
        <s v="Real Eco-Energy Ltd"/>
        <s v="SAWACA BUSINESS MACHINES LTD."/>
        <s v="Vivanza Biosciences Ltd"/>
        <s v="YASHRAJ CONTAINEURS LTD."/>
        <s v="Lords Ishwar Hotels Limited"/>
        <s v="CSL Finance Ltd"/>
        <s v="SANGHVI MOVERS LTD."/>
        <s v="SELAN EXPLORATION TECHNOLOGY LTD.-$"/>
        <s v="FRESHTROP FRUITS LTD."/>
        <s v="FAZE THREE LTD.-$"/>
        <s v="Pradhin Ltd"/>
        <s v="Anupam Finserv Ltd"/>
        <s v="RAJ PACKAGING INDUSTRIES LTD."/>
        <s v="Tata Consumer Products Ltd"/>
        <s v="NATRAJ PROTEINS LTD."/>
        <s v="SAMRAT PHARMACHEM LTD.-$"/>
        <s v="NPR FINANCE LTD."/>
        <s v="NILE LTD."/>
        <s v="UDAIPUR CEMENT WORKS LTD."/>
        <s v="AMCO INDIA LTD.-$"/>
        <s v="Optiemus Infracom Ltd"/>
        <s v="KREON FINNANCIAL SERVICES LTD."/>
        <s v="GYAN DEVELOPERS &amp; BUILDERS LTD."/>
        <s v="KISAN MOULDINGS LTD.-$"/>
        <s v="Starlog Enterprises Ltd"/>
        <s v="KERALA AYURVEDA LTD."/>
        <s v="MOONGIPA CAPITAL FINANCE LTD."/>
        <s v="MOHIT PAPER MILLS LTD."/>
        <s v="DAULAT SECURITIES LTD."/>
        <s v="OSCAR GLOBAL LTD."/>
        <s v="ODYSSEY TECHNOLOGIES LTD.-$"/>
        <s v="Surat Trade and Mercantile Ltd"/>
        <s v="ATHARV ENTERPRISES LTD."/>
        <s v="Fundviser Capital (India) Ltd"/>
        <s v="THEMIS MEDICARE LTD."/>
        <s v="Kallam Textiles Ltd-$"/>
        <s v="BRAWN BIOTECH LTD."/>
        <s v="KABSONS INDUSTRIES LTD."/>
        <s v="Kings Infra Ventures Limited"/>
        <s v="SUBHASH SILK MILLS LTD."/>
        <s v="AURO LABORATORIES LTD."/>
        <s v="KJMC FINANCIAL SERVICES LTD."/>
        <s v="SUVEN LIFE SCIENCES LTD."/>
        <s v="ARYAMAN FINANCIAL SERVICES LTD."/>
        <s v="BRIDGE SECURITIES LTD."/>
        <s v="Megri Soft Ltd"/>
        <s v="RAJASTHAN TUBE MANUFACTURING CO.LTD."/>
        <s v="KAY POWER AND PAPER LTD."/>
        <s v="Getalong Enterprise Ltd"/>
        <s v="GLOBAL CAPITAL MARKETS LTD."/>
        <s v="SAINIK FINANCE &amp; INDUSTRIES LTD."/>
        <s v="Arigato Universe Ltd"/>
        <s v="QUANTUM DIGITAL VISION (INDIA) LTD."/>
        <s v="Hemang Resources Ltd"/>
        <s v="Paos Industries Ltd"/>
        <s v="GRANDMA TRADING &amp; AGENCIES LTD."/>
        <s v="BRITANNIA INDUSTRIES LTD."/>
        <s v="CHAMAN LAL SETIA EXPORTS LTD.-$"/>
        <s v="INFORMED TECHNOLOGIES INDIA LTD."/>
        <s v="Kimia Biosciences Ltd"/>
        <s v="HINDUSTAN TIN WORKS LTD.-$"/>
        <s v="GODAVARI DRUGS LTD."/>
        <s v="PREMCO GLOBAL LTD.-$"/>
        <s v="MUKESH BABU FINANCIAL SERVICES LTD."/>
        <s v="COLGATE-PALMOLIVE (INDIA) LTD."/>
        <s v="Asian Energy Services Ltd"/>
        <s v="KBS INDIA LIMITED"/>
        <s v="Prabhhans Industries Ltd"/>
        <s v="UGAR SUGAR WORKS LTD.-$"/>
        <s v="ORIENT BELL LIMITED-$"/>
        <s v="NRB BEARINGS LTD."/>
        <s v="VAMSHI RUBBER LTD."/>
        <s v="NILA INFRASTRUCTURES LTD."/>
        <s v="DB (INTERNATIONAL) STOCK BROKERS LTD."/>
        <s v="VINYOFLEX LTD."/>
        <s v="JINDAL CAPITAL LTD."/>
        <s v="EPIC ENERGY LTD.-$"/>
        <s v="SUMEDHA FISCAL SERVICES LTD."/>
        <s v="KUWER INDUSTRIES LTD."/>
        <s v="CHOKSI IMAGING LTD."/>
        <s v="ASHISH POLYPLAST LTD."/>
        <s v="ADOR FONTECH LTD.-$"/>
        <s v="SHIVA GLOBAL AGRO INDUSTRIES LTD."/>
        <s v="SIDDHA VENTURES LTD."/>
        <s v="KIRAN SYNTEX LTD."/>
        <s v="Safa Systems &amp; Technologies Ltd"/>
        <s v="RUNGTA IRRIGATION LTD."/>
        <s v="CINERAD COMMUNICATIONS LTD."/>
        <s v="VALSON INDUSTRIES LTD.-$"/>
        <s v="SABOO SODIUM CHLORO LTD."/>
        <s v="GSL SECURITIES LTD."/>
        <s v="Tinna Rubber and Infrastructure Limited"/>
        <s v="VIKRAM THERMO (INDIA) LTD."/>
        <s v="FUTURE MARKET NETWORKS LTD."/>
        <s v="A.K.CAPITAL SERVICES LTD."/>
        <s v="ITC LTD."/>
        <s v="VIRAT INDUSTRIES LTD."/>
        <s v="Rajnish Retail Ltd"/>
        <s v="TERAI TEA CO.LTD."/>
        <s v="MANRAJ HOUSING FINANCE LTD."/>
        <s v="COSCO (INDIA) LTD.-$"/>
        <s v="KEN FINANCIAL SERVICES LTD."/>
        <s v="BOMBAY BURMAH TRADING CORP.LTD."/>
        <s v="PARAMOUNT COMMUNICATIONS LTD.-$"/>
        <s v="NCL RESEARCH &amp; FINANCIAL SERVICES LTD."/>
        <s v="Popees Cares Ltd"/>
        <s v="Beekay Niryat Ltd"/>
        <s v="LADDERUP FINANCE LTD."/>
        <s v="U. Y. Fincorp Ltd"/>
        <s v="Rithwik Facility Management Services Ltd"/>
        <s v="SWASTIKA INVESTMART LTD."/>
        <s v="PRIMA PLASTICS LTD."/>
        <s v="TELECANOR GLOBAL LTD."/>
        <s v="JAGSONPAL FINANCE &amp; LEASING LTD."/>
        <s v="GARG FURNACE LTD."/>
        <s v="SAMPRE NUTRITIONS LTD."/>
        <s v="Akar Auto Industries Ltd"/>
        <s v="Vipul Organics Ltd"/>
        <s v="ECO RECYCLING LTD."/>
        <s v="Goodluck India Ltd"/>
        <s v="GOYAL ASSOCIATES LTD."/>
        <s v="ZENITH HEALTH CARE LTD."/>
        <s v="YORK EXPORTS LTD."/>
        <s v="SUPREME HOLDINGS &amp; HOSPITALITY (INDIA) LTD."/>
        <s v="Greencrest Financial Services Limited"/>
        <s v="PRIME PROPERTY DEVELOPMENT CORPORATION LTD.-$"/>
        <s v="Markobenz Ventures Ltd"/>
        <s v="Raj Rayon Industries Limited-$"/>
        <s v="FLORA TEXTILES LTD."/>
        <s v="GOWRA LEASING &amp; FINANCE LTD."/>
        <s v="JAGAN LAMPS LTD."/>
        <s v="AJEL LTD."/>
        <s v="ALPS INDUSTRIES LTD."/>
        <s v="ASIT C.MEHTA FINANCIAL SERVICES LTD."/>
        <s v="Encode Packaging India Ltd"/>
        <s v="SUPER BAKERS (INDIA) LTD."/>
        <s v="OVOBEL FOODS LTD."/>
        <s v="Challani Capital Ltd"/>
        <s v="CORAL NEWSPRINTS LTD."/>
        <s v="STERLING TOOLS LTD.-$"/>
        <s v="Agarwal Fortune India Ltd"/>
        <s v="DYNAMIC PORTFOLIO MANAGEMENT &amp; SERVICES LTD."/>
        <s v="INLAND PRINTERS LTD."/>
        <s v="CEEJAY FINANCE LTD."/>
        <s v="SUNCITY SYNTHETICS LTD."/>
        <s v="Transvoy Logistics India Ltd"/>
        <s v="ANNA INFRASTRUCTURES LTD."/>
        <s v="Bhageria Industries Ltd"/>
        <s v="Cargosol Logistics Ltd"/>
        <s v="ASIAN TEA &amp; EXPORTS LTD.-$"/>
        <s v="GILLETTE INDIA LTD."/>
        <s v="SSPDL LTD.-$"/>
        <s v="DAIKAFFIL CHEMICALS INDIA LTD."/>
        <s v="CIL SECURITIES LTD."/>
        <s v="CLIO INFOTECH LTD."/>
        <s v="CUPID LTD.-$"/>
        <s v="SUNSHIELD CHEMICALS LTD."/>
        <s v="HIPOLIN LTD."/>
        <s v="GDL LEASING &amp; FINANCE LTD."/>
        <s v="CHEMBOND CHEMICALS LTD.-$"/>
        <s v="Capital India Finance Ltd"/>
        <s v="Arunjyoti Bio Ventures Ltd"/>
        <s v="SUPER CROP SAFE LTD."/>
        <s v="N.G.INDUSTRIES LTD.-$"/>
        <s v="ASIA PACK LTD."/>
        <s v="DHANLAXMI COTEX LTD."/>
        <s v="FORTUNE INTERNATIONAL LTD."/>
        <s v="MFL INDIA LTD."/>
        <s v="REMSONS INDUSTRIES LTD."/>
        <s v="RAMSONS PROJECTS LTD."/>
        <s v="HARYANA FINANCIAL CORPORATION LTD."/>
        <s v="Danube Industries Ltd"/>
        <s v="STANPACKS (INDIA) LTD."/>
        <s v="SRI ADHIKARI BROTHERS TELEVISION NETWORK LTD."/>
        <s v="RAMINFO LIMITED"/>
        <s v="SUNIL AGRO FOODS LTD.-$"/>
        <s v="DIANA TEA CO.LTD."/>
        <s v="Vikas EcoTech Ltd"/>
        <s v="VST INDUSTRIES LTD."/>
        <s v="ALFA ICA (INDIA) LTD."/>
        <s v="Shri Keshav Cements And Infra Ltd"/>
        <s v="INDIA HOME LOAN LTD."/>
        <s v="ROOPA INDUSTRIES LTD."/>
        <s v="UNIQUE ORGANICS LTD."/>
        <s v="AVANTI FEEDS LTD.-$"/>
        <s v="SWARNA SECURITIES LTD."/>
        <s v="KRATOS ENERGY &amp; INFRASTRUCTURE LTD."/>
        <s v="VISAGAR FINANCIAL SERVICES LTD."/>
        <s v="LIBORD SECURITIES LTD."/>
        <s v="Eraaya Lifespaces Ltd"/>
        <s v="COMPETENT AUTOMOBILES CO.LTD."/>
        <s v="DHANVANTRI JEEVAN REKHA LTD."/>
        <s v="NEELKANTH ROCKMINERALS LTD."/>
        <s v="VINTAGE SECURITIES LTD."/>
        <s v="OSWAL OVERSEAS LTD."/>
        <s v="SUNIL INDUSTRIES LTD."/>
        <s v="VIJAY SOLVEX LTD."/>
        <s v="SHRI KRISHNA DEVCON LTD."/>
        <s v="Innovative Ideals and Services (India) Ltd"/>
        <s v="NIHAR INFO GLOBAL LTD."/>
        <s v="UNITED CREDIT LTD."/>
        <s v="OM Infra Ltd"/>
        <s v="Checkpoint Trends Ltd"/>
        <s v="ISHAN DYES &amp; CHEMICALS LTD."/>
        <s v="GOTHI PLASCON (INDIA) LTD."/>
        <s v="Balu Forge Industries Ltd"/>
        <s v="CEENIK EXPORTS (INDIA) LTD."/>
        <s v="HINDUSTAN FOODS LTD."/>
        <s v="INANI MARBLES &amp; INDUSTRIES LTD."/>
        <s v="Tarini International Ltd"/>
        <s v="EL FORGE LTD.-$"/>
        <s v="MEDICAMEN BIOTECH LTD.-$"/>
        <s v="Alicon Castalloy Limited"/>
        <s v="DILIGENT INDUSTRIES LTD."/>
        <s v="EPSOM PROPERTIES LTD."/>
        <s v="ALFAVISION OVERSEAS (INDIA) LTD."/>
        <s v="ORGANIC COATINGS LTD."/>
        <s v="Lex Nimble Solutions Ltd"/>
        <s v="ABM KNOWLEDGEWARE LTD."/>
        <s v="Heritage Foods Limited"/>
        <s v="Kemistar Corporation Limited"/>
        <s v="ASSOCIATED CERAMICS LTD."/>
        <s v="SKP SECURITIES LTD."/>
        <s v="SYSCHEM (INDIA) LTD."/>
        <s v="BLS INFOTECH LTD."/>
        <s v="MEFCOM CAPITAL MARKETS LTD."/>
        <s v="Diggi Multitrade Ltd"/>
        <s v="ARMAN FINANCIAL SERVICES LTD."/>
        <s v="GLANCE FINANCE LTD."/>
        <s v="SHILCHAR TECHNOLOGIES LTD."/>
        <s v="Zenlabs Ethica Ltd"/>
        <s v="Gconnect Logitech and Supply Chain Ltd"/>
        <s v="NUCLEUS SOFTWARE EXPORTS LTD."/>
        <s v="COLINZ LABORATORIES LTD."/>
        <s v="NALIN LEASE FINANCE LTD."/>
        <s v="CCL PRODUCTS (INDIA) LTD."/>
        <s v="RTS POWER CORPORATION LTD."/>
        <s v="COMFORT INTECH LTD.-$"/>
        <s v="SHYAMA INFOSYS LTD."/>
        <s v="MAYUR FLOORINGS LTD."/>
        <s v="ANJANI SYNTHETICS LTD.-$"/>
        <s v="Xtglobal Infotech Ltd"/>
        <s v="DECO-MICA LTD."/>
        <s v="RANDER CORPORATION LTD."/>
        <s v="RASI ELECTRODES LTD."/>
        <s v="Scoobee Day Garments (India) Ltd"/>
        <s v="CITIPORT FINANCIAL SERVICES LTD."/>
        <s v="DHRUVA CAPITAL SERVICES LTD."/>
        <s v="MRC Agrotech Ltd"/>
        <s v="Linc Ltd-$"/>
        <s v="PRIMA INDUSTRIES LTD."/>
        <s v="INDIA GELATINE &amp; CHEMICALS LTD.-$"/>
        <s v="Optimus Finance Ltd"/>
        <s v="PARAGON FINANCE LTD."/>
        <s v="PRATIKSHA CHEMICALS LTD."/>
        <s v="Esha Media Research Limited"/>
        <s v="Refex Renewables &amp; Infrastructure Ltd"/>
        <s v="V.S.T.TILLERS TRACTORS LTD.-$"/>
        <s v="B2B SOFTWARE TECHNOLOGIES LTD."/>
        <s v="NIKKI GLOBAL FINANCE LTD."/>
        <s v="RADHE DEVELOPERS (INDIA) LTD."/>
        <s v="Elixir Capital Ltd"/>
        <s v="Trishakti Industries Ltd"/>
        <s v="PANKAJ POLYMERS LTD."/>
        <s v="Marble City India Ltd"/>
        <s v="CINDRELLA FINANCIAL SERVICES LTD."/>
        <s v="NATIONAL PLASTIC TECHNOLOGIES LTD."/>
        <s v="LEAD FINANCIAL SERVICES LTD."/>
        <s v="National Fittings Limited"/>
        <s v="TAI INDUSTRIES LTD.-$"/>
        <s v="AMIT INTERNATIONAL LTD."/>
        <s v="NUTECH GLOBAL LTD."/>
        <s v="DHP INDIA LTD."/>
        <s v="RRIL Ltd"/>
        <s v="AVAILABLE FINANCE LTD."/>
        <s v="Integra Capital  Ltd"/>
        <s v="Sri Havisha Hospitality And Infrastructure Ltd"/>
        <s v="Jayatma Industries Ltd"/>
        <s v="ROSELABS FINANCE LTD."/>
        <s v="Kretto Syscon Ltd"/>
        <s v="Roni Households Ltd"/>
        <s v="GUJARAT AMBUJA EXPORTS LTD."/>
        <s v="WinPro Industries Ltd"/>
        <s v="MILESTONE GLOBAL LTD."/>
        <s v="BERVIN INVESTMENT &amp; LEASING LTD."/>
        <s v="GUJARAT INVESTA LTD."/>
        <s v="Shahi Shipping Ltd-$"/>
        <s v="EASTERN TREADS LTD."/>
        <s v="PANACEA BIOTEC LTD."/>
        <s v="PEETI SECURITIES LTD."/>
        <s v="Mercury Ev-Tech Ltd"/>
        <s v="PICCADILY AGRO INDUSTRIES LTD."/>
        <s v="SHRIRAM ASSET MANAGEMENT CO.LTD."/>
        <s v="SBEC SYSTEMS (INDIA) LTD."/>
        <s v="Fruition Venture Ltd"/>
        <s v="Sparc Electrex Ltd"/>
        <s v="THE BYKE HOSPITALITY LTD."/>
        <s v="CENTENIAL SURGICAL SUTURE LTD."/>
        <s v="ARIHANT FOUNDATIONS &amp; HOUSING LTD.-$"/>
        <s v="HASTI FINANCE LTD."/>
        <s v="UPSURGE INVESTMENT &amp; FINANCE LTD."/>
        <s v="PADAM COTTON YARNS LTD."/>
        <s v="WOMEN NETWORKS LTD."/>
        <s v="POLYCON INTERNATIONAL LTD."/>
        <s v="SOURCE NATURAL FOODS &amp; HERBAL SUPPL LTD."/>
        <s v="G.G.AUTOMOTIVE GEARS LTD."/>
        <s v="ALMONDZ GLOBAL SECURITIES LTD."/>
        <s v="Cargotrans Maritime Ltd"/>
        <s v="ANS Industries Ltd"/>
        <s v="TUNI TEXTILE MILLS LTD."/>
        <s v="Radix Industries (India) Limited"/>
        <s v="KIRAN PRINT-PACK LTD."/>
        <s v="NARENDRA PROPERTIES LTD."/>
        <s v="MEGA CORPORATION LTD."/>
        <s v="TAMIL NADU NEWSPRINT &amp; PAPERS LTD."/>
        <s v="KRBL LTD."/>
        <s v="SYSTEMATIX SECURITIES LTD."/>
        <s v="SUNGOLD CAPITAL LTD."/>
        <s v="Saffron Industries Limited"/>
        <s v="Prakash Woollen &amp; Synthetic Mills Ltd"/>
        <s v="Aion-Tech Solutions Ltd"/>
        <s v="Vardhman Concrete Limited"/>
        <s v="GRM OVERSEAS LTD."/>
        <s v="MOHIT INDUSTRIES LTD.-$"/>
        <s v="POLYLINK POLYMERS (INDIA) LTD."/>
        <s v="MINAXI TEXTILES LTD."/>
        <s v="CONTINENTAL CONTROLS LTD."/>
        <s v="YASH MANAGEMENT &amp; SATELLITE LTD."/>
        <s v="DUKE OFFSHORE LTD."/>
        <s v="CYBELE INDUSTRIES LTD."/>
        <s v="CG-VAK SOFTWARE &amp; EXPORTS LTD."/>
        <s v="Navkar Urbanstructure Ltd"/>
        <s v="MADHUCON PROJECTS LTD.-$"/>
        <s v="SYBLY INDUSTRIES LTD.-$"/>
        <s v="EMAMI LTD.-$"/>
        <s v="PRO FIN CAPITAL SERVICES LTD."/>
        <s v="MARIS SPINNERS LTD.-$"/>
        <s v="INDERGIRI FINANCE LTD."/>
        <s v="Vrundavan Plantation Ltd"/>
        <s v="EVEREADY INDUSTRIES INDIA LTD."/>
        <s v="STEP TWO CORPORATION LTD."/>
        <s v="ORIENT TRADELINK LTD."/>
        <s v="O. P. Chains Ltd"/>
        <s v="Vikas Proppant &amp; Granite Ltd"/>
        <s v="DESH RAKSHAK AUSHDHALAYA LTD."/>
        <s v="ACE SOFTWARE EXPORTS LTD.-$"/>
        <s v="SOFTRAK VENTURE INVESTMENT LTD."/>
        <s v="ZYDUS WELLNESS LTD.-$"/>
        <s v="Accedere Ltd"/>
        <s v="SARTHAK INDUSTRIES LTD."/>
        <s v="RISHABH DIGHA STEEL &amp; ALLIED PRODUCTS LTD.-$"/>
        <s v="MARUTI INFRASTRUCTURE LTD."/>
        <s v="Kobo Biotech Ltd-$"/>
        <s v="HATSUN AGRO PRODUCT LTD."/>
        <s v="SOMANY CERAMICS LTD."/>
        <s v="JHAVERI CREDITS &amp; CAPITAL LTD."/>
        <s v="RAGHUNATH TOBACCO CO.LTD."/>
        <s v="BNR UDYOG LTD."/>
        <s v="Palm Jewels Ltd"/>
        <s v="ASHUTOSH PAPER MILLS LTD."/>
        <s v="SANJIVANI PARANTERAL LTD."/>
        <s v="VAS INFRASTRUCTURE LTD."/>
        <s v="KMF BUILDERS &amp; DEVELOPERS LTD."/>
        <s v="BERYL SECURITIES LTD."/>
        <s v="RAP MEDIA LTD."/>
        <s v="Gautam Exim Ltd"/>
        <s v="BAMPSL SECURITIES LTD."/>
        <s v="Neeraj Paper Marketing Ltd"/>
        <s v="INCON ENGINEERS LTD."/>
        <s v="MARICO LTD."/>
        <s v="TRIVENI ENGINEERING &amp; INDUSTRIES LTD."/>
        <s v="Gogia Capital Services Limited"/>
        <s v="GORANI INDUSTRIES LTD."/>
        <s v="KG PETROCHEM LTD."/>
        <s v="COUNTRY CONDO'S LTD."/>
        <s v="OROSIL SMITHS INDIA LTD.-$"/>
        <s v="Tejassvi Aaharam Ltd"/>
        <s v="LINCOLN PHARMACEUTICALS LTD."/>
        <s v="Praveg Ltd"/>
        <s v="SURAJ LTD.-$"/>
        <s v="Suvidha Infraestate Corporation Limited"/>
        <s v="GODREJ CONSUMER PRODUCTS LTD."/>
        <s v="TOKYO FINANCE LTD."/>
        <s v="B.J.DUPLEX BOARDS LTD."/>
        <s v="NATIONAL GENERAL INDUSTRIES LTD."/>
        <s v="THIRDWAVE FINANCIAL INTERMEDIARIES LTD."/>
        <s v="HITTCO TOOLS LTD."/>
        <s v="RR MetalMakers India Ltd"/>
        <s v="VISION CORPORATION LTD."/>
        <s v="Bisil Plast Limited"/>
        <s v="INANI SECURITIES LTD."/>
        <s v="ANKA INDIA LTD."/>
        <s v="Amerise Biosciences Ltd"/>
        <s v="Prithvi Exchange (India) Ltd"/>
        <s v="KHYATI MULTIMEDIA-ENTERTAINMENT LTD."/>
        <s v="RAINBOW FOUNDATIONS LTD."/>
        <s v="Nyssa Corporation Limited"/>
        <s v="Tricom Fruit Products Limited"/>
        <s v="Vidhi Specialty Food Ingredients Ltd-$"/>
        <s v="BHAGIRADHA CHEMICALS &amp; INDUSTRIES LTD."/>
        <s v="GACM Technologies Ltd"/>
        <s v="PANCHSHEEL ORGANICS LTD."/>
        <s v="MENON PISTONS LTD."/>
        <s v="PRISM FINANCE LTD."/>
        <s v="FRONTLINE CORPORATION LTD."/>
        <s v="GENNEX LABORATORIES LTD."/>
        <s v="CRP Risk Management Ltd"/>
        <s v="Mitshi India Ltd"/>
        <s v="PRAJAY ENGINEERS SYNDICATE LTD."/>
        <s v="Biogen Pharmachem Industries Ltd"/>
        <s v="G.K.CONSULTANTS LTD."/>
        <s v="Apollo Pipes Ltd"/>
        <s v="UNJHA FORMULATIONS LTD."/>
        <s v="UNITED SPIRITS LTD."/>
        <s v="Shraddha Prime Projects Ltd"/>
        <s v="KACHCHH MINERALS LTD."/>
        <s v="PADMANABH ALLOYS &amp; POLYMERS LTD."/>
        <s v="SAMYAK INTERNATIONAL LTD."/>
        <s v="KCL Infra Projects Ltd"/>
        <s v="ATUL AUTO LTD.-$"/>
        <s v="SCAN PROJECTS LTD."/>
        <s v="PRERNA INFRABUILD LTD."/>
        <s v="METAL COATINGS (INDIA) LTD."/>
        <s v="SGN TELECOMS LTD."/>
        <s v="GANGA PAPERS INDIA LTD."/>
        <s v="TIRUPATI SARJAN LTD."/>
        <s v="MUNOTH FINANCIAL SERVICES LTD."/>
        <s v="Rodium Realty Limited"/>
        <s v="NAGARJUNA AGRI TECH LTD."/>
        <s v="NATURA HUE CHEM LTD."/>
        <s v="IEC EDUCATION LTD."/>
        <s v="Indus Finance Ltd"/>
        <s v="GOLECHHA GLOBAL FINANCE LTD."/>
        <s v="Zenith Steel Pipes &amp; Industries Ltd-$"/>
        <s v="TRINITY LEAGUE INDIA LTD."/>
        <s v="ASIAN STAR CO.LTD.-$"/>
        <s v="Oriental Rail Infrastructure Ltd"/>
        <s v="JOINDRE CAPITAL SERVICES LTD."/>
        <s v="BHARAT AGRI FERT &amp; REALTY LTD."/>
        <s v="UNITECH INTERNATIONAL LTD."/>
        <s v="SACHETA METALS LTD."/>
        <s v="POPULAR ESTATE MANAGEMENT LTD."/>
        <s v="ANJANI FINANCE LTD."/>
        <s v="MULLER &amp; PHIPPS (INDIA) LTD."/>
        <s v="RAHUL MERCHANDISING LTD."/>
        <s v="REXNORD ELECTRONICS &amp; CONTROLS LTD."/>
        <s v="Integrated Industries Ltd"/>
        <s v="KHANDWALA SECURITIES LTD."/>
        <s v="White Organic Retail Ltd"/>
        <s v="CCL INTERNATIONAL LTD."/>
        <s v="GALLOPS ENTERPRISE LTD."/>
        <s v="Croissance Ltd"/>
        <s v="Madhuveer Com 18 Network Ltd"/>
        <s v="GALAXY AGRICO EXPORTS LTD."/>
        <s v="GOPAL IRON &amp; STEELS CO.(GUJARAT) LTD."/>
        <s v="Onesource Ideas Venture Ltd"/>
        <s v="AGARWAL INDUSTRIAL CORPORATION LTD."/>
        <s v="DHAMPURE SPECIALITY SUGARS LTD."/>
        <s v="SHANTANU SHEOREY AQUAKULT LTD."/>
        <s v="INNOCORP LTD."/>
        <s v="HIRA AUTOMOBILES LTD."/>
        <s v="Saianand Commercial Limited"/>
        <s v="BLUE CHIP INDIA LTD."/>
        <s v="Servoteach Industries Ltd"/>
        <s v="CHADHA PAPERS LTD."/>
        <s v="VERTEX SECURITIES LTD."/>
        <s v="RIBA TEXTILES LTD."/>
        <s v="SHYAM TELECOM LTD."/>
        <s v="Kashyap Tele-Medicines Ltd"/>
        <s v="SHREE METALLOYS LTD."/>
        <s v="IITL PROJECTS LIMITED"/>
        <s v="HARI GOVIND INTERNATIONAL LTD."/>
        <s v="Catvision Limited"/>
        <s v="AMBIKA COTTON MILLS LTD."/>
        <s v="HIND ALUMINIUM INDUSTRIES LTD.-$"/>
        <s v="Senthil Infotek Ltd"/>
        <s v="SPECTRUM FOODS LTD."/>
        <s v="AMRAWORLD AGRICO LTD."/>
        <s v="ODYSSEY CORPORATION LTD."/>
        <s v="Vuenow Infratech Ltd"/>
        <s v="INDUCTO STEEL LTD."/>
        <s v="SAM INDUSTRIES LTD."/>
        <s v="Neelkanth Ltd-$"/>
        <s v="Vashu Bhagnani Industries Ltd"/>
        <s v="GRAVITY (INDIA) LTD.-$"/>
        <s v="Espire Hospitality Limited"/>
        <s v="LCC INFOTECH LTD."/>
        <s v="FILATEX FASHIONS LTD."/>
        <s v="R.B.GUPTA FINANCIALS LTD."/>
        <s v="Sindhu Trade Links Limited"/>
        <s v="UNISTAR MULTIMEDIA LTD."/>
        <s v="ZENOTECH LABORATORIES LTD."/>
        <s v="HINDUSTAN BIO SCIENCES LTD."/>
        <s v="TIRTH PLASTIC LTD."/>
        <s v="Swelect Energy Systems Limited-$"/>
        <s v="WALLFORT FINANCIAL SERVICES LTD."/>
        <s v="KDDL LTD.-$"/>
        <s v="ADINATH EXIM RESOURCES LTD."/>
        <s v="ABHINAV CAPITAL SERVICES LTD."/>
        <s v="3B BlackBio Dx Ltd"/>
        <s v="Sumuka Agro Industries Ltd"/>
        <s v="Monind Ltd"/>
        <s v="ENBEE TRADE &amp; FINANCE LTD."/>
        <s v="VANDANA KNITWEAR LTD."/>
        <s v="Epuja Spiritech Ltd"/>
        <s v="INDO-CITY INFOTECH LTD.-$"/>
        <s v="SBEC SUGAR LTD."/>
        <s v="BRIJLAXMI LEASING &amp; FINANCE LTD."/>
        <s v="BSEL Algo Ltd"/>
        <s v="RELIABLE VENTURES INDIA LTD."/>
        <s v="UNITED BREWERIES LTD.-$"/>
        <s v="SMC CREDITS LTD."/>
        <s v="Mohite Industries Ltd"/>
        <s v="ANDHRA CEMENTS LTD."/>
        <s v="SKM EGG PRODUCTS EXPORT (INDIA) LTD."/>
        <s v="RADICO KHAITAN LTD."/>
        <s v="H.S.INDIA LTD."/>
        <s v="SHREE RENUKA SUGARS LTD."/>
        <s v="INDRAPRASTHA MEDICAL CORP.LTD."/>
        <s v="Parle Industries Ltd"/>
        <s v="LT FOODS LTD."/>
        <s v="Jyothy Labs Ltd"/>
        <s v="Trescon Ltd"/>
        <s v="Gujarat State Financial Corporation"/>
        <s v="Varun Beverages Ltd"/>
        <s v="Godrej Agrovet Ltd"/>
        <s v="MINOLTA FINANCE LTD."/>
        <s v="OMKAR PHARMACHEM LTD."/>
        <s v="Adroit Infotech Ltd"/>
        <s v="CYBERTECH SYSTEMS AND SOFTWARE LTD."/>
        <s v="Mrs. Bectors Food Specialities Ltd"/>
        <s v="Dodla Dairy Ltd"/>
        <s v="Adani Wilmar Ltd"/>
        <s v="Dhanlaxmi Bank Limited"/>
        <s v="Bikaji Foods International Ltd"/>
        <s v="GAYATRI SUGARS LTD."/>
        <s v="Honasa Consumer Ltd"/>
        <s v="DOMS Industries Ltd"/>
        <s v="Bajaj Finance Limited"/>
        <s v="CRISIL LTD."/>
        <s v="ARCHIES LTD."/>
        <s v="IFCI LTD."/>
        <s v="HB STOCKHOLDINGS LTD."/>
        <s v="SIEL FINANCIAL SERVICES LTD."/>
        <s v="STATE BANK OF INDIA"/>
        <s v="ENERGY DEVELOPMENT COMPANY LTD."/>
        <s v="IDBI BANK LTD."/>
        <s v="BENGAL TEA &amp; FABRICS LTD."/>
        <s v="HDFC Bank Ltd"/>
        <s v="INDIA NIPPON ELECTRICALS LTD."/>
        <s v="NALWA SONS INVESTMENTS LTD."/>
        <s v="KOTAK MAHINDRA BANK LTD."/>
        <s v="Yash Innoventures Ltd"/>
        <s v="Accelya Solutions India Ltd"/>
        <s v="Orchasp Ltd"/>
        <s v="LIC HOUSING FINANCE LTD."/>
        <s v="TCFC FINANCE LTD."/>
        <s v="Geojit Financial Services Ltd"/>
        <s v="MAHARASHTRA SCOOTERS LTD."/>
        <s v="BLB LTD."/>
        <s v="Max Financial Services Ltd"/>
        <s v="PIRAMAL ENTERPRISES LTD."/>
        <s v="INTEGRATED HITECH LTD."/>
        <s v="KJMC Corporate Advisors (India) Ltd."/>
        <s v="IND-SWIFT LABORATORIES LTD."/>
        <s v="GE Power India Ltd"/>
        <s v="SHREE RAMA MULTI-TECH LTD."/>
        <s v="FEDERAL BANK LTD."/>
        <s v="TELESYS SOFTWARE LTD."/>
        <s v="Vaarad Ventures Ltd"/>
        <s v="BAJAJ HOLDINGS &amp; INVESTMENT LTD."/>
        <s v="SHIVA CEMENT LTD."/>
        <s v="CINEVISTA LTD."/>
        <s v="INTENSE TECHNOLOGIES LTD.-$"/>
        <s v="DANLAW TECHNOLOGIES INDIA LTD.-$"/>
        <s v="TATA INVESTMENT CORPORATION LTD."/>
        <s v="HB PORTFOLIO LTD."/>
        <s v="HB ESTATE DEVELOPERS LTD."/>
        <s v="AMBICA AGARBATHIES &amp; AROMA INDUSTRIES LTD."/>
        <s v="COMPUCOM SOFTWARE LTD.-$"/>
        <s v="OMNI AXS SOFTWARE LTD."/>
        <s v="IZMO Limited-$"/>
        <s v="Cholamandalam Financial Holdings Ltd"/>
        <s v="SOFTSOL INDIA LTD."/>
        <s v="Sahara Maritime Ltd"/>
        <s v="SUBEX LTD."/>
        <s v="A.F. Enterprises Ltd"/>
        <s v="PADMALAYA TELEFILMS LTD."/>
        <s v="AKSH OPTIFIBRE LTD."/>
        <s v="Virgo Global Ltd"/>
        <s v="PICTUREHOUSE MEDIA LTD."/>
        <s v="CAN FIN HOMES LTD."/>
        <s v="MUKTA ARTS LTD."/>
        <s v="NAGPUR POWER &amp; INDUSTRIES LTD."/>
        <s v="DYNACONS SYSTEMS &amp; SOLUTIONS LTD."/>
        <s v="PNB GILTS LTD."/>
        <s v="RAMCO INDUSTRIES LTD."/>
        <s v="RAMCO SYSTEMS LTD."/>
        <s v="Shriram Finance Ltd"/>
        <s v="Virinchi Ltd"/>
        <s v="WEP SOLUTIONS LTD."/>
        <s v="Cholamandalam Investment and Finance Company Ltd"/>
        <s v="TVS Holdings Ltd"/>
        <s v="MRO-TEK Realty Ltd"/>
        <s v="UNIVERSAL ARTS LTD."/>
        <s v="First Fintec Ltd"/>
        <s v="BABA ARTS LTD.-$"/>
        <s v="BALAJI TELEFILMS LTD."/>
        <s v="TYCHE INDUSTRIES LTD."/>
        <s v="CALIFORNIA SOFTWARE CO.LTD."/>
        <s v="PRITISH NANDY COMMUNICATIONS LTD."/>
        <s v="JM FINANCIAL LTD.-$"/>
        <s v="TAJGVK HOTELS &amp; RESORTS LTD."/>
        <s v="CREATIVE EYE LTD."/>
        <s v="Axiscades Technologies Ltd"/>
        <s v="Konndor Industries Ltd"/>
        <s v="Usha Martin Education &amp; Solutions Limited"/>
        <s v="Poonawalla Fincorp Ltd"/>
        <s v="USG TECH SOLUTIONS LTD."/>
        <s v="SAVEN TECHNOLOGIES LTD."/>
        <s v="AVANTEL LTD."/>
        <s v="MANAPPURAM FINANCE LTD."/>
        <s v="MEGASOFT LTD."/>
        <s v="TRANSCORP INTERNATIONAL LTD."/>
        <s v="CEREBRA INTEGRATED TECHNOLOGIES LTD."/>
        <s v="NEXT MEDIAWORKS LTD."/>
        <s v="Smartlink Holdings Ltd"/>
        <s v="CHOICE INTERNATIONAL LTD."/>
        <s v="Genus Prime Infra Ltd"/>
        <s v="Disha Resources Ltd"/>
        <s v="Capri Global Capital Limited"/>
        <s v="Sanmit Infra Limited"/>
        <s v="BANK OF BARODA"/>
        <s v="MPS LTD."/>
        <s v="BANK OF INDIA"/>
        <s v="T.SPIRITUAL WORLD LTD."/>
        <s v="ICICI BANK LTD."/>
        <s v="SHALIMAR WIRES INDUSTRIES LTD."/>
        <s v="GULSHAN POLYOLS LTD."/>
        <s v="PONNI SUGARS (ERODE) LTD."/>
        <s v="INDUSIND BANK LTD."/>
        <s v="JAMMU &amp; KASHMIR BANK LTD."/>
        <s v="HAZOOR MULTI PROJECTS LTD.-$"/>
        <s v="CITY UNION BANK LTD."/>
        <s v="APTECH LTD."/>
        <s v="AXIS BANK LTD."/>
        <s v="SOUTH INDIAN BANK LTD."/>
        <s v="ISMT LTD."/>
        <s v="Future Supply Chain Solutions Ltd"/>
        <s v="INDIAN OVERSEAS BANK"/>
        <s v="PUNJAB NATIONAL BANK"/>
        <s v="BALMER LAWRIE INVESTMENTS LTD."/>
        <s v="POKARNA LTD."/>
        <s v="Kama Holdings Limited-$"/>
        <s v="UNION BANK OF INDIA"/>
        <s v="CANARA BANK"/>
        <s v="UCO BANK"/>
        <s v="RAJAPALAYAM MILLS LTD.-$"/>
        <s v="BANK OF MAHARASHTRA"/>
        <s v="IIFL Finance Ltd"/>
        <s v="B.A.G.FILMS &amp; MEDIA LTD."/>
        <s v="JSW Holdings Limited"/>
        <s v="YES BANK LTD."/>
        <s v="TVS ELECTRONICS LTD."/>
        <s v="KARNATAKA BANK LTD."/>
        <s v="TV TODAY NETWORK LTD."/>
        <s v="Palred Technologies Limited"/>
        <s v="IDFC LIMITED"/>
        <s v="MAHINDRA &amp; MAHINDRA FINANCIAL SERVICES LTD."/>
        <s v="POWER FINANCE CORPORATION LTD."/>
        <s v="INDIAN BANK"/>
        <s v="ICRA LTD."/>
        <s v="DATAMATICS GLOBAL SERVICES LTD."/>
        <s v="NEW DELHI TELEVISION LTD."/>
        <s v="CENTRAL BANK OF INDIA"/>
        <s v="JAIPRAKASH ASSOCIATES LTD."/>
        <s v="MOTILAL OSWAL FINANCIAL SERVICES LTD."/>
        <s v="Paisalo Digital Ltd"/>
        <s v="RELIGARE ENTERPRISES LTD."/>
        <s v="Edelweiss Financial Services Ltd."/>
        <s v="GP Petroleums Limited"/>
        <s v="REC Ltd"/>
        <s v="BAJAJ FINSERV LTD."/>
        <s v="BENGAL &amp; ASSAM COMPANY LTD."/>
        <s v="S.A.L.STEEL LTD."/>
        <s v="PUNJAB &amp; SIND BANK"/>
        <s v="DWARIKESH SUGAR INDUSTRIES LTD."/>
        <s v="INDOCO REMEDIES LTD."/>
        <s v="VIP Clothing Ltd"/>
        <s v="IMPEX FERRO TECH LTD."/>
        <s v="XCHANGING SOLUTIONS LTD."/>
        <s v="Triveni Enterprises Ltd"/>
        <s v="JINDAL PHOTO LTD."/>
        <s v="PONDY OXIDES &amp; CHEMICALS LTD."/>
        <s v="MUTHOOT FINANCE LTD."/>
        <s v="3I INFOTECH LTD."/>
        <s v="MCNALLY BHARAT ENGINEERING COMPANY LTD."/>
        <s v="L&amp;T Finance Ltd"/>
        <s v="SUMERU INDUSTRIES LTD."/>
        <s v="MULTI COMMODITY EXCHANGE OF INDIA LTD."/>
        <s v="MANGALAM DRUGS &amp; ORGANICS LTD."/>
        <s v="Indiabulls Housing Finance Ltd"/>
        <s v="CYBER MEDIA (INDIA) LTD."/>
        <s v="Nandan Denim Limited"/>
        <s v="Authum Investment &amp; Infrastructure Ltd"/>
        <s v="IDFC First Bank Ltd"/>
        <s v="ESAAR (INDIA) LTD."/>
        <s v="Infibeam Avenues Ltd"/>
        <s v="NECTAR LIFESCIENCES LTD."/>
        <s v="MSP STEEL &amp; POWER LTD."/>
        <s v="SPL INDUSTRIES LTD."/>
        <s v="Pilani Investment and Industries Corporation Ltd"/>
        <s v="MCLEOD RUSSEL INDIA LTD."/>
        <s v="FACOR ALLOYS LTD."/>
        <s v="RBL Bank Ltd"/>
        <s v="RANE (MADRAS) LTD."/>
        <s v="HT MEDIA LTD."/>
        <s v="Sasken Technologies Ltd"/>
        <s v="FCS SOFTWARE SOLUTIONS LTD."/>
        <s v="ICICI Prudential Life Insurance Company Ltd"/>
        <s v="PNB Housing Finance Ltd"/>
        <s v="Housing &amp; Urban Development Corporation Ltd"/>
        <s v="K.M.SUGAR MILLS LTD."/>
        <s v="BANNARI AMMAN SPINNING MILLS LTD."/>
        <s v="PBA INFRASTRUCTURE LTD."/>
        <s v="AU Small Finance Bank Ltd"/>
        <s v="EVEREST KANTO CYLINDER LTD."/>
        <s v="GEMSTONE INVESTMENTS LTD."/>
        <s v="REPRO INDIA LTD."/>
        <s v="Aditya Birla Capital Ltd"/>
        <s v="BARTRONICS INDIA LTD."/>
        <s v="CELEBRITY FASHIONS LTD."/>
        <s v="NITIN SPINNERS LTD."/>
        <s v="ROYAL ORCHID HOTELS LTD."/>
        <s v="ENTERTAINMENT NETWORK (INDIA) LTD."/>
        <s v="Cella Space Ltd"/>
        <s v="ICICI Lombard General Insurance Company Ltd"/>
        <s v="JAGRAN PRAKASHAN LTD."/>
        <s v="DYNEMIC PRODUCTS LTD."/>
        <s v="GVK POWER &amp; INFRASTRUCTURE LTD."/>
        <s v="SADBHAV ENGINEERING LTD."/>
        <s v="Sun Retail Ltd"/>
        <s v="SBI Life Insurance Company Ltd"/>
        <s v="GILLANDERS ARBUTHNOT &amp; CO.LTD."/>
        <s v="INDO TECH TRANSFORMERS LTD."/>
        <s v="B.L.KASHYAP AND SONS LTD."/>
        <s v="Share India Securities Ltd"/>
        <s v="VISA STEEL LTD."/>
        <s v="NITCO LTD."/>
        <s v="MPDL Ltd"/>
        <s v="MAS Financial Services Ltd"/>
        <s v="Indian Energy Exchange Ltd"/>
        <s v="MALU PAPER MILLS LTD."/>
        <s v="UTTAM SUGAR MILLS LTD."/>
        <s v="STL GLOBAL LTD."/>
        <s v="KEWAL KIRAN CLOTHING LTD."/>
        <s v="General Insurance Corporation of India"/>
        <s v="Nippon Life India Asset Management Ltd"/>
        <s v="The New India Assurance Company Ltd"/>
        <s v="EMKAY GLOBAL FINANCIAL SERVICES LTD."/>
        <s v="TANTIA CONSTRUCTIONS LTD."/>
        <s v="LOKESH MACHINES LTD."/>
        <s v="Kamdhenu Ltd"/>
        <s v="PAUSHAK LTD."/>
        <s v="GTN TEXTILES LTD."/>
        <s v="Inditrade Capital Limited"/>
        <s v="PRIME FOCUS LTD."/>
        <s v="COASTAL ROADWAYS LTD."/>
        <s v="SRU Steels Ltd"/>
        <s v="HDFC Life Insurance Company Ltd"/>
        <s v="Bandhan Bank Ltd"/>
        <s v="ICICI Securities Ltd"/>
        <s v="PHOTON CAPITAL ADVISORS LTD."/>
        <s v="Deep Energy Resources Ltd"/>
        <s v="HOV SERVICES LTD."/>
        <s v="HDFC Asset Management Company Ltd"/>
        <s v="GeeCee Ventures Limited"/>
        <s v="RICHA INDUSTRIES LTD."/>
        <s v="FIEM INDUSTRIES LTD."/>
        <s v="JHS SVENDGAARD LABORATORIES LTD."/>
        <s v="DCB Bank Limited"/>
        <s v="UNIVERSAL OFFICE AUTOMATION LTD."/>
        <s v="Inspirisys Solutions Ltd"/>
        <s v="GTL INFRASTRUCTURE LTD."/>
        <s v="SHIVAM AUTOTECH LTD."/>
        <s v="CreditAccess Grameen Ltd"/>
        <s v="AAVAS Financiers Ltd"/>
        <s v="PARSVNATH DEVELOPERS LTD."/>
        <s v="SUTLEJ TEXTILES &amp; INDUSTRIES LTD."/>
        <s v="Spandana Sphoorty Financial Ltd"/>
        <s v="IIFL Securities Ltd"/>
        <s v="RUCHIRA PAPERS LTD."/>
        <s v="CSB Bank Ltd"/>
        <s v="Zee Media Corporation Limited"/>
        <s v="Siti Networks Ltd"/>
        <s v="LUMAX AUTO TECHNOLOGIES LTD."/>
        <s v="AUTOLINE INDUSTRIES LTD."/>
        <s v="Ujjivan Small Finance Bank Ltd"/>
        <s v="HUBTOWN LTD."/>
        <s v="SBI Cards and Payment Services Ltd"/>
        <s v="CAMBRIDGE TECHNOLOGY ENTERPRISES LTD."/>
        <s v="Computer Age Management Services Ltd"/>
        <s v="RISA INTERNATIONAL LTD."/>
        <s v="AI CHAMPDANY INDUSTRIES LTD."/>
        <s v="Cineline India Limited"/>
        <s v="Pearl Global Industries Limited"/>
        <s v="Zinema Media And Entertainment Ltd"/>
        <s v="Angel One Ltd"/>
        <s v="UTI Asset Management Company Ltd"/>
        <s v="TRANSWARRANTY FINANCE LTD."/>
        <s v="Equitas Small Finance Bank Ltd"/>
        <s v="SMS PHARMACEUTICALS LTD."/>
        <s v="ORIENTAL TRIMEX LTD."/>
        <s v="E-Land Apparel Limited"/>
        <s v="Indian Railway Finance Corporation Ltd"/>
        <s v="JAGJANANI TEXTILES LTD."/>
        <s v="RAJ TELEVISION NETWORK LTD."/>
        <s v="Home First Finance Company India Ltd"/>
        <s v="AMD INDUSTRIES LTD."/>
        <s v="Lehar Footwears Ltd"/>
        <s v="Aptus Value Housing Finance India Ltd"/>
        <s v="Aditya Birla Sun Life AMC Ltd"/>
        <s v="CAMLIN FINE SCIENCES LTD."/>
        <s v="PB Fintech Ltd"/>
        <s v="DISH TV INDIA LTD."/>
        <s v="SAHYADRI INDUSTRIES LTD."/>
        <s v="SREE RAYALASEEMA HI-STRENGTH HYPO LTD."/>
        <s v="One 97 Communications Ltd"/>
        <s v="TGB BANQUETS AND HOTELS LTD."/>
        <s v="HILTON METAL FORGING LTD."/>
        <s v="DELTA CORP LTD."/>
        <s v="MIC ELECTRONICS LTD."/>
        <s v="INSECTICIDES (INDIA) LTD."/>
        <s v="ASAHI SONGWON COLORS LTD."/>
        <s v="HARYANA CAPFIN LTD."/>
        <s v="Star Health and Allied Insurance Company Ltd"/>
        <s v="Dhyaani Tradeventtures Ltd"/>
        <s v="NELCAST LTD."/>
        <s v="V2 RETAIL LTD."/>
        <s v="Anand Rathi Wealth Ltd"/>
        <s v="TARMAT LTD."/>
        <s v="ANKIT METAL &amp; POWER LTD."/>
        <s v="Life Insurance Corporation of India"/>
        <s v="ALLIED DIGITAL SERVICES LTD."/>
        <s v="ALPA LABORATORIES LTD."/>
        <s v="SIR SHADI LAL ENTERPRISES LTD."/>
        <s v="OMAXE LTD."/>
        <s v="Refex Industries Limited"/>
        <s v="Prudent Corporate Advisory Services Ltd"/>
        <s v="SEL MANUFACTURING COMPANY LTD."/>
        <s v="ASIAN GRANITO INDIA LTD."/>
        <s v="Tamilnad Mercantile Bank Ltd"/>
        <s v="TAKE SOLUTIONS LTD."/>
        <s v="Five-Star Business Finance Ltd"/>
        <s v="KFin Technologies Ltd"/>
        <s v="VTM LTD."/>
        <s v="INDOWIND ENERGY LTD."/>
        <s v="NAGREEKA CAPITAL &amp; INFRASTRUCTURE LTD."/>
        <s v="MAGNUM VENTURES LTD."/>
        <s v="Jio Financial Services Ltd"/>
        <s v="KAVERI SEED COMPANY LTD."/>
        <s v="Utkarsh Small Finance Bank Ltd"/>
        <s v="SUPREME INFRASTRUCTURE INDIA LTD."/>
        <s v="MAAN ALUMINIUM LTD."/>
        <s v="IL&amp;FS ENGINEERING AND CONSTRUCTION COMPANY LTD."/>
        <s v="ARAVALI SECURITIES &amp; FINANCE LTD."/>
        <s v="SBFC Finance Ltd"/>
        <s v="BARAK VALLEY CEMENTS LTD."/>
        <s v="RATHI BARS LTD."/>
        <s v="Mukta Agriculture Ltd"/>
        <s v="Nuvama Wealth Management Ltd"/>
        <s v="Renaissance Global Ltd"/>
        <s v="KOLTE-PATIL DEVELOPERS LTD."/>
        <s v="KAUSHALYA INFRASTRUCTURE DEVELOPMENT CORPORATION LTD."/>
        <s v="Indian Renewable Energy Development Agency Ltd"/>
        <s v="Worldwide Aluminium Ltd"/>
        <s v="India Shelter Finance Corporation Ltd"/>
        <s v="Jana Small Finance Bank Ltd"/>
        <s v="BGR ENERGY SYSTEMS LTD."/>
        <s v="BURNPUR CEMENT LTD."/>
        <s v="MANAKSIA LTD."/>
        <s v="PORWAL AUTO COMPONENTS LTD."/>
        <s v="PPAP Automotive Limited"/>
        <s v="ARIES AGRO LTD."/>
        <s v="KUANTUM PAPERS LTD."/>
        <s v="Aadhar Housing Finance Ltd"/>
        <s v="Go Digit General Insurance Ltd"/>
        <s v="CORDS CABLE INDUSTRIES LTD."/>
        <s v="KARUR VYSYA BANK LTD."/>
        <s v="OnMobile Global Ltd."/>
        <s v="SEPC Ltd"/>
        <s v="BANG OVERSEAS LTD."/>
        <s v="IRB INFRASTRUCTURE DEVELOPERS LTD."/>
        <s v="GSS INFOTECH LTD."/>
        <s v="NAHAR CAPITAL &amp; FINANCIAL SERVICES LTD."/>
        <s v="SUNDARAM FINANCE LTD."/>
        <s v="BSE"/>
        <s v="GOKAK TEXTILES LTD."/>
        <s v="Dhani Services Ltd"/>
        <s v="C D S L"/>
        <s v="KIRI INDUSTRIES LTD."/>
        <s v="ADITYA BIRLA MONEY LTD.-$"/>
        <s v="Telogica Ltd"/>
        <s v="Sundaram Fin.Hol"/>
        <s v="CIPLA LTD."/>
        <s v="DR.REDDY'S LABORATORIES LTD."/>
        <s v="GOKUL REFOILS &amp; SOLVENT LTD."/>
        <s v="RPG LIFE SCIENCES LTD."/>
        <s v="Kotak S&amp;P BSE Sensex ETF"/>
        <s v="NIRAJ CEMENT STRUCTURALS LTD."/>
        <s v="RANE BRAKE LINING LTD."/>
        <s v="RANE ENGINE VALVE LTD."/>
        <s v="CHL LTD."/>
        <s v="Sejal Glass Ltd"/>
        <s v="ARCHIDPLY INDUSTRIES LTD."/>
        <s v="Lotus Eye Hospital And Institute Ltd"/>
        <s v="SOMI CONVEYOR BELTINGS LTD."/>
        <s v="LGB FORGE LTD."/>
        <s v="LANDMARK PROPERTY DEVELOPMENT COMPANY LTD."/>
        <s v="Vaxfab Enterprises Ltd"/>
        <s v="SIMPLEX MILLS COMPANY LTD."/>
        <s v="SIMPLEX PAPERS LTD."/>
        <s v="20 MICRONS LTD."/>
        <s v="Procter &amp; Gamble Health Ltd"/>
        <s v="ALKALI METALS LTD."/>
        <s v="LUPIN LTD."/>
        <s v="INDIAN METALS &amp; FERRO ALLOYS LTD."/>
        <s v="Teamo Productions HQ Ltd"/>
        <s v="VEDAVAAG SYSTEMS LTD."/>
        <s v="MANJEERA CONSTRUCTIONS LTD."/>
        <s v="Mold-Tek Packaging Limited"/>
        <s v="TORRENT PHARMACEUTICALS LTD."/>
        <s v="Wagend Infra Venture Limited"/>
        <s v="RAJ OIL MILLS LTD."/>
        <s v="ABBOTT INDIA LTD."/>
        <s v="GLAXOSMITHKLINE PHARMACEUTICALS LTD."/>
        <s v="Sanofi India Ltd"/>
        <s v="SURYAAMBA SPINNING MILLS LTD."/>
        <s v="GLOBUS SPIRITS LTD."/>
        <s v="PFIZER LTD."/>
        <s v="BHILWARA TECHNICAL TEXTILES LTD."/>
        <s v="SHREE PRECOATED STEELS LTD."/>
        <s v="Expleo Solutions Ltd"/>
        <s v="ASTRAZENECA PHARMA INDIA LTD."/>
        <s v="Den Networks Ltd"/>
        <s v="ASTEC LIFESCIENCES LIMITED"/>
        <s v="D-Link (India) Ltd"/>
        <s v="J.B.CHEMICALS &amp; PHARMACEUTICALS LTD."/>
        <s v="Yunik Managing Advisors Ltd"/>
        <s v="APOLLO HOSPITALS ENTERPRISE LTD."/>
        <s v="Orchid Pharma Ltd"/>
        <s v="MBL Infrastructure Ltd"/>
        <s v="MARKSANS PHARMA LTD."/>
        <s v="Vascon Engineers Ltd"/>
        <s v="Thangamayil Jewellery Ltd"/>
        <s v="IPCA LABORATORIES LTD."/>
        <s v="Emmbi Industries Ltd"/>
        <s v="Hathway Cable &amp; Datacom Ltd"/>
        <s v="TEXMO PIPES &amp; PRODUCTS LTD."/>
        <s v="SUNDARAM MULTI PAP LTD."/>
        <s v="ROSSELL INDIA LTD."/>
        <s v="NEULAND LABORATORIES LTD."/>
        <s v="Tamboli Industries Ltd"/>
        <s v="IL&amp;FS Transportation Networks Ltd"/>
        <s v="SUN PHARMACEUTICAL INDUSTRIES LTD."/>
        <s v="INTRASOFT TECHNOLOGIES LTD."/>
        <s v="GOENKA DIAMOND &amp; JEWELS LTD."/>
        <s v="KCP SUGAR &amp; INDUSTRIES CORPORATION LTD."/>
        <s v="Kirloskar Electric Company Ltd"/>
        <s v="Satchmo Holdings Ltd"/>
        <s v="Tarapur Transformers Ltd"/>
        <s v="CAPLIN POINT LABORATORIES LTD."/>
        <s v="EMAMI PAPER MILLS LTD."/>
        <s v="Kriti Nutrients Ltd"/>
        <s v="GKB OPHTHALMICS LTD."/>
        <s v="HINDUSTAN MEDIA VENTURES LTD."/>
        <s v="Emami Realty Ltd"/>
        <s v="ASIAN HOTELS (EAST) LTD."/>
        <s v="Bajaj Consumer Care Ltd"/>
        <s v="PRAKASH STEELAGE LTD."/>
        <s v="Mystic Electronics Ltd"/>
        <s v="WELSPUN INVESTMENTS AND COMMERCIALS LTD."/>
        <s v="Sastasundar Ventures Ltd"/>
        <s v="CAREER POINT LTD."/>
        <s v="EROS INTERNATIONAL MEDIA LTD."/>
        <s v="RAMKY INFRASTRUCTURE LTD."/>
        <s v="ORIENT GREEN POWER COMPANY LTD."/>
        <s v="CANTABIL RETAIL INDIA LTD."/>
        <s v="SEA TV NETWORK LTD."/>
        <s v="AUROBINDO PHARMA LTD."/>
        <s v="BEDMUTHA INDUSTRIES LTD."/>
        <s v="NATCO PHARMA LTD."/>
        <s v="Jubilant Pharmova Ltd"/>
        <s v="SHILPA MEDICARE LTD."/>
        <s v="FDC LTD."/>
        <s v="Shah Metacorp Ltd"/>
        <s v="POLY MEDICURE LTD."/>
        <s v="GLENMARK PHARMACEUTICALS LTD."/>
        <s v="RPP INFRA PROJECTS LTD."/>
        <s v="RDB REALTY &amp; INFRASTRUCTURE LTD."/>
        <s v="WOCKHARDT LTD."/>
        <s v="ZEE LEARN LTD."/>
        <s v="ENTERPRISE INTERNATIONAL LTD."/>
        <s v="A2Z Infra Engineering Limited"/>
        <s v="Zydus Lifesciences Ltd"/>
        <s v="RAVI KUMAR DISTILLERIES LTD."/>
        <s v="AJANTA PHARMA LTD."/>
        <s v="MAHAN INDUSTRIES LTD."/>
        <s v="Surana Solar Limited"/>
        <s v="SHEKHAWATI POLY-YARN LTD."/>
        <s v="KALYANI INVESTMENT COMPANY LTD."/>
        <s v="BF INVESTMENT LTD."/>
        <s v="SUMMIT SECURITIES LTD."/>
        <s v="INNOVASSYNTH INVESTMENTS LTD."/>
        <s v="STEL Holdings Ltd"/>
        <s v="OMKAR SPECIALITY CHEMICALS LTD."/>
        <s v="JUBILANT INDUSTRIES LTD."/>
        <s v="GRANULES INDIA LTD.-$"/>
        <s v="INDIAN TERRAIN FASHIONS LTD."/>
        <s v="FINEOTEX CHEMICAL LTD."/>
        <s v="DHUNSERI INVESTMENTS LTD."/>
        <s v="DIVI'S LABORATORIES LTD."/>
        <s v="LOVABLE LINGERIE LTD."/>
        <s v="PTC INDIA FINANCIAL SERVICES LTD."/>
        <s v="BIOCON LTD."/>
        <s v="CIL NOVA PETROCHEMICALS LTD."/>
        <s v="BEEYU OVERSEAS LTD."/>
        <s v="KARMA ENERGY LTD."/>
        <s v="Delphi World Money Ltd"/>
        <s v="RUSHIL DECOR LTD."/>
        <s v="ENKEI WHEELS (INDIA) LTD."/>
        <s v="Kridhan Infra Limited"/>
        <s v="INVENTURE GROWTH &amp; SECURITIES LTD."/>
        <s v="Strides Pharma Science Ltd"/>
        <s v="Ganon Products Ltd"/>
        <s v="TREE HOUSE EDUCATION &amp; ACCESSORIES LTD."/>
        <s v="BROOKS LABORATORIES LTD."/>
        <s v="RUPA &amp; COMPANY LTD."/>
        <s v="FORTIS HEALTHCARE LTD."/>
        <s v="SUN PHARMA ADVANCED RESEARCH COMPANY LTD."/>
        <s v="VASWANI INDUSTRIES LTD."/>
        <s v="ALEMBIC PHARMACEUTICALS LTD."/>
        <s v="Quasar India Ltd"/>
        <s v="RDB RASAYANS LTD."/>
        <s v="TIJARIA POLYPIPES LTD."/>
        <s v="ONELIFE CAPITAL ADVISORS LTD."/>
        <s v="Flexituff Ventures International Ltd"/>
        <s v="Syngene International Ltd"/>
        <s v="INDO THAI SECURITIES LTD."/>
        <s v="Ambassador Intra Holdings Ltd"/>
        <s v="Alkem Laboratories Ltd"/>
        <s v="GPT INFRAPROJECTS LTD."/>
        <s v="SHAMROCK INDUSTRIAL CO.LTD."/>
        <s v="THOMAS SCOTT (INDIA) LIMITED"/>
        <s v="TERA SOFTWARE LTD."/>
        <s v="PMC Fincorp Limited"/>
        <s v="FUTURISTIC SOLUTIONS LTD."/>
        <s v="ALLIANCE INTEGRATED METALIKS LTD."/>
        <s v="Dr. Lal PathLabs Ltd"/>
        <s v="Narayana Hrudayalaya Ltd"/>
        <s v="Pyxis Finvest Ltd"/>
        <s v="HealthCare Global Enterprises Ltd"/>
        <s v="OLYMPIC CARDS LTD."/>
        <s v="Laurus Labs Ltd"/>
        <s v="MT EDUCARE LTD."/>
        <s v="HEXA TRADEX LTD."/>
        <s v="MAXHEIGHTS INFRASTRUCTURE LTD."/>
        <s v="TRIBHOVANDAS BHIMJI ZAVERI LTD."/>
        <s v="VARDHMAN SPECIAL STEELS LTD."/>
        <s v="Looks Health Services Limited"/>
        <s v="SPECIALITY RESTAURANTS LTD."/>
        <s v="Lypsa Gems &amp; Jewellery Ltd"/>
        <s v="Eris Lifesciences Ltd"/>
        <s v="Sampann Utpadan India Ltd"/>
        <s v="JTL Industries Ltd"/>
        <s v="ADVANCE METERING TECHNOLOGY LTD."/>
        <s v="JAINCO PROJECTS (INDIA) LTD."/>
        <s v="Aster DM Healthcare Ltd"/>
        <s v="JUPITER INFOMEDIA LTD."/>
        <s v="VINAYAK POLYCON INTERNATIONAL LTD."/>
        <s v="JOINTECA EDUCATION SOLUTIONS LTD."/>
        <s v="Ducon Infratechnologies Ltd"/>
        <s v="Prozone Realty Ltd"/>
        <s v="SRG HOUSING FINANCE LTD."/>
        <s v="COMFORT COMMOTRADE LTD."/>
        <s v="Shanti Guru Industries Ltd"/>
        <s v="Caspian Corporate Services Ltd"/>
        <s v="Aerpace Industries Ltd"/>
        <s v="VIRTUAL GLOBAL EDUCATION LTD."/>
        <s v="ZUARI AGRO CHEMICALS LTD."/>
        <s v="STEEL EXCHANGE INDIA LTD."/>
        <s v="TRIO MERCANTILE &amp; TRADING LTD."/>
        <s v="CIGNITI TECHNOLOGIES LTD."/>
        <s v="CDG Petchem Ltd"/>
        <s v="CARE Ratings Ltd"/>
        <s v="PC JEWELLER LTD."/>
        <s v="Metropolis Healthcare Ltd"/>
        <s v="Suven Pharmaceuticals Ltd"/>
        <s v="NIBE Ltd"/>
        <s v="Ramasigns Industries Ltd"/>
        <s v="EXPLICIT FINANCE LTD."/>
        <s v="COMFORT FINCAP LTD."/>
        <s v="BOTHRA METALS &amp; ALLOYS LTD."/>
        <s v="REPCO HOME FINANCE LTD."/>
        <s v="LAKHOTIA POLYESTERS (INDIA) LTD."/>
        <s v="GCM Securities Ltd"/>
        <s v="NRB INDUSTRIAL BEARINGS LTD."/>
        <s v="PRIME CAPITAL MARKET LTD."/>
        <s v="KIFS FINANCIAL SERVICES LTD."/>
        <s v="SREELEATHERS LTD."/>
        <s v="Max Healthcare Institute Ltd"/>
        <s v="S V GLOBAL MILL LTD."/>
        <s v="SDC Techmedia Ltd"/>
        <s v="Gland Pharma Ltd"/>
        <s v="OBJECTONE INFORMATION SYSTEMS LTD."/>
        <s v="INDIA FINSEC LTD."/>
        <s v="BRAHMAPUTRA INFRASTRUCTURE LTD."/>
        <s v="Quest Softech (India) Ltd"/>
        <s v="Khoobsurat Ltd"/>
        <s v="Krishna Institute of Medical Sciences Ltd"/>
        <s v="Glenmark Life Sciences Ltd"/>
        <s v="Ami Organics Ltd"/>
        <s v="Money Masters Leasing &amp; Finance Ltd"/>
        <s v="Alacrity Securities Ltd"/>
        <s v="GCM Commodity &amp; Derivatives Ltd"/>
        <s v="Integra Essentia Ltd"/>
        <s v="Julien Agro Infratech Ltd"/>
        <s v="Kaarya Facilities and Services Ltd"/>
        <s v="JK Agri Genetics Ltd"/>
        <s v="Future Lifestyle Fashions Ltd"/>
        <s v="PVV Infra Ltd"/>
        <s v="VCU Data Management Ltd"/>
        <s v="IND Renewable Energy Ltd"/>
        <s v="S R G Securities Finance Ltd"/>
        <s v="Amrapali Capital and Finance Services Ltd"/>
        <s v="Stellar Capital Services Ltd"/>
        <s v="Jindal Poly Investment and Finance Company Ltd"/>
        <s v="Yuranus Infrastructure Ltd"/>
        <s v="Captain Polyplast Ltd"/>
        <s v="Arnold Holdings Ltd"/>
        <s v="Sunil Healthcare Ltd"/>
        <s v="Suyog Telematics Ltd"/>
        <s v="Nath Bio-Genes (India) Ltd"/>
        <s v="Agri- Tech (India) Ltd"/>
        <s v="Chemtech Industrial Valves Ltd"/>
        <s v="Denis Chem Lab Ltd"/>
        <s v="Polymac Thermoformers Ltd"/>
        <s v="Unishire Urban Infra Ltd"/>
        <s v="Laxmipati Engineering Works Ltd"/>
        <s v="ETT Ltd"/>
        <s v="Shree Hanuman Sugar &amp; Industries Ltd"/>
        <s v="Kiran Vyapar Ltd"/>
        <s v="B.C. Power Controls Ltd"/>
        <s v="Diksha Greens Ltd"/>
        <s v="Race Eco Chain Ltd"/>
        <s v="Mangalam Industrial Finance Ltd"/>
        <s v="Viji Finance Ltd"/>
        <s v="Phoenix Township Ltd"/>
        <s v="Infronics Systems Ltd"/>
        <s v="Haria Apparels Ltd"/>
        <s v="Shri Vasuprada Plantations Ltd"/>
        <s v="R&amp;B Denims Ltd"/>
        <s v="Sharp Investments Ltd"/>
        <s v="Vijaya Diagnostic Centre Ltd"/>
        <s v="Response Informatics Ltd"/>
        <s v="GCM Capital Advisors Ltd"/>
        <s v="SHIVA SUITINGS LTD."/>
        <s v="Incredible Industries Ltd"/>
        <s v="West Leisure Resorts Ltd"/>
        <s v="Nam Securities Ltd"/>
        <s v="Maestros Electronics &amp; Telecommunications Systems Ltd"/>
        <s v="SPS Finquest Ltd"/>
        <s v="Jackson Investments Ltd"/>
        <s v="Moneyboxx Finance Ltd"/>
        <s v="Worth Investment &amp; Trading Co Ltd"/>
        <s v="Kanel Industries Limited"/>
        <s v="Thirani Projects Ltd"/>
        <s v="Amarnath Securities Ltd"/>
        <s v="Capital Trade Links Ltd"/>
        <s v="GOLD ROCK INVESTMENTS LTD."/>
        <s v="Yaan Enterprises Ltd"/>
        <s v="J. Taparia Projects Ltd"/>
        <s v="Ramchandra Leasing &amp; Finance Ltd"/>
        <s v="Gold Coin Health Foods Ltd"/>
        <s v="Bansal Roofing Products Ltd"/>
        <s v="Arman Holdings Ltd"/>
        <s v="Skipper Ltd"/>
        <s v="PEOPLES INVESTMENTS LTD."/>
        <s v="James Warren Tea Ltd"/>
        <s v="Vistar Amar Ltd"/>
        <s v="Rainbow Children's Medicare Ltd"/>
        <s v="RAPID INVESTMENTS LTD."/>
        <s v="Springform Technology Ltd"/>
        <s v="Bhanderi Infracon Ltd"/>
        <s v="AMALGAMATED ELECTRICITY CO.LTD."/>
        <s v="Quantum Build-Tech Ltd"/>
        <s v="TTI Enterprise Ltd"/>
        <s v="Vishal Fabrics Ltd"/>
        <s v="Toyam Sports Ltd"/>
        <s v="Gajanan Securities Services Ltd"/>
        <s v="Unison Metals Ltd"/>
        <s v="Real Touch Finance Ltd"/>
        <s v="Vasundhara Rasayans Ltd"/>
        <s v="INDSOYA LTD."/>
        <s v="QGO Finance Ltd"/>
        <s v="Purshottam Investofin Ltd"/>
        <s v="SW Investments Ltd"/>
        <s v="Sharda Cropchem Ltd"/>
        <s v="K K Fincorp Limited"/>
        <s v="Meghna Infracon Infrastructure Ltd"/>
        <s v="Shemaroo Entertainment Ltd"/>
        <s v="Ultracab (India) Ltd"/>
        <s v="Rajasthan Cylinders &amp; Containers Ltd"/>
        <s v="Econo Trade (India) Ltd"/>
        <s v="Atishay Ltd"/>
        <s v="Sangam Finserv Ltd"/>
        <s v="Dhabriya Polywood Ltd"/>
        <s v="Aryaman Capital Markets Ltd"/>
        <s v="Piramal Pharma Ltd"/>
        <s v="Hanman Fit Ltd"/>
        <s v="Vibrant Global Capital Ltd"/>
        <s v="Starlit Power Systems Ltd"/>
        <s v="Ceinsys Tech Ltd"/>
        <s v="Panabyte Technologies Ltd"/>
        <s v="Mudunuru Ltd"/>
        <s v="JLA Infraville Shoppers Ltd"/>
        <s v="Crane Infrastructure Ltd"/>
        <s v="Niyogin Fintech Ltd"/>
        <s v="Asia Capital Ltd"/>
        <s v="Kalyan Capitals Ltd"/>
        <s v="Goenka Business &amp; Finance Ltd"/>
        <s v="Gilada Finance &amp; Investments Ltd"/>
        <s v="Jet Infraventure Ltd"/>
        <s v="Shree Ajit Pulp And Paper Ltd"/>
        <s v="Captain Pipes Ltd"/>
        <s v="Kaizen Agro Infrabuild Ltd"/>
        <s v="JMJ Fintech Ltd"/>
        <s v="Global Health Ltd"/>
        <s v="Monte Carlo Fashions Ltd"/>
        <s v="Jeevan Scientific Technology Ltd"/>
        <s v="Indo Cotspin Ltd"/>
        <s v="Scintilla Commercial &amp; Credit Ltd"/>
        <s v="Panafic Industrials Ltd"/>
        <s v="My Money Securities Ltd"/>
        <s v="Sri Amarnath Finance Ltd"/>
        <s v="Continental Securities Ltd"/>
        <s v="Nexus Surgical And Medicare Ltd"/>
        <s v="HEALTHY INVESTMENTS LTD."/>
        <s v="Galada Finance Ltd"/>
        <s v="Emerald Finance Ltd"/>
        <s v="M.K. Exim (India) Ltd"/>
        <s v="Aarti Pharmalabs Ltd"/>
        <s v="Octal Credit Capital Ltd"/>
        <s v="SHREENATH INVESTMENTS CO.LTD."/>
        <s v="Kanchi Karpooram Ltd"/>
        <s v="Dhunseri Tea &amp; Industries Ltd"/>
        <s v="Vani Commercials Ltd"/>
        <s v="Skyline Ventures India Ltd"/>
        <s v="MODELLA WOOLLENS LTD."/>
        <s v="Raghuvansh Agrofarms Ltd"/>
        <s v="COSYN Ltd"/>
        <s v="Sofcom Systems Ltd"/>
        <s v="Naturite Agro Products Ltd"/>
        <s v="Karnavati Finance Ltd"/>
        <s v="MULTIPURPOSE TRADING &amp; AGENCIES LTD."/>
        <s v="GANESH HOLDINGS LTD."/>
        <s v="Sonal Mercantile Ltd"/>
        <s v="Abhinav Leasing &amp; Finance Ltd"/>
        <s v="Genus Paper &amp; Boards Ltd"/>
        <s v="Mankind Pharma Ltd"/>
        <s v="Mercury Laboratories Ltd"/>
        <s v="Concord Drugs Ltd"/>
        <s v="Wardwizard Innovations &amp; Mobility Ltd"/>
        <s v="Shree Securities Ltd"/>
        <s v="Concord Biotech Ltd"/>
        <s v="Talbros Engineering Ltd"/>
        <s v="SAR Auto Products Ltd"/>
        <s v="HEM HOLDINGS &amp; TRADING LTD."/>
        <s v="Jupiter Life Line Hospitals Ltd"/>
        <s v="Chennai Ferrous Industries Ltd"/>
        <s v="KOVALAM INVESTMENT &amp; TRADING CO.LTD."/>
        <s v="Gita Renewable Energy Ltd"/>
        <s v="Neil Industries Ltd"/>
        <s v="Star Housing Finance Ltd"/>
        <s v="Beekay Steel Industries Ltd"/>
        <s v="SSPN Finance Ltd"/>
        <s v="MULTIPLUS HOLDINGS LTD."/>
        <s v="Tirupati Tyres Ltd"/>
        <s v="ALNA TRADING &amp; EXPORTS LTD."/>
        <s v="AGI Infra Ltd"/>
        <s v="Manaksia Steels Ltd"/>
        <s v="Manaksia Aluminium Company Ltd"/>
        <s v="Manaksia Coated Metals &amp; Industries Ltd"/>
        <s v="Imagicaaworld Entertainment Ltd"/>
        <s v="Blue Jet Healthcare Ltd"/>
        <s v="Rajputana Investment and Finance Ltd"/>
        <s v="Consecutive Investment &amp; Trading Company Ltd"/>
        <s v="Aananda Lakshmi Spinning Mills Ltd"/>
        <s v="Velox Industries Ltd"/>
        <s v="Filtra Consultants and Engineers Ltd"/>
        <s v="Athena Constructions Ltd"/>
        <s v="Northlink Fiscal and Capital Services Ltd"/>
        <s v="Sheshadri Industries Ltd"/>
        <s v="SAB Industries Ltd"/>
        <s v="Paul Merchants Ltd"/>
        <s v="Alan Scott Industries Ltd"/>
        <s v="SARVAMANGAL MERCANTILE CO.LTD."/>
        <s v="Sujala Trading &amp; Holdings Ltd"/>
        <s v="VIKSIT ENGINEERING LTD."/>
        <s v="Jain Marmo Industries Ltd"/>
        <s v="Bangalore Fort Farms Ltd"/>
        <s v="Palco Metals Ltd"/>
        <s v="V B Industries Ltd"/>
        <s v="Sarvottam Finvest Ltd"/>
        <s v="Saptak Chem And Business Ltd"/>
        <s v="Wardwizard Foods and Beverages Ltd"/>
        <s v="UFO Moviez India Ltd"/>
        <s v="Panth Infinity Ltd"/>
        <s v="Shivalik Rasayan Ltd"/>
        <s v="Thakkers Group Ltd"/>
        <s v="Indegene Ltd"/>
        <s v="Arfin India Ltd"/>
        <s v="Virat Leasing Ltd"/>
        <s v="Helpage Finlease Ltd"/>
        <s v="Indra Industries Ltd"/>
        <s v="Hawa Engineers Ltd"/>
        <s v="ABB India Limited"/>
        <s v="Adhbhut Infrastructure Ltd"/>
        <s v="Decillion Finance Ltd"/>
        <s v="POCL Enterprises Ltd"/>
        <s v="Amba Enterprises Ltd"/>
        <s v="Capfin India Ltd"/>
        <s v="SG Finserve Ltd"/>
        <s v="Satia Industries Ltd"/>
        <s v="Genomic Valley Biotech Ltd"/>
        <s v="Garment Mantra Lifestyle Ltd"/>
        <s v="Srestha Finvest Ltd"/>
        <s v="Saumya Consultants Ltd"/>
        <s v="Mauria Udyog Ltd"/>
        <s v="Mishka Exim Ltd"/>
        <s v="Sportking India Ltd"/>
        <s v="Frontier Capital Ltd"/>
        <s v="Rudra Global Infra Products Ltd"/>
        <s v="Loyal Equipments Ltd"/>
        <s v="Gala Global Products Ltd"/>
        <s v="Chemiesynth (Vapi) Ltd"/>
        <s v="TRANSOCEANIC PROPERTIES LTD."/>
        <s v="Balkrishna Paper Mills Ltd"/>
        <s v="Shyam Century Ferrous Ltd"/>
        <s v="Surya India Ltd"/>
        <s v="BEML LTD."/>
        <s v="Star Delta Transformers Ltd"/>
        <s v="Amrapali Fincap Ltd"/>
        <s v="Samsrita Labs Ltd"/>
        <s v="BHARAT ELECTRONICS LTD."/>
        <s v="Pecos Hotels and Pubs Ltd"/>
        <s v="Mangalam Seeds Ltd"/>
        <s v="Kaya Ltd"/>
        <s v="Alstone Textiles (India) Ltd"/>
        <s v="Symbiox Investment &amp; Trading Company Ltd"/>
        <s v="Ortin Laboratories Ltd"/>
        <s v="AVI Polymers Ltd"/>
        <s v="Aurum PropTech Ltd"/>
        <s v="Oswal Greentech Ltd"/>
        <s v="Vasudhagama Enterprises Ltd"/>
        <s v="A.K. Spintex Ltd"/>
        <s v="Arvind SmartSpaces Ltd"/>
        <s v="CG Power and Industrial Solutions Ltd"/>
        <s v="Rama Steel Tubes Ltd"/>
        <s v="Thinkink Picturez Ltd"/>
        <s v="Universal Autofoundry Ltd"/>
        <s v="Veto Switchgears and Cables Ltd"/>
        <s v="Triliance Polymers Ltd"/>
        <s v="Shree Pushkar Chemicals &amp; Fertilisers Ltd"/>
        <s v="BHARAT HEAVY ELECTRICALS LTD."/>
        <s v="Waaree Technologies Ltd"/>
        <s v="Sadbhav Infrastructure Project Ltd"/>
        <s v="Sal Automotive Ltd"/>
        <s v="Polyspin Exports Ltd"/>
        <s v="Pritika Auto Industries Ltd"/>
        <s v="Soni Medicare Ltd"/>
        <s v="Mahaveer Infoway Ltd"/>
        <s v="Krishna Capital and Securities Ltd"/>
        <s v="Acme Resources Ltd"/>
        <s v="Kabra Commercial Ltd"/>
        <s v="Vishal Bearings Ltd"/>
        <s v="Bella Casa Fashion &amp; Retail Ltd"/>
        <s v="Mallcom (India) Ltd"/>
        <s v="Patdiam Jewellery Ltd"/>
        <s v="Naksh Precious Metals Ltd"/>
        <s v="Satin Creditcare Network Ltd"/>
        <s v="Decorous Investment &amp; Trading Co Ltd"/>
        <s v="OSEASPRE CONSULTANTS LTD."/>
        <s v="Generic Engineering Construction and Projects Ltd"/>
        <s v="Kuber Udyog Ltd"/>
        <s v="TECHNOJET CONSULTANTS LTD."/>
        <s v="Tejnaksh Healthcare Ltd"/>
        <s v="Brilliant Portfolios Ltd"/>
        <s v="Richfield Financial Services Ltd"/>
        <s v="Coffee Day Enterprises Ltd"/>
        <s v="ELECTROSTEEL CASTINGS LTD."/>
        <s v="Beardsell Ltd"/>
        <s v="KUSAM ELECTRICAL INDUSTRIES LTD."/>
        <s v="JUMBO FINANCE LTD."/>
        <s v="S H Kelkar and Company Ltd"/>
        <s v="Typhoon Financial Services Ltd"/>
        <s v="Panorama Studios International Ltd"/>
        <s v="Shree Ganesh Biotech (India) Ltd"/>
        <s v="GTV Engineering Ltd"/>
        <s v="Tirupati Finlease Ltd"/>
        <s v="Garbi Finvest Ltd"/>
        <s v="Smart Finsec Ltd"/>
        <s v="Rajkot Investment Trust Ltd"/>
        <s v="Adcon Capital Services Ltd"/>
        <s v="Quint Digital Ltd"/>
        <s v="Uday Jewellery Industries Ltd"/>
        <s v="Navigant Corporate Advisors Ltd"/>
        <s v="Grovy India Ltd"/>
        <s v="ESAB INDIA LTD."/>
        <s v="EPL Ltd"/>
        <s v="Rajvi Logitrade Ltd"/>
        <s v="Creative Castings Ltd"/>
        <s v="Aayush Food and Herbs Ltd"/>
        <s v="Millennium Online Solutions ( India ) Ltd"/>
        <s v="Lux Industries Ltd"/>
        <s v="Valley Magnesite Company Ltd"/>
        <s v="Abhishek Infraventures Ltd"/>
        <s v="Apoorva Leasing Finance and Investment Company Ltd"/>
        <s v="SANCHAY FINVEST LTD."/>
        <s v="FINOLEX CABLES LTD."/>
        <s v="F Mec International Financial Services Ltd"/>
        <s v="Deep Diamond India Ltd"/>
        <s v="Abhijit Trading Company Ltd"/>
        <s v="REGENCY TRUST LTD."/>
        <s v="Aarnav Fashions Ltd"/>
        <s v="Sunshine Capital Ltd"/>
        <s v="NILKANTH ENGINEERING LTD."/>
        <s v="Shivansh Finserve Ltd"/>
        <s v="Mishtann Foods Ltd"/>
        <s v="Delta Industrial Resources Ltd"/>
        <s v="Credent Global Finance Ltd"/>
        <s v="Kotia Enterprises Ltd"/>
        <s v="Blue Cloud Softech Solutions Ltd"/>
        <s v="Kanoria Energy &amp; Infrastructure Ltd"/>
        <s v="BCL Enterprises Ltd"/>
        <s v="Precision Camshafts Ltd"/>
        <s v="SOBHAGYA MERCHANTILE LTD."/>
        <s v="Vidli Restaurants Ltd"/>
        <s v="Best Agrolife Ltd"/>
        <s v="Ace Men Engg Works Ltd"/>
        <s v="BFL Asset Finvest Ltd"/>
        <s v="RGF Capital Markets Ltd"/>
        <s v="Radhagobind Commercial Ltd"/>
        <s v="Quick Heal Technologies Ltd"/>
        <s v="Kapil Raj Finance Ltd"/>
        <s v="Ganga Pharmaceuticals Ltd"/>
        <s v="Dynamic Archistructures Ltd"/>
        <s v="Lucent Industries Ltd"/>
        <s v="Shivkamal Impex Ltd"/>
        <s v="K.P. Energy Ltd"/>
        <s v="Interactive Financial Services Ltd"/>
        <s v="Hiliks Technologies Ltd"/>
        <s v="Gokul Agro Resources Ltd"/>
        <s v="Fredun Pharmaceuticals Ltd"/>
        <s v="Simbhaoli Sugars Ltd"/>
        <s v="Relicab Cable Manufacturing Ltd"/>
        <s v="Vantage Knowledge Academy Ltd"/>
        <s v="Modern Engineering And Projects Ltd"/>
        <s v="Mega Nirman and Industries Ltd"/>
        <s v="Darjeeling Ropeway Company Ltd"/>
        <s v="Advik Capital Ltd"/>
        <s v="Pudumjee Paper Products Ltd"/>
        <s v="HINDUSTAN CONSTRUCTION CO.LTD."/>
        <s v="Khemani Distributors &amp; Marketing Ltd"/>
        <s v="Umiya Tubes Ltd"/>
        <s v="Bharat Wire Ropes Ltd"/>
        <s v="CHD Chemicals Ltd"/>
        <s v="HMT LTD."/>
        <s v="INERTIA STEEL LTD."/>
        <s v="Mudra Financial Services Ltd"/>
        <s v="PH TRADING LTD."/>
        <s v="Superior Finlease Ltd"/>
        <s v="Raghav Productivity Enhancers Ltd"/>
        <s v="Franklin Leasing and Finance Ltd"/>
        <s v="VENTURA GUARANTY LTD."/>
        <s v="NINtec Systems Ltd"/>
        <s v="Halder Venture Ltd"/>
        <s v="Thyrocare Technologies Ltd"/>
        <s v="Bajaj Healthcare Ltd"/>
        <s v="RSD Finance Ltd"/>
        <s v="INGERSOLL-RAND (INDIA) LTD."/>
        <s v="KIRLOSKAR BROTHERS LTD.-$"/>
        <s v="Darshan Orna Ltd"/>
        <s v="Parag Milk Foods Ltd"/>
        <s v="Madhav Infra Projects Ltd"/>
        <s v="Nagarjuna Fertilizers and Chemicals Ltd"/>
        <s v="Shanti Educational Initiatives Ltd"/>
        <s v="SANMITRA COMMERCIAL LTD."/>
        <s v="Wardwizard Healthcare Ltd"/>
        <s v="Yash Chemex Ltd"/>
        <s v="Bazel International Ltd"/>
        <s v="Jindal Leasefin Ltd"/>
        <s v="Vishvprabha Ventures Ltd"/>
        <s v="Kirloskar Industries Ltd"/>
        <s v="Zeal Aqua Ltd"/>
        <s v="TWIN ROSES TRADES &amp; AGENCIES LTD."/>
        <s v="Digjam Ltd"/>
        <s v="Hindusthan Urban Infrastructure Ltd"/>
        <s v="Titaanium Ten Enterprise Ltd"/>
        <s v="Commercial Syn Bags Ltd"/>
        <s v="M Lakhamsi Industries Ltd"/>
        <s v="KSB Ltd"/>
        <s v="Kwality Pharmaceuticals Ltd"/>
        <s v="LAKSHMI MACHINE WORKS LTD."/>
        <s v="Terraform Realstate Limited"/>
        <s v="Advanced Enzyme Technologies Ltd"/>
        <s v="Ladam Affordable Housing Ltd"/>
        <s v="MAHARASHTRA SEAMLESS LTD."/>
        <s v="S.P. Apparels Ltd"/>
        <s v="Bigbloc Construction Ltd"/>
        <s v="Golden Crest Education &amp; Services Ltd"/>
        <s v="ECS Biztech Ltd"/>
        <s v="NCC Limited"/>
        <s v="AMS Polymers Ltd"/>
        <s v="Shiva Granito Export Ltd"/>
        <s v="SURYA ROSHNI LTD."/>
        <s v="Mitsu Chem Plast Ltd"/>
        <s v="Sprayking Ltd"/>
        <s v="Dhatre Udyog Ltd"/>
        <s v="SAB Events &amp; Governance Now Media Ltd"/>
        <s v="Riddhi Steel and Tube Ltd"/>
        <s v="TV Vision Ltd"/>
        <s v="Visco Trade Associates Ltd"/>
        <s v="Tiaan Consumer Ltd"/>
        <s v="JINDAL SAW LTD."/>
        <s v="G N A Axles Ltd"/>
        <s v="Radhika Jeweltech Ltd"/>
        <s v="BENTLEY COMMERCIAL ENTERPRISES LTD."/>
        <s v="THERMAX LTD."/>
        <s v="Ishaan Infrastructures and Shelters Ltd"/>
        <s v="ARC Finance Ltd"/>
        <s v="HPL Electric &amp; Power Ltd"/>
        <s v="Sagarsoft (India) Ltd"/>
        <s v="CLASSIC ELECTRICALS LTD."/>
        <s v="Valiant Organics Ltd"/>
        <s v="Aditya Consumer Marketing Ltd"/>
        <s v="Shashijit Infraprojects Ltd"/>
        <s v="Bindal Exports Ltd"/>
        <s v="Diksat Transworld Ltd"/>
        <s v="SKF India Ltd"/>
        <s v="Purple Entertainment Ltd"/>
        <s v="Supra Pacific Financial Services Ltd"/>
        <s v="ASHOK LEYLAND LTD."/>
        <s v="Southern Infosys Ltd"/>
        <s v="Regency Fincorp Ltd"/>
        <s v="CUMMINS INDIA LTD."/>
        <s v="Salem Erode Investments Ltd"/>
        <s v="NIVI TRADING LTD."/>
        <s v="LKP Securities Ltd"/>
        <s v="Osiajee Texfab Ltd"/>
        <s v="Corporate Merchant Bankers Ltd"/>
        <s v="Escorts Kubota Ltd"/>
        <s v="Eiko Lifesciences Ltd"/>
        <s v="LARSEN &amp; TOUBRO LTD."/>
        <s v="Heads UP Ventures Ltd"/>
        <s v="BAJAJ GLOBAL LTD."/>
        <s v="TASHI INDIA LTD."/>
        <s v="SIEMENS LTD."/>
        <s v="AUTORIDERS INTERNATIONAL LTD."/>
        <s v="Veeram Securities Ltd"/>
        <s v="Marg Techno Projects Ltd"/>
        <s v="CHAMBAL BREWERIES &amp; DISTILLERIES LTD."/>
        <s v="MANSOON TRADING CO.LTD."/>
        <s v="TruCap Finance Ltd"/>
        <s v="Super Fine Knitters Ltd"/>
        <s v="CES Limited"/>
        <s v="Garware Hi-Tech Films Ltd"/>
        <s v="Classic Filaments Ltd"/>
        <s v="JITF Infralogistics Ltd"/>
        <s v="Sueryaa Knitwear Ltd"/>
        <s v="Tanvi Foods (India) Ltd"/>
        <s v="RMC Switchgears Ltd"/>
        <s v="Parmax Pharma Ltd"/>
        <s v="Leading Leasing Finance And Investment Company Ltd"/>
        <s v="MAGNANIMOUS TRADE &amp; FINANCE LTD."/>
        <s v="Music Broadcast Ltd"/>
        <s v="FINOLEX INDUSTRIES LTD."/>
        <s v="MERCURY TRADE LINKS LTD."/>
        <s v="Ontic Finserve Ltd"/>
        <s v="Sarthak Metals Ltd"/>
        <s v="Chemcrux Enterprises Ltd"/>
        <s v="Manomay Tex India Ltd"/>
        <s v="NIRAV COMMERCIALS LTD."/>
        <s v="Manas Properties Ltd"/>
        <s v="CL Educate Ltd"/>
        <s v="Prime Fresh Ltd"/>
        <s v="Octaware Technologies Ltd"/>
        <s v="Shankara Building Products Ltd"/>
        <s v="Escorp Asset Management Ltd"/>
        <s v="Parmeshwari Silk Mills Ltd"/>
        <s v="KMS Medisurgi Ltd"/>
        <s v="Classic Leasing &amp; Finance Ltd"/>
        <s v="Starlineps Enterprises Ltd"/>
        <s v="S Chand and Company Ltd"/>
        <s v="Kanungo Financiers Ltd"/>
        <s v="Meera Industries Ltd"/>
        <s v="Borosil Renewables Ltd"/>
        <s v="PSP Projects Ltd"/>
        <s v="Bhakti Gems and Jewellery Ltd"/>
        <s v="Yug Decor Ltd"/>
        <s v="WHITE HALL COMMERCIAL CO.LTD."/>
        <s v="BHARAT BIJLEE LTD.-$"/>
        <s v="Riddhi Corporate Services Ltd"/>
        <s v="GMM PFAUDLER LTD."/>
        <s v="ELECON ENGINEERING CO.LTD."/>
        <s v="GTPL Hathway Ltd"/>
        <s v="KENNAMETAL INDIA LTD.-$"/>
        <s v="ASUTOSH ENTERPRISES LTD."/>
        <s v="G G Engineering Ltd"/>
        <s v="7NR Retail Ltd"/>
        <s v="Salasar Techno Engineering Ltd"/>
        <s v="Ganges Securities Ltd"/>
        <s v="Palash Securities Ltd"/>
        <s v="Avadh Sugar &amp; Energy Ltd"/>
        <s v="Magadh Sugar &amp; Energy Ltd"/>
        <s v="Jigar Cables Ltd"/>
        <s v="Captain Technocast Ltd"/>
        <s v="Globalspace Technologies Ltd"/>
        <s v="PUNCTUAL TRADING LTD."/>
        <s v="GRINDWELL NORTON LTD.-$"/>
        <s v="SMS Lifesciences India Ltd"/>
        <s v="GRAPHITE INDIA LTD."/>
        <s v="Chothani Foods Ltd"/>
        <s v="Smruthi Organics Ltd"/>
        <s v="ITD CEMENTATION INDIA LTD."/>
        <s v="Apex Frozen Foods Ltd"/>
        <s v="Shish Industries Ltd"/>
        <s v="ANG Lifesciences India Ltd"/>
        <s v="VARUN MERCANTILE LTD."/>
        <s v="HEG LTD."/>
        <s v="Bharat Road Network Ltd"/>
        <s v="Dishman Carbogen Amcis Ltd"/>
        <s v="Lasa Supergenerics Ltd"/>
        <s v="VINAYAK VANIJYA LTD."/>
        <s v="Matrimony.com Ltd"/>
        <s v="Reliance Home Finance Ltd"/>
        <s v="Capacite Infraprojects Ltd"/>
        <s v="Sagar Diamonds Ltd"/>
        <s v="SUPREME INDUSTRIES LTD."/>
        <s v="SITA ENTERPRISES LTD."/>
        <s v="AKM Creations Ltd"/>
        <s v="JAI CORP LTD."/>
        <s v="Prataap Snacks Ltd"/>
        <s v="SG Mart Ltd"/>
        <s v="Trident Texofab Ltd"/>
        <s v="Poojawestern Metaliks Ltd"/>
        <s v="Sayaji Industries Ltd"/>
        <s v="Vanta Bioscience Ltd"/>
        <s v="PULSAR INTERNATIONAL LTD."/>
        <s v="IRIS Business Services Ltd"/>
        <s v="Shree Ganesh Remedies Ltd"/>
        <s v="Astal Laboratories Ltd"/>
        <s v="CARBORUNDUM UNIVERSAL LTD."/>
        <s v="USHA MARTIN LTD."/>
        <s v="HONEYWELL AUTOMATION INDIA LTD."/>
        <s v="KEI INDUSTRIES LTD."/>
        <s v="Regent Enterprises Ltd"/>
        <s v="Sheetal Cool Products Ltd"/>
        <s v="RATNAMANI METALS &amp; TUBES LTD.-$"/>
        <s v="VESUVIUS INDIA LTD."/>
        <s v="JEET MACHINE TOOLS LTD."/>
        <s v="ELGI EQUIPMENTS LTD."/>
        <s v="IFGL Refractories Ltd"/>
        <s v="Khadim India Ltd"/>
        <s v="5paisa Capital Ltd"/>
        <s v="TIMKEN INDIA LTD."/>
        <s v="Sanghvi Brands Ltd"/>
        <s v="RAMGOPAL POLYTEX LTD."/>
        <s v="Aspira Pathlab &amp; Diagnostics Ltd"/>
        <s v="Diligent Media Corporation Ltd"/>
        <s v="Dynamic Cables Ltd"/>
        <s v="Ratnabhumi Developers Ltd"/>
        <s v="Shalby Ltd"/>
        <s v="TTL Enterprises Ltd"/>
        <s v="YARN SYNDICATE LTD."/>
        <s v="GARWARE SYNTHETICS LTD."/>
        <s v="Sadhna Broadcast Ltd"/>
        <s v="Astron Paper &amp; Board Mill Ltd"/>
        <s v="OSWAL YARNS LTD."/>
        <s v="INTERNATIONAL DATA MANAGEMENT LTD."/>
        <s v="Jhandewalas Foods Ltd"/>
        <s v="7Seas Entertainment Ltd"/>
        <s v="Apollo Micro Systems Ltd"/>
        <s v="Diamond Power Infrastructure Limited-$"/>
        <s v="Praxis Home Retail Ltd"/>
        <s v="PRAJ INDUSTRIES LTD."/>
        <s v="Pervasive Commodities Ltd"/>
        <s v="Tirupati Foam Ltd"/>
        <s v="Kisaan Parivar Industries Ltd"/>
        <s v="Ashoka Metcast Ltd"/>
        <s v="GE T&amp;D India Ltd"/>
        <s v="Gautam Gems Ltd"/>
        <s v="Medico Remedies Ltd"/>
        <s v="Gujarat Hy-Spin Ltd"/>
        <s v="Lorenzini Apparels Ltd"/>
        <s v="Kenvi Jewels Ltd"/>
        <s v="The Indian Wood Products Company Ltd"/>
        <s v="Tasty Dairy Specialities Ltd"/>
        <s v="Bhatia Communications &amp; Retail (India) Ltd"/>
        <s v="Shiva Mills Ltd"/>
        <s v="Kalpataru Projects International Ltd"/>
        <s v="Datiware Maritime Infra Ltd"/>
        <s v="Kanco Tea &amp; Industries Ltd"/>
        <s v="Angel Fibers Ltd"/>
        <s v="GENUS POWER INFRASTRUCTURES LTD.-$"/>
        <s v="Inflame Appliances Ltd"/>
        <s v="Bharat Parenterals Ltd"/>
        <s v="Shreeshay Engineers Ltd"/>
        <s v="Apex Capital And Finance Ltd"/>
        <s v="PATEL ENGINEERING LTD.-$"/>
        <s v="Active Clothing Co Ltd"/>
        <s v="NMS Resources Global Ltd"/>
        <s v="SHAKTI PUMPS (INDIA) LTD.-$"/>
        <s v="Welspun Corp Limited"/>
        <s v="KBC Global Ltd"/>
        <s v="Sandhar Technologies Ltd"/>
        <s v="Yasho Industries Ltd"/>
        <s v="Benara Bearings and Pistons Ltd"/>
        <s v="ENGINEERS INDIA LTD."/>
        <s v="APAR INDUSTRIES LTD."/>
        <s v="OTCO INTERNATIONAL LTD."/>
        <s v="Avi Products India Ltd"/>
        <s v="Taylormade Renewables Ltd"/>
        <s v="ASTRA MICROWAVE PRODUCTS LTD."/>
        <s v="Chemfab Alkalis Ltd"/>
        <s v="Hardwyn India Ltd"/>
        <s v="Dr Lalchandani Labs Ltd"/>
        <s v="Welspun Enterprises Ltd"/>
        <s v="NORRIS MEDICINES LTD."/>
        <s v="Akshar Spintex Ltd"/>
        <s v="Indo Us Bio-Tech Ltd"/>
        <s v="Indostar Capital Finance Ltd"/>
        <s v="Milestone Furniture Ltd"/>
        <s v="U. H. Zaveri Ltd"/>
        <s v="Parvati Sweetners and Power Ltd"/>
        <s v="Megastar Foods Ltd"/>
        <s v="Innovators Facade Systems Ltd"/>
        <s v="Unifinz Capital India Ltd"/>
        <s v="Zim Laboratories Ltd"/>
        <s v="Affordable Robotic &amp; Automation Ltd"/>
        <s v="Dollar Industries Ltd"/>
        <s v="Nakoda Group of Industries Ltd"/>
        <s v="REVATI ORGANICS LTD."/>
        <s v="Waa Solar Ltd"/>
        <s v="SUZLON ENERGY LTD."/>
        <s v="Unick Fix-A-Form And Printers Ltd"/>
        <s v="Solara Active Pharma Sciences Ltd"/>
        <s v="AIA ENGINEERING LTD."/>
        <s v="KEC INTERNATIONAL LTD."/>
        <s v="Gallantt Ispat Ltd"/>
        <s v="Rajnish Wellness Ltd"/>
        <s v="Sophia Traexpo Ltd"/>
        <s v="Raw Edge Industrial Solutions Ltd"/>
        <s v="TCNS Clothing Co. Ltd"/>
        <s v="Supershakti Metaliks Ltd"/>
        <s v="PRIYA LTD.-$"/>
        <s v="Raconteur Global Resources Ltd"/>
        <s v="GODAWARI POWER &amp; ISPAT LTD."/>
        <s v="Vivanta Industries Ltd"/>
        <s v="Hemo Organic Limited"/>
        <s v="VOLTAMP TRANSFORMERS LTD."/>
        <s v="Amin Tannery Ltd"/>
        <s v="Deep Polymers Ltd"/>
        <s v="Sungold Media and Entertainment Ltd"/>
        <s v="Add-Shop ERetail Ltd"/>
        <s v="Space Incubatrics Technologies Ltd"/>
        <s v="Synergy Green Industries Ltd"/>
        <s v="Ranjeet Mechatronics Ltd"/>
        <s v="ACTION CONSTRUCTION EQUIPMENT LTD."/>
        <s v="Sky Gold Ltd"/>
        <s v="Mac Hotels Ltd"/>
        <s v="Manorama Industries Ltd"/>
        <s v="PARKER AGROCHEM EXPORTS LTD.-$"/>
        <s v="TECHNOCRAFT INDUSTRIES (INDIA) LTD."/>
        <s v="AHLUWALIA CONTRACTS (INDIA) LTD."/>
        <s v="A-1 Acid Ltd"/>
        <s v="Dolfin Rubbers Ltd"/>
        <s v="Shubham Polyspin Ltd"/>
        <s v="AKI India Ltd"/>
        <s v="BIJOY HANS LTD."/>
        <s v="S. M. Gold Ltd"/>
        <s v="Vivid Mercantile Ltd"/>
        <s v="BCPL Railway Infrastructure Ltd"/>
        <s v="Astral Ltd"/>
        <s v="The Phosphate Company Ltd"/>
        <s v="TIME TECHNOPLAST LTD."/>
        <s v="AMBITIOUS PLASTOMAC COMPANY LTD."/>
        <s v="Shree Krishna Infrastructure Ltd"/>
        <s v="MAHASAGAR TRAVELS LTD."/>
        <s v="Aryan Share and Stock Brokers Ltd"/>
        <s v="Nivaka Fashions Ltd"/>
        <s v="TRANSFORMERS AND RECTIFIERS (INDIA) LTD."/>
        <s v="Nila Spaces Ltd"/>
        <s v="Shankar Lal Rampal Dye-Chem Ltd"/>
        <s v="Trejhara Solutions Ltd"/>
        <s v="Deccan Health Care Ltd"/>
        <s v="Axita Cotton Ltd"/>
        <s v="J.KUMAR INFRAPROJECTS LTD."/>
        <s v="Hi-Klass Trading and Investment Ltd"/>
        <s v="SIDDHESWARI GARMENTS LTD."/>
        <s v="Spencers Retail Ltd"/>
        <s v="Gloster Ltd"/>
        <s v="Xelpmoc Design and Tech Ltd"/>
        <s v="SPA Capital Services Ltd"/>
        <s v="Aar Shyam India Investment Company Ltd"/>
        <s v="HARMONY CAPITAL SERVICES LTD."/>
        <s v="KNR CONSTRUCTIONS LTD."/>
        <s v="Anmol India Ltd"/>
        <s v="GARODIA CHEMICALS LTD."/>
        <s v="Kranti Industries Ltd"/>
        <s v="The Anup Engineering Ltd"/>
        <s v="INTER STATE OIL CARRIER LTD."/>
        <s v="Titagarh Rail Systems Ltd"/>
        <s v="SP CAPITAL FINANCING LTD."/>
        <s v="Jyot International Marketing Ltd"/>
        <s v="Ashapuri Gold Ornament Ltd"/>
        <s v="Aartech Solonics Ltd"/>
        <s v="Humming Bird Education Ltd"/>
        <s v="Stratmont Industries Ltd"/>
        <s v="Roopshri Resorts Ltd"/>
        <s v="EKAM LEASING &amp; FINANCE CO.LTD."/>
        <s v="SHREE GANESH ELASTOPLAST LTD."/>
        <s v="ISGEC Heavy Engineering Ltd"/>
        <s v="MAN INFRACONSTRUCTION LTD."/>
        <s v="ASHOKA BUILDCON LTD."/>
        <s v="Jupiter Wagons Ltd"/>
        <s v="V R Films &amp; Studios Ltd"/>
        <s v="SI CAPITAL &amp; FINANCIAL SERVICES LTD."/>
        <s v="Neogen Chemicals Ltd"/>
        <s v="G. K. P. Printing &amp; Packaging Ltd"/>
        <s v="R.R.SECURITIES LTD."/>
        <s v="EURO ASIA EXPORTS LTD."/>
        <s v="BMW Industries Ltd"/>
        <s v="Artemis Electricals and Projects Ltd"/>
        <s v="Cian Healthcare Ltd"/>
        <s v="Dhanashree Electronics Ltd"/>
        <s v="Harish Textile Engineers Ltd"/>
        <s v="Prakash Pipes Ltd"/>
        <s v="Digicontent Ltd"/>
        <s v="ARIHANT'S SECURITIES LTD."/>
        <s v="Anand Rayons Ltd"/>
        <s v="Murae Organisor Ltd"/>
        <s v="SBC Exports Ltd"/>
        <s v="KIRLOSKAR OIL ENGINES LTD."/>
        <s v="City Pulse Multiplex Ltd"/>
        <s v="SK International Export Ltd"/>
        <s v="DCM Nouvelle Ltd"/>
        <s v="TEXMACO RAIL &amp; ENGINEERING LTD."/>
        <s v="Tradewell Holdings Ltd"/>
        <s v="ZEN TECHNOLOGIES LTD."/>
        <s v="T D POWER SYSTEMS LTD."/>
        <s v="Alphalogic Techsys Ltd"/>
        <s v="Novateor Research Laboratories Ltd"/>
        <s v="360 ONE WAM LTD"/>
        <s v="TRIVENI TURBINE LTD."/>
        <s v="Mufin Green Finance Ltd"/>
        <s v="Misquita Engineering Ltd"/>
        <s v="Galactico Corporate Services Ltd"/>
        <s v="VIKALP SECURITIES LTD."/>
        <s v="APL APOLLO TUBES LTD."/>
        <s v="Rhi Magnesita India Ltd"/>
        <s v="Goblin India Ltd"/>
        <s v="Gensol Engineering Ltd"/>
        <s v="Vishwaraj Sugar Industries Ltd"/>
        <s v="Greenpanel Industries Ltd"/>
        <s v="Shahlon Silk Industries Ltd"/>
        <s v="Mount Housing and Infrastructure Ltd"/>
        <s v="Anuroop Packaging Ltd"/>
        <s v="Colab Cloud Platforms Ltd"/>
        <s v="SCHNEIDER ELECTRIC INFRASTRUCTURE LTD."/>
        <s v="NBCC (India) Ltd"/>
        <s v="Hindware Home Innovation Ltd"/>
        <s v="Easun Capital Markets Ltd"/>
        <s v="PTC Industries Ltd"/>
        <s v="Assam Entrade Ltd"/>
        <s v="Gian Life Care Ltd"/>
        <s v="Artemis Medicare Services Ltd"/>
        <s v="Inox Wind Ltd"/>
        <s v="Janus Corporation Ltd"/>
        <s v="Vardhan Capital &amp; Finance Ltd"/>
        <s v="Universus Photo Imagings Ltd"/>
        <s v="Chandra Bhagat Pharma Ltd"/>
        <s v="Octavius Plantations Ltd"/>
        <s v="PNC Infratech Ltd"/>
        <s v="SM Auto Stamping Ltd"/>
        <s v="Power Mech Projects Ltd"/>
        <s v="RO Jewels Ltd"/>
        <s v="Cospower Engineering Ltd"/>
        <s v="Lloyds Engineering Works Ltd"/>
        <s v="LWS KNITWEAR LTD."/>
        <s v="Natural Biocon (India) Ltd"/>
        <s v="Regis Industries Ltd"/>
        <s v="Billwin Industries Ltd"/>
        <s v="Aarti Surfactants Ltd"/>
        <s v="Bonlon Industries Ltd"/>
        <s v="Borosil Ltd"/>
        <s v="Rossari Biotech Ltd"/>
        <s v="NDR Auto Components Ltd"/>
        <s v="Suratwwala Business Group Ltd"/>
        <s v="Dilip Buildcon Ltd"/>
        <s v="Max India Ltd"/>
        <s v="Cochin Shipyard Ltd"/>
        <s v="H.G. Infra Engineering Ltd"/>
        <s v="Samrat Forgings Ltd"/>
        <s v="Advait Infratech Ltd"/>
        <s v="Archidply Decor Ltd"/>
        <s v="Bharat Dynamics Ltd"/>
        <s v="Chemcon Speciality Chemicals Ltd"/>
        <s v="SecMark Consultancy Ltd"/>
        <s v="Hindustan Aeronautics Ltd"/>
        <s v="Atam Valves Ltd"/>
        <s v="Mishra Dhatu Nigam Ltd"/>
        <s v="RITES Ltd"/>
        <s v="G M Polyplast Ltd"/>
        <s v="Likhitha Infrastructure Ltd"/>
        <s v="Veer Global Infraconstruction Ltd"/>
        <s v="NOUVEAU GLOBAL VENTURES LTD."/>
        <s v="IRCON International Ltd"/>
        <s v="Shine Fashions (India) Ltd"/>
        <s v="Garden Reach Shipbuilders &amp; Engineers Ltd"/>
        <s v="Restaurant Brands Asia Ltd"/>
        <s v="Techno Electric &amp; Engineering Company Ltd"/>
        <s v="Ravinder Heights Ltd"/>
        <s v="Fairchem Organics Ltd"/>
        <s v="Rail Vikas Nigam Ltd"/>
        <s v="Antony Waste Handling Cell Ltd"/>
        <s v="Rita Finance and Leasing Ltd"/>
        <s v="Polycab India Ltd"/>
        <s v="Sterling and Wilson Renewable Energy Ltd"/>
        <s v="Prince Pipes and Fittings Ltd"/>
        <s v="Stove Kraft Ltd"/>
        <s v="MRP Agro Ltd"/>
        <s v="SMC Global Securities Ltd"/>
        <s v="Nureca Ltd"/>
        <s v="Hitachi Energy India Ltd"/>
        <s v="Heranba Industries Ltd"/>
        <s v="Davangere Sugar Company Ltd"/>
        <s v="DRC Systems India Ltd"/>
        <s v="Mazagon Dock Shipbuilders Ltd"/>
        <s v="MTAR Technologies Ltd"/>
        <s v="Inox Wind Energy Ltd"/>
        <s v="SHUKRA BULLIONS LTD."/>
        <s v="Suumaya Corporation Ltd"/>
        <s v="Shyam Metalics and Energy Ltd"/>
        <s v="G R Infraprojects Ltd"/>
        <s v="Paras Defence and Space Technologies Ltd"/>
        <s v="Tega Industries Ltd"/>
        <s v="Suryoday Small Finance Bank Ltd"/>
        <s v="Data Patterns (India) Ltd"/>
        <s v="Suvidhaa Infoserve Ltd"/>
        <s v="Barbeque-Nation Hospitality Ltd"/>
        <s v="JYOTHI INFRAVENTURES LTD."/>
        <s v="Rajeshwari Cans Ltd"/>
        <s v="Jetmall Spices and Masala Ltd"/>
        <s v="Syrma SGS Technology Ltd"/>
        <s v="Deep Industries Ltd"/>
        <s v="Kaynes Technology India Ltd"/>
        <s v="Vineet Laboratories Ltd"/>
        <s v="Cyient DLM Ltd"/>
        <s v="R R Kabel Ltd"/>
        <s v="DEVINE IMPEX LTD."/>
        <s v="INOX India Ltd"/>
        <s v="Happy Forgings Ltd"/>
        <s v="Adeshwar Meditex Ltd"/>
        <s v="Times Green Energy (India) Ltd"/>
        <s v="India Pesticides Ltd"/>
        <s v="Focus Business Solution Ltd"/>
        <s v="Azad Engineering Ltd"/>
        <s v="Jyoti CNC Automation Ltd"/>
        <s v="VSD CONFIN LTD."/>
        <s v="Exicom Tele-Systems Ltd"/>
        <s v="Tatva Chintan Pharma Chem Ltd"/>
        <s v="Gretex Corporate Services Ltd"/>
        <s v="INFOSYS LTD."/>
        <s v="Exxaro Tiles Ltd"/>
        <s v="Krsnaa Diagnostics Ltd"/>
        <s v="Windlas Biotech Ltd"/>
        <s v="TATA ELXSI LTD."/>
        <s v="Meghmani Organics Ltd"/>
        <s v="Black Box Ltd"/>
        <s v="CarTrade Tech Ltd"/>
        <s v="ZENSAR TECHNOLOGIES LTD."/>
        <s v="WIPRO LTD."/>
        <s v="MASTEK LTD."/>
        <s v="Sharpline Broadcast Ltd"/>
        <s v="Aashka Hospitals Ltd"/>
        <s v="MPHASIS LTD."/>
        <s v="Cyient Limited"/>
        <s v="SVA INDIA LTD."/>
        <s v="SONATA SOFTWARE LTD."/>
        <s v="Prevest Denpro Ltd"/>
        <s v="Markolines Pavement Technologies Ltd"/>
        <s v="SBL Infratech Ltd"/>
        <s v="HCL TECHNOLOGIES LTD."/>
        <s v="HINDUSTAN APPLIANCES LTD."/>
        <s v="Shri Venkatesh Refineries Ltd"/>
        <s v="Birlasoft Ltd"/>
        <s v="Promax Power Ltd"/>
        <s v="Samor Reality Ltd"/>
        <s v="Adishakti Loha and Ispat Ltd"/>
        <s v="Moschip Technologies Ltd"/>
        <s v="Fino Payments Bank Ltd"/>
        <s v="S.J.S. Enterprises Ltd"/>
        <s v="Sigachi Industries Ltd"/>
        <s v="ORACLE FINANCIAL SERVICES SOFTWARE LTD."/>
        <s v="Suyog Gurbaxani Funicular Ropeways Ltd"/>
        <s v="TATA CONSULTANCY SERVICES LTD."/>
        <s v="Coforge Ltd"/>
        <s v="AURIONPRO SOLUTIONS LTD."/>
        <s v="Tarsons Products Ltd"/>
        <s v="Omnipotent Industries Ltd"/>
        <s v="R Systems International Limited"/>
        <s v="SHREEVATSAA FINANCE &amp; LEASING LTD."/>
        <s v="Hi-Tech Pipes Ltd"/>
        <s v="TECH MAHINDRA LTD."/>
        <s v="Tanla Platforms Ltd"/>
        <s v="PERSISTENT SYSTEMS LTD."/>
        <s v="Zodiac Energy Ltd"/>
        <s v="Intellect Design Arena Ltd"/>
        <s v="Shriram Properties Ltd"/>
        <s v="SHRI KALYAN HOLDINGS LTD."/>
        <s v="Magellanic Cloud Ltd"/>
        <s v="LTIMindtree Ltd"/>
        <s v="L&amp;T Technology Services Ltd"/>
        <s v="Newgen Software Technologies Ltd"/>
        <s v="HP Adhesives Ltd"/>
        <s v="Supriya Lifescience Ltd"/>
        <s v="Clara Industries Ltd"/>
        <s v="Brandbucket Media &amp; Technology Ltd"/>
        <s v="SICAGEN INDIA LTD."/>
        <s v="Brand Concepts Ltd"/>
        <s v="Fabino Life Sciences Ltd"/>
        <s v="Wonder Electricals Ltd"/>
        <s v="AGS Transact Technologies Ltd"/>
        <s v="Alkosign Ltd"/>
        <s v="KPIT Technologies Ltd"/>
        <s v="Quality RO Industries Ltd"/>
        <s v="Karnimata Cold Storage Ltd"/>
        <s v="Dev Information Technology Ltd"/>
        <s v="Affle (India) Ltd"/>
        <s v="Maruti Interior Products Ltd"/>
        <s v="Softtech Engineers Ltd"/>
        <s v="Ekennis Software Service Ltd"/>
        <s v="Happiest Minds Technologies Ltd"/>
        <s v="Adarsh Mercantile Ltd"/>
        <s v="Latent View Analytics Ltd"/>
        <s v="Bhatia Colour Chem Ltd"/>
        <s v="RateGain Travel Technologies Ltd"/>
        <s v="Achyut Healthcare Ltd"/>
        <s v="Hind Commerce Ltd"/>
        <s v="Avro India Ltd"/>
        <s v="Sirohia &amp; Sons Ltd"/>
        <s v="Veranda Learning Solutions Ltd"/>
        <s v="Mihika Industries Ltd"/>
        <s v="Abhishek Finlease Ltd"/>
        <s v="Hariom Pipe Industries Ltd"/>
        <s v="Eighty Jewellers Ltd"/>
        <s v="Shashwat Furnishing Solutions Ltd"/>
        <s v="Global Longlife Hospital and Research Ltd"/>
        <s v="Fone4 Communications (India) Ltd"/>
        <s v="Nanavati Ventures Ltd"/>
        <s v="C.E. Info Systems Ltd"/>
        <s v="eMudhra Ltd"/>
        <s v="Silver Touch Technologies Ltd"/>
        <s v="Netweb Technologies India Ltd"/>
        <s v="Tata Technologies Ltd"/>
        <s v="Venus Pipes &amp; Tubes Ltd"/>
        <s v="Jayatma Enterprises Ltd"/>
        <s v="ADANI PORTS AND SPECIAL ECONOMIC ZONE LTD."/>
        <s v="Tierra Agrotech Ltd"/>
        <s v="InterGlobe Aviation Ltd"/>
        <s v="JSW Infrastructure Ltd"/>
        <s v="CONTAINER CORPORATION OF INDIA LTD."/>
        <s v="Fraser and Company Ltd"/>
        <s v="Silver Pearl Hospitality &amp; Luxury Spaces Ltd"/>
        <s v="Scarnose International Ltd"/>
        <s v="Goel Food Products Ltd"/>
        <s v="Modis Navnirman Ltd"/>
        <s v="Pearl Green Clubs and Resorts Ltd"/>
        <s v="Sailani Tours N Travels Ltd"/>
        <s v="Kesar India Ltd"/>
        <s v="B-Right Realestate Ltd"/>
        <s v="Jayant Infratech Ltd"/>
        <s v="Veerkrupa Jewellers Ltd"/>
        <s v="Healthy Life Agritec Ltd"/>
        <s v="Ddev Plastiks Industries Ltd"/>
        <s v="GMR Airports Infrastructure Ltd"/>
        <s v="Olatech Solutions Ltd"/>
        <s v="Naturo Indiabull Ltd"/>
        <s v="Rhetan TMT Ltd"/>
        <s v="Integrated Capital Services Ltd"/>
        <s v="Dhampur Bio Organics Ltd"/>
        <s v="Dipna Pharmachem Ltd"/>
        <s v="EP Biocomposites Ltd"/>
        <s v="Delhivery Ltd"/>
        <s v="Virtuoso Optoelectronics Ltd"/>
        <s v="Shantidoot Infra Services Ltd"/>
        <s v="Ksolves India Ltd"/>
        <s v="Harsha Engineers International Ltd"/>
        <s v="Containe Technologies Ltd"/>
        <s v="Mafia Trends Ltd"/>
        <s v="Tips Films Ltd"/>
        <s v="Jyotirgamya Enterprises Ltd"/>
        <s v="Trident Lifeline Ltd"/>
        <s v="Reetech International Cargo and Courier Ltd"/>
        <s v="Swagtam Trading &amp; Services Ltd"/>
        <s v="Concord Control Systems Ltd"/>
        <s v="BLUE DART EXPRESS LTD."/>
        <s v="IGC Industries Ltd"/>
        <s v="Steelman Telecom Ltd"/>
        <s v="Vedant Asset Ltd"/>
        <s v="Maagh Advertising and Marketing Services Ltd"/>
        <s v="Elitecon International Ltd"/>
        <s v="GREAT EASTERN SHIPPING CO.LTD."/>
        <s v="Redington Ltd"/>
        <s v="Dc Infotech and Communication Ltd"/>
        <s v="Pace E-Commerce Ventures Ltd"/>
        <s v="Sharanam Infraproject and Trading Ltd"/>
        <s v="Narmada Agrobase Ltd"/>
        <s v="Infobeans Technologies Ltd"/>
        <s v="Hindprakash Industries Ltd"/>
        <s v="DCX Systems Ltd"/>
        <s v="DAPS Advertising Ltd"/>
        <s v="Fusion Micro Finance Ltd"/>
        <s v="FIRSTSOURCE SOLUTIONS LTD."/>
        <s v="MMTC LTD."/>
        <s v="Technopack Polymers Ltd"/>
        <s v="SHIPPING CORPORATION OF INDIA LTD."/>
        <s v="ECLERX SERVICES LTD."/>
        <s v="GUJARAT PIPAVAV PORT LTD."/>
        <s v="Quess Corp Ltd"/>
        <s v="B&amp;B Triplewall Containers Ltd"/>
        <s v="TVS Supply Chain Solutions Ltd"/>
        <s v="Vinny Overseas Ltd"/>
        <s v="Medico Intercontinental Ltd"/>
        <s v="Ambo Agritec Ltd"/>
        <s v="Sirca Paints India Ltd"/>
        <s v="Dharmaj Crop Guard Ltd"/>
        <s v="Sarveshwar Foods Ltd"/>
        <s v="Uniparts India Ltd"/>
        <s v="PNGS Gargi Fashion Jewellery Ltd"/>
        <s v="Sula Vineyards Ltd"/>
        <s v="Abans Holdings Ltd"/>
        <s v="Sabrimala Industries India Ltd"/>
        <s v="Landmark Cars Ltd"/>
        <s v="Franklin Industries Ltd"/>
        <s v="CMS Info Systems Ltd"/>
        <s v="Elin Electronics Ltd"/>
        <s v="Shashank Traders Ltd"/>
        <s v="Aveer Foods Ltd"/>
        <s v="Sah Polymers Ltd"/>
        <s v="Rex Sealing and Packing Industries Ltd"/>
        <s v="SVS Ventures Ltd"/>
        <s v="Logica Infoway Ltd"/>
        <s v="Kamdhenu Ventures Ltd"/>
        <s v="TRANSPORT CORPORATION OF INDIA LTD."/>
        <s v="Dharni Capital Services Ltd"/>
        <s v="New Light Apparels Ltd"/>
        <s v="Earthstahl &amp; Alloys Ltd"/>
        <s v="Ashika Credit Capital Ltd"/>
        <s v="Bodhi Tree Multimedia Ltd"/>
        <s v="NMDC Steel Ltd"/>
        <s v="Indong Tea Company Ltd"/>
        <s v="Sealmatic India Ltd"/>
        <s v="Macfos Ltd"/>
        <s v="Patron Exim Ltd"/>
        <s v="S. V. J. ENTERPRISES Ltd"/>
        <s v="Amanaya Ventures Ltd"/>
        <s v="Resgen Ltd"/>
        <s v="Shangar Decor Ltd"/>
        <s v="Airan Ltd"/>
        <s v="DIVGI TORQTRANSFER SYSTEMS Ltd"/>
        <s v="Prospect Commodities Ltd"/>
        <s v="Sudarshan Pharma Industries Ltd"/>
        <s v="Global Surfaces Ltd"/>
        <s v="Labelkraft Technologies Ltd"/>
        <s v="Bright Outdoor Media Ltd"/>
        <s v="Command Polymers Ltd"/>
        <s v="Dev Labtech Venture Ltd"/>
        <s v="J.A. Finance Ltd"/>
        <s v="Udayshivakumar Infra Ltd"/>
        <s v="Maiden Forgings Ltd"/>
        <s v="Exhicon Events Media Solutions Ltd"/>
        <s v="Avalon Technologies Ltd"/>
        <s v="Sancode Technologies Ltd"/>
        <s v="BEML Land Assets Ltd"/>
        <s v="Robust Hotels Ltd"/>
        <s v="Retina Paints Ltd"/>
        <s v="SIS Ltd"/>
        <s v="Innokaiz India Ltd"/>
        <s v="Flora Corporation Ltd"/>
        <s v="Atal Realtech Ltd"/>
        <s v="Power and Instrumentation (Gujarat) Ltd"/>
        <s v="Swati Projects Ltd"/>
        <s v="Pavna Industries Ltd"/>
        <s v="Hemant Surgical Industries Ltd"/>
        <s v="Sigma Solve Ltd"/>
        <s v="GHCL Textiles Ltd"/>
        <s v="M. K. Proteins Ltd"/>
        <s v="CFF Fluid Control Ltd"/>
        <s v="Comrade Appliances Ltd"/>
        <s v="IKIO Lighting Ltd"/>
        <s v="Sonalis Consumer Products Ltd"/>
        <s v="Bizotic Commercial Ltd"/>
        <s v="Asian Warehousing Ltd"/>
        <s v="Cosmic CRF Ltd"/>
        <s v="HMA Agro Industries Ltd"/>
        <s v="Uravi T And Wedge Lamps Ltd"/>
        <s v="Veefin Solutions Ltd"/>
        <s v="Ideaforge Technology Ltd"/>
        <s v="NESCO LTD."/>
        <s v="Machhar Industries Ltd"/>
        <s v="MSTC Ltd"/>
        <s v="Alphalogic Industries Ltd"/>
        <s v="Acceleratebs India Ltd"/>
        <s v="Kaka Industries Ltd"/>
        <s v="ALLCARGO LOGISTICS LTD."/>
        <s v="Ahasolar Technologies Ltd"/>
        <s v="Hemisphere Properties India Ltd"/>
        <s v="Asarfi Hospital Ltd"/>
        <s v="VRL Logistics Ltd"/>
        <s v="Yatharth Hospital &amp; Trauma Care Services Ltd"/>
        <s v="Innovatus Entertainment Networks Ltd"/>
        <s v="Gateway Distriparks Ltd"/>
        <s v="Khazanchi Jewellers Ltd"/>
        <s v="Raideep Industries Ltd"/>
        <s v="KCD Industries India Ltd"/>
        <s v="HFCL Ltd"/>
        <s v="VL E-Governance &amp; IT Solutions Ltd"/>
        <s v="TATA COMMUNICATIONS LTD."/>
        <s v="ITI LTD."/>
        <s v="D.P. Wires Ltd"/>
        <s v="Shelter Pharma Ltd"/>
        <s v="Pro Clb Global Ltd"/>
        <s v="Pyramid Technoplast Ltd"/>
        <s v="Shoora Designs Ltd"/>
        <s v="TATA TELESERVICES (MAHARASHTRA) LTD."/>
        <s v="Aeroflex Industries Ltd"/>
        <s v="Vishnu Prakash R Punglia Ltd"/>
        <s v="Shradha AI Technologies Ltd"/>
        <s v="Rishabh Instruments Ltd"/>
        <s v="Ratnaveer Precision Engineering Ltd"/>
        <s v="Kahan Packaging Ltd"/>
        <s v="STERLITE TECHNOLOGIES LTD."/>
        <s v="BHARTI AIRTEL LTD."/>
        <s v="Meson Valves India Ltd"/>
        <s v="EMS Ltd"/>
        <s v="Samhi Hotels Ltd"/>
        <s v="Zaggle Prepaid Ocean Services Ltd"/>
        <s v="South West Pinnacle Exploration Ltd"/>
        <s v="Vodafone Idea Ltd"/>
        <s v="Sai Silks (Kalamandir) Ltd"/>
        <s v="Indus Towers Ltd"/>
        <s v="Chandrima Mercantiles Ltd"/>
        <s v="Yatra Online Ltd"/>
        <s v="ARCL Organics Ltd"/>
        <s v="Jonjua Overseas Ltd"/>
        <s v="Manoj Vaibhav Gems N Jewellers Ltd"/>
        <s v="Gleam Fabmat Ltd"/>
        <s v="Organic Recycling Systems Ltd"/>
        <s v="Valiant Laboratories Ltd"/>
        <s v="City Crops Agro Ltd"/>
        <s v="Sunita Tools Ltd"/>
        <s v="Vivaa Tradecom Ltd"/>
        <s v="Plaza Wires Ltd"/>
        <s v="IRM Energy Ltd"/>
        <s v="Tejas Networks Ltd"/>
        <s v="Route Mobile Ltd"/>
        <s v="Chandni Machines Ltd"/>
        <s v="RailTel Corporation of India Ltd"/>
        <s v="KK Shah Hospitals Ltd"/>
        <s v="Bondada Engineering Ltd"/>
        <s v="Mish Designs Ltd"/>
        <s v="ESAF Small Finance Bank Ltd"/>
        <s v="Protean eGov Technologies Ltd"/>
        <s v="Bharti Hexacom Ltd"/>
        <s v="Kalyani Cast-Tech Ltd"/>
        <s v="Arrowhead Seperation Engineering Ltd"/>
        <s v="CESC LTD."/>
        <s v="Fedbank Financial Services Ltd"/>
        <s v="ION EXCHANGE (INDIA) LTD.-$"/>
        <s v="Gandhar Oil Refinery (India) Ltd"/>
        <s v="Flair Writing Industries Ltd"/>
        <s v="Swashthik Plascon Ltd"/>
        <s v="Deepak Chemtex Ltd"/>
        <s v="Amic Forging Ltd"/>
        <s v="Bajel Projects Ltd"/>
        <s v="RELIANCE INFRASTRUCTURE LTD."/>
        <s v="TATA POWER CO.LTD."/>
        <s v="Nava Ltd"/>
        <s v="Siyaram Recycling Industries Ltd"/>
        <s v="Benchmark Computer Solutions Ltd"/>
        <s v="Motisons Jewellers Ltd"/>
        <s v="Suraj Estate Developers Ltd"/>
        <s v="Muthoot Microfin Ltd"/>
        <s v="Navoday Enterprises Ltd"/>
        <s v="NLC India Ltd"/>
        <s v="Credo Brands Marketing Ltd"/>
        <s v="Shanti Spintex Ltd"/>
        <s v="RBZ Jewellers Ltd"/>
        <s v="PTC INDIA LTD."/>
        <s v="Sundaram-Clayton Ltd"/>
        <s v="Innova Captab Ltd"/>
        <s v="AIK Pipes and Polymers Ltd"/>
        <s v="Manoj Ceramic Ltd"/>
        <s v="Shri Balaji Valve Components Ltd"/>
        <s v="Digidrive Distributors Ltd"/>
        <s v="Sayaji Hotels (Indore) Ltd"/>
        <s v="NTPC LTD."/>
        <s v="New Swan Multitech Ltd"/>
        <s v="Shree Marutinandan Tubes Ltd"/>
        <s v="Medi Assist Healthcare Services Ltd"/>
        <s v="Sayaji Hotels (Pune) Ltd"/>
        <s v="AA Plus Tradelink Ltd"/>
        <s v="Euphoria Infotech (India) Ltd"/>
        <s v="EPACK Durable Ltd"/>
        <s v="Nova Agritech Ltd"/>
        <s v="Brisk Technovision Ltd"/>
        <s v="Harshdeep Hortico Ltd"/>
        <s v="Mayank Cattle Food Ltd"/>
        <s v="BLS E-Services Ltd"/>
        <s v="Gabriel Pet Straps Ltd"/>
        <s v="Apeejay Surrendra Park Hotels Ltd"/>
        <s v="Jasch Gauging Technologies Ltd"/>
        <s v="Signpost India Ltd"/>
        <s v="Jaiprakash Power Ventures Limited"/>
        <s v="Rashi Peripherals Ltd"/>
        <s v="Capital Small Finance Bank Ltd"/>
        <s v="Rudra Gas Enterprise Ltd"/>
        <s v="Entero Healthcare Solutions Ltd"/>
        <s v="Vibhor Steel Tubes Ltd"/>
        <s v="TORRENT POWER LTD."/>
        <s v="GPT Healthcare Ltd"/>
        <s v="POWER GRID CORPORATION OF INDIA LTD."/>
        <s v="Platinum Industries Ltd"/>
        <s v="Mukka Proteins Ltd"/>
        <s v="R K Swamy Ltd"/>
        <s v="J.G.Chemicals Ltd"/>
        <s v="Koura Fine Diamond Jewelry Ltd"/>
        <s v="Gopal Snacks Ltd"/>
        <s v="Pune E - Stock Broking Ltd"/>
        <s v="Shipping Corporation of India Land and Assets Ltd"/>
        <s v="Royal Sense Ltd"/>
        <s v="Popular Vehicles and Services Ltd"/>
        <s v="PlatinumOne Business Services Ltd"/>
        <s v="KP Green Engineering Ltd"/>
        <s v="Chatha Foods Ltd"/>
        <s v="Evoq Remedies Ltd"/>
        <s v="Vruddhi Engineering Works Ltd"/>
        <s v="SRM Contractors Ltd"/>
        <s v="Jay Kailash Namkeen Ltd"/>
        <s v="D.P. Abhushan Ltd"/>
        <s v="RELIANCE POWER LTD."/>
        <s v="Greenhitech Ventures Ltd"/>
        <s v="Faalcon Concepts Ltd"/>
        <s v="Shivam Chemicals Ltd"/>
        <s v="Emmforce Autotech Ltd"/>
        <s v="JNK India Ltd"/>
        <s v="Varyaa Creations Ltd"/>
        <s v="Amkay Products Ltd"/>
        <s v="Sai Swami Metals and Alloys Ltd"/>
        <s v="Storage Technologies and Automation Ltd"/>
        <s v="ADANI POWER LTD."/>
        <s v="Finelistings Technologies Ltd"/>
        <s v="NHPC LTD."/>
        <s v="TGIF Agribusiness Ltd"/>
        <s v="RattanIndia Power Limited"/>
        <s v="Aztec Fluids &amp; Machinery Ltd"/>
        <s v="Piotex Industries Ltd"/>
        <s v="JSW Energy Ltd"/>
        <s v="Qualitek Labs Ltd"/>
        <s v="Associated Coaters Ltd"/>
        <s v="Borosil Scientific Ltd"/>
        <s v="Adtech Systems Ltd"/>
        <s v="Forbes Precision Tools and Machine Parts Ltd"/>
        <s v="Kronox Lab Sciences Ltd"/>
        <s v="Magenta Lifecare Ltd"/>
        <s v="Sattrix Information Security Ltd"/>
        <s v="3C IT Solutions and Telecoms (India) Ltd"/>
        <s v="Purple Finance Ltd"/>
        <s v="Le Travenues Technology Ltd"/>
        <s v="United Cotfab Ltd"/>
        <s v="JHS Svendgaard Retail Ventures Ltd"/>
        <s v="Dee Development Engineers Ltd"/>
        <s v="GEM Enviro Management Ltd"/>
        <s v="Akme Fintrade (India) Ltd"/>
        <s v="Dindigul Farm Product Ltd"/>
        <s v="ICICI Prudential S&amp;P BSE Sensex ETF"/>
        <s v="SJVN Ltd"/>
        <s v="Future Enterprises Ltd_DVR"/>
        <s v="VA TECH WABAG LTD."/>
        <s v="Waaree Renewable Technologies Ltd"/>
        <s v="TIDE WATER OIL (INDIA) LTD."/>
        <s v="AMRUTANJAN HEALTH CARE LTD.-$"/>
        <s v="XPRO INDIA LTD."/>
        <s v="HISAR METAL INDUSTRIES LTD.-$"/>
        <s v="BHARAT RASAYAN LTD."/>
        <s v="Adani Energy Solutions Ltd"/>
        <s v="GINNI FILAMENTS LTD."/>
        <s v="SOUTHERN PETROCHEMICALS LTD."/>
        <s v="DE NORA INDIA LTD."/>
        <s v="KAVVERI TELECOM PRODUCTS LTD.-$"/>
        <s v="SAKSOFT LTD."/>
        <s v="SALONA COTSPIN LTD."/>
        <s v="Equippp Social Impact Technologies Ltd"/>
        <s v="ANDHRA SUGARS LTD."/>
        <s v="INDIA MOTOR PARTS &amp; ACCESSORIES LTD."/>
        <s v="K.C.P.LTD."/>
        <s v="KHAITAN (INDIA) LTD."/>
        <s v="RADAAN MEDIAWORKS (I) LTD."/>
        <s v="Adani Green Energy Ltd"/>
        <s v="SUNDARAM BRAKE LININGS LTD."/>
        <s v="WHEELS INDIA LTD."/>
        <s v="LAMBODHARA TEXTILES LTD.-$"/>
        <s v="MAITHAN ALLOYS LTD."/>
        <s v="ORISSA MINERALS DEVELOPMENT COMPANY LTD."/>
        <s v="Nippon India ETF Nifty 50 BeES"/>
        <s v="Nippon India ETF Nifty Next 50 Junior BeES"/>
        <s v="Nippon India ETF Nifty Bank BeES"/>
        <s v="Kotak Nifty PSU Bank ETF"/>
        <s v="Nippon India ETF Nifty PSU Bank BeES"/>
        <s v="Nippon India ETF Nifty 50 Shariah BeES"/>
        <s v="Quantum Nifty 50 ETF"/>
        <s v="Motilal Oswal MOSt Shares M50 ETF"/>
        <s v="Madras Fertilizers Ltd"/>
        <s v="KPI Green Energy Ltd"/>
        <s v="Bombay Super Hyb"/>
        <s v="GMR Power and Urban Infra Ltd"/>
        <s v="IRB Infra. Trust"/>
        <s v="Jash Engineering"/>
        <s v="M B Agro Prod."/>
        <s v="NDR INVIT Trust"/>
        <s v="Oriana Power Ltd"/>
        <s v="Insolation Energy Ltd"/>
        <s v="Spectrum Electr."/>
        <s v="Inox Green Energy Services Ltd"/>
        <s v="Thejo Engg."/>
        <s v="Vertoz Advertis."/>
      </sharedItems>
    </cacheField>
    <cacheField name="Status" numFmtId="0">
      <sharedItems>
        <s v="Active"/>
      </sharedItems>
    </cacheField>
    <cacheField name="Group" numFmtId="0">
      <sharedItems containsBlank="1">
        <s v="A"/>
        <s v="X"/>
        <s v="Z"/>
        <s v="XT"/>
        <s v="T"/>
        <s v="B"/>
        <s v="P"/>
        <s v="ZP"/>
        <s v="M"/>
        <m/>
        <s v="MT"/>
      </sharedItems>
    </cacheField>
    <cacheField name="Face Value" numFmtId="0">
      <sharedItems containsString="0" containsBlank="1" containsNumber="1">
        <n v="10.0"/>
        <n v="5.0"/>
        <n v="2.0"/>
        <n v="1.0"/>
        <n v="6.0"/>
        <n v="4.0"/>
        <n v="1000.0"/>
        <n v="100.0"/>
        <n v="50.0"/>
        <n v="3.0"/>
        <n v="25.0"/>
        <m/>
        <n v="2.5"/>
        <n v="8.0"/>
        <n v="1.25"/>
        <n v="7.0"/>
      </sharedItems>
    </cacheField>
    <cacheField name="ISIN No" numFmtId="0">
      <sharedItems>
        <s v="INE100A01010"/>
        <s v="INE055A01016"/>
        <s v="INE373A01013"/>
        <s v="INE432A01017"/>
        <s v="INE714B01016"/>
        <s v="INE436A01026"/>
        <s v="INE096A01010"/>
        <s v="INE957C01019"/>
        <s v="INE032A01023"/>
        <s v="INE363A01022"/>
        <s v="INE085A01013"/>
        <s v="INE447A01015"/>
        <s v="INE114A01011"/>
        <s v="INE280B01018"/>
        <s v="INE126A01031"/>
        <s v="INE539A01019"/>
        <s v="INE019C01026"/>
        <s v="INE213C01025"/>
        <s v="INE267A01025"/>
        <s v="INE459A01010"/>
        <s v="INE019A01038"/>
        <s v="INE884B01025"/>
        <s v="INE331A01037"/>
        <s v="INE205A01025"/>
        <s v="INE922A01025"/>
        <s v="INE819C01011"/>
        <s v="INE071A01013"/>
        <s v="INE800A01015"/>
        <s v="INE047A01021"/>
        <s v="INE131C01011"/>
        <s v="INE418C01012"/>
        <s v="INE110A01019"/>
        <s v="INE959C01023"/>
        <s v="INE281A01026"/>
        <s v="INE318A01026"/>
        <s v="INE340A01012"/>
        <s v="INE010A01011"/>
        <s v="INE855B01025"/>
        <s v="INE303A01010"/>
        <s v="INE613A01020"/>
        <s v="INE786A01032"/>
        <s v="INE070A01015"/>
        <s v="INE495A01022"/>
        <s v="INE663A01033"/>
        <s v="INE012A01025"/>
        <s v="INE079A01024"/>
        <s v="INE038A01020"/>
        <s v="INE153A01019"/>
        <s v="INE081A01020"/>
        <s v="INE501A01019"/>
        <s v="INE113A01013"/>
        <s v="INE026A01025"/>
        <s v="INE092A01019"/>
        <s v="INE087A01019"/>
        <s v="INE500A01029"/>
        <s v="INE041A01016"/>
        <s v="INE591D01014"/>
        <s v="INE647A01010"/>
        <s v="INE385C01021"/>
        <s v="INE462A01022"/>
        <s v="INE169A01031"/>
        <s v="INE288B01029"/>
        <s v="INE602A01031"/>
        <s v="INE659A01023"/>
        <s v="INE778B01029"/>
        <s v="INE512A01016"/>
        <s v="INE160F01013"/>
        <s v="INE150B01039"/>
        <s v="INE515A01019"/>
        <s v="INE516A01017"/>
        <s v="INE519A01011"/>
        <s v="INE973A01010"/>
        <s v="INE388A01029"/>
        <s v="INE435G01025"/>
        <s v="INE043A01012"/>
        <s v="INE628A01036"/>
        <s v="INE281B01032"/>
        <s v="INE423A01024"/>
        <s v="INE300A01016"/>
        <s v="INE533A01012"/>
        <s v="INE537A01013"/>
        <s v="INE531E01026"/>
        <s v="INE538A01037"/>
        <s v="INE540A01017"/>
        <s v="INE236A01020"/>
        <s v="INE473A01011"/>
        <s v="INE870D01012"/>
        <s v="INE603J01030"/>
        <s v="INE410B01037"/>
        <s v="INE769A01020"/>
        <s v="INE345A01011"/>
        <s v="INE415A01038"/>
        <s v="INE027A01015"/>
        <s v="INE353A01023"/>
        <s v="INE584A01023"/>
        <s v="INE962B01011"/>
        <s v="INE102A01024"/>
        <s v="INE204A01010"/>
        <s v="INE560A01015"/>
        <s v="INE333C01013"/>
        <s v="INE680B01019"/>
        <s v="INE156A01020"/>
        <s v="INE186A01019"/>
        <s v="INE383A01012"/>
        <s v="INE262B01016"/>
        <s v="INE959A01019"/>
        <s v="INE209A01019"/>
        <s v="INE175A01038"/>
        <s v="INE711C01028"/>
        <s v="INE197D01010"/>
        <s v="INE050E01027"/>
        <s v="INE864B01027"/>
        <s v="INE789E01012"/>
        <s v="INE437B01014"/>
        <s v="INE907A01026"/>
        <s v="INE131A01031"/>
        <s v="INE139A01034"/>
        <s v="INE104A01012"/>
        <s v="INE266B01017"/>
        <s v="INE749A01030"/>
        <s v="INE048G01026"/>
        <s v="INE220G01021"/>
        <s v="INE601C01013"/>
        <s v="INE481G01011"/>
        <s v="INE073A01019"/>
        <s v="INE823G01014"/>
        <s v="INE337A01034"/>
        <s v="INE343H01029"/>
        <s v="INE091G01018"/>
        <s v="INE024L01027"/>
        <s v="INE490G01020"/>
        <s v="INE933A01014"/>
        <s v="INE876N01018"/>
        <s v="INE965B01022"/>
        <s v="INE270B01035"/>
        <s v="INE460H01021"/>
        <s v="INE880L01014"/>
        <s v="INE600K01018"/>
        <s v="INE201A01024"/>
        <s v="INE461A01024"/>
        <s v="INE686Y01026"/>
        <s v="INE401C01018"/>
        <s v="INE831A01028"/>
        <s v="INE485A01015"/>
        <s v="INE794W01014"/>
        <s v="INE846D01012"/>
        <s v="INE00R701025"/>
        <s v="INE083A01026"/>
        <s v="INE09N301011"/>
        <s v="INE578A01017"/>
        <s v="INE258G01013"/>
        <s v="INE0BY001018"/>
        <s v="INE290A01027"/>
        <s v="INE585A01020"/>
        <s v="INE930P01018"/>
        <s v="INE576O01020"/>
        <s v="INE161A01038"/>
        <s v="INE903A01025"/>
        <s v="INE227W01023"/>
        <s v="INE071N01016"/>
        <s v="INE591A01010"/>
        <s v="INE750A01020"/>
        <s v="INE118D01016"/>
        <s v="INE557C01017"/>
        <s v="INE167E01037"/>
        <s v="INE488A01050"/>
        <s v="INE600A01035"/>
        <s v="INE088F01024"/>
        <s v="INE0BWX01014"/>
        <s v="INE751B01018"/>
        <s v="INE128X01021"/>
        <s v="INE188A01015"/>
        <s v="INE032B01021"/>
        <s v="INE885A01032"/>
        <s v="INE193E01025"/>
        <s v="INE024D01016"/>
        <s v="INE606A01024"/>
        <s v="INE609A01010"/>
        <s v="INE611A01016"/>
        <s v="INE562B01019"/>
        <s v="INE451A01017"/>
        <s v="INE278B01020"/>
        <s v="INE425E01013"/>
        <s v="INE350D01015"/>
        <s v="INE731F01037"/>
        <s v="INE642C01025"/>
        <s v="INE176A01028"/>
        <s v="INE472A01039"/>
        <s v="INE302A01020"/>
        <s v="INE034A01011"/>
        <s v="INE280A01028"/>
        <s v="INE970C01012"/>
        <s v="INE531A01024"/>
        <s v="INE158A01026"/>
        <s v="INE937A01023"/>
        <s v="INE217B01036"/>
        <s v="INE947A01014"/>
        <s v="INE716A01013"/>
        <s v="INE277A01016"/>
        <s v="INE849A01020"/>
        <s v="INE883A01011"/>
        <s v="INE301A01014"/>
        <s v="INE338A01024"/>
        <s v="INE387A01021"/>
        <s v="INE064A01026"/>
        <s v="INE932C01012"/>
        <s v="INE332A01027"/>
        <s v="INE578C01021"/>
        <s v="INE019B01010"/>
        <s v="INE465A01025"/>
        <s v="INE184E01024"/>
        <s v="INE037A01022"/>
        <s v="INE701A01023"/>
        <s v="INE101A01026"/>
        <s v="INE976A01021"/>
        <s v="INE048A01011"/>
        <s v="INE844C01027"/>
        <s v="INE818B01023"/>
        <s v="INE601A01017"/>
        <s v="INE323A01026"/>
        <s v="INE304A01026"/>
        <s v="INE155A01022"/>
        <s v="INE139B01016"/>
        <s v="INE544A01019"/>
        <s v="INE226A01021"/>
        <s v="INE133A01011"/>
        <s v="INE021A01026"/>
        <s v="INE230A01023"/>
        <s v="INE053A01029"/>
        <s v="INE438A01022"/>
        <s v="INE482A01020"/>
        <s v="INE787D01026"/>
        <s v="INE825A01020"/>
        <s v="INE211B01039"/>
        <s v="INE253A01025"/>
        <s v="INE166R01015"/>
        <s v="INE066A01021"/>
        <s v="INE688D01026"/>
        <s v="INE342A01018"/>
        <s v="INE274F01020"/>
        <s v="INE256A01028"/>
        <s v="INE524A01029"/>
        <s v="INE559A01017"/>
        <s v="INE513A01022"/>
        <s v="INE054A01027"/>
        <s v="INE369A01029"/>
        <s v="INE463A01038"/>
        <s v="INE276A01018"/>
        <s v="INE805D01034"/>
        <s v="INE234A01025"/>
        <s v="INE192B01031"/>
        <s v="INE439A01020"/>
        <s v="INE242C01024"/>
        <s v="INE292B01021"/>
        <s v="INE775A01035"/>
        <s v="INE163A01018"/>
        <s v="INE176B01034"/>
        <s v="INE148A01019"/>
        <s v="INE217A01012"/>
        <s v="INE225D01027"/>
        <s v="INE690A01028"/>
        <s v="INE643A01035"/>
        <s v="INE483B01026"/>
        <s v="INE064C01022"/>
        <s v="INE270A01029"/>
        <s v="INE429E01023"/>
        <s v="INE782A01015"/>
        <s v="INE460C01014"/>
        <s v="INE573A01042"/>
        <s v="INE131B01039"/>
        <s v="INE832A01018"/>
        <s v="INE343B01030"/>
        <s v="INE371U01015"/>
        <s v="INE247D01039"/>
        <s v="INE884A01027"/>
        <s v="INE422D01012"/>
        <s v="INE660C01027"/>
        <s v="INE911B01018"/>
        <s v="INE979A01025"/>
        <s v="INE825M01017"/>
        <s v="INE886A01014"/>
        <s v="INE620D01011"/>
        <s v="INE353K01014"/>
        <s v="INE998D01011"/>
        <s v="INE813A01018"/>
        <s v="INE494B01023"/>
        <s v="INE716B01029"/>
        <s v="INE260D01016"/>
        <s v="INE094R01019"/>
        <s v="INE855A01019"/>
        <s v="INE314H01012"/>
        <s v="INE151G01028"/>
        <s v="INE739E01017"/>
        <s v="INE585B01010"/>
        <s v="INE224A01026"/>
        <s v="INE399C01030"/>
        <s v="INE399G01023"/>
        <s v="INE405E01023"/>
        <s v="INE134R01013"/>
        <s v="INE131H01028"/>
        <s v="INE377E01016"/>
        <s v="INE348B01021"/>
        <s v="INE927D01044"/>
        <s v="INE443A01030"/>
        <s v="INE229C01021"/>
        <s v="INE07BK01011"/>
        <s v="INE583C01021"/>
        <s v="INE347A01017"/>
        <s v="INE732C01016"/>
        <s v="INE626A01014"/>
        <s v="INE232A01011"/>
        <s v="INE887G01027"/>
        <s v="INE347D01011"/>
        <s v="INE094C01011"/>
        <s v="INE416N01013"/>
        <s v="INE435A01028"/>
        <s v="INE498B01024"/>
        <s v="INE592A01026"/>
        <s v="INE906D01014"/>
        <s v="INE927A01040"/>
        <s v="INE630A01024"/>
        <s v="INE777A01023"/>
        <s v="INE464D01014"/>
        <s v="INE498A01018"/>
        <s v="INE837X01027"/>
        <s v="INE518A01013"/>
        <s v="INE950C01014"/>
        <s v="INE706D01018"/>
        <s v="INE462D01026"/>
        <s v="INE498G01015"/>
        <s v="INE191H01014"/>
        <s v="INE938C01019"/>
        <s v="INE424H01027"/>
        <s v="INE138A01028"/>
        <s v="INE909B01020"/>
        <s v="INE536H01010"/>
        <s v="INE182D01020"/>
        <s v="INE491N01016"/>
        <s v="INE750D01016"/>
        <s v="INE301D01026"/>
        <s v="INE167H01014"/>
        <s v="INE663F01024"/>
        <s v="INE203D01016"/>
        <s v="INE404N01019"/>
        <s v="INE406N01014"/>
        <s v="INE733N01011"/>
        <s v="INE315N01017"/>
        <s v="INE671H01015"/>
        <s v="INE870H01013"/>
        <s v="INE255E01030"/>
        <s v="INE886H01027"/>
        <s v="INE026L01022"/>
        <s v="INE761H01022"/>
        <s v="INE130N01010"/>
        <s v="INE985S01024"/>
        <s v="INE927X01018"/>
        <s v="INE828I01019"/>
        <s v="INE586V01016"/>
        <s v="INE285B01017"/>
        <s v="INE629D01020"/>
        <s v="INE170I01016"/>
        <s v="INE170C01019"/>
        <s v="INE204C01024"/>
        <s v="INE069I01010"/>
        <s v="INE076B01028"/>
        <s v="INE243N01029"/>
        <s v="INE796C01011"/>
        <s v="INE07MC01015"/>
        <s v="INE271C01023"/>
        <s v="INE579B01039"/>
        <s v="INE064H01021"/>
        <s v="INE835D01023"/>
        <s v="INE567A01028"/>
        <s v="INE930H01031"/>
        <s v="INE511D01012"/>
        <s v="INE581L01018"/>
        <s v="INE813G01015"/>
        <s v="INE716F01012"/>
        <s v="INE795A01017"/>
        <s v="INE045B01015"/>
        <s v="INE418E01018"/>
        <s v="INE783E01023"/>
        <s v="INE502C01039"/>
        <s v="INE279A01012"/>
        <s v="INE100D01014"/>
        <s v="INE872E01016"/>
        <s v="INE284C01018"/>
        <s v="INE064R01012"/>
        <s v="INE393A01011"/>
        <s v="INE180M01033"/>
        <s v="INE206N01018"/>
        <s v="INE713N01013"/>
        <s v="INE507F01023"/>
        <s v="INE910A01012"/>
        <s v="INE07LK01010"/>
        <s v="INE766P01016"/>
        <s v="INE459E01012"/>
        <s v="INE108V01019"/>
        <s v="INE506A01018"/>
        <s v="INE537L01010"/>
        <s v="INE243D01012"/>
        <s v="INE361D01012"/>
        <s v="INE323I01011"/>
        <s v="INE106G01014"/>
        <s v="INE089T01023"/>
        <s v="INE566M01017"/>
        <s v="INE323C01030"/>
        <s v="INE155E01016"/>
        <s v="INE379J01029"/>
        <s v="INE375D01012"/>
        <s v="INE569C01020"/>
        <s v="INE791I01019"/>
        <s v="INE336C01016"/>
        <s v="INE340F01011"/>
        <s v="INE951I01027"/>
        <s v="INE755D01015"/>
        <s v="INE895C01011"/>
        <s v="INE917I01010"/>
        <s v="INE380G01015"/>
        <s v="INE187U01015"/>
        <s v="INE449A01011"/>
        <s v="INE0NY101012"/>
        <s v="INE451C01013"/>
        <s v="INE878E01021"/>
        <s v="INE461Y01016"/>
        <s v="INE187D01029"/>
        <s v="INE116C01012"/>
        <s v="INE294B01019"/>
        <s v="INE806C01018"/>
        <s v="INE342J01019"/>
        <s v="INE280F01019"/>
        <s v="INE782D01027"/>
        <s v="INE232E01013"/>
        <s v="INE221B01012"/>
        <s v="INE631D01026"/>
        <s v="INE998I01010"/>
        <s v="INE811A01020"/>
        <s v="INE637D01015"/>
        <s v="INE731D01024"/>
        <s v="INE718M01022"/>
        <s v="INE867A01022"/>
        <s v="INE098E01018"/>
        <s v="INE497B01018"/>
        <s v="INE179O01031"/>
        <s v="INE984B01023"/>
        <s v="INE617A01013"/>
        <s v="INE0JS101016"/>
        <s v="INE274C01019"/>
        <s v="INE953M01033"/>
        <s v="INE809Q01012"/>
        <s v="INE484J01027"/>
        <s v="INE203N01015"/>
        <s v="INE425Y01011"/>
        <s v="INE851I01011"/>
        <s v="INE966A01022"/>
        <s v="INE950I01011"/>
        <s v="INE797F01020"/>
        <s v="INE046A01015"/>
        <s v="INE308E01029"/>
        <s v="INE435C01024"/>
        <s v="INE178E01026"/>
        <s v="INE469A01019"/>
        <s v="INE614R01014"/>
        <s v="INE561C01019"/>
        <s v="INE856A01017"/>
        <s v="INE501N01020"/>
        <s v="INE879I01012"/>
        <s v="INE498D01012"/>
        <s v="INE266D01021"/>
        <s v="INE705G01021"/>
        <s v="INE093I01010"/>
        <s v="INE688E01024"/>
        <s v="INE598D01027"/>
        <s v="INE811K01011"/>
        <s v="INE638A01035"/>
        <s v="INE403C01014"/>
        <s v="INE529A01010"/>
        <s v="INE636D01033"/>
        <s v="INE457L01011"/>
        <s v="INE860N01012"/>
        <s v="INE384A01010"/>
        <s v="INE775R01013"/>
        <s v="INE568F01017"/>
        <s v="INE058D01030"/>
        <s v="INE545L01039"/>
        <s v="INE391D01019"/>
        <s v="INE765D01014"/>
        <s v="INE834M01019"/>
        <s v="INE724D01011"/>
        <s v="INE440G01017"/>
        <s v="INE618D01015"/>
        <s v="INE603A01013"/>
        <s v="INE219D01012"/>
        <s v="INE821R01015"/>
        <s v="INE278M01019"/>
        <s v="INE665J01013"/>
        <s v="INE651C01018"/>
        <s v="INE441L01015"/>
        <s v="INE727B01026"/>
        <s v="INE835G01018"/>
        <s v="INE820M01018"/>
        <s v="INE383L01019"/>
        <s v="INE512D01028"/>
        <s v="INE370E01029"/>
        <s v="INE073I01012"/>
        <s v="INE122V01010"/>
        <s v="INE070K01014"/>
        <s v="INE401Z01019"/>
        <s v="INE668L01013"/>
        <s v="INE879E01037"/>
        <s v="INE403B01016"/>
        <s v="INE868X01014"/>
        <s v="INE643K01018"/>
        <s v="INE689M01025"/>
        <s v="INE416D01022"/>
        <s v="INE189B01011"/>
        <s v="INE426A01027"/>
        <s v="INE275D01022"/>
        <s v="INE489G01022"/>
        <s v="INE737D01021"/>
        <s v="INE597I01028"/>
        <s v="INE320M01019"/>
        <s v="INE492A01029"/>
        <s v="INE599M01018"/>
        <s v="INE647O01011"/>
        <s v="INE505A01010"/>
        <s v="INE225B01021"/>
        <s v="INE077F01035"/>
        <s v="INE693E01016"/>
        <s v="INE138C01024"/>
        <s v="INE881E01017"/>
        <s v="INE0CJD01011"/>
        <s v="INE265B01019"/>
        <s v="INE468C01017"/>
        <s v="INE321D01016"/>
        <s v="INE066O01014"/>
        <s v="INE841D01013"/>
        <s v="INE752B01024"/>
        <s v="INE277B01014"/>
        <s v="INE218N01021"/>
        <s v="INE888C01040"/>
        <s v="INE111Q01021"/>
        <s v="INE014B01011"/>
        <s v="INE405A01021"/>
        <s v="INE687A01016"/>
        <s v="INE351A01035"/>
        <s v="INE741A01011"/>
        <s v="INE842C01021"/>
        <s v="INE400A01014"/>
        <s v="INE544R01021"/>
        <s v="INE607A01022"/>
        <s v="INE639B01015"/>
        <s v="INE636P01011"/>
        <s v="INE942C01045"/>
        <s v="INE734N01019"/>
        <s v="INE987A01010"/>
        <s v="INE423K01015"/>
        <s v="INE299U01018"/>
        <s v="INE684U01011"/>
        <s v="INE374C01017"/>
        <s v="INE046E01025"/>
        <s v="INE472D01017"/>
        <s v="INE574A01016"/>
        <s v="INE133B01019"/>
        <s v="INE133E01013"/>
        <s v="INE044N01021"/>
        <s v="INE615A01025"/>
        <s v="INE623A01011"/>
        <s v="INE711A01022"/>
        <s v="INE076C01018"/>
        <s v="INE991B01010"/>
        <s v="INE470N01010"/>
        <s v="INE075D01018"/>
        <s v="INE625B01014"/>
        <s v="INE544C01023"/>
        <s v="INE480C01038"/>
        <s v="INE557D01015"/>
        <s v="INE073G01016"/>
        <s v="INE152B01027"/>
        <s v="INE495D01018"/>
        <s v="INE976E01023"/>
        <s v="INE043C01018"/>
        <s v="INE014E01015"/>
        <s v="INE286E01019"/>
        <s v="INE588G01013"/>
        <s v="INE339F01021"/>
        <s v="INE131O01024"/>
        <s v="INE153T01027"/>
        <s v="INE247F01018"/>
        <s v="INE913H01037"/>
        <s v="INE910C01018"/>
        <s v="INE284B01028"/>
        <s v="INE891G01011"/>
        <s v="INE694E01014"/>
        <s v="INE123C01018"/>
        <s v="INE048B01027"/>
        <s v="INE745B01028"/>
        <s v="INE357P01014"/>
        <s v="INE296D01010"/>
        <s v="INE916U01025"/>
        <s v="INE469D01013"/>
        <s v="INE880B01015"/>
        <s v="INE607B01012"/>
        <s v="INE435D01014"/>
        <s v="INE757C01021"/>
        <s v="INE746D01014"/>
        <s v="INE372I01018"/>
        <s v="INE694A01020"/>
        <s v="INE679V01019"/>
        <s v="INE296C01020"/>
        <s v="INE724A01017"/>
        <s v="INE798E01013"/>
        <s v="INE704G01024"/>
        <s v="INE845A01010"/>
        <s v="INE130F01016"/>
        <s v="INE02BV01019"/>
        <s v="INE621C01011"/>
        <s v="INE455H01013"/>
        <s v="INE651D01016"/>
        <s v="INE143I01013"/>
        <s v="INE726D01016"/>
        <s v="INE990E01016"/>
        <s v="INE657D01021"/>
        <s v="INE489D01011"/>
        <s v="INE979B01015"/>
        <s v="INE712A01012"/>
        <s v="INE788M01017"/>
        <s v="INE553F01035"/>
        <s v="INE605D01012"/>
        <s v="INE684B01029"/>
        <s v="INE757A01017"/>
        <s v="INE726V01018"/>
        <s v="INE861H01020"/>
        <s v="INE641A01013"/>
        <s v="INE295A01018"/>
        <s v="INE791H01011"/>
        <s v="INE331L01026"/>
        <s v="INE193B01039"/>
        <s v="INE013E01017"/>
        <s v="INE734I01027"/>
        <s v="INE549B01016"/>
        <s v="INE753D01010"/>
        <s v="INE668Y01016"/>
        <s v="INE673M01029"/>
        <s v="INE887D01016"/>
        <s v="INE060A01024"/>
        <s v="INE511J01027"/>
        <s v="INE086E01021"/>
        <s v="INE0NN701020"/>
        <s v="INE218C01016"/>
        <s v="INE190F01028"/>
        <s v="INE359U01028"/>
        <s v="INE117F01013"/>
        <s v="INE763D01019"/>
        <s v="INE040F01033"/>
        <s v="INE0QN801017"/>
        <s v="INE572G01025"/>
        <s v="INE300B01022"/>
        <s v="INE521L01030"/>
        <s v="INE392A01021"/>
        <s v="INE525B01016"/>
        <s v="INE742B01025"/>
        <s v="INE0O3901029"/>
        <s v="INE137I01015"/>
        <s v="INE802D01023"/>
        <s v="INE159E01026"/>
        <s v="INE075B01020"/>
        <s v="INE421C01016"/>
        <s v="INE367E01033"/>
        <s v="INE664D01019"/>
        <s v="INE026I01010"/>
        <s v="INE01TL01014"/>
        <s v="INE190H01024"/>
        <s v="INE192R01011"/>
        <s v="INE479A01018"/>
        <s v="INE935N01020"/>
        <s v="INE974X01010"/>
        <s v="INE515H01014"/>
        <s v="INE214F01026"/>
        <s v="INE371P01015"/>
        <s v="INE925D01014"/>
        <s v="INE426D01013"/>
        <s v="INE722D01015"/>
        <s v="INE970X01018"/>
        <s v="INE310C01029"/>
        <s v="INE083O01019"/>
        <s v="INE557A01011"/>
        <s v="INE061A01014"/>
        <s v="INE575C01027"/>
        <s v="INE364A01020"/>
        <s v="INE972A01020"/>
        <s v="INE370A01019"/>
        <s v="INE655A01013"/>
        <s v="INE275B01026"/>
        <s v="INE940N01012"/>
        <s v="INE712Z01019"/>
        <s v="INE02C301011"/>
        <s v="INE849C01026"/>
        <s v="INE896E01023"/>
        <s v="INE832D01020"/>
        <s v="INE532U01012"/>
        <s v="INE122M01019"/>
        <s v="INE142Z01019"/>
        <s v="INE077P01034"/>
        <s v="INE726E01014"/>
        <s v="INE665L01035"/>
        <s v="INE804A01025"/>
        <s v="INE856D01011"/>
        <s v="INE457N01025"/>
        <s v="INE946K01023"/>
        <s v="INE161L01027"/>
        <s v="INE742C01031"/>
        <s v="INE0HMF01019"/>
        <s v="INE0CPR01018"/>
        <s v="INE302E01014"/>
        <s v="INE407F01018"/>
        <s v="INE065D01027"/>
        <s v="INE047E01031"/>
        <s v="INE747V01014"/>
        <s v="INE705C01020"/>
        <s v="INE848D01018"/>
        <s v="INE527B01020"/>
        <s v="INE609B01018"/>
        <s v="INE344D01018"/>
        <s v="INE549D01012"/>
        <s v="INE096I01021"/>
        <s v="INE635I01018"/>
        <s v="INE524T01011"/>
        <s v="INE997D01021"/>
        <s v="INE855R01021"/>
        <s v="INE427F01016"/>
        <s v="INE910G01027"/>
        <s v="INE050B01023"/>
        <s v="INE955V01021"/>
        <s v="INE933S01016"/>
        <s v="INE910D01024"/>
        <s v="INE771Z01015"/>
        <s v="INE088P01015"/>
        <s v="INE709A01018"/>
        <s v="INE429D01017"/>
        <s v="INE556D01017"/>
        <s v="INE240B01012"/>
        <s v="INE661M01016"/>
        <s v="INE410E01015"/>
        <s v="INE472C01027"/>
        <s v="INE559D01011"/>
        <s v="INE051B01021"/>
        <s v="INE034B01019"/>
        <s v="INE706F01021"/>
        <s v="INE899D01011"/>
        <s v="INE191N01012"/>
        <s v="INE841B01017"/>
        <s v="INE488C01015"/>
        <s v="INE900A01013"/>
        <s v="INE707C01018"/>
        <s v="INE697C01011"/>
        <s v="INE380K01017"/>
        <s v="INE882C01035"/>
        <s v="INE376A01032"/>
        <s v="INE135C01012"/>
        <s v="INE026C01013"/>
        <s v="INE777C01011"/>
        <s v="INE367A01015"/>
        <s v="INE903D01011"/>
        <s v="INE498Q01014"/>
        <s v="INE289C01025"/>
        <s v="INE01EG01016"/>
        <s v="INE754C01010"/>
        <s v="INE757B01015"/>
        <s v="INE323B01024"/>
        <s v="INE212B01011"/>
        <s v="INE202H01019"/>
        <s v="INE420B01036"/>
        <s v="INE569B01022"/>
        <s v="INE891B01012"/>
        <s v="INE229D01011"/>
        <s v="INE417D01012"/>
        <s v="INE699B01027"/>
        <s v="INE919M01026"/>
        <s v="INE113B01029"/>
        <s v="INE309D01011"/>
        <s v="INE027D01019"/>
        <s v="INE443D01018"/>
        <s v="INE099G01011"/>
        <s v="INE289B01019"/>
        <s v="INE963B01019"/>
        <s v="INE759C01019"/>
        <s v="INE953B01010"/>
        <s v="INE625D01028"/>
        <s v="INE290E01011"/>
        <s v="INE717D01023"/>
        <s v="INE452B01013"/>
        <s v="INE875B01015"/>
        <s v="INE020D01022"/>
        <s v="INE946H01037"/>
        <s v="INE006C01015"/>
        <s v="INE527C01010"/>
        <s v="INE241B01010"/>
        <s v="INE239B01014"/>
        <s v="INE583D01011"/>
        <s v="INE861D01011"/>
        <s v="INE195I01013"/>
        <s v="INE094E01017"/>
        <s v="INE518D01025"/>
        <s v="INE819K01014"/>
        <s v="INE296G01013"/>
        <s v="INE677D01029"/>
        <s v="INE549S01036"/>
        <s v="INE886D01026"/>
        <s v="INE680Z01018"/>
        <s v="INE135H01029"/>
        <s v="INE967G01019"/>
        <s v="INE837E01019"/>
        <s v="INE034D01049"/>
        <s v="INE142A01012"/>
        <s v="INE393H01016"/>
        <s v="INE914E01040"/>
        <s v="INE510H01015"/>
        <s v="INE195E01020"/>
        <s v="INE802G01018"/>
        <s v="INE249D01019"/>
        <s v="INE823A01017"/>
        <s v="INE906O01029"/>
        <s v="INE738D01011"/>
        <s v="INE945F01025"/>
        <s v="INE335Y01020"/>
        <s v="INE425H01016"/>
        <s v="INE234B01023"/>
        <s v="INE201B01022"/>
        <s v="INE750G01019"/>
        <s v="INE331E01013"/>
        <s v="INE276H01013"/>
        <s v="INE717F01028"/>
        <s v="INE285H01022"/>
        <s v="INE0B1K01014"/>
        <s v="INE956V01011"/>
        <s v="INE758A01072"/>
        <s v="INE0MQD01015"/>
        <s v="INE01BL01012"/>
        <s v="INE650K01021"/>
        <s v="INE365O01010"/>
        <s v="INE685D01022"/>
        <s v="INE0EK901012"/>
        <s v="INE689O01013"/>
        <s v="INE0GIU01018"/>
        <s v="INE730E01016"/>
        <s v="INE177E01010"/>
        <s v="INE792H01019"/>
        <s v="INE09VQ01012"/>
        <s v="INE413B01023"/>
        <s v="INE894A01026"/>
        <s v="INE895A01023"/>
        <s v="INE700F01024"/>
        <s v="INE200D01020"/>
        <s v="INE277T01024"/>
        <s v="INE529F01035"/>
        <s v="INE497M01015"/>
        <s v="INE458B01036"/>
        <s v="INE408F01016"/>
        <s v="INE553C01016"/>
        <s v="INE544W01021"/>
        <s v="INE07O001026"/>
        <s v="INE059901020"/>
        <s v="INE670C01026"/>
        <s v="INE745A01012"/>
        <s v="INE495M01019"/>
        <s v="INE781B01015"/>
        <s v="INE716D01033"/>
        <s v="INE992I01013"/>
        <s v="INE037B01012"/>
        <s v="INE017I01027"/>
        <s v="INE523W01017"/>
        <s v="INE728J01019"/>
        <s v="INE558D01021"/>
        <s v="INE506Z01015"/>
        <s v="INE313G01016"/>
        <s v="INE085D01033"/>
        <s v="INE412D01013"/>
        <s v="INE0P4P01011"/>
        <s v="INE0MNV01014"/>
        <s v="INE07LH01016"/>
        <s v="INE564J01026"/>
        <s v="INE00LO01017"/>
        <s v="INE05MV01019"/>
        <s v="INE080I01025"/>
        <s v="INE765L01017"/>
        <s v="INE661K01010"/>
        <s v="INE402Y01028"/>
        <s v="INE876A01015"/>
        <s v="INE590B01010"/>
        <s v="INE435E01020"/>
        <s v="INE721V01019"/>
        <s v="INE446C01013"/>
        <s v="INE861B01023"/>
        <s v="INE668D01028"/>
        <s v="INE091C01017"/>
        <s v="INE807F01027"/>
        <s v="INE515C01023"/>
        <s v="INE058B01018"/>
        <s v="INE080B01012"/>
        <s v="INE529D01014"/>
        <s v="INE303R01014"/>
        <s v="INE077B01018"/>
        <s v="INE00HZ01011"/>
        <s v="INE776I01010"/>
        <s v="INE348N01034"/>
        <s v="INE681C01015"/>
        <s v="INE418L01021"/>
        <s v="INE087B01017"/>
        <s v="INE772B01014"/>
        <s v="INE474E01029"/>
        <s v="INE629C01014"/>
        <s v="INE0D0U01013"/>
        <s v="INE231G01010"/>
        <s v="INE104E01014"/>
        <s v="INE114E01013"/>
        <s v="INE920B01019"/>
        <s v="INE670K01029"/>
        <s v="INE582K01018"/>
        <s v="INE158G01015"/>
        <s v="INE736H01024"/>
        <s v="INE360D01014"/>
        <s v="INE386D01027"/>
        <s v="INE524B01027"/>
        <s v="INE991A01020"/>
        <s v="INE730A01022"/>
        <s v="INE950D01012"/>
        <s v="INE205F01016"/>
        <s v="INE932A01024"/>
        <s v="INE197A01024"/>
        <s v="INE289D01015"/>
        <s v="INE802C01033"/>
        <s v="INE993A01026"/>
        <s v="INE001F01019"/>
        <s v="INE363L01029"/>
        <s v="INE327C01031"/>
        <s v="INE145J01032"/>
        <s v="INE298G01027"/>
        <s v="INE105D01013"/>
        <s v="INE072A01029"/>
        <s v="INE013J01016"/>
        <s v="INE073K01018"/>
        <s v="INE968D01022"/>
        <s v="INE457E01016"/>
        <s v="INE587D01012"/>
        <s v="INE092C01015"/>
        <s v="INE728B01032"/>
        <s v="INE373E01015"/>
        <s v="INE501L01024"/>
        <s v="INE640C01011"/>
        <s v="INE594D01018"/>
        <s v="INE791E01018"/>
        <s v="INE257F01017"/>
        <s v="INE658D01011"/>
        <s v="INE387D01025"/>
        <s v="INE235U01012"/>
        <s v="INE308N01012"/>
        <s v="INE927K01023"/>
        <s v="INE276I01011"/>
        <s v="INE314G01014"/>
        <s v="INE798F01010"/>
        <s v="INE570B01012"/>
        <s v="INE329C01011"/>
        <s v="INE124E01020"/>
        <s v="INE450D01021"/>
        <s v="INE741B01027"/>
        <s v="INE770A01010"/>
        <s v="INE207H01018"/>
        <s v="INE176E01012"/>
        <s v="INE385M01012"/>
        <s v="INE451L01014"/>
        <s v="INE608C01026"/>
        <s v="INE067E01013"/>
        <s v="INE617C01027"/>
        <s v="INE758T01015"/>
        <s v="INE463D01016"/>
        <s v="INE197C01012"/>
        <s v="INE645S01016"/>
        <s v="INE848B01012"/>
        <s v="INE434C01027"/>
        <s v="INE584G01012"/>
        <s v="INE960A01017"/>
        <s v="INE146C01019"/>
        <s v="INE614F01019"/>
        <s v="INE210C01013"/>
        <s v="INE723D01021"/>
        <s v="INE376L01013"/>
        <s v="INE272C01013"/>
        <s v="INE970D01010"/>
        <s v="INE049A01027"/>
        <s v="INE594B01012"/>
        <s v="INE679T01013"/>
        <s v="INE501F01018"/>
        <s v="INE207C01019"/>
        <s v="INE517D01019"/>
        <s v="INE132C01027"/>
        <s v="INE431C01023"/>
        <s v="INE592B01016"/>
        <s v="INE872J01023"/>
        <s v="INE862B01013"/>
        <s v="INE845D01014"/>
        <s v="INE760J01012"/>
        <s v="INE835A01029"/>
        <s v="INE761G01016"/>
        <s v="INE110Q01023"/>
        <s v="INE391G01012"/>
        <s v="INE495C01010"/>
        <s v="INE920T01011"/>
        <s v="INE874A01010"/>
        <s v="INE979D01011"/>
        <s v="INE377C01010"/>
        <s v="INE899E01019"/>
        <s v="INE707B01010"/>
        <s v="INE106C01013"/>
        <s v="INE436C01014"/>
        <s v="INE273D01019"/>
        <s v="INE589J01015"/>
        <s v="INE440A01010"/>
        <s v="INE156C01018"/>
        <s v="INE660D01017"/>
        <s v="INE156E01014"/>
        <s v="INE969C01022"/>
        <s v="INE722N01014"/>
        <s v="INE535C01013"/>
        <s v="INE814D01010"/>
        <s v="INE790C01014"/>
        <s v="INE670O01013"/>
        <s v="INE216I01017"/>
        <s v="INE194N01016"/>
        <s v="INE784B01035"/>
        <s v="INE309M01012"/>
        <s v="INE339D01034"/>
        <s v="INE078T01026"/>
        <s v="INE705X01026"/>
        <s v="INE004C01028"/>
        <s v="INE083E01010"/>
        <s v="INE638N01012"/>
        <s v="INE305D01019"/>
        <s v="INE370D01013"/>
        <s v="INE074C01013"/>
        <s v="INE009C01019"/>
        <s v="INE577D01013"/>
        <s v="INE112D01035"/>
        <s v="INE410M01018"/>
        <s v="INE426Z01016"/>
        <s v="INE837B01031"/>
        <s v="INE219W01012"/>
        <s v="INE277C01012"/>
        <s v="INE953O01021"/>
        <s v="INE692B01014"/>
        <s v="INE068B01017"/>
        <s v="INE388Y01029"/>
        <s v="INE469C01023"/>
        <s v="INE298E01022"/>
        <s v="INE925C01016"/>
        <s v="INE714U01024"/>
        <s v="INE952A01022"/>
        <s v="INE506D01020"/>
        <s v="INE932D01010"/>
        <s v="INE231C01019"/>
        <s v="INE112C01011"/>
        <s v="INE733A01018"/>
        <s v="INE551D01018"/>
        <s v="INE385D01029"/>
        <s v="INE737E01011"/>
        <s v="INE570D01018"/>
        <s v="INE270I01022"/>
        <s v="INE699D01015"/>
        <s v="INE740D01017"/>
        <s v="INE105C01023"/>
        <s v="INE384D01022"/>
        <s v="INE810C01044"/>
        <s v="INE538D01015"/>
        <s v="INE088G01014"/>
        <s v="INE146N01016"/>
        <s v="INE707A01012"/>
        <s v="INE302D01016"/>
        <s v="INE045A01017"/>
        <s v="INE861N01036"/>
        <s v="INE457F01013"/>
        <s v="INE919C01019"/>
        <s v="INE273A01015"/>
        <s v="INE834B01012"/>
        <s v="INE806T01012"/>
        <s v="INE252A01019"/>
        <s v="INE287B01021"/>
        <s v="INE125G01014"/>
        <s v="INE096L01025"/>
        <s v="INE0BJS01011"/>
        <s v="INE311D01017"/>
        <s v="INE162B01018"/>
        <s v="INE927C01020"/>
        <s v="INE216C01010"/>
        <s v="INE060E01018"/>
        <s v="INE788D01016"/>
        <s v="INE143C01024"/>
        <s v="INE087E01011"/>
        <s v="INE317I01021"/>
        <s v="INE902B01017"/>
        <s v="INE541F01022"/>
        <s v="INE162A01010"/>
        <s v="INE804L01022"/>
        <s v="INE110B01017"/>
        <s v="INE825V01034"/>
        <s v="INE167B01025"/>
        <s v="INE145E01017"/>
        <s v="INE437C01012"/>
        <s v="INE877E01015"/>
        <s v="INE188B01013"/>
        <s v="INE0KCE01017"/>
        <s v="INE043B01028"/>
        <s v="INE648E01010"/>
        <s v="INE756A01019"/>
        <s v="INE558F01026"/>
        <s v="INE791B01014"/>
        <s v="INE082C01024"/>
        <s v="INE295F01017"/>
        <s v="INE0IPL01018"/>
        <s v="INE576B01019"/>
        <s v="INE060D01010"/>
        <s v="INE940C01015"/>
        <s v="INE165B01029"/>
        <s v="INE437D01010"/>
        <s v="INE415B01044"/>
        <s v="INE033C01019"/>
        <s v="INE258C01038"/>
        <s v="INE855C01015"/>
        <s v="INE535D01029"/>
        <s v="INE0FS801015"/>
        <s v="INE589D01018"/>
        <s v="INE451D01029"/>
        <s v="INE130B01031"/>
        <s v="INE229A01017"/>
        <s v="INE320B01020"/>
        <s v="INE209C01015"/>
        <s v="INE141C01028"/>
        <s v="INE362A01016"/>
        <s v="INE948A01012"/>
        <s v="INE278Y01022"/>
        <s v="INE145L01012"/>
        <s v="INE333H01020"/>
        <s v="INE069E01019"/>
        <s v="INE071F01012"/>
        <s v="INE537F01012"/>
        <s v="INE100E01012"/>
        <s v="INE455D01012"/>
        <s v="INE687W01010"/>
        <s v="INE488B01017"/>
        <s v="INE534D01014"/>
        <s v="INE488D01021"/>
        <s v="INE04TZ01018"/>
        <s v="INE289A01011"/>
        <s v="INE693D01018"/>
        <s v="INE694D01016"/>
        <s v="INE709D01012"/>
        <s v="INE982B01027"/>
        <s v="INE601N01010"/>
        <s v="INE188E01017"/>
        <s v="INE601B01023"/>
        <s v="INE210A01017"/>
        <s v="INE490A01015"/>
        <s v="INE843L01012"/>
        <s v="INE233P01017"/>
        <s v="INE297D01018"/>
        <s v="INE906C01016"/>
        <s v="INE617B01011"/>
        <s v="INE921D01013"/>
        <s v="INE543F01028"/>
        <s v="INE706A01022"/>
        <s v="INE923K01014"/>
        <s v="INE809E01018"/>
        <s v="INE213P01027"/>
        <s v="INE932K01015"/>
        <s v="INE220Z01013"/>
        <s v="INE126M01010"/>
        <s v="INE873N01015"/>
        <s v="INE953E01014"/>
        <s v="INE062E01014"/>
        <s v="INE540C01021"/>
        <s v="INE295C01014"/>
        <s v="INE678B01021"/>
        <s v="INE072V01017"/>
        <s v="INE975C01011"/>
        <s v="INE052V01019"/>
        <s v="INE624M01014"/>
        <s v="INE542C01019"/>
        <s v="INE356C01022"/>
        <s v="INE630N01019"/>
        <s v="INE369C01017"/>
        <s v="INE669Y01022"/>
        <s v="INE02YR01019"/>
        <s v="INE354D01017"/>
        <s v="INE092301014"/>
        <s v="INE263M01029"/>
        <s v="INE164B01022"/>
        <s v="INE565E01016"/>
        <s v="INE177M01013"/>
        <s v="INE734D01010"/>
        <s v="INE209B01025"/>
        <s v="INE090B01011"/>
        <s v="INE577A01027"/>
        <s v="INE039C01032"/>
        <s v="INE602W01019"/>
        <s v="INE342G01023"/>
        <s v="INE672B01032"/>
        <s v="INE571B01036"/>
        <s v="INE704B01017"/>
        <s v="INE706B01012"/>
        <s v="INE315F01013"/>
        <s v="INE595R01023"/>
        <s v="INE0LXT01019"/>
        <s v="INE903U01023"/>
        <s v="INE900C01027"/>
        <s v="INE276D01012"/>
        <s v="INE688J01023"/>
        <s v="INE763B01013"/>
        <s v="INE762C01021"/>
        <s v="INE441C01014"/>
        <s v="INE204S01012"/>
        <s v="INE451S01027"/>
        <s v="INE062Y01012"/>
        <s v="INE807M01023"/>
        <s v="INE022C01012"/>
        <s v="INE03EI01018"/>
        <s v="INE882A01013"/>
        <s v="INE314C01013"/>
        <s v="INE695C01015"/>
        <s v="INE900E01015"/>
        <s v="INE092E01011"/>
        <s v="INE814L01013"/>
        <s v="INE0LMW01024"/>
        <s v="INE689E01014"/>
        <s v="INE491J01022"/>
        <s v="INE604F01010"/>
        <s v="INE484D01012"/>
        <s v="INE482O01021"/>
        <s v="INE123B01028"/>
        <s v="INE691D01012"/>
        <s v="INE363D01018"/>
        <s v="INE165F01020"/>
        <s v="INE958A01011"/>
        <s v="INE122D01026"/>
        <s v="INE419E01024"/>
        <s v="INE953D01016"/>
        <s v="INE456D01010"/>
        <s v="INE206B01013"/>
        <s v="INE306D01017"/>
        <s v="INE662A01027"/>
        <s v="INE923A01015"/>
        <s v="INE713B01026"/>
        <s v="INE931D01020"/>
        <s v="INE220C01012"/>
        <s v="INE497D01022"/>
        <s v="INE602D01027"/>
        <s v="INE980D01019"/>
        <s v="INE083G01031"/>
        <s v="INE119R01014"/>
        <s v="INE443E01016"/>
        <s v="INE893C01032"/>
        <s v="INE304D01012"/>
        <s v="INE292D01019"/>
        <s v="INE676G01024"/>
        <s v="INE162C01024"/>
        <s v="INE602G01020"/>
        <s v="INE608B01010"/>
        <s v="INE177C01022"/>
        <s v="INE759F01012"/>
        <s v="INE961D01019"/>
        <s v="INE459C01016"/>
        <s v="INE279D01016"/>
        <s v="INE052A01021"/>
        <s v="INE631A01022"/>
        <s v="INE338P01014"/>
        <s v="INE634A01018"/>
        <s v="INE127B01011"/>
        <s v="INE696F01016"/>
        <s v="INE890G01021"/>
        <s v="INE338F01015"/>
        <s v="INE372E01025"/>
        <s v="INE384C01016"/>
        <s v="INE673O01025"/>
        <s v="INE285C01015"/>
        <s v="INE410A01013"/>
        <s v="IN9155A01020"/>
        <s v="INE867D01018"/>
        <s v="INE182E01010"/>
        <s v="INE478D01014"/>
        <s v="INE572D01014"/>
        <s v="INE526E01018"/>
        <s v="INE682D01011"/>
        <s v="INE429B01011"/>
        <s v="INE461D01028"/>
        <s v="INE826C01016"/>
        <s v="INE692C01020"/>
        <s v="INE714D01012"/>
        <s v="INE082W01014"/>
        <s v="INE092H01014"/>
        <s v="INE227C01017"/>
        <s v="INE040D01038"/>
        <s v="INE627F01011"/>
        <s v="INE535F01024"/>
        <s v="INE920A01037"/>
        <s v="INE466D01019"/>
        <s v="INE868C01018"/>
        <s v="INE233A01035"/>
        <s v="INE207E01023"/>
        <s v="INE854B01010"/>
        <s v="INE665A01038"/>
        <s v="INE245B01011"/>
        <s v="INE713D01055"/>
        <s v="INE811B01010"/>
        <s v="INE663B01015"/>
        <s v="INE142E01014"/>
        <s v="INE030C01015"/>
        <s v="INE080A01014"/>
        <s v="INE710D01010"/>
        <s v="INE989D01010"/>
        <s v="INE985A01022"/>
        <s v="INE499A01024"/>
        <s v="INE626H01019"/>
        <s v="INE584C01011"/>
        <s v="INE124B01018"/>
        <s v="INE293E01023"/>
        <s v="INE425D01015"/>
        <s v="INE097E01028"/>
        <s v="INE628D01014"/>
        <s v="INE276C01014"/>
        <s v="INE442D01010"/>
        <s v="INE537B01011"/>
        <s v="INE599F01020"/>
        <s v="INE00FM01013"/>
        <s v="INE421A01028"/>
        <s v="INE760A01029"/>
        <s v="INE173J01018"/>
        <s v="INE415D01024"/>
        <s v="INE369D01023"/>
        <s v="INE006F01018"/>
        <s v="INE082B01018"/>
        <s v="INE844A01013"/>
        <s v="INE398A01010"/>
        <s v="INE199C01026"/>
        <s v="INE395B01048"/>
        <s v="INE712B01010"/>
        <s v="INE691K01017"/>
        <s v="INE822C01015"/>
        <s v="INE241V01018"/>
        <s v="INE898O01010"/>
        <s v="INE164A01016"/>
        <s v="INE177F01017"/>
        <s v="INE668G01021"/>
        <s v="INE809F01015"/>
        <s v="INE470A01017"/>
        <s v="INE843D01027"/>
        <s v="INE636A01039"/>
        <s v="INE281E01010"/>
        <s v="INE843B01013"/>
        <s v="INE310A01015"/>
        <s v="INE308A01027"/>
        <s v="INE208C01025"/>
        <s v="INE094A01015"/>
        <s v="INE103A01014"/>
        <s v="INE833A01016"/>
        <s v="INE141D01018"/>
        <s v="INE459D01014"/>
        <s v="INE06TD01010"/>
        <s v="INE178A01016"/>
        <s v="INE969D01012"/>
        <s v="INE250C01027"/>
        <s v="INE026D01011"/>
        <s v="INE883C01025"/>
        <s v="INE889F01017"/>
        <s v="INE0KPY01017"/>
        <s v="INE170D01025"/>
        <s v="INE372C01037"/>
        <s v="INE951B01014"/>
        <s v="INE010C01025"/>
        <s v="INE199D01016"/>
        <s v="INE623B01027"/>
        <s v="INE826B01018"/>
        <s v="INE638D01021"/>
        <s v="INE548B01018"/>
        <s v="INE438E01016"/>
        <s v="INE213A01029"/>
        <s v="INE904R01027"/>
        <s v="INE486I01016"/>
        <s v="INE888B01018"/>
        <s v="INE002A01018"/>
        <s v="INE558A01019"/>
        <s v="INE029A01011"/>
        <s v="INE083C01022"/>
        <s v="INE005E01013"/>
        <s v="INE465K01016"/>
        <s v="INE054C01015"/>
        <s v="INE954B01018"/>
        <s v="INE798D01015"/>
        <s v="INE116A01032"/>
        <s v="INE842B01015"/>
        <s v="INE172A01027"/>
        <s v="INE158B01016"/>
        <s v="INE318C01014"/>
        <s v="INE745F01011"/>
        <s v="INE365D01021"/>
        <s v="INE119B01018"/>
        <s v="INE866A01016"/>
        <s v="INE477B01010"/>
        <s v="INE502D01011"/>
        <s v="INE215D01010"/>
        <s v="INE0O6A01019"/>
        <s v="INE344E01016"/>
        <s v="INE885E01034"/>
        <s v="INE959D01013"/>
        <s v="INE071D01033"/>
        <s v="INE862C01029"/>
        <s v="INE610B01024"/>
        <s v="INE059B01024"/>
        <s v="INE965C01038"/>
        <s v="INE460D01038"/>
        <s v="INE369Q01017"/>
        <s v="INE767C01012"/>
        <s v="INE317D01014"/>
        <s v="INE811D01024"/>
        <s v="INE149K01016"/>
        <s v="INE806J01013"/>
        <s v="INE473D01015"/>
        <s v="INE637N01014"/>
        <s v="INE809A01024"/>
        <s v="INE204D01022"/>
        <s v="INE704F01018"/>
        <s v="INE633B01018"/>
        <s v="INE155C01010"/>
        <s v="INE681F01018"/>
        <s v="INE482D01024"/>
        <s v="INE900B01029"/>
        <s v="INE250B01029"/>
        <s v="INE417E01010"/>
        <s v="INE034F01010"/>
        <s v="INE485C01011"/>
        <s v="INE133C01033"/>
        <s v="INE242A01010"/>
        <s v="INE058I01013"/>
        <s v="INE757D01011"/>
        <s v="INE129A01019"/>
        <s v="INE702E01015"/>
        <s v="INE107F01022"/>
        <s v="INE486D01017"/>
        <s v="INE203G01027"/>
        <s v="INE347G01014"/>
        <s v="INE082A01010"/>
        <s v="INE008B01013"/>
        <s v="INE499G01013"/>
        <s v="INE573R01012"/>
        <s v="INE785A01026"/>
        <s v="INE412G01024"/>
        <s v="INE065E01017"/>
        <s v="INE803D01021"/>
        <s v="INE767A01016"/>
        <s v="INE338D01028"/>
        <s v="INE246F01010"/>
        <s v="INE579C01029"/>
        <s v="INE829A01014"/>
        <s v="INE806D01016"/>
        <s v="INE274J01014"/>
        <s v="INE113E01015"/>
        <s v="INE198H01019"/>
        <s v="INE695D01021"/>
        <s v="INE810M01019"/>
        <s v="INE198C01010"/>
        <s v="INE313M01030"/>
        <s v="INE319N01019"/>
        <s v="INE312C01025"/>
        <s v="INE07L501010"/>
        <s v="INE982V01025"/>
        <s v="INE522F01014"/>
        <s v="INE729D01010"/>
        <s v="INE548H01015"/>
        <s v="INE038B01010"/>
        <s v="INE683E01017"/>
        <s v="INE276N01011"/>
        <s v="INE711D01018"/>
        <s v="INE268B01013"/>
        <s v="INE879K01018"/>
        <s v="INE919B01011"/>
        <s v="INE972C01018"/>
        <s v="INE450E01011"/>
        <s v="INE06DM01015"/>
        <s v="INE465H01012"/>
        <s v="INE635Q01029"/>
        <s v="INE052E01015"/>
        <s v="INE371C01013"/>
        <s v="INE117D01018"/>
        <s v="INE737C01023"/>
        <s v="INE125D01011"/>
        <s v="INE314D01011"/>
        <s v="INE746V01016"/>
        <s v="INE263B01022"/>
        <s v="INE994D01010"/>
        <s v="INE542B01011"/>
        <s v="INE875N01036"/>
        <s v="INE276T01018"/>
        <s v="INE415H01017"/>
        <s v="INE056E01024"/>
        <s v="INE532B01020"/>
        <s v="INE076D01016"/>
        <s v="INE945J01027"/>
        <s v="INE551C01028"/>
        <s v="INE058F01019"/>
        <s v="INE102E01018"/>
        <s v="INE078I01011"/>
        <s v="INE528E01022"/>
        <s v="INE760F01028"/>
        <s v="INE788B01028"/>
        <s v="INE936B01015"/>
        <s v="INE331C01017"/>
        <s v="INE994B01014"/>
        <s v="INE035D01020"/>
        <s v="INE782E01017"/>
        <s v="INE560F01022"/>
        <s v="INE473E01021"/>
        <s v="INE751D01014"/>
        <s v="INE295D01020"/>
        <s v="INE427C01021"/>
        <s v="INE844O01030"/>
        <s v="INE150C01011"/>
        <s v="INE694W01024"/>
        <s v="INE004E01016"/>
        <s v="INE354A01013"/>
        <s v="INE475B01022"/>
        <s v="INE002S01010"/>
        <s v="INE771F01025"/>
        <s v="INE302F01011"/>
        <s v="INE643N01012"/>
        <s v="INE634B01016"/>
        <s v="INE887E01022"/>
        <s v="INE334C01029"/>
        <s v="INE399L01023"/>
        <s v="INE037C01010"/>
        <s v="INE306A01021"/>
        <s v="INE457C01010"/>
        <s v="INE305C01029"/>
        <s v="INE083D01012"/>
        <s v="INE278D01018"/>
        <s v="INE593O01017"/>
        <s v="INE064L01015"/>
        <s v="INE144D01012"/>
        <s v="INE809B01014"/>
        <s v="INE395F01023"/>
        <s v="INE020S01012"/>
        <s v="INE895E01017"/>
        <s v="INE427E01027"/>
        <s v="INE602H01010"/>
        <s v="INE327D01013"/>
        <s v="INE011D01013"/>
        <s v="INE649C01012"/>
        <s v="INE881B01054"/>
        <s v="INE278C01010"/>
        <s v="INE773D01018"/>
        <s v="INE343A01016"/>
        <s v="INE926C01022"/>
        <s v="INE175C01018"/>
        <s v="INE678F01014"/>
        <s v="INE449C01025"/>
        <s v="INE983C01015"/>
        <s v="INE293C01019"/>
        <s v="INE618A01011"/>
        <s v="INE170U01011"/>
        <s v="INE120D01012"/>
        <s v="INE253C01013"/>
        <s v="INE816B01035"/>
        <s v="INE307D01015"/>
        <s v="INE902C01015"/>
        <s v="INE286N01028"/>
        <s v="INE863B01029"/>
        <s v="INE033E01015"/>
        <s v="INE835B01035"/>
        <s v="INE293N01016"/>
        <s v="INE119A01028"/>
        <s v="INE047C01019"/>
        <s v="INE410G01010"/>
        <s v="INE609C01024"/>
        <s v="INE115F01017"/>
        <s v="INE744D01019"/>
        <s v="INE218T01010"/>
        <s v="INE138B01018"/>
        <s v="INE967A01012"/>
        <s v="INE016A01026"/>
        <s v="INE260B01028"/>
        <s v="INE908C01012"/>
        <s v="INE654B01014"/>
        <s v="INE137C01018"/>
        <s v="INE299D01022"/>
        <s v="INE301C01028"/>
        <s v="INE870B01024"/>
        <s v="INE479D01038"/>
        <s v="INE867C01010"/>
        <s v="INE759I01024"/>
        <s v="INE308B01017"/>
        <s v="INE515B01025"/>
        <s v="INE072B01027"/>
        <s v="INE007C01021"/>
        <s v="INE940E01011"/>
        <s v="INE391C01011"/>
        <s v="INE152E01013"/>
        <s v="INE765B01018"/>
        <s v="INE952M01019"/>
        <s v="INE432N01010"/>
        <s v="INE206C01029"/>
        <s v="INE582D01013"/>
        <s v="INE818D01011"/>
        <s v="INE398F01019"/>
        <s v="INE356B01016"/>
        <s v="INE885B01014"/>
        <s v="INE840D01015"/>
        <s v="INE999B01013"/>
        <s v="INE924A01013"/>
        <s v="INE229G01022"/>
        <s v="INE716K01020"/>
        <s v="INE967B01028"/>
        <s v="INE493D01013"/>
        <s v="INE652F01027"/>
        <s v="INE696E01019"/>
        <s v="INE519N01014"/>
        <s v="INE613B01010"/>
        <s v="INE778A01021"/>
        <s v="INE413G01022"/>
        <s v="INE015B01018"/>
        <s v="INE813B01016"/>
        <s v="INE557B01019"/>
        <s v="INE845B01018"/>
        <s v="INE822G01016"/>
        <s v="INE258M01011"/>
        <s v="INE561D01025"/>
        <s v="INE233D01013"/>
        <s v="INE195F01019"/>
        <s v="INE594V01028"/>
        <s v="INE008C01011"/>
        <s v="INE771A01026"/>
        <s v="INE305A01015"/>
        <s v="INE403F01017"/>
        <s v="INE610C01014"/>
        <s v="INE828A01016"/>
        <s v="INE967C01018"/>
        <s v="INE080G01011"/>
        <s v="INE055C01020"/>
        <s v="INE084C01012"/>
        <s v="INE423D01010"/>
        <s v="INE095B01010"/>
        <s v="INE839A01021"/>
        <s v="INE627D01016"/>
        <s v="INE136C01044"/>
        <s v="INE653C01022"/>
        <s v="INE920C01017"/>
        <s v="INE583B01015"/>
        <s v="INE797D01017"/>
        <s v="INE025B01025"/>
        <s v="INE630D01010"/>
        <s v="INE869A01010"/>
        <s v="INE078D01012"/>
        <s v="INE915E01013"/>
        <s v="INE548D01014"/>
        <s v="INE931B01016"/>
        <s v="INE891E01024"/>
        <s v="INE760B01019"/>
        <s v="INE934C01018"/>
        <s v="INE272E01027"/>
        <s v="INE461C01038"/>
        <s v="INE531X01018"/>
        <s v="INE753B01014"/>
        <s v="INE974B01016"/>
        <s v="INE928C01010"/>
        <s v="INE016C01014"/>
        <s v="INE882D01017"/>
        <s v="INE552D01024"/>
        <s v="INE413C01013"/>
        <s v="INE794C01016"/>
        <s v="INE338C01012"/>
        <s v="INE655B01011"/>
        <s v="INE480H01011"/>
        <s v="INE986A01012"/>
        <s v="INE973B01026"/>
        <s v="INE988D01012"/>
        <s v="INE195Y01010"/>
        <s v="INE795E01019"/>
        <s v="INE017E01018"/>
        <s v="INE184D01026"/>
        <s v="INE452S01025"/>
        <s v="INE111B01023"/>
        <s v="INE453D01025"/>
        <s v="INE944C01017"/>
        <s v="INE552B01010"/>
        <s v="INE344I01017"/>
        <s v="INE743D01011"/>
        <s v="INE253B01015"/>
        <s v="INE400G01011"/>
        <s v="INE377D01018"/>
        <s v="INE945B01016"/>
        <s v="INE059D01020"/>
        <s v="INE239C01020"/>
        <s v="INE411B01019"/>
        <s v="INE374J01020"/>
        <s v="INE404B01014"/>
        <s v="INE372D01019"/>
        <s v="INE025D01013"/>
        <s v="INE368D01025"/>
        <s v="INE318P01016"/>
        <s v="INE402H01015"/>
        <s v="INE760M01016"/>
        <s v="INE550C01020"/>
        <s v="INE348A01023"/>
        <s v="INE847D01010"/>
        <s v="INE619A01035"/>
        <s v="INE179A01014"/>
        <s v="INE030A01027"/>
        <s v="INE558B01017"/>
        <s v="INE173A01025"/>
        <s v="INE239A01024"/>
        <s v="INE924D01017"/>
        <s v="INE050L01048"/>
        <s v="INE563D01013"/>
        <s v="INE612D01018"/>
        <s v="INE618F01010"/>
        <s v="INE326C01017"/>
        <s v="INE090D01017"/>
        <s v="INE055E01026"/>
        <s v="INE248B01023"/>
        <s v="INE984E01035"/>
        <s v="INE095C01018"/>
        <s v="INE689J01013"/>
        <s v="INE718F01018"/>
        <s v="INE989A01024"/>
        <s v="INE818A01017"/>
        <s v="INE795D01011"/>
        <s v="INE963C01033"/>
        <s v="INE656B01019"/>
        <s v="INE069B01023"/>
        <s v="INE639C01013"/>
        <s v="INE192A01025"/>
        <s v="INE444D01016"/>
        <s v="INE103E01016"/>
        <s v="INE446D01011"/>
        <s v="INE445D01013"/>
        <s v="INE225C01029"/>
        <s v="INE924B01011"/>
        <s v="INE350C01017"/>
        <s v="INE302C01018"/>
        <s v="INE487G01018"/>
        <s v="INE017C01012"/>
        <s v="INE580C01019"/>
        <s v="INE817B01025"/>
        <s v="INE153K01018"/>
        <s v="INE388C01017"/>
        <s v="INE108C01019"/>
        <s v="INE473F01010"/>
        <s v="INE213B01019"/>
        <s v="INE936A01025"/>
        <s v="INE354E01031"/>
        <s v="INE365H01014"/>
        <s v="INE083B01024"/>
        <s v="INE629F01025"/>
        <s v="INE899B01015"/>
        <s v="INE645C01010"/>
        <s v="INE050N01010"/>
        <s v="INE690D01014"/>
        <s v="INE292C01011"/>
        <s v="INE533C01018"/>
        <s v="INE495B01038"/>
        <s v="INE032E01017"/>
        <s v="INE958C01017"/>
        <s v="INE756R01013"/>
        <s v="INE497E01012"/>
        <s v="INE961B01013"/>
        <s v="INE0H1201012"/>
        <s v="INE062C01042"/>
        <s v="INE584B01013"/>
        <s v="INE021N01011"/>
        <s v="INE373C01019"/>
        <s v="INE930A01010"/>
        <s v="INE791C01012"/>
        <s v="INE927M01029"/>
        <s v="INE216A01030"/>
        <s v="INE419D01026"/>
        <s v="INE123E01014"/>
        <s v="INE285U01025"/>
        <s v="INE428D01019"/>
        <s v="INE362C01012"/>
        <s v="INE001E01012"/>
        <s v="INE596B01017"/>
        <s v="INE259A01022"/>
        <s v="INE276G01015"/>
        <s v="INE883D01023"/>
        <s v="INE428P01013"/>
        <s v="INE071E01023"/>
        <s v="INE607D01018"/>
        <s v="INE349A01021"/>
        <s v="INE380C01014"/>
        <s v="INE937C01029"/>
        <s v="INE921B01025"/>
        <s v="INE526H01011"/>
        <s v="INE356F01017"/>
        <s v="INE932F01015"/>
        <s v="INE886B01012"/>
        <s v="INE430F01010"/>
        <s v="INE865B01016"/>
        <s v="INE831C01016"/>
        <s v="INE853A01022"/>
        <s v="INE960E01019"/>
        <s v="INE140C01012"/>
        <s v="INE293D01017"/>
        <s v="INE0JNA01014"/>
        <s v="INE347C01013"/>
        <s v="INE959B01017"/>
        <s v="INE808A01018"/>
        <s v="INE440C01016"/>
        <s v="INE721D01017"/>
        <s v="INE015C01016"/>
        <s v="INE337E01010"/>
        <s v="INE360L01017"/>
        <s v="INE701G01012"/>
        <s v="INE154A01025"/>
        <s v="INE467D01017"/>
        <s v="INE786J01025"/>
        <s v="INE390D01011"/>
        <s v="INE948I01015"/>
        <s v="INE949B01018"/>
        <s v="INE395E01018"/>
        <s v="INE050A01025"/>
        <s v="INE074B01023"/>
        <s v="INE132F01038"/>
        <s v="INE149B01015"/>
        <s v="INE679E01015"/>
        <s v="INE519D01015"/>
        <s v="INE152C01025"/>
        <s v="INE819Y01015"/>
        <s v="INE691C01014"/>
        <s v="INE573B01016"/>
        <s v="INE381G01013"/>
        <s v="INE582C01015"/>
        <s v="INE194E01015"/>
        <s v="INE375C01014"/>
        <s v="INE864E01021"/>
        <s v="INE834D01018"/>
        <s v="INE316A01038"/>
        <s v="INE127I01024"/>
        <s v="INE912B01032"/>
        <s v="INE812B01026"/>
        <s v="INE057Q01018"/>
        <s v="INE822E01011"/>
        <s v="INE414C01045"/>
        <s v="INE233C01023"/>
        <s v="INE229N01010"/>
        <s v="INE533D01032"/>
        <s v="INE161F01011"/>
        <s v="INE225G01012"/>
        <s v="INE144C01014"/>
        <s v="INE229B01015"/>
        <s v="INE093B01015"/>
        <s v="INE041B01014"/>
        <s v="INE900O01014"/>
        <s v="INE897A01011"/>
        <s v="INE812S01012"/>
        <s v="INE807A01010"/>
        <s v="INE715D01019"/>
        <s v="INE334A01023"/>
        <s v="INE510B01018"/>
        <s v="INE118C01018"/>
        <s v="INE055O01033"/>
        <s v="INE358C01010"/>
        <s v="INE584D01019"/>
        <s v="INE0MPU01011"/>
        <s v="INE336D01014"/>
        <s v="INE354C01027"/>
        <s v="INE0KZM01011"/>
        <s v="INE822B01017"/>
        <s v="INE322A01010"/>
        <s v="INE838C01011"/>
        <s v="INE789B01018"/>
        <s v="INE830A01012"/>
        <s v="INE011B01017"/>
        <s v="INE509F01029"/>
        <s v="INE199E01014"/>
        <s v="INE963A01011"/>
        <s v="INE545E01018"/>
        <s v="INE995D01025"/>
        <s v="INE345H01016"/>
        <s v="INE485K01014"/>
        <s v="INE366G01022"/>
        <s v="INE825C01018"/>
        <s v="INE784M01016"/>
        <s v="INE977F01010"/>
        <s v="INE501D01013"/>
        <s v="INE244C01020"/>
        <s v="INE474C01015"/>
        <s v="INE609D01014"/>
        <s v="INE737G01016"/>
        <s v="INE575D01041"/>
        <s v="INE457D01018"/>
        <s v="INE416A01044"/>
        <s v="INE357B01022"/>
        <s v="INE224D01012"/>
        <s v="INE012E01035"/>
        <s v="INE806A01020"/>
        <s v="INE710A01016"/>
        <s v="INE042C01010"/>
        <s v="INE260E01014"/>
        <s v="INE274E01015"/>
        <s v="INE443C01010"/>
        <s v="INE333E01019"/>
        <s v="INE871C01038"/>
        <s v="INE595G01018"/>
        <s v="INE567L01017"/>
        <s v="INE309H01038"/>
        <s v="INE267E01019"/>
        <s v="INE432F01024"/>
        <s v="INE823B01015"/>
        <s v="INE239F01015"/>
        <s v="INE741D01015"/>
        <s v="INE153C01015"/>
        <s v="INE906K01027"/>
        <s v="INE124M01015"/>
        <s v="INE362D01010"/>
        <s v="INE997I01012"/>
        <s v="INE492Y01011"/>
        <s v="INE876E01033"/>
        <s v="INE858C01027"/>
        <s v="INE239D01028"/>
        <s v="INE396H01019"/>
        <s v="INE561M01018"/>
        <s v="INE538G01018"/>
        <s v="INE011E01029"/>
        <s v="INE418D01010"/>
        <s v="INE254N01026"/>
        <s v="INE635D01027"/>
        <s v="INE849M01017"/>
        <s v="INE158F01017"/>
        <s v="INE646B01010"/>
        <s v="INE062D01024"/>
        <s v="INE650C01036"/>
        <s v="INE601F01016"/>
        <s v="INE883B01027"/>
        <s v="INE412E01011"/>
        <s v="INE860Y01019"/>
        <s v="INE850B01026"/>
        <s v="INE978A01027"/>
        <s v="INE971L01029"/>
        <s v="INE771E01010"/>
        <s v="INE709B01016"/>
        <s v="INE121D01036"/>
        <s v="INE606B01022"/>
        <s v="INE186C01023"/>
        <s v="INE158R01012"/>
        <s v="INE109C01017"/>
        <s v="INE580D01017"/>
        <s v="INE024F01011"/>
        <s v="INE546F01013"/>
        <s v="INE0QHY01011"/>
        <s v="INE096B01018"/>
        <s v="INE923C01011"/>
        <s v="INE606C01012"/>
        <s v="INE421D01022"/>
        <s v="INE005C01017"/>
        <s v="INE819A01049"/>
        <s v="INE861E01019"/>
        <s v="INE262W01012"/>
        <s v="INE364D01032"/>
        <s v="INE547B01028"/>
        <s v="INE907E01010"/>
        <s v="INE821D01031"/>
        <s v="INE822D01021"/>
        <s v="INE962E01015"/>
        <s v="INE494D01011"/>
        <s v="INE972E01014"/>
        <s v="INE333Y01017"/>
        <s v="INE802B01019"/>
        <s v="INE723N01012"/>
        <s v="INE342D01012"/>
        <s v="INE031G01014"/>
        <s v="INE015E01012"/>
        <s v="INE530D01012"/>
        <s v="INE328F01016"/>
        <s v="INE332F01018"/>
        <s v="INE764D01017"/>
        <s v="INE151B01011"/>
        <s v="INE526C01012"/>
        <s v="INE986B01044"/>
        <s v="INE785D01012"/>
        <s v="INE238C01022"/>
        <s v="INE698B01011"/>
        <s v="INE807H01023"/>
        <s v="INE897D01015"/>
        <s v="INE896D01017"/>
        <s v="INE531D01010"/>
        <s v="INE643C01015"/>
        <s v="INE358D01018"/>
        <s v="INE053D01015"/>
        <s v="INE960H01012"/>
        <s v="INE590D01016"/>
        <s v="INE951M01037"/>
        <s v="INE325G01010"/>
        <s v="INE366H01012"/>
        <s v="INE293B01029"/>
        <s v="INE250D01017"/>
        <s v="INE475C01012"/>
        <s v="INE128R01023"/>
        <s v="INE02AP01013"/>
        <s v="INE036B01030"/>
        <s v="INE974C01022"/>
        <s v="INE151H01018"/>
        <s v="INE348I01018"/>
        <s v="INE373D01017"/>
        <s v="INE825D01016"/>
        <s v="INE500D01015"/>
        <s v="INE922B01023"/>
        <s v="INE328D01011"/>
        <s v="INE763M01028"/>
        <s v="INE546C01010"/>
        <s v="INE777G01012"/>
        <s v="INE689V01018"/>
        <s v="INE836C01015"/>
        <s v="INE960B01015"/>
        <s v="INE319B01014"/>
        <s v="INE405H01018"/>
        <s v="INE413D01011"/>
        <s v="INE671D01014"/>
        <s v="INE890B01014"/>
        <s v="INE448D01017"/>
        <s v="INE905B01010"/>
        <s v="INE262C01014"/>
        <s v="INE679C01027"/>
        <s v="INE493B01017"/>
        <s v="INE326B01027"/>
        <s v="INE0M4L01013"/>
        <s v="INE234J01018"/>
        <s v="INE560D01027"/>
        <s v="INE576N01014"/>
        <s v="INE516D01011"/>
        <s v="INE603F01012"/>
        <s v="INE804B01023"/>
        <s v="INE107A01015"/>
        <s v="INE001B01026"/>
        <s v="INE07P301011"/>
        <s v="INE271D01013"/>
        <s v="INE474D01013"/>
        <s v="INE523I01016"/>
        <s v="INE805A01014"/>
        <s v="INE115C01014"/>
        <s v="INE192H01020"/>
        <s v="INE954E01012"/>
        <s v="INE323D01020"/>
        <s v="INE952C01028"/>
        <s v="INE545B01022"/>
        <s v="INE216B01012"/>
        <s v="INE397G01019"/>
        <s v="INE183D01010"/>
        <s v="INE084D01010"/>
        <s v="INE268H01036"/>
        <s v="INE378D01032"/>
        <s v="INE080D01042"/>
        <s v="INE548C01032"/>
        <s v="INE732K01027"/>
        <s v="INE866D01010"/>
        <s v="INE628F01019"/>
        <s v="INE0Q6901013"/>
        <s v="INE128A01029"/>
        <s v="INE623D01015"/>
        <s v="INE681D01039"/>
        <s v="INE118Q01018"/>
        <s v="INE767B01022"/>
        <s v="INE971E01016"/>
        <s v="INE849B01010"/>
        <s v="INE562E01013"/>
        <s v="INE768C01010"/>
        <s v="INE578B01015"/>
        <s v="INE074H01012"/>
        <s v="INE864D01015"/>
        <s v="INE392G01010"/>
        <s v="INE881A01015"/>
        <s v="INE473B01035"/>
        <s v="INE355A01028"/>
        <s v="INE865D01012"/>
        <s v="INE754B01012"/>
        <s v="INE355C01016"/>
        <s v="INE838Z01012"/>
        <s v="INE723K01018"/>
        <s v="INE860D01013"/>
        <s v="INE192C01013"/>
        <s v="INE580H01026"/>
        <s v="INE508J01015"/>
        <s v="INE483D01014"/>
        <s v="INE721X01015"/>
        <s v="INE802A01037"/>
        <s v="INE894J01019"/>
        <s v="INE507D01010"/>
        <s v="INE196A01026"/>
        <s v="INE256C01024"/>
        <s v="INE832C01014"/>
        <s v="INE792J01015"/>
        <s v="INE902G01016"/>
        <s v="INE695B01025"/>
        <s v="INE628B01034"/>
        <s v="INE173E01019"/>
        <s v="INE405C01035"/>
        <s v="INE722B01019"/>
        <s v="INE713C01016"/>
        <s v="INE936N01010"/>
        <s v="INE102D01028"/>
        <s v="INE546D01018"/>
        <s v="INE265C01025"/>
        <s v="INE654H01011"/>
        <s v="INE528C01018"/>
        <s v="INE863C01019"/>
        <s v="INE117K01013"/>
        <s v="INE661D01015"/>
        <s v="INE214D01021"/>
        <s v="INE224C01014"/>
        <s v="INE067C01025"/>
        <s v="INE673C01020"/>
        <s v="INE621B01021"/>
        <s v="INE593B01030"/>
        <s v="INE230F01014"/>
        <s v="INE812K01027"/>
        <s v="INE843F01014"/>
        <s v="INE632C01026"/>
        <s v="INE414D01027"/>
        <s v="INE224E01028"/>
        <s v="INE316G01019"/>
        <s v="INE650G01029"/>
        <s v="INE429Q01019"/>
        <s v="INE092D01013"/>
        <s v="INE509C01026"/>
        <s v="INE422M01013"/>
        <s v="INE844D01017"/>
        <s v="INE505C01016"/>
        <s v="INE703D01023"/>
        <s v="INE131D01019"/>
        <s v="INE126J01016"/>
        <s v="INE576D01015"/>
        <s v="INE854D01024"/>
        <s v="INE311M01018"/>
        <s v="INE059E01010"/>
        <s v="INE630U01014"/>
        <s v="INE607G01011"/>
        <s v="INE469F01026"/>
        <s v="INE951D01028"/>
        <s v="INE393D01015"/>
        <s v="INE426H01014"/>
        <s v="INE161E01014"/>
        <s v="INE266C01023"/>
        <s v="INE278O01015"/>
        <s v="INE297J01023"/>
        <s v="INE348D01019"/>
        <s v="INE513E01024"/>
        <s v="INE793H01017"/>
        <s v="INE487B01019"/>
        <s v="INE172B01017"/>
        <s v="INE935D01013"/>
        <s v="INE427D01011"/>
        <s v="INE318D01020"/>
        <s v="INE884X01011"/>
        <s v="INE194D01017"/>
        <s v="INE457G01029"/>
        <s v="INE024B01010"/>
        <s v="INE842D01029"/>
        <s v="INE929K01011"/>
        <s v="INE433G01012"/>
        <s v="INE370C01015"/>
        <s v="INE283D01018"/>
        <s v="INE003F01015"/>
        <s v="INE149D01011"/>
        <s v="INE687C01012"/>
        <s v="INE882B01029"/>
        <s v="INE060B01014"/>
        <s v="INE06CG01019"/>
        <s v="INE778E01031"/>
        <s v="INE755J01012"/>
        <s v="INE587J01027"/>
        <s v="INE312M01016"/>
        <s v="INE803L01016"/>
        <s v="INE641H01018"/>
        <s v="INE125F01024"/>
        <s v="INE204E01012"/>
        <s v="INE956B01013"/>
        <s v="INE545N01019"/>
        <s v="INE214B01017"/>
        <s v="INE258Z01013"/>
        <s v="INE092G01024"/>
        <s v="INE657B01025"/>
        <s v="INE185D01015"/>
        <s v="INE669W01018"/>
        <s v="INE316D01024"/>
        <s v="INE811H01017"/>
        <s v="INE635A01023"/>
        <s v="INE108B01029"/>
        <s v="INE914B01012"/>
        <s v="INE786E01018"/>
        <s v="INE167F01018"/>
        <s v="INE660B01011"/>
        <s v="INE540G01014"/>
        <s v="INE227B01019"/>
        <s v="INE564B01015"/>
        <s v="INE547C01018"/>
        <s v="INE735C01027"/>
        <s v="INE839E01023"/>
        <s v="INE164D01010"/>
        <s v="INE146H01018"/>
        <s v="INE653D01012"/>
        <s v="INE581D01015"/>
        <s v="INE147C01017"/>
        <s v="INE995A01013"/>
        <s v="INE176O01011"/>
        <s v="INE938A01021"/>
        <s v="INE185E01013"/>
        <s v="INE056J01015"/>
        <s v="INE325D01025"/>
        <s v="INE808C01014"/>
        <s v="INE486F01012"/>
        <s v="INE597C01021"/>
        <s v="INE008N01018"/>
        <s v="INE409B01013"/>
        <s v="INE121B01014"/>
        <s v="INE291D01011"/>
        <s v="INE398H01015"/>
        <s v="INE516F01016"/>
        <s v="INE994E01018"/>
        <s v="INE311N01016"/>
        <s v="INE407E01029"/>
        <s v="INE993I01011"/>
        <s v="INE219M01021"/>
        <s v="INE807D01030"/>
        <s v="INE456B01014"/>
        <s v="INE948G01019"/>
        <s v="INE957E01031"/>
        <s v="INE395A01016"/>
        <s v="INE419H01019"/>
        <s v="INE686F01025"/>
        <s v="INE440E01012"/>
        <s v="INE154B01015"/>
        <s v="INE666E01020"/>
        <s v="INE411D01015"/>
        <s v="INE944F01028"/>
        <s v="INE731B01010"/>
        <s v="INE087H01022"/>
        <s v="INE681B01017"/>
        <s v="INE272G01014"/>
        <s v="INE818H01020"/>
        <s v="INE668F01031"/>
        <s v="INE088D01011"/>
        <s v="INE944A01011"/>
        <s v="INE200M01021"/>
        <s v="INE850D01014"/>
        <s v="INE514C01018"/>
        <s v="INE501C01015"/>
        <s v="INE737B01033"/>
        <s v="INE214A01019"/>
        <s v="INE495P01012"/>
        <s v="INE021O01019"/>
        <s v="INE699H01024"/>
        <s v="INE680A01011"/>
        <s v="INE00E101023"/>
        <s v="INE622E01023"/>
        <s v="INE0J5401028"/>
        <s v="INE321T01012"/>
        <s v="INE296A01024"/>
        <s v="INE007A01025"/>
        <s v="INE731A01020"/>
        <s v="INE039A01010"/>
        <s v="INE550B01022"/>
        <s v="INE027F01014"/>
        <s v="INE062A01020"/>
        <s v="INE306C01019"/>
        <s v="INE008A01015"/>
        <s v="INE665D01016"/>
        <s v="INE040A01034"/>
        <s v="INE092B01025"/>
        <s v="INE023A01030"/>
        <s v="INE237A01028"/>
        <s v="INE823D01011"/>
        <s v="INE793A01012"/>
        <s v="INE215B01022"/>
        <s v="INE115A01026"/>
        <s v="INE389D01013"/>
        <s v="INE007B01023"/>
        <s v="INE288A01013"/>
        <s v="INE791A01024"/>
        <s v="INE180A01020"/>
        <s v="INE140A01024"/>
        <s v="INE934A01012"/>
        <s v="INE602C01011"/>
        <s v="INE915B01019"/>
        <s v="INE878A01011"/>
        <s v="INE879A01019"/>
        <s v="INE171A01029"/>
        <s v="INE042B01012"/>
        <s v="INE418B01048"/>
        <s v="INE118A01012"/>
        <s v="INE555C01029"/>
        <s v="INE039B01026"/>
        <s v="INE781A01025"/>
        <s v="INE310B01013"/>
        <s v="INE672A01018"/>
        <s v="INE638B01025"/>
        <s v="INE640B01021"/>
        <s v="INE792B01012"/>
        <s v="INE453B01029"/>
        <s v="INE369B01019"/>
        <s v="INE848A01014"/>
        <s v="INE149A01033"/>
        <s v="INE002B01016"/>
        <s v="INE0PSJ01011"/>
        <s v="INE754A01055"/>
        <s v="INE663P01015"/>
        <s v="INE243B01016"/>
        <s v="INE523B01011"/>
        <s v="INE400B01020"/>
        <s v="INE448B01029"/>
        <s v="INE477A01020"/>
        <s v="INE374B01019"/>
        <s v="INE099E01016"/>
        <s v="INE417B01040"/>
        <s v="INE859A01011"/>
        <s v="INE614A01028"/>
        <s v="INE246B01019"/>
        <s v="INE721A01013"/>
        <s v="INE539B01017"/>
        <s v="INE434B01029"/>
        <s v="INE121A01024"/>
        <s v="INE105A01035"/>
        <s v="INE398B01018"/>
        <s v="INE464B01018"/>
        <s v="INE683B01047"/>
        <s v="INE893A01036"/>
        <s v="INE794B01026"/>
        <s v="INE443B01012"/>
        <s v="INE526B01014"/>
        <s v="INE392B01011"/>
        <s v="INE780C01023"/>
        <s v="INE586B01026"/>
        <s v="INE230B01021"/>
        <s v="INE555B01013"/>
        <s v="INE971A01014"/>
        <s v="INE240C01028"/>
        <s v="INE511C01022"/>
        <s v="INE718B01017"/>
        <s v="INE856B01023"/>
        <s v="INE005B01027"/>
        <s v="INE522D01027"/>
        <s v="INE933B01012"/>
        <s v="INE330E01023"/>
        <s v="INE345B01019"/>
        <s v="INE747B01016"/>
        <s v="INE178C01020"/>
        <s v="INE102B01014"/>
        <s v="INE256D01014"/>
        <s v="INE193D01019"/>
        <s v="INE180C01042"/>
        <s v="INE799C01031"/>
        <s v="INE028A01039"/>
        <s v="INE943D01017"/>
        <s v="INE084A01016"/>
        <s v="INE541C01037"/>
        <s v="INE090A01021"/>
        <s v="INE655D01025"/>
        <s v="INE255D01024"/>
        <s v="INE838E01017"/>
        <s v="INE095A01012"/>
        <s v="INE168A01041"/>
        <s v="INE550F01031"/>
        <s v="INE491A01021"/>
        <s v="INE266F01018"/>
        <s v="INE238A01034"/>
        <s v="INE683A01023"/>
        <s v="INE732F01019"/>
        <s v="INE935Q01015"/>
        <s v="INE565A01014"/>
        <s v="INE160A01022"/>
        <s v="INE525F01017"/>
        <s v="INE637C01025"/>
        <s v="INE411F01010"/>
        <s v="INE692A01016"/>
        <s v="INE476A01022"/>
        <s v="INE691A01018"/>
        <s v="INE296E01026"/>
        <s v="INE457A01014"/>
        <s v="INE530B01024"/>
        <s v="INE116D01028"/>
        <s v="INE824G01012"/>
        <s v="INE528G01035"/>
        <s v="INE236G01019"/>
        <s v="INE614B01018"/>
        <s v="INE038F01029"/>
        <s v="INE218G01033"/>
        <s v="INE043D01016"/>
        <s v="INE774D01024"/>
        <s v="INE134E01011"/>
        <s v="INE562A01011"/>
        <s v="INE725G01011"/>
        <s v="INE365B01017"/>
        <s v="INE155G01029"/>
        <s v="INE483A01010"/>
        <s v="INE455F01025"/>
        <s v="INE338I01027"/>
        <s v="INE420C01059"/>
        <s v="INE621H01010"/>
        <s v="INE532F01054"/>
        <s v="INE586G01017"/>
        <s v="INE020B01018"/>
        <s v="INE918I01026"/>
        <s v="INE083K01017"/>
        <s v="INE658G01014"/>
        <s v="INE608A01012"/>
        <s v="INE366A01041"/>
        <s v="INE873D01024"/>
        <s v="INE450G01024"/>
        <s v="INE691G01015"/>
        <s v="INE692G01013"/>
        <s v="INE916P01025"/>
        <s v="INE796G01012"/>
        <s v="INE063E01046"/>
        <s v="INE414G01012"/>
        <s v="INE748C01038"/>
        <s v="INE748A01016"/>
        <s v="INE498L01015"/>
        <s v="INE764B01029"/>
        <s v="INE745G01035"/>
        <s v="INE584F01014"/>
        <s v="INE148I01020"/>
        <s v="INE278G01037"/>
        <s v="INE875G01030"/>
        <s v="INE206F01022"/>
        <s v="INE092T01019"/>
        <s v="INE404L01039"/>
        <s v="INE483S01020"/>
        <s v="INE023H01027"/>
        <s v="INE752G01015"/>
        <s v="INE978G01016"/>
        <s v="INE417C01014"/>
        <s v="INE942G01012"/>
        <s v="INE828G01013"/>
        <s v="INE976G01028"/>
        <s v="INE050H01012"/>
        <s v="INE501G01024"/>
        <s v="INE231F01020"/>
        <s v="INE512B01022"/>
        <s v="INE726G01019"/>
        <s v="INE572E01012"/>
        <s v="INE031A01017"/>
        <s v="INE157H01023"/>
        <s v="INE186H01022"/>
        <s v="INE160H01019"/>
        <s v="INE949L01017"/>
        <s v="INE184H01027"/>
        <s v="INE503D01027"/>
        <s v="INE461B01014"/>
        <s v="INE674K01013"/>
        <s v="INE855F01042"/>
        <s v="INE185H01016"/>
        <s v="INE229H01012"/>
        <s v="INE283H01019"/>
        <s v="INE265F01028"/>
        <s v="INE266H01014"/>
        <s v="INE765G01017"/>
        <s v="INE199G01027"/>
        <s v="INE256H01015"/>
        <s v="INE251H01024"/>
        <s v="INE226H01026"/>
        <s v="INE206Z01020"/>
        <s v="INE123W01016"/>
        <s v="INE047B01011"/>
        <s v="INE332H01014"/>
        <s v="INE350H01032"/>
        <s v="INE932X01026"/>
        <s v="INE286H01012"/>
        <s v="INE858F01012"/>
        <s v="INE493H01014"/>
        <s v="INE348L01012"/>
        <s v="INE022Q01020"/>
        <s v="INE383H01017"/>
        <s v="INE786F01031"/>
        <s v="INE353H01010"/>
        <s v="INE401H01017"/>
        <s v="INE481Y01014"/>
        <s v="INE298J01013"/>
        <s v="INE470Y01017"/>
        <s v="INE296H01011"/>
        <s v="INE388G01026"/>
        <s v="INE397H01017"/>
        <s v="INE390H01012"/>
        <s v="INE111F01016"/>
        <s v="INE302H01017"/>
        <s v="INE347H01012"/>
        <s v="INE367G01038"/>
        <s v="INE229E01019"/>
        <s v="INE425C01017"/>
        <s v="INE795G01014"/>
        <s v="INE545U01014"/>
        <s v="INE763G01038"/>
        <s v="INE107J01016"/>
        <s v="INE677H01012"/>
        <s v="INE596H01014"/>
        <s v="INE127D01025"/>
        <s v="INE916G01016"/>
        <s v="INE516H01012"/>
        <s v="INE737H01014"/>
        <s v="INE544H01014"/>
        <s v="INE503A01015"/>
        <s v="INE951C01012"/>
        <s v="INE020G01017"/>
        <s v="INE221H01019"/>
        <s v="INE637H01024"/>
        <s v="INE741K01010"/>
        <s v="INE216P01012"/>
        <s v="INE561H01026"/>
        <s v="INE645H01027"/>
        <s v="INE572J01011"/>
        <s v="INE489L01022"/>
        <s v="INE803H01014"/>
        <s v="INE679A01013"/>
        <s v="INE966H01019"/>
        <s v="INE965H01011"/>
        <s v="INE872H01027"/>
        <s v="INE718H01014"/>
        <s v="INE551W01018"/>
        <s v="INE703H01016"/>
        <s v="INE018E01016"/>
        <s v="INE627H01017"/>
        <s v="INE596I01012"/>
        <s v="INE001O01029"/>
        <s v="INE768E01024"/>
        <s v="INE704H01022"/>
        <s v="INE940H01022"/>
        <s v="INE641Q01019"/>
        <s v="INE732I01013"/>
        <s v="INE094J01016"/>
        <s v="INE804H01012"/>
        <s v="INE063P01018"/>
        <s v="INE812G01025"/>
        <s v="INE998H01012"/>
        <s v="INE311H01018"/>
        <s v="INE053F01010"/>
        <s v="INE702H01018"/>
        <s v="INE952H01027"/>
        <s v="INE481N01025"/>
        <s v="INE005I01014"/>
        <s v="INE976H01018"/>
        <s v="INE852O01025"/>
        <s v="INE404A01024"/>
        <s v="INE052I01032"/>
        <s v="INE417T01026"/>
        <s v="INE836F01026"/>
        <s v="INE280H01015"/>
        <s v="INE917H01012"/>
        <s v="INE982J01020"/>
        <s v="INE797H01018"/>
        <s v="INE788H01017"/>
        <s v="INE124G01033"/>
        <s v="INE287C01037"/>
        <s v="INE070I01018"/>
        <s v="INE228I01012"/>
        <s v="INE928H01019"/>
        <s v="INE575P01011"/>
        <s v="INE0K5F01014"/>
        <s v="INE189I01024"/>
        <s v="INE945H01013"/>
        <s v="INE463V01026"/>
        <s v="INE924H01018"/>
        <s v="INE106I01010"/>
        <s v="INE0J1Y01017"/>
        <s v="INE102I01027"/>
        <s v="INE385I01010"/>
        <s v="INE117H01019"/>
        <s v="INE800H01010"/>
        <s v="INE056I01025"/>
        <s v="INE00F201020"/>
        <s v="INE105I01020"/>
        <s v="INE022I01019"/>
        <s v="INE668A01016"/>
        <s v="INE142I01023"/>
        <s v="INE128S01021"/>
        <s v="INE138Y01010"/>
        <s v="INE222F01029"/>
        <s v="INE227G01018"/>
        <s v="INE245I01016"/>
        <s v="INE387I01016"/>
        <s v="INE758E01017"/>
        <s v="INE455I01029"/>
        <s v="INE735W01017"/>
        <s v="INE550H01011"/>
        <s v="INE215I01027"/>
        <s v="INE369I01014"/>
        <s v="INE068C01015"/>
        <s v="INE423Y01016"/>
        <s v="INE139I01011"/>
        <s v="INE575I01016"/>
        <s v="INE160O01031"/>
        <s v="INE531F01015"/>
        <s v="INE722H01024"/>
        <s v="INE094I01018"/>
        <s v="INE234I01028"/>
        <s v="INE202E01016"/>
        <s v="INE550D01010"/>
        <s v="INE922K01024"/>
        <s v="INE953L01027"/>
        <s v="INE661I01014"/>
        <s v="INE817H01014"/>
        <s v="INE015D01022"/>
        <s v="INE386I01018"/>
        <s v="INE095I01015"/>
        <s v="INE298I01015"/>
        <s v="INE529I01021"/>
        <s v="INE883F01010"/>
        <s v="INE03JT01014"/>
        <s v="INE792I01017"/>
        <s v="INE036D01028"/>
        <s v="INE809I01019"/>
        <s v="INE964H01014"/>
        <s v="INE863I01016"/>
        <s v="INE821I01022"/>
        <s v="INE871H01011"/>
        <s v="INE049I01012"/>
        <s v="INE660A01013"/>
        <s v="INE118H01025"/>
        <s v="INE642I01014"/>
        <s v="INE274G01010"/>
        <s v="INE736A01011"/>
        <s v="INE415I01015"/>
        <s v="INE865C01022"/>
        <s v="INE778I01024"/>
        <s v="INE202Z01029"/>
        <s v="INE059A01026"/>
        <s v="INE089A01023"/>
        <s v="INE020J01029"/>
        <s v="INE105J01010"/>
        <s v="INF174KA1JD7"/>
        <s v="INE368I01016"/>
        <s v="INE244J01017"/>
        <s v="INE222J01013"/>
        <s v="INE790D01020"/>
        <s v="INE955I01044"/>
        <s v="INE877I01016"/>
        <s v="INE947I01017"/>
        <s v="INE323J01019"/>
        <s v="INE201J01017"/>
        <s v="INE197J01017"/>
        <s v="INE560T01015"/>
        <s v="INE457H01027"/>
        <s v="INE456H01029"/>
        <s v="INE144J01027"/>
        <s v="INE199A01012"/>
        <s v="INE773I01017"/>
        <s v="INE326A01037"/>
        <s v="INE919H01018"/>
        <s v="INE065J01024"/>
        <s v="INE359B01010"/>
        <s v="INE320D01018"/>
        <s v="INE893J01029"/>
        <s v="INE685A01028"/>
        <s v="INE786K01023"/>
        <s v="INE294G01026"/>
        <s v="INE358A01014"/>
        <s v="INE159A01016"/>
        <s v="INE058A01010"/>
        <s v="INE360J01011"/>
        <s v="INE615I01010"/>
        <s v="INE182A01018"/>
        <s v="INE274K01012"/>
        <s v="INE318K01025"/>
        <s v="INE201K01015"/>
        <s v="INE203A01020"/>
        <s v="INE947J01015"/>
        <s v="INE563J01010"/>
        <s v="INE250K01012"/>
        <s v="INE572A01036"/>
        <s v="INE143K01019"/>
        <s v="INE437A01024"/>
        <s v="INE191A01027"/>
        <s v="INE912H01013"/>
        <s v="INE750C01026"/>
        <s v="INE893I01013"/>
        <s v="INE085J01014"/>
        <s v="INE571A01038"/>
        <s v="INE753K01015"/>
        <s v="INE982F01036"/>
        <s v="INE141K01013"/>
        <s v="INE108E01023"/>
        <s v="INE847C01020"/>
        <s v="INE794A01010"/>
        <s v="INE864J01012"/>
        <s v="INE975G01012"/>
        <s v="INE044A01036"/>
        <s v="INE566K01011"/>
        <s v="INE516K01024"/>
        <s v="INE790B01024"/>
        <s v="INE134B01017"/>
        <s v="INE639K01016"/>
        <s v="INE747K01017"/>
        <s v="INE475E01026"/>
        <s v="INE830C01026"/>
        <s v="INE798K01010"/>
        <s v="INE265D01015"/>
        <s v="INE871K01015"/>
        <s v="INE778K01012"/>
        <s v="INE926K01017"/>
        <s v="INE933K01021"/>
        <s v="INE696K01024"/>
        <s v="INE159O01033"/>
        <s v="INE389K01018"/>
        <s v="INE019J01013"/>
        <s v="INE521J01018"/>
        <s v="INE416L01017"/>
        <s v="INE874I01013"/>
        <s v="INE999K01014"/>
        <s v="INE068L01024"/>
        <s v="INE351L01016"/>
        <s v="INE406A01037"/>
        <s v="INE844K01012"/>
        <s v="INE987B01026"/>
        <s v="INE700A01033"/>
        <s v="INE790G01031"/>
        <s v="INE258B01022"/>
        <s v="INE482J01021"/>
        <s v="INE205C01021"/>
        <s v="INE935A01035"/>
        <s v="INE324L01013"/>
        <s v="INE245L01010"/>
        <s v="INE049B01025"/>
        <s v="INE565L01011"/>
        <s v="INE439G01019"/>
        <s v="INE619I01012"/>
        <s v="INE010B01027"/>
        <s v="INE722J01012"/>
        <s v="INE031B01049"/>
        <s v="INE735D01033"/>
        <s v="INE272L01022"/>
        <s v="INE268L01020"/>
        <s v="INE029L01018"/>
        <s v="INE878K01010"/>
        <s v="INE519C01017"/>
        <s v="INE690J01011"/>
        <s v="INE577L01016"/>
        <s v="INE474L01016"/>
        <s v="INE645L01011"/>
        <s v="INE101D01020"/>
        <s v="INE611L01021"/>
        <s v="INE045J01026"/>
        <s v="INE320L01011"/>
        <s v="INE361B01024"/>
        <s v="INE597L01014"/>
        <s v="INE560K01014"/>
        <s v="INE376G01013"/>
        <s v="INE672K01025"/>
        <s v="INE052B01011"/>
        <s v="INE725L01011"/>
        <s v="INE726L01019"/>
        <s v="INE573K01017"/>
        <s v="INE130L01014"/>
        <s v="INE524L01026"/>
        <s v="INE878H01024"/>
        <s v="INE939A01011"/>
        <s v="INE162L01017"/>
        <s v="INE040M01013"/>
        <s v="INE650L01011"/>
        <s v="INE895B01021"/>
        <s v="INE061F01013"/>
        <s v="INE232I01014"/>
        <s v="INE590L01019"/>
        <s v="INE901L01018"/>
        <s v="INE855P01033"/>
        <s v="INE123M01017"/>
        <s v="INE440L01017"/>
        <s v="INE912L01015"/>
        <s v="INE060J01017"/>
        <s v="INE398R01022"/>
        <s v="INE337M01013"/>
        <s v="INE342U01016"/>
        <s v="INE540L01014"/>
        <s v="INE390G01014"/>
        <s v="INE022F01015"/>
        <s v="INE480M01011"/>
        <s v="INE482B01010"/>
        <s v="INE793G01035"/>
        <s v="INE241F01011"/>
        <s v="INE123D01024"/>
        <s v="INE600L01024"/>
        <s v="INE410P01011"/>
        <s v="INE883L01018"/>
        <s v="INE075I01017"/>
        <s v="INE550L01013"/>
        <s v="INE947Q01028"/>
        <s v="INE472M01018"/>
        <s v="INE750M01017"/>
        <s v="INE393F01010"/>
        <s v="INE760L01018"/>
        <s v="INE050M01012"/>
        <s v="INE204N01013"/>
        <s v="INE247M01014"/>
        <s v="INE142K01011"/>
        <s v="INE406M01024"/>
        <s v="INE735M01018"/>
        <s v="INE391J01024"/>
        <s v="INE436N01029"/>
        <s v="INE966C01010"/>
        <s v="INE914M01019"/>
        <s v="INE524N01014"/>
        <s v="INE581M01016"/>
        <s v="INE131N01018"/>
        <s v="INE741L01018"/>
        <s v="INE195N01013"/>
        <s v="INE559N01010"/>
        <s v="INE456N01019"/>
        <s v="INE892L01019"/>
        <s v="INE176N01021"/>
        <s v="INE175N01023"/>
        <s v="INE247C01023"/>
        <s v="INE840M01016"/>
        <s v="INE503B01021"/>
        <s v="INE234G01022"/>
        <s v="INE675C01017"/>
        <s v="INE198N01017"/>
        <s v="INE752H01013"/>
        <s v="INE785M01013"/>
        <s v="INE112L01020"/>
        <s v="INE03QK01018"/>
        <s v="INE149O01018"/>
        <s v="INE650D01026"/>
        <s v="INE335G01019"/>
        <s v="INE274M01026"/>
        <s v="INE583M01012"/>
        <s v="INE612J01015"/>
        <s v="INE191O01010"/>
        <s v="INE168O01026"/>
        <s v="INE047O01014"/>
        <s v="INE748D01010"/>
        <s v="INE902D01013"/>
        <s v="INE099F01013"/>
        <s v="INE027H01010"/>
        <s v="INE159L01013"/>
        <s v="INE807O01011"/>
        <s v="INE068V01023"/>
        <s v="INE860E01011"/>
        <s v="INE474O01010"/>
        <s v="INE320I01017"/>
        <s v="INE989J01017"/>
        <s v="INE731G01027"/>
        <s v="INE967H01017"/>
        <s v="INE03Q201024"/>
        <s v="INE00FF01017"/>
        <s v="INE340O01013"/>
        <s v="INE030P01017"/>
        <s v="INE200P01016"/>
        <s v="INE418N01035"/>
        <s v="INE890N01019"/>
        <s v="INE282Y01016"/>
        <s v="INE690O01011"/>
        <s v="INE452O01016"/>
        <s v="INE428B01013"/>
        <s v="INE962O01014"/>
        <s v="INE138O01029"/>
        <s v="INE326P01019"/>
        <s v="INE218P01018"/>
        <s v="INE325P01011"/>
        <s v="INE147P01019"/>
        <s v="INE156M01017"/>
        <s v="INE536P01021"/>
        <s v="INE185K01036"/>
        <s v="INE671C01016"/>
        <s v="INE442P01014"/>
        <s v="INE448G01010"/>
        <s v="INE449G01018"/>
        <s v="INE212P01011"/>
        <s v="INE051G01012"/>
        <s v="INE826P01018"/>
        <s v="INE210P01015"/>
        <s v="INE920P01019"/>
        <s v="INE546I01017"/>
        <s v="INE101H01013"/>
        <s v="INE555P01013"/>
        <s v="INE905P01028"/>
        <s v="INE01GR01018"/>
        <s v="INE084Q01012"/>
        <s v="INE717C01025"/>
        <s v="INE159N01027"/>
        <s v="INE977M01024"/>
        <s v="INE463B01036"/>
        <s v="INE493N01012"/>
        <s v="INE574G01013"/>
        <s v="INE012Q01021"/>
        <s v="INE909D01026"/>
        <s v="INE043W01024"/>
        <s v="INE401B01010"/>
        <s v="INE191P01017"/>
        <s v="INE02Z901011"/>
        <s v="INE452L01012"/>
        <s v="INE266P01017"/>
        <s v="INE792G01011"/>
        <s v="INE318N01011"/>
        <s v="INE502O01018"/>
        <s v="INE508N01025"/>
        <s v="INE296Q01012"/>
        <s v="INE114O01012"/>
        <s v="INE252C01015"/>
        <s v="INE901C01017"/>
        <s v="INE745P01010"/>
        <s v="INE172D01021"/>
        <s v="INE598F01014"/>
        <s v="INE969E01010"/>
        <s v="INE075K01013"/>
        <s v="INE516P01015"/>
        <s v="INE634J01019"/>
        <s v="INE319Q01012"/>
        <s v="INE510P01018"/>
        <s v="INE439E01022"/>
        <s v="INE644U01015"/>
        <s v="INE718P01017"/>
        <s v="INE878P01019"/>
        <s v="INE961O01016"/>
        <s v="INE154M01012"/>
        <s v="INE02ZA01012"/>
        <s v="INE336Q01016"/>
        <s v="INE492N01022"/>
        <s v="INE222B01028"/>
        <s v="INE404F01031"/>
        <s v="INE755Q01025"/>
        <s v="INE457P01020"/>
        <s v="INE868G01019"/>
        <s v="INE099D01018"/>
        <s v="INE840I01014"/>
        <s v="INE406F01010"/>
        <s v="INE314N01028"/>
        <s v="INE837C01013"/>
        <s v="INE729C01020"/>
        <s v="INE948K01011"/>
        <s v="INE221J01015"/>
        <s v="INE509J01013"/>
        <s v="INE898Q01015"/>
        <s v="INE363M01019"/>
        <s v="INE010R01023"/>
        <s v="INE929D01016"/>
        <s v="INE937K01014"/>
        <s v="INE011R01013"/>
        <s v="INE475D01010"/>
        <s v="INE260R01016"/>
        <s v="INE229R01011"/>
        <s v="INE0DK501011"/>
        <s v="INE982Q01017"/>
        <s v="INE761Q01015"/>
        <s v="INE909P01012"/>
        <s v="INE016Q01014"/>
        <s v="INE516E01019"/>
        <s v="INE491C01027"/>
        <s v="INE401Q01018"/>
        <s v="INE176L01017"/>
        <s v="INE480D01010"/>
        <s v="INE131Q01011"/>
        <s v="INE149Q01021"/>
        <s v="INE997C01015"/>
        <s v="INE918C01029"/>
        <s v="INE155R01018"/>
        <s v="INE185C01017"/>
        <s v="INE513R01026"/>
        <s v="INE891N01017"/>
        <s v="INE242Q01016"/>
        <s v="INE474Q01031"/>
        <s v="INE950M01013"/>
        <s v="INE237B01018"/>
        <s v="INE407P01017"/>
        <s v="INE892C01018"/>
        <s v="INE655P01029"/>
        <s v="INE232L01018"/>
        <s v="INE985Q01010"/>
        <s v="INE183Q01020"/>
        <s v="INE370Q01015"/>
        <s v="INE160N01017"/>
        <s v="INE243E01010"/>
        <s v="INE030Q01015"/>
        <s v="INE227F01010"/>
        <s v="INE0LRU01027"/>
        <s v="INE513C01010"/>
        <s v="INE475V01012"/>
        <s v="INE081G01019"/>
        <s v="INE341R01014"/>
        <s v="INE661Q01017"/>
        <s v="INE055Q01012"/>
        <s v="INE380D01012"/>
        <s v="INE865P01016"/>
        <s v="INE029B01019"/>
        <s v="INE499Q01012"/>
        <s v="INE223R01014"/>
        <s v="INE554R01020"/>
        <s v="INE017P01014"/>
        <s v="INE932M01011"/>
        <s v="INE321M01017"/>
        <s v="INE211D01027"/>
        <s v="INE949P01018"/>
        <s v="INE634S01028"/>
        <s v="INE947G01011"/>
        <s v="INE858L01010"/>
        <s v="INE945P01024"/>
        <s v="INE397C01026"/>
        <s v="INE338H01029"/>
        <s v="INE717E01013"/>
        <s v="INE002E01010"/>
        <s v="INE721U01011"/>
        <s v="INE682M01012"/>
        <s v="INE777O01016"/>
        <s v="INE735U01011"/>
        <s v="INE776O01018"/>
        <s v="INE396C01010"/>
        <s v="INE526R01028"/>
        <s v="INE213D01015"/>
        <s v="INE820R01017"/>
        <s v="INE886E01016"/>
        <s v="INE812Q01016"/>
        <s v="INE07I701011"/>
        <s v="INE976R01017"/>
        <s v="INE824Q01011"/>
        <s v="INE859Q01017"/>
        <s v="INE830Q01018"/>
        <s v="INE172N01012"/>
        <s v="INE0KBH01020"/>
        <s v="INE751R01014"/>
        <s v="INE187R01011"/>
        <s v="INE197R01010"/>
        <s v="INE092P01017"/>
        <s v="INE541R01019"/>
        <s v="INE291R01011"/>
        <s v="INE736P01019"/>
        <s v="INE193R01019"/>
        <s v="INE137M01017"/>
        <s v="INE291E01019"/>
        <s v="INE273F01022"/>
        <s v="INE978L01016"/>
        <s v="INE029H01016"/>
        <s v="INE965V01012"/>
        <s v="INE780Q01015"/>
        <s v="INE578R01011"/>
        <s v="INE239L01013"/>
        <s v="INE334E01017"/>
        <s v="INE822Q01015"/>
        <s v="INE467X01015"/>
        <s v="INE761D01021"/>
        <s v="INE527H01019"/>
        <s v="INE945O01019"/>
        <s v="INE788J01021"/>
        <s v="INE04VT01017"/>
        <s v="INE065X01017"/>
        <s v="INE784R01023"/>
        <s v="INE347L01014"/>
        <s v="INE738P01015"/>
        <s v="INE924N01016"/>
        <s v="INE230I01018"/>
        <s v="INE117A01022"/>
        <s v="INE578L01014"/>
        <s v="INE848N01017"/>
        <s v="INE035S01010"/>
        <s v="INE829P01020"/>
        <s v="INE960C01013"/>
        <s v="INE618R01015"/>
        <s v="INE170E01023"/>
        <s v="INE574D01010"/>
        <s v="INE653S01028"/>
        <s v="INE606K01023"/>
        <s v="INE563C01015"/>
        <s v="INE150D01027"/>
        <s v="INE540S01019"/>
        <s v="INE885H01011"/>
        <s v="INE977E01013"/>
        <s v="INE027T01023"/>
        <s v="INE876S01017"/>
        <s v="INE480S01026"/>
        <s v="INE829R01018"/>
        <s v="INE074J01018"/>
        <s v="INE875R01011"/>
        <s v="INE979R01011"/>
        <s v="INE446E01019"/>
        <s v="INE258A01016"/>
        <s v="INE541K01014"/>
        <s v="INE990S01016"/>
        <s v="INE579N01018"/>
        <s v="INE263A01024"/>
        <s v="INE484S01010"/>
        <s v="INE829S01016"/>
        <s v="INE587G01015"/>
        <s v="INE184S01024"/>
        <s v="INE653R01012"/>
        <s v="INE749B01020"/>
        <s v="INE897N01014"/>
        <s v="INE898S01029"/>
        <s v="INE143A01010"/>
        <s v="INE583K01016"/>
        <s v="INE671K01019"/>
        <s v="INE034S01021"/>
        <s v="INE067A01029"/>
        <s v="INE230R01035"/>
        <s v="INE365S01037"/>
        <s v="INE203T01012"/>
        <s v="INE918N01018"/>
        <s v="INE778N01016"/>
        <s v="INE712K01011"/>
        <s v="INE257A01026"/>
        <s v="INE725P01012"/>
        <s v="INE764L01010"/>
        <s v="INE724G01014"/>
        <s v="INE914G01029"/>
        <s v="INE583R01029"/>
        <s v="INE848R01018"/>
        <s v="INE019D01016"/>
        <s v="INE897B01019"/>
        <s v="INE636B01011"/>
        <s v="INE926E01010"/>
        <s v="INE060T01024"/>
        <s v="INE344T01014"/>
        <s v="INE389C01015"/>
        <s v="INE473T01011"/>
        <s v="INE256S01012"/>
        <s v="INE836B01017"/>
        <s v="INE183R01010"/>
        <s v="INE880P01015"/>
        <s v="INE854S01022"/>
        <s v="INE594R01018"/>
        <s v="INE881P01013"/>
        <s v="INE030T01027"/>
        <s v="INE661F01010"/>
        <s v="INE201C01012"/>
        <s v="INE335K01011"/>
        <s v="INE086A01029"/>
        <s v="INE520H01022"/>
        <s v="INE175Q01018"/>
        <s v="INE122N01017"/>
        <s v="INE500L01026"/>
        <s v="INE761R01013"/>
        <s v="INE258R01010"/>
        <s v="INE051N01026"/>
        <s v="INE910R01016"/>
        <s v="INE027S01017"/>
        <s v="INE721C01019"/>
        <s v="INE766D01020"/>
        <s v="INE176R01014"/>
        <s v="INE805Q01028"/>
        <s v="INE641R01017"/>
        <s v="INE551B01012"/>
        <s v="INE364T01012"/>
        <s v="INE343C01012"/>
        <s v="INE284A01012"/>
        <s v="INE255A01020"/>
        <s v="INE381N01019"/>
        <s v="INE146E01015"/>
        <s v="INE430R01015"/>
        <s v="INE570N01025"/>
        <s v="INE150G01020"/>
        <s v="INE834E01016"/>
        <s v="INE281P01016"/>
        <s v="INE217S01014"/>
        <s v="INE654D01010"/>
        <s v="INE235A01022"/>
        <s v="INE108T01013"/>
        <s v="INE005G01026"/>
        <s v="INE994N01019"/>
        <s v="INE425F01028"/>
        <s v="INE750R01016"/>
        <s v="INE974F01025"/>
        <s v="INE582V01015"/>
        <s v="INE728Q01014"/>
        <s v="INE094S01041"/>
        <s v="INE681Q01015"/>
        <s v="INE727C01016"/>
        <s v="INE079C01012"/>
        <s v="INE373T01039"/>
        <s v="INE534E01020"/>
        <s v="INE368E01023"/>
        <s v="INE484I01029"/>
        <s v="INE754D01018"/>
        <s v="INE564S01019"/>
        <s v="INE052T01013"/>
        <s v="INE023R01018"/>
        <s v="INE948Q01018"/>
        <s v="INE684D01025"/>
        <s v="INE792P01020"/>
        <s v="INE306L01010"/>
        <s v="INE332Q01015"/>
        <s v="INE615T01017"/>
        <s v="INE874E01012"/>
        <s v="INE622Q01019"/>
        <s v="INE429R01017"/>
        <s v="INE127T01021"/>
        <s v="INE064T01018"/>
        <s v="INE966Q01010"/>
        <s v="INE314T01025"/>
        <s v="INE194R01017"/>
        <s v="INE748T01016"/>
        <s v="INE773T01014"/>
        <s v="INE427T01017"/>
        <s v="INE250S01015"/>
        <s v="INE216Q01010"/>
        <s v="INE830S01014"/>
        <s v="INE178T01024"/>
        <s v="INE865T01018"/>
        <s v="INE549A01026"/>
        <s v="INE030U01025"/>
        <s v="INE173U01015"/>
        <s v="INE316L01019"/>
        <s v="INE043U01010"/>
        <s v="INE262A01018"/>
        <s v="INE767M01011"/>
        <s v="INE967S01014"/>
        <s v="INE603D01017"/>
        <s v="INE574R01028"/>
        <s v="INE912T01018"/>
        <s v="INE399S01010"/>
        <s v="INE139J01019"/>
        <s v="INE395U01014"/>
        <s v="INE115S01010"/>
        <s v="INE594H01019"/>
        <s v="INE411U01027"/>
        <s v="INE616F01022"/>
        <s v="INE177A01018"/>
        <s v="INE732A01036"/>
        <s v="INE671T01028"/>
        <s v="INE883N01014"/>
        <s v="INE631R01026"/>
        <s v="INE454M01024"/>
        <s v="INE440T01028"/>
        <s v="INE896J01014"/>
        <s v="INE048E01013"/>
        <s v="INE571U01010"/>
        <s v="INE217E01014"/>
        <s v="INE919T01013"/>
        <s v="INE762D01011"/>
        <s v="INE250A01039"/>
        <s v="INE819S01025"/>
        <s v="INE436U01016"/>
        <s v="INE731U01028"/>
        <s v="INE799B01017"/>
        <s v="INE120V01014"/>
        <s v="INE073V01015"/>
        <s v="INE808W01012"/>
        <s v="INE999A01015"/>
        <s v="INE552U01010"/>
        <s v="INE269B01029"/>
        <s v="INE123V01018"/>
        <s v="INE837H01020"/>
        <s v="INE213U01019"/>
        <s v="INE271B01025"/>
        <s v="INE212I01016"/>
        <s v="INE412U01025"/>
        <s v="INE222U01010"/>
        <s v="INE925Q01024"/>
        <s v="INE868B01028"/>
        <s v="INE345U01019"/>
        <s v="INE191V01015"/>
        <s v="INE335A01020"/>
        <s v="INE317V01016"/>
        <s v="INE537U01029"/>
        <s v="INE715T01031"/>
        <s v="INE860T01019"/>
        <s v="INE367U01013"/>
        <s v="INE871L01013"/>
        <s v="INE890S01026"/>
        <s v="INE864T01011"/>
        <s v="INE324A01024"/>
        <s v="INE934S01014"/>
        <s v="INE583V01021"/>
        <s v="INE496M01017"/>
        <s v="INE152A01029"/>
        <s v="INE818R01011"/>
        <s v="INE202R01026"/>
        <s v="INE495S01016"/>
        <s v="INE184B01012"/>
        <s v="INE02BR01017"/>
        <s v="INE565V01010"/>
        <s v="INE427V01013"/>
        <s v="INE700V01021"/>
        <s v="INE564V01013"/>
        <s v="INE942P01013"/>
        <s v="INE640A01023"/>
        <s v="INE905R01016"/>
        <s v="INE268T01015"/>
        <s v="INE208A01029"/>
        <s v="INE298B01010"/>
        <s v="INE964R01013"/>
        <s v="INE298A01020"/>
        <s v="INE894E01028"/>
        <s v="INE552F01011"/>
        <s v="INE341H01023"/>
        <s v="INE186R01013"/>
        <s v="INE850R01014"/>
        <s v="INE042A01014"/>
        <s v="INE666Q01016"/>
        <s v="INE018A01030"/>
        <s v="INE759V01019"/>
        <s v="INE553H01015"/>
        <s v="INE552H01017"/>
        <s v="INE003A01024"/>
        <s v="INE340U01010"/>
        <s v="INE607V01028"/>
        <s v="INE245H01018"/>
        <s v="INE417N01011"/>
        <s v="INE776V01013"/>
        <s v="INE615R01029"/>
        <s v="INE459U01018"/>
        <s v="INE396F01013"/>
        <s v="INE291A01017"/>
        <s v="INE181U01018"/>
        <s v="INE863T01013"/>
        <s v="INE249U01013"/>
        <s v="INE978V01015"/>
        <s v="INE655V01019"/>
        <s v="INE240T01014"/>
        <s v="INE715Q01029"/>
        <s v="INE664N01018"/>
        <s v="INE919I01024"/>
        <s v="INE183A01024"/>
        <s v="INE319T01016"/>
        <s v="INE989S01042"/>
        <s v="INE017W01010"/>
        <s v="INE298W01016"/>
        <s v="INE784W01015"/>
        <s v="INE242B01018"/>
        <s v="INE800W01019"/>
        <s v="INE201M01029"/>
        <s v="INE442V01012"/>
        <s v="INE208U01019"/>
        <s v="INE274V01019"/>
        <s v="INE953W01016"/>
        <s v="INE808R01012"/>
        <s v="INE870V01014"/>
        <s v="INE949C01016"/>
        <s v="INE594W01034"/>
        <s v="INE807K01035"/>
        <s v="INE453S01015"/>
        <s v="INE343X01018"/>
        <s v="INE666D01022"/>
        <s v="INE488V01015"/>
        <s v="INE986W01016"/>
        <s v="INE796W01019"/>
        <s v="INE416X01012"/>
        <s v="INE464A01036"/>
        <s v="INE325X01015"/>
        <s v="INE541A01023"/>
        <s v="INE205B01023"/>
        <s v="INE869I01013"/>
        <s v="INE717A01029"/>
        <s v="INE508W01018"/>
        <s v="INE694X01030"/>
        <s v="INE413X01035"/>
        <s v="INE170V01027"/>
        <s v="INE335W01016"/>
        <s v="INE471W01019"/>
        <s v="INE349W01017"/>
        <s v="INE347W01011"/>
        <s v="INE943X01015"/>
        <s v="INE931X01010"/>
        <s v="INE632W01016"/>
        <s v="INE07NX01019"/>
        <s v="INE536A01023"/>
        <s v="INE320X01016"/>
        <s v="INE371A01025"/>
        <s v="INE344X01016"/>
        <s v="INE172E01011"/>
        <s v="INE686A01026"/>
        <s v="INE346W01013"/>
        <s v="INE145Y01015"/>
        <s v="INE236W01016"/>
        <s v="INE442U01014"/>
        <s v="INE545A01016"/>
        <s v="INE727S01012"/>
        <s v="INE385W01011"/>
        <s v="INE670X01014"/>
        <s v="INE132V01019"/>
        <s v="INE866R01028"/>
        <s v="INE217K01011"/>
        <s v="INE264T01014"/>
        <s v="INE146Y01013"/>
        <s v="INE195A01028"/>
        <s v="INE579D01019"/>
        <s v="INE777X01017"/>
        <s v="INE070D01027"/>
        <s v="INE393P01035"/>
        <s v="INE385F01024"/>
        <s v="INE071Y01013"/>
        <s v="INE973X01012"/>
        <s v="INE327G01032"/>
        <s v="INE695X01011"/>
        <s v="INE183U01022"/>
        <s v="INE864K01010"/>
        <s v="INE414Y01015"/>
        <s v="INE307N01014"/>
        <s v="INE120A01034"/>
        <s v="INE228A01035"/>
        <s v="INE671A01010"/>
        <s v="INE878B01027"/>
        <s v="INE769D01016"/>
        <s v="INE501Y01019"/>
        <s v="INE703B01027"/>
        <s v="INE386A01015"/>
        <s v="INE987E01012"/>
        <s v="INE285A01027"/>
        <s v="INE133Y01011"/>
        <s v="INE834I01025"/>
        <s v="INE618L01018"/>
        <s v="INE325A01013"/>
        <s v="INE204Y01010"/>
        <s v="INE410D01017"/>
        <s v="INE500C01017"/>
        <s v="INE016M01021"/>
        <s v="INE600Y01019"/>
        <s v="INE821Y01011"/>
        <s v="INE597J01018"/>
        <s v="INE664X01025"/>
        <s v="INE564C01013"/>
        <s v="INE340D01016"/>
        <s v="INE994R01028"/>
        <s v="INE646X01014"/>
        <s v="INE670H01017"/>
        <s v="INE649R01010"/>
        <s v="INE841Y01019"/>
        <s v="INE454F01010"/>
        <s v="INE713T01028"/>
        <s v="INE989C01020"/>
        <s v="INE546Y01022"/>
        <s v="INE074A01025"/>
        <s v="INE443P01020"/>
        <s v="INE115G01015"/>
        <s v="INE102C01020"/>
        <s v="INE760Y01011"/>
        <s v="INE200A01026"/>
        <s v="INE063Z01017"/>
        <s v="INE630Y01024"/>
        <s v="INE578V01013"/>
        <s v="INE740X01023"/>
        <s v="INE923Y01023"/>
        <s v="INE586E01020"/>
        <s v="INE773Y01014"/>
        <s v="INE341Z01025"/>
        <s v="INE644Y01017"/>
        <s v="INE220B01022"/>
        <s v="INE673U01014"/>
        <s v="INE398L01017"/>
        <s v="INE339Z01011"/>
        <s v="INE955D01029"/>
        <s v="INE464Z01017"/>
        <s v="INE365Y01019"/>
        <s v="INE452Z01012"/>
        <s v="INE758W01019"/>
        <s v="INE244B01030"/>
        <s v="INE380Z01015"/>
        <s v="INE169F01014"/>
        <s v="INE908D01010"/>
        <s v="INE191B01025"/>
        <s v="INE278R01034"/>
        <s v="INE278H01035"/>
        <s v="INE616Z01012"/>
        <s v="INE495Z01011"/>
        <s v="INE510A01028"/>
        <s v="INE372A01015"/>
        <s v="INE910B01028"/>
        <s v="INE316O01021"/>
        <s v="INE459Z01017"/>
        <s v="INE386C01029"/>
        <s v="INE783X01023"/>
        <s v="INE626Z01029"/>
        <s v="INE871Z01013"/>
        <s v="INE625G01013"/>
        <s v="INE744C01029"/>
        <s v="INE256Z01025"/>
        <s v="INE250Z01010"/>
        <s v="INE896L01010"/>
        <s v="INE424Z01011"/>
        <s v="INE556Z01010"/>
        <s v="INE295Z01015"/>
        <s v="INE00EM01016"/>
        <s v="INE870Z01015"/>
        <s v="INE926R01012"/>
        <s v="INE518E01015"/>
        <s v="INE692Z01013"/>
        <s v="INE325C01035"/>
        <s v="INE236Y01012"/>
        <s v="INE270D01015"/>
        <s v="INE799N01012"/>
        <s v="INE040H01021"/>
        <s v="INE250G01010"/>
        <s v="INE624Z01016"/>
        <s v="INE212H01026"/>
        <s v="INE389H01022"/>
        <s v="INE297H01019"/>
        <s v="INE685Z01033"/>
        <s v="INE268X01017"/>
        <s v="INE960Z01014"/>
        <s v="INE778U01029"/>
        <s v="INE00SY01011"/>
        <s v="INE686C01014"/>
        <s v="INE00WY01013"/>
        <s v="INE177H01021"/>
        <s v="INE299W01022"/>
        <s v="INE422G01015"/>
        <s v="INE540H01012"/>
        <s v="INE572Z01017"/>
        <s v="INE00IY01012"/>
        <s v="INE266S01011"/>
        <s v="INE01B501018"/>
        <s v="INE797Z01010"/>
        <s v="INE00QT01015"/>
        <s v="INE01A501019"/>
        <s v="INE731H01025"/>
        <s v="INE01IU01018"/>
        <s v="INE004Z01011"/>
        <s v="INE00VM01036"/>
        <s v="INE750B01010"/>
        <s v="INE545H01011"/>
        <s v="INE758C01029"/>
        <s v="INE911Z01017"/>
        <s v="INE666Y01010"/>
        <s v="INE01J501010"/>
        <s v="INE642Z01026"/>
        <s v="INE491D01017"/>
        <s v="INE00Q901014"/>
        <s v="INE647Z01017"/>
        <s v="INE00SW01015"/>
        <s v="INE006I01046"/>
        <s v="INE398C01016"/>
        <s v="INE508G01029"/>
        <s v="INE267C01013"/>
        <s v="INE951Z01013"/>
        <s v="INE007G01014"/>
        <s v="INE016X01010"/>
        <s v="INE139E01028"/>
        <s v="INE763I01026"/>
        <s v="INE00S901012"/>
        <s v="INE01NE01012"/>
        <s v="INE00CA01015"/>
        <s v="INE452W01019"/>
        <s v="INE02EZ01022"/>
        <s v="INE576I01022"/>
        <s v="INE302R01024"/>
        <s v="INE797C01019"/>
        <s v="INE020801028"/>
        <s v="INE350Z01018"/>
        <s v="INE01P501012"/>
        <s v="INE726X01014"/>
        <s v="INE512R01010"/>
        <s v="INE264N01017"/>
        <s v="INE634I01029"/>
        <s v="INE02AR01019"/>
        <s v="INE236P01010"/>
        <s v="INE911T01010"/>
        <s v="INE294Z01018"/>
        <s v="INE003B01014"/>
        <s v="INE615H01020"/>
        <s v="INE102F01015"/>
        <s v="INE043R01016"/>
        <s v="INE05FR01029"/>
        <s v="INE01C001018"/>
        <s v="INE02PC01019"/>
        <s v="INE473C01025"/>
        <s v="INE03WT01017"/>
        <s v="INE906L01025"/>
        <s v="INE400N01017"/>
        <s v="INE858B01029"/>
        <s v="INE949H01023"/>
        <s v="INE442H01029"/>
        <s v="INE209L01016"/>
        <s v="INE06LG01010"/>
        <s v="INE417F01017"/>
        <s v="INE136S01016"/>
        <s v="INE05QJ01015"/>
        <s v="INE474H01014"/>
        <s v="INE535P01015"/>
        <s v="INE374E01021"/>
        <s v="INE757T01025"/>
        <s v="INE05BN01019"/>
        <s v="INE413F01016"/>
        <s v="INE01K301012"/>
        <s v="INE050001010"/>
        <s v="INE03JI01017"/>
        <s v="INE190D01015"/>
        <s v="INE02GA01012"/>
        <s v="INE060601023"/>
        <s v="INE04AK01028"/>
        <s v="INE146L01010"/>
        <s v="INE056001014"/>
        <s v="INE04ST01013"/>
        <s v="INE08KP01019"/>
        <s v="INE621L01012"/>
        <s v="INE819G01012"/>
        <s v="INE251B01027"/>
        <s v="INE419M01027"/>
        <s v="INE08E401029"/>
        <s v="INE08JY01013"/>
        <s v="INE466L01038"/>
        <s v="INE152M01016"/>
        <s v="INE08KJ01020"/>
        <s v="INE957W01025"/>
        <s v="INE906Y01028"/>
        <s v="INE186E01011"/>
        <s v="INE702C01027"/>
        <s v="INE743M01012"/>
        <s v="INE492Z01018"/>
        <s v="INE06H201014"/>
        <s v="INE430N01022"/>
        <s v="INE08ZM01014"/>
        <s v="INE052001026"/>
        <s v="INE444X01014"/>
        <s v="INE490Z01012"/>
        <s v="INE317W01022"/>
        <s v="INE839M01018"/>
        <s v="INE095N01031"/>
        <s v="INE05AN01011"/>
        <s v="INE771C01014"/>
        <s v="INE596F01018"/>
        <s v="INE165G01010"/>
        <s v="INE063601012"/>
        <s v="INE025R01021"/>
        <s v="INE066P01011"/>
        <s v="INE04OV01018"/>
        <s v="INE128G01018"/>
        <s v="INE03V001013"/>
        <s v="INE07QQ01016"/>
        <s v="INE117S01016"/>
        <s v="INE195J01029"/>
        <s v="INE0C4I01011"/>
        <s v="INE211R01019"/>
        <s v="INE0BDU01028"/>
        <s v="INE0CQB01010"/>
        <s v="INE093R01011"/>
        <s v="INE281M01013"/>
        <s v="INE06MM01016"/>
        <s v="INE745R01016"/>
        <s v="INE0CRS01012"/>
        <s v="INE09EO01013"/>
        <s v="INE0B9A01018"/>
        <s v="INE02PY01013"/>
        <s v="INE02A801020"/>
        <s v="INE07OG01012"/>
        <s v="INE05ST01028"/>
        <s v="INE917M01012"/>
        <s v="INE0CG601016"/>
        <s v="INE704P01025"/>
        <s v="INE926X01010"/>
        <s v="INE412J01010"/>
        <s v="INE0ALI01010"/>
        <s v="INE0CHO01012"/>
        <s v="INE171Z01026"/>
        <s v="INE03YM01018"/>
        <s v="INE0BTM01013"/>
        <s v="INE066F01020"/>
        <s v="INE09KD01013"/>
        <s v="INE099Z01011"/>
        <s v="INE320J01015"/>
        <s v="INE0E2801015"/>
        <s v="INE060901027"/>
        <s v="INE244W01010"/>
        <s v="INE317B01042"/>
        <s v="INE962Y01021"/>
        <s v="INE0BLY01023"/>
        <s v="INE382Z01011"/>
        <s v="INE07T201019"/>
        <s v="INE285K01026"/>
        <s v="INE09E501017"/>
        <s v="INE0DNW01011"/>
        <s v="INE415G01027"/>
        <s v="INE01BK01022"/>
        <s v="INE018S01016"/>
        <s v="INE455K01017"/>
        <s v="INE00M201021"/>
        <s v="INE689W01016"/>
        <s v="INE00IN01015"/>
        <s v="INE0D7801012"/>
        <s v="INE103C01036"/>
        <s v="INE0DSF01015"/>
        <s v="INE07Y701011"/>
        <s v="INE694N01015"/>
        <s v="INE179G01029"/>
        <s v="INE03RS01027"/>
        <s v="INE249Z01012"/>
        <s v="INE864I01014"/>
        <s v="INE0FLR01028"/>
        <s v="INE561E01015"/>
        <s v="INE0EMB01015"/>
        <s v="INE810G01011"/>
        <s v="INE201P01022"/>
        <s v="INE045601015"/>
        <s v="INE011K01018"/>
        <s v="INE428Q01011"/>
        <s v="INE0IX101010"/>
        <s v="INE018401013"/>
        <s v="INE382M01027"/>
        <s v="INE681K01026"/>
        <s v="INE0CQ101015"/>
        <s v="INE0D9X01018"/>
        <s v="INE0DYJ01015"/>
        <s v="INE0FHS01024"/>
        <s v="INE918Z01012"/>
        <s v="INE505Y01010"/>
        <s v="INE055S01018"/>
        <s v="INE777K01022"/>
        <s v="INE455C01014"/>
        <s v="INE616N01034"/>
        <s v="INE330T01021"/>
        <s v="INE0H8J01015"/>
        <s v="INE0B6101012"/>
        <s v="INE0D6701023"/>
        <s v="INE0DXR01010"/>
        <s v="INE02IJ01035"/>
        <s v="INE980O01024"/>
        <s v="INE489F01016"/>
        <s v="INE777F01014"/>
        <s v="INE0GK401011"/>
        <s v="IN9175A01010"/>
        <s v="INE199P01028"/>
        <s v="INE009A01021"/>
        <s v="INE0GFE01018"/>
        <s v="INE08LI01020"/>
        <s v="INE0H5O01029"/>
        <s v="INE670A01012"/>
        <s v="INE0CT101020"/>
        <s v="INE676A01027"/>
        <s v="INE290S01011"/>
        <s v="INE520A01027"/>
        <s v="INE075A01022"/>
        <s v="INE759A01021"/>
        <s v="INE647W01014"/>
        <s v="INE0EAX01014"/>
        <s v="INE356A01018"/>
        <s v="INE136B01020"/>
        <s v="INE763K01014"/>
        <s v="INE269A01021"/>
        <s v="INE0GAO01018"/>
        <s v="INE0FW001016"/>
        <s v="INE0DLM01024"/>
        <s v="INE860A01027"/>
        <s v="INE02XD01011"/>
        <s v="INE0HLJ01013"/>
        <s v="INE836A01035"/>
        <s v="INE0I2F01015"/>
        <s v="INE0GD201014"/>
        <s v="INE0CWK01019"/>
        <s v="INE935B01025"/>
        <s v="INE02NC01014"/>
        <s v="INE284S01014"/>
        <s v="INE0D0K01022"/>
        <s v="INE881D01027"/>
        <s v="INE07GA01011"/>
        <s v="INE467B01029"/>
        <s v="INE591G01017"/>
        <s v="INE132H01018"/>
        <s v="INE144Z01023"/>
        <s v="INE0JFE01012"/>
        <s v="INE411H01032"/>
        <s v="INE981C01019"/>
        <s v="INE106T01025"/>
        <s v="INE669C01036"/>
        <s v="INE483C01032"/>
        <s v="INE262H01021"/>
        <s v="INE761Y01019"/>
        <s v="INE306R01017"/>
        <s v="INE217L01019"/>
        <s v="INE079N01019"/>
        <s v="INE613C01018"/>
        <s v="INE214T01019"/>
        <s v="INE010V01017"/>
        <s v="INE619B01017"/>
        <s v="INE0GSL01024"/>
        <s v="INE07RO01027"/>
        <s v="INE0JJS01014"/>
        <s v="INE0ILD01014"/>
        <s v="INE176J01011"/>
        <s v="INE977Y01011"/>
        <s v="INE0DRT01018"/>
        <s v="INE02WG01016"/>
        <s v="INE583L01014"/>
        <s v="INE0KA601012"/>
        <s v="INE04I401011"/>
        <s v="INE0KAF01018"/>
        <s v="INE576P01019"/>
        <s v="INE060X01026"/>
        <s v="INE00WC01027"/>
        <s v="INE0JSJ01014"/>
        <s v="INE728Z01015"/>
        <s v="INE0KCM01010"/>
        <s v="INE419U01012"/>
        <s v="INE673E01018"/>
        <s v="INE0I7C01011"/>
        <s v="INE0KQ001017"/>
        <s v="INE0CLI01024"/>
        <s v="INE0K1401012"/>
        <s v="INE691J01019"/>
        <s v="INE652Z01017"/>
        <s v="INE785O01019"/>
        <s v="INE0IQ001011"/>
        <s v="INE779Q01017"/>
        <s v="INE723C01015"/>
        <s v="INE00EV01017"/>
        <s v="INE0KSN01014"/>
        <s v="INE0JMN01019"/>
        <s v="INE0J2K01014"/>
        <s v="INE0L3H01014"/>
        <s v="INE0E5R01017"/>
        <s v="INE0BV301023"/>
        <s v="INE01QM01018"/>
        <s v="INE625X01018"/>
        <s v="INE0NT901020"/>
        <s v="INE142M01025"/>
        <s v="INE0JA001018"/>
        <s v="INE246D01015"/>
        <s v="INE742F01042"/>
        <s v="INE05CY01014"/>
        <s v="INE646L01027"/>
        <s v="INE880J01026"/>
        <s v="INE111A01025"/>
        <s v="INE184Q01010"/>
        <s v="INE0KXN01014"/>
        <s v="INE0IXR01019"/>
        <s v="INE0K6L01010"/>
        <s v="INE0L0L01012"/>
        <s v="INE0GTX01019"/>
        <s v="INE0KHQ01010"/>
        <s v="INE0L1C01019"/>
        <s v="INE0IZQ01016"/>
        <s v="INE0KR801019"/>
        <s v="INE0ID001024"/>
        <s v="INE0L3501015"/>
        <s v="INE0HR601026"/>
        <s v="INE776C01039"/>
        <s v="INE0M3901015"/>
        <s v="INE0JNB01012"/>
        <s v="INE0KKN01029"/>
        <s v="INE682B01023"/>
        <s v="INE0I3401014"/>
        <s v="INE0MC401013"/>
        <s v="INE0D2I01014"/>
        <s v="INE148O01028"/>
        <s v="INE0I0T01010"/>
        <s v="INE0LU301014"/>
        <s v="INE0D6I01015"/>
        <s v="INE0JUS01029"/>
        <s v="INE0M8901010"/>
        <s v="INE0KQQ01011"/>
        <s v="INE0LQS01015"/>
        <s v="INE805R01018"/>
        <s v="INE0MKA01014"/>
        <s v="INE0MKO01015"/>
        <s v="INE150R01019"/>
        <s v="INE0N0J01014"/>
        <s v="INE233B01017"/>
        <s v="INE099S01016"/>
        <s v="INE0MSK01016"/>
        <s v="INE0NC801013"/>
        <s v="INE0KY201021"/>
        <s v="INE669R01018"/>
        <s v="INE017A01032"/>
        <s v="INE891D01026"/>
        <s v="INE0A1101019"/>
        <s v="INE0N1L01018"/>
        <s v="INE104S01022"/>
        <s v="INE117Z01011"/>
        <s v="INE344S01016"/>
        <s v="INE05X901010"/>
        <s v="INE0KL801015"/>
        <s v="INE975Z01012"/>
        <s v="INE139R01012"/>
        <s v="INE684F01012"/>
        <s v="INE123F01029"/>
        <s v="INE0MXP01015"/>
        <s v="INE109A01011"/>
        <s v="INE738I01010"/>
        <s v="INE517F01014"/>
        <s v="INE615P01015"/>
        <s v="INE01EE01011"/>
        <s v="INE395N01027"/>
        <s v="INE01KI01027"/>
        <s v="INE858Q01019"/>
        <s v="INE0N6V01016"/>
        <s v="INE792Z01011"/>
        <s v="INE00OQ01016"/>
        <s v="INE324X01026"/>
        <s v="INE244O01017"/>
        <s v="INE0NT601018"/>
        <s v="INE142Q01026"/>
        <s v="INE00ZE01026"/>
        <s v="INE400R01018"/>
        <s v="INE559R01029"/>
        <s v="INE789R01022"/>
        <s v="INE925R01014"/>
        <s v="INE050401020"/>
        <s v="INE508R01018"/>
        <s v="INE09BN01011"/>
        <s v="INE035801013"/>
        <s v="INE0MFT01014"/>
        <s v="INE0MID01012"/>
        <s v="INE0BSU01018"/>
        <s v="INE0BTI01037"/>
        <s v="INE688A01022"/>
        <s v="INE0M9Q01011"/>
        <s v="INE835U01019"/>
        <s v="INE0O4V01010"/>
        <s v="INE094B01013"/>
        <s v="INE0EEJ01023"/>
        <s v="INE0NNS01018"/>
        <s v="INE0KN201016"/>
        <s v="INE0O4601016"/>
        <s v="INE0OLH01013"/>
        <s v="INE0NPA01011"/>
        <s v="INE0JZS01010"/>
        <s v="INE0G1V01016"/>
        <s v="INE0NYN01016"/>
        <s v="INE118R01024"/>
        <s v="INE645W01026"/>
        <s v="INE753U01022"/>
        <s v="INE0OKG01017"/>
        <s v="INE00TV01015"/>
        <s v="INE0JSX01015"/>
        <s v="INE0NLJ01011"/>
        <s v="INE0OMI01019"/>
        <s v="INE0LKQ01012"/>
        <s v="INE0NIJ01017"/>
        <s v="INE825B01010"/>
        <s v="INE0N0Y01013"/>
        <s v="INE0O1T01010"/>
        <s v="INE0O8901016"/>
        <s v="INE0LCL01028"/>
        <s v="INE0P7001013"/>
        <s v="INE0N7W01012"/>
        <s v="INE508K01013"/>
        <s v="INE0NTC01019"/>
        <s v="INE285J01028"/>
        <s v="INE0LDI01022"/>
        <s v="INE318U01016"/>
        <s v="INE0ALR01029"/>
        <s v="INE557Z01018"/>
        <s v="INE210F01016"/>
        <s v="INE07S101020"/>
        <s v="INE0GYI01028"/>
        <s v="INE0A0S01010"/>
        <s v="INE0PA801013"/>
        <s v="INE964W01021"/>
        <s v="INE0NJ001013"/>
        <s v="INE0NXA01015"/>
        <s v="INE0LOJ01019"/>
        <s v="INE0N5O01013"/>
        <s v="INE0OJ401014"/>
        <s v="INE04Z101016"/>
        <s v="INE0ORA01015"/>
        <s v="INE0ECP01024"/>
        <s v="INE568Z01015"/>
        <s v="INE0Q0M01015"/>
        <s v="INE349Y01013"/>
        <s v="INE317F01035"/>
        <s v="INE01BT01015"/>
        <s v="INE255X01014"/>
        <s v="INE0NZF01019"/>
        <s v="INE0POP01017"/>
        <s v="INE0P3N01018"/>
        <s v="INE418H01029"/>
        <s v="INE0NEV01011"/>
        <s v="INE0AJG01018"/>
        <s v="INE0DN001027"/>
        <s v="INE366I01010"/>
        <s v="INE0JO301016"/>
        <s v="INE0LYO01018"/>
        <s v="INE079J01017"/>
        <s v="INE0OWC01011"/>
        <s v="INE923R01019"/>
        <s v="INE185U01035"/>
        <s v="INE548A01028"/>
        <s v="INE03HW01020"/>
        <s v="INE151A01013"/>
        <s v="INE248A01017"/>
        <s v="INE864X01013"/>
        <s v="INE013V01011"/>
        <s v="INE438C01010"/>
        <s v="INE0MIS01010"/>
        <s v="INE0OJZ01019"/>
        <s v="INE517B01013"/>
        <s v="INE024001021"/>
        <s v="INE0AE001013"/>
        <s v="INE489B01023"/>
        <s v="INE0N2P01017"/>
        <s v="INE05CZ01011"/>
        <s v="INE04T901017"/>
        <s v="INE089C01029"/>
        <s v="INE397D01024"/>
        <s v="INE0OYE01013"/>
        <s v="INE0OV601013"/>
        <s v="INE08U801020"/>
        <s v="INE07K301024"/>
        <s v="INE980Y01015"/>
        <s v="INE669E01016"/>
        <s v="INE438K01021"/>
        <s v="INE121J01017"/>
        <s v="INE371F01016"/>
        <s v="INE0JR601024"/>
        <s v="INE372M01010"/>
        <s v="INE793Z01027"/>
        <s v="INE0KNT01012"/>
        <s v="INE03CM01014"/>
        <s v="INE0MIO01019"/>
        <s v="INE0JWS01017"/>
        <s v="INE0M7501019"/>
        <s v="INE0Q1S01010"/>
        <s v="INE0PA601017"/>
        <s v="INE0INJ01017"/>
        <s v="INE07U701015"/>
        <s v="INE010J01012"/>
        <s v="INE450U01017"/>
        <s v="INE01GZ01011"/>
        <s v="INE0DD101019"/>
        <s v="INE0OH401016"/>
        <s v="INE0Q8P01011"/>
        <s v="INE0QI101019"/>
        <s v="INE818W01011"/>
        <s v="INE004A01022"/>
        <s v="INE343G01021"/>
        <s v="INE0N6U01018"/>
        <s v="INE0PP401015"/>
        <s v="INE486A01021"/>
        <s v="INE007N01010"/>
        <s v="INE570A01022"/>
        <s v="INE717W01049"/>
        <s v="INE00Y201027"/>
        <s v="INE0RDR01012"/>
        <s v="INE0RDM01013"/>
        <s v="INE0P9J01013"/>
        <s v="INE0KQN01018"/>
        <s v="INE036A01016"/>
        <s v="INE245A01021"/>
        <s v="INE725A01022"/>
        <s v="INE0QSK01017"/>
        <s v="INE0Q2Z01013"/>
        <s v="INE0FRK01012"/>
        <s v="INE843S01025"/>
        <s v="INE046W01019"/>
        <s v="INE0DB001013"/>
        <s v="INE589A01014"/>
        <s v="INE220Q01020"/>
        <s v="INE0QZQ01019"/>
        <s v="INE0PEQ01016"/>
        <s v="INE877F01012"/>
        <s v="INE0Q3R01026"/>
        <s v="INE0DUT01020"/>
        <s v="INE0QFT01015"/>
        <s v="INE0A6N01026"/>
        <s v="INE0RNZ01014"/>
        <s v="INE0PSC01024"/>
        <s v="INE0MGS01014"/>
        <s v="INE733E01010"/>
        <s v="INE0GEN01012"/>
        <s v="INE0QIS01011"/>
        <s v="INE456Z01021"/>
        <s v="INE07G501017"/>
        <s v="INE0C5901014"/>
        <s v="INE0PYT01018"/>
        <s v="INE0G5901015"/>
        <s v="INE02H701025"/>
        <s v="INE0Q6L01014"/>
        <s v="INE0OLZ01015"/>
        <s v="INE0R5Z01015"/>
        <s v="INE0NLT01010"/>
        <s v="INE0QZF01012"/>
        <s v="INE988S01028"/>
        <s v="INE0QXV01014"/>
        <s v="INE0KGZ01021"/>
        <s v="INE351F01018"/>
        <s v="INE0J1F01024"/>
        <s v="INE646H01017"/>
        <s v="INE0OYK01010"/>
        <s v="INE010601016"/>
        <s v="INE0QTF01015"/>
        <s v="INE813H01021"/>
        <s v="INE486R01017"/>
        <s v="INE752E01010"/>
        <s v="INE0PT501018"/>
        <s v="INE0CG401037"/>
        <s v="INE0NQ801033"/>
        <s v="INE0MB501011"/>
        <s v="INE0M8R01011"/>
        <s v="INE0L9R01028"/>
        <s v="INE510U01018"/>
        <s v="INE0PB301013"/>
        <s v="INE0QQG01019"/>
        <s v="INE772T01024"/>
        <s v="INE0DTJ01015"/>
        <s v="INE0QVH01025"/>
        <s v="INE0AH901011"/>
        <s v="INE0JVD01011"/>
        <s v="INE0OMZ01013"/>
        <s v="INE0R6Z01013"/>
        <s v="INE0MSS01019"/>
        <s v="INE266Y01019"/>
        <s v="INE614G01033"/>
        <s v="INE0S0701019"/>
        <s v="INE0Q9W01015"/>
        <s v="INE0SGR01013"/>
        <s v="INE0SDC01012"/>
        <s v="INE0OAF01028"/>
        <s v="INE0R6801013"/>
        <s v="INE0QSB01016"/>
        <s v="INE0QXT01018"/>
        <s v="INE0RGM01016"/>
        <s v="INE814H01011"/>
        <s v="INE0QOQ01013"/>
        <s v="INE848E01016"/>
        <s v="INE0SMU01015"/>
        <s v="INE399K01017"/>
        <s v="INE0SCB01016"/>
        <s v="INE0R4W01015"/>
        <s v="INE121E01018"/>
        <s v="INE0Q1R01012"/>
        <s v="INE0RIQ01013"/>
        <s v="INE02L001032"/>
        <s v="INE257C01014"/>
        <s v="INE0TT901016"/>
        <s v="INE0ATZ01017"/>
        <s v="INE0QZ901011"/>
        <s v="INE0QUV01010"/>
        <s v="INE0R7D01018"/>
        <s v="INE0CYK01015"/>
        <s v="INE0HV901016"/>
        <s v="INE0S0I01011"/>
        <s v="INE03DD01011"/>
        <s v="INE841L01016"/>
        <s v="INE0RUJ01013"/>
        <s v="INE916Y01019"/>
        <s v="INE0S6R01027"/>
        <s v="INF346A01034"/>
        <s v="INE002L01015"/>
        <s v="IN9623B01058"/>
        <s v="INE956G01038"/>
        <s v="INE224E01036"/>
        <s v="INE299N01021"/>
        <s v="INE484C01030"/>
        <s v="INE098F01031"/>
        <s v="INE445C01015"/>
        <s v="INE598C01011"/>
        <s v="INE838B01013"/>
        <s v="INE931S01010"/>
        <s v="INE424C01010"/>
        <s v="INE147A01011"/>
        <s v="INE244A01016"/>
        <s v="INE641C01019"/>
        <s v="INE667G01023"/>
        <s v="INE498E01010"/>
        <s v="INE217G01035"/>
        <s v="INE715B01021"/>
        <s v="INE547E01014"/>
        <s v="INE805C01028"/>
        <s v="INE731C01018"/>
        <s v="INE874F01027"/>
        <s v="INE364U01010"/>
        <s v="INE073D01013"/>
        <s v="INE715A01015"/>
        <s v="INE112F01022"/>
        <s v="INE683C01011"/>
        <s v="INE725E01024"/>
        <s v="INF204KB14I2"/>
        <s v="INF732E01045"/>
        <s v="INF204KB15I9"/>
        <s v="INF373I01023"/>
        <s v="INF204KB16I7"/>
        <s v="INF732E01128"/>
        <s v="INF082J01028"/>
        <s v="INF247L01536"/>
        <s v="INE414A01015"/>
        <s v="INE542W01017"/>
        <s v="INE032Z01020"/>
        <s v="INE0CU601026"/>
        <s v="INE0C8K23012"/>
        <s v="INE039O01011"/>
        <s v="INE900L01010"/>
        <s v="INE0Q7Q23015"/>
        <s v="INE0OUT01019"/>
        <s v="INE0LGX01016"/>
        <s v="INE01EO01010"/>
        <s v="INE510W01014"/>
        <s v="INE121N01019"/>
        <s v="INE188Y01015"/>
      </sharedItems>
    </cacheField>
    <cacheField name="Instrument" numFmtId="0">
      <sharedItems>
        <s v="Equity"/>
      </sharedItems>
    </cacheField>
    <cacheField name="Sector" numFmtId="0">
      <sharedItems>
        <s v="Commodities"/>
        <s v="Healthcare"/>
        <s v="Consumer Discretionary"/>
        <s v="Industrials"/>
        <s v="Fast Moving Consumer Goods"/>
        <s v="Telecommunication"/>
        <s v="Financial Services"/>
        <s v="Energy"/>
        <s v="Information Technology"/>
        <s v="Utilities"/>
        <s v="Services"/>
        <s v="Diversified"/>
      </sharedItems>
    </cacheField>
    <cacheField name="Industry" numFmtId="0">
      <sharedItems>
        <s v="Chemicals"/>
        <s v="Forest Materials"/>
        <s v="Healthcare"/>
        <s v="Realty"/>
        <s v="Metals &amp; Mining"/>
        <s v="Consumer Services"/>
        <s v="Textiles"/>
        <s v="Capital Goods"/>
        <s v="Automobile and Auto Components"/>
        <s v="Fast Moving Consumer Goods"/>
        <s v="Construction Materials"/>
        <s v="Media, Entertainment &amp; Publication"/>
        <s v="Telecommunication"/>
        <s v="Financial Services"/>
        <s v="Consumer Durables"/>
        <s v="Oil, Gas &amp; Consumable, Fuels"/>
        <s v="Information Technology"/>
        <s v="Construction"/>
        <s v="Power"/>
        <s v="Services"/>
        <s v="Diversified"/>
        <s v="Utilities"/>
      </sharedItems>
    </cacheField>
    <cacheField name="group2" numFmtId="0">
      <sharedItems>
        <s v="Chemicals &amp; Petrochemicals"/>
        <s v="Paper, Forest &amp; Jute Products"/>
        <s v="Pharmaceuticals &amp; Biotechnology"/>
        <s v="Realty"/>
        <s v="Non - Ferrous Metals"/>
        <s v="Leisure Services"/>
        <s v="Textiles &amp; Apparels"/>
        <s v="Fertilizers &amp; Agrochemicals"/>
        <s v="Industrial Manufacturing"/>
        <s v="Ferrous Metals"/>
        <s v="Auto Components"/>
        <s v="Agricultural Food &amp; other Products"/>
        <s v="Cement &amp; Cement Products"/>
        <s v="Diversified Metals"/>
        <s v="Media"/>
        <s v="Telecom - Equipment &amp; Accessories"/>
        <s v="Capital Markets"/>
        <s v="Consumer Durables"/>
        <s v="Industrial Products"/>
        <s v="Telecom - Services"/>
        <s v="Finance"/>
        <s v="Oil"/>
        <s v="Metals &amp; Minerals Trading"/>
        <s v="IT - Hardware"/>
        <s v="Minerals &amp; Mining"/>
        <s v="Food Products"/>
        <s v="Other Consumer Services"/>
        <s v="Aerospace &amp; Defense"/>
        <s v="Automobiles"/>
        <s v="Construction"/>
        <s v="Retailing"/>
        <s v="Entertainment"/>
        <s v="IT - Software"/>
        <s v="Other Construction Materials"/>
        <s v="IT - Services"/>
        <s v="Power"/>
        <s v="Commercial Services &amp; Supplies"/>
        <s v="Transport Services"/>
        <s v="Electrical Equipment"/>
        <s v="Household Products"/>
        <s v="Engineering Services"/>
        <s v="Transport Infrastructure"/>
        <s v="Agricultural, Commercial &amp; Construction Vehicles"/>
        <s v="Beverages"/>
        <s v="Diversified"/>
        <s v="Personal Products"/>
        <s v="Printing &amp; Publication"/>
        <s v="Cigarettes &amp; Tobacco Products"/>
        <s v="Financial Technology (Fintech)"/>
        <s v="Consumable Fuels"/>
        <s v="Healthcare Services"/>
        <s v="Petroleum Products"/>
        <s v="Gas"/>
        <s v="Healthcare Equipment &amp; Supplies"/>
        <s v="Diversified FMCG"/>
        <s v="Other Utilities"/>
        <s v="Banks"/>
        <s v="Insurance"/>
      </sharedItems>
    </cacheField>
    <cacheField name="Subgroup" numFmtId="0">
      <sharedItems>
        <s v="Specialty Chemicals"/>
        <s v="Paper &amp; Paper Products"/>
        <s v="Pharmaceuticals"/>
        <s v="Commodity Chemicals"/>
        <s v="Residential, Commercial Projects"/>
        <s v="Precious Metals"/>
        <s v="Hotels &amp; Resorts"/>
        <s v="Other Textile Products"/>
        <s v="Fertilizers"/>
        <s v="Industrial Products"/>
        <s v="Iron &amp; Steel"/>
        <s v="Auto Components &amp; Equipments"/>
        <s v="Zinc"/>
        <s v="Sugar"/>
        <s v="Pig Iron"/>
        <s v="Cement &amp; Cement Products"/>
        <s v="Diversified Metals"/>
        <s v="Sponge Iron"/>
        <s v="Print Media"/>
        <s v="Telecom - Equipment &amp; Accessories"/>
        <s v="Other Capital Market related Services"/>
        <s v="Consumer Electronics"/>
        <s v="Aluminium, Copper &amp; Zinc Products"/>
        <s v="Petrochemicals"/>
        <s v="Printing Inks"/>
        <s v="Pesticides &amp; Agrochemicals"/>
        <s v="Aluminium"/>
        <s v="Telecom - Cellular &amp; Fixed line services"/>
        <s v="Carbon Black"/>
        <s v="Dyes And Pigments"/>
        <s v="Packaging"/>
        <s v="Non Banking Financial Company (NBFC)"/>
        <s v="Investment Company"/>
        <s v="Oil Storage &amp; Transportation"/>
        <s v="Other Telecom Services"/>
        <s v="Trading - Minerals"/>
        <s v="Tea &amp; Coffee"/>
        <s v="Tyres &amp; Rubber Products"/>
        <s v="Copper"/>
        <s v="Holding Company"/>
        <s v="Other Financial Services"/>
        <s v="Computers Hardware &amp; Equipments"/>
        <s v="Industrial Gases"/>
        <s v="Oil Exploration &amp; Production"/>
        <s v="Industrial Minerals"/>
        <s v="Tour, Travel Related Services"/>
        <s v="Edible Oil"/>
        <s v="Plastic Products - Industrial"/>
        <s v="Dairy Products"/>
        <s v="Iron &amp; Steel Products"/>
        <s v="Explosives"/>
        <s v="Education"/>
        <s v="Aerospace &amp; Defense"/>
        <s v="Oil Equipment &amp; Services"/>
        <s v="Plastic Products - Consumer"/>
        <s v="Rubber"/>
        <s v="Household Appliances"/>
        <s v="Passenger Cars &amp; Utility Vehicles"/>
        <s v="Footwear"/>
        <s v="Garments &amp; Apparels"/>
        <s v="Gems, Jewellery And Watches"/>
        <s v="Paints"/>
        <s v="2/3 Wheelers"/>
        <s v="Civil Construction"/>
        <s v="Ceramics"/>
        <s v="Compressors, Pumps &amp; Diesel Engines"/>
        <s v="Speciality Retail"/>
        <s v="Trading - Chemicals"/>
        <s v="Other Food Products"/>
        <s v="Furniture, Home Furnishing"/>
        <s v="Restaurants"/>
        <s v="TV Broadcasting &amp; Software Production"/>
        <s v="Media &amp; Entertainment"/>
        <s v="Other Industrial Products"/>
        <s v="Software Products"/>
        <s v="Sanitary Ware"/>
        <s v="Seafood"/>
        <s v="Plywood Boards/ Laminates"/>
        <s v="Other Construction Materials"/>
        <s v="Electrodes &amp; Refractories"/>
        <s v="Diversified Retail"/>
        <s v="IT Enabled Services"/>
        <s v="Film Production, Distribution &amp; Exhibition"/>
        <s v="Internet &amp; Catalogue Retail"/>
        <s v="Power Generation"/>
        <s v="Diversified Commercial Services"/>
        <s v="Logistics Solution Provider"/>
        <s v="Airline"/>
        <s v="Business Process Outsourcing (BPO)/ Knowledge Process Outsourcing (KPO)"/>
        <s v="Other Electrical Equipment"/>
        <s v="Household Products"/>
        <s v="Heavy Electrical Equipment"/>
        <s v="Cables - Electricals"/>
        <s v="Computers - Software &amp; Consulting"/>
        <s v="Dredging"/>
        <s v="Road Assets–Toll, Annuity, Hybrid- Annuity"/>
        <s v="Castings &amp; Forgings"/>
        <s v="Trading &amp; Distributors"/>
        <s v="Commercial Vehicles"/>
        <s v="Construction Vehicles"/>
        <s v="Shipping"/>
        <s v="Airport &amp; Airport services"/>
        <s v="Abrasives &amp; Bearings"/>
        <s v="Stockbroking &amp; Allied"/>
        <s v="Trading - Metals"/>
        <s v="E-Retail/ E-Commerce"/>
        <s v="Packaged Foods"/>
        <s v="Amusement Parks/ Other Recreation"/>
        <s v="Trading - Textile Products"/>
        <s v="Breweries &amp; Distilleries"/>
        <s v="Other Agricultural Products"/>
        <s v="Other Beverages"/>
        <s v="Diversified"/>
        <s v="Personal Care"/>
        <s v="Houseware"/>
        <s v="Printing &amp; Publication"/>
        <s v="Port &amp; Port services"/>
        <s v="Housing Finance Company"/>
        <s v="Cigarettes &amp; Tobacco Products"/>
        <s v="Offshore Support Solution Drilling"/>
        <s v="Data Processing Services"/>
        <s v="Consulting Services"/>
        <s v="Financial Technology (Fintech)"/>
        <s v="Asset Management Company"/>
        <s v="Biotechnology"/>
        <s v="Transport Related Services"/>
        <s v="Electronic Media"/>
        <s v="Real Estate related services"/>
        <s v="Leather And Leather Products"/>
        <s v="Digital Entertainment"/>
        <s v="Ferro &amp; Silica Manganese"/>
        <s v="Coal"/>
        <s v="Granites &amp; Marbles"/>
        <s v="Healthcare Service Provider"/>
        <s v="Telecom - Infrastructure"/>
        <s v="E-Learning"/>
        <s v="Pharmacy Retail"/>
        <s v="Animal Feed"/>
        <s v="Meat Products including Poultry"/>
        <s v="Stationary"/>
        <s v="Refineries &amp; Marketing"/>
        <s v="Hospital"/>
        <s v="Trading - Gas"/>
        <s v="Diversified consumer products"/>
        <s v="Lubricants"/>
        <s v="Gas Transmission/Marketing"/>
        <s v="LPG/CNG/PNG/LNG Supplier"/>
        <s v="Healthcare Research, Analytics &amp; Technology"/>
        <s v="Road Transport"/>
        <s v="Jute &amp; Jute Products"/>
        <s v="Leisure Products"/>
        <s v="Advertising &amp; Media Agencies"/>
        <s v="Forest Products"/>
        <s v="Financial Institution"/>
        <s v="Ship Building &amp; Allied Services"/>
        <s v="Glass - Consumer"/>
        <s v="Medical Equipment &amp; Supplies"/>
        <s v="Diversified FMCG"/>
        <s v="Waste Management"/>
        <s v="Glass - Industrial"/>
        <s v="Auto -Dealer"/>
        <s v="Tractors"/>
        <s v="Private Sector Bank"/>
        <s v="Public Sector Bank"/>
        <s v="Life Insurance"/>
        <s v="Ratings"/>
        <s v="Exchange and Data Platform"/>
        <s v="General Insurance"/>
        <s v="Microfinance Institutions"/>
        <s v="Depositories, Clearing Houses and Other Intermediaries"/>
        <s v="Financial Products Distributor"/>
        <s v="Mutual Fund Scheme - ETF"/>
        <s v="Distributors"/>
        <s v="Other Utilities"/>
        <s v="Wellness"/>
        <s v="Trading Coal"/>
        <s v="Water Supply &amp; Management"/>
        <s v="Railway Wagons"/>
        <s v="Other Consumer Services"/>
        <s v="Food Storage Facilities"/>
        <s v="Integrated Power Utilities"/>
        <s v="Power Trading"/>
        <s v="Insurance Distributors"/>
        <s v="Power - Transmission"/>
        <s v="Power Distribution"/>
        <s v="Trading - Auto Components"/>
      </sharedItems>
    </cacheField>
    <cacheField name="M Cap" numFmtId="164">
      <sharedItems containsSemiMixedTypes="0" containsString="0" containsNumber="1">
        <n v="19156.8292062"/>
        <n v="26446.3775297"/>
        <n v="22490.4927783"/>
        <n v="362.2650675"/>
        <n v="979.73353"/>
        <n v="146.5745809"/>
        <n v="43.41267"/>
        <n v="36.0816058"/>
        <n v="4409.9143508"/>
        <n v="296.2273524"/>
        <n v="20122.6366152"/>
        <n v="151.98702"/>
        <n v="60428.1346229"/>
        <n v="8858.6313611"/>
        <n v="13455.4937729"/>
        <n v="5470.7231383"/>
        <n v="19966.7140875"/>
        <n v="4999.1450893"/>
        <n v="282043.7210633"/>
        <n v="3965.58036"/>
        <n v="226876.0284348"/>
        <n v="10117.3197487"/>
        <n v="19426.9092031"/>
        <n v="167004.8104"/>
        <n v="3350.93544"/>
        <n v="152.31356"/>
        <n v="49.065088"/>
        <n v="743.271322"/>
        <n v="185584.3107632"/>
        <n v="2264.7317606"/>
        <n v="398.15"/>
        <n v="599.380551"/>
        <n v="1467.3363078"/>
        <n v="172.1775324"/>
        <n v="160664.6293066"/>
        <n v="12436.363016"/>
        <n v="8409.1280625"/>
        <n v="5479.8563501"/>
        <n v="482.003836"/>
        <n v="6410.5104746"/>
        <n v="10326.646741"/>
        <n v="97575.0602819"/>
        <n v="3327.3449337"/>
        <n v="14581.9601804"/>
        <n v="49602.7464877"/>
        <n v="163950.6630596"/>
        <n v="154049.6516"/>
        <n v="2609.0793259"/>
        <n v="218922.9473199"/>
        <n v="9250.273796"/>
        <n v="10422.8353914"/>
        <n v="9641.7987149"/>
        <n v="28065.3649345"/>
        <n v="6479.7648587"/>
        <n v="1628.9859863"/>
        <n v="1467.149887"/>
        <n v="630.8043323"/>
        <n v="70046.3666717"/>
        <n v="8215.1258182"/>
        <n v="29861.818264"/>
        <n v="46785.0156"/>
        <n v="34850.1416458"/>
        <n v="9562.010375"/>
        <n v="6554.2739888"/>
        <n v="1165.0372244"/>
        <n v="9.5187829"/>
        <n v="69.377216"/>
        <n v="10847.0977069"/>
        <n v="2961.774"/>
        <n v="3941.8503751"/>
        <n v="2755.81281"/>
        <n v="78.2467041"/>
        <n v="1072.2844072"/>
        <n v="7617.5087748"/>
        <n v="212.844698"/>
        <n v="42755.0366801"/>
        <n v="37084.1208369"/>
        <n v="359010.1251547"/>
        <n v="433.9046295"/>
        <n v="2790.3203493"/>
        <n v="56.8926462"/>
        <n v="30957.7770639"/>
        <n v="850.2036283"/>
        <n v="21.8999479"/>
        <n v="558.3457363"/>
        <n v="71319.62935"/>
        <n v="6450.9499192"/>
        <n v="57115.9531"/>
        <n v="19960.4883023"/>
        <n v="25079.7734183"/>
        <n v="2764.1672001"/>
        <n v="4603.1791201"/>
        <n v="10912.3369288"/>
        <n v="330.2849"/>
        <n v="72872.9153091"/>
        <n v="23.2789795"/>
        <n v="1637.535519"/>
        <n v="1957.692425"/>
        <n v="2709.6550429"/>
        <n v="1.0"/>
        <n v="24.220998"/>
        <n v="1129.6639993"/>
        <n v="5765.309352"/>
        <n v="9083.1853165"/>
        <n v="491.1113214"/>
        <n v="5909.5059493"/>
        <n v="1899.6543579"/>
        <n v="4995.9455792"/>
        <n v="108.048427"/>
        <n v="3204.822712"/>
        <n v="7530.9573951"/>
        <n v="240.4445532"/>
        <n v="10463.4165447"/>
        <n v="180.5796842"/>
        <n v="4187.626182"/>
        <n v="12342.3183"/>
        <n v="34650.8035137"/>
        <n v="69.5915696"/>
        <n v="473.2025278"/>
        <n v="104134.0040424"/>
        <n v="17712.8035111"/>
        <n v="67886.099659"/>
        <n v="88.6182"/>
        <n v="333409.2820698"/>
        <n v="3.0580392"/>
        <n v="32902.2928019"/>
        <n v="4479.2910104"/>
        <n v="97569.4340828"/>
        <n v="15943.5374"/>
        <n v="10029.4767503"/>
        <n v="10842.89895"/>
        <n v="386.2096809"/>
        <n v="5628.2410938"/>
        <n v="33.992023"/>
        <n v="1467.4442165"/>
        <n v="8484.3305221"/>
        <n v="28274.2179473"/>
        <n v="9710.292766"/>
        <n v="1594.511745"/>
        <n v="370.578285"/>
        <n v="15214.072311"/>
        <n v="15.8687477"/>
        <n v="472.9634247"/>
        <n v="1305.8940257"/>
        <n v="230.6238963"/>
        <n v="323.0883503"/>
        <n v="33671.61468"/>
        <n v="2783.9991693"/>
        <n v="34763.008325"/>
        <n v="4969.7585286"/>
        <n v="25477.8588954"/>
        <n v="8025.7700088"/>
        <n v="1123.3087838"/>
        <n v="626.593123"/>
        <n v="8353.7267146"/>
        <n v="7027.6646091"/>
        <n v="1478.9162625"/>
        <n v="913.5599271"/>
        <n v="15510.50384"/>
        <n v="5841.3537354"/>
        <n v="166.366236"/>
        <n v="2435.158854"/>
        <n v="12549.4559204"/>
        <n v="192.1819054"/>
        <n v="187.5976605"/>
        <n v="8667.4527395"/>
        <n v="286.483736"/>
        <n v="6855.6370681"/>
        <n v="12012.096733"/>
        <n v="1925.5748325"/>
        <n v="8831.7498014"/>
        <n v="63971.6712892"/>
        <n v="720.6656243"/>
        <n v="30439.86"/>
        <n v="12345.7018792"/>
        <n v="71.3396302"/>
        <n v="167.0724637"/>
        <n v="86.4365054"/>
        <n v="1000.0039064"/>
        <n v="253.5742831"/>
        <n v="12127.8567955"/>
        <n v="302.4145925"/>
        <n v="16.165072"/>
        <n v="61.342716"/>
        <n v="2188.208"/>
        <n v="488.0789758"/>
        <n v="19505.2741675"/>
        <n v="33373.7188851"/>
        <n v="47358.90824"/>
        <n v="9657.3265518"/>
        <n v="299311.7872042"/>
        <n v="57.2913464"/>
        <n v="22040.5397068"/>
        <n v="111268.8683994"/>
        <n v="1040.7469787"/>
        <n v="22166.6645526"/>
        <n v="4012.8027525"/>
        <n v="25054.1582912"/>
        <n v="3444.294656"/>
        <n v="195097.95776"/>
        <n v="54283.89266"/>
        <n v="18726.8483616"/>
        <n v="3194.627382"/>
        <n v="29497.6949865"/>
        <n v="1546.619028"/>
        <n v="116.5895558"/>
        <n v="11483.4526253"/>
        <n v="75.81787"/>
        <n v="47.6274217"/>
        <n v="77237.4241058"/>
        <n v="14.0606368"/>
        <n v="1140.3761685"/>
        <n v="1369.776469"/>
        <n v="344478.9275"/>
        <n v="4671.3953011"/>
        <n v="299.832214"/>
        <n v="34.2682478"/>
        <n v="334.6518862"/>
        <n v="9.4342938"/>
        <n v="102678.412501"/>
        <n v="2399.93858"/>
        <n v="353838.74982"/>
        <n v="386.2774792"/>
        <n v="389.6686038"/>
        <n v="49662.3153914"/>
        <n v="12958.51392"/>
        <n v="281218.3796746"/>
        <n v="26721.5865527"/>
        <n v="87553.3615"/>
        <n v="33602.84109"/>
        <n v="10954.1800178"/>
        <n v="61800.9963305"/>
        <n v="13770.3571357"/>
        <n v="65691.4513275"/>
        <n v="685.7213853"/>
        <n v="9200.796717"/>
        <n v="129244.986"/>
        <n v="9029.9818277"/>
        <n v="12.899962"/>
        <n v="13145.3114879"/>
        <n v="14585.4505739"/>
        <n v="6924.1467525"/>
        <n v="6436.169856"/>
        <n v="74585.147911"/>
        <n v="6789.5572844"/>
        <n v="1488.9108976"/>
        <n v="59933.1105107"/>
        <n v="7788.4157704"/>
        <n v="7942.152129"/>
        <n v="2721.2954917"/>
        <n v="14782.7"/>
        <n v="16402.6722402"/>
        <n v="16252.3753357"/>
        <n v="14406.1707887"/>
        <n v="139721.6862877"/>
        <n v="4745.3108715"/>
        <n v="115308.3225226"/>
        <n v="846.2165472"/>
        <n v="1183.504"/>
        <n v="7870.8423422"/>
        <n v="10988.7418321"/>
        <n v="5342.2217485"/>
        <n v="7382.18115"/>
        <n v="18945.7754471"/>
        <n v="13645.6740807"/>
        <n v="10201.4987062"/>
        <n v="5435.94645"/>
        <n v="8365.4619744"/>
        <n v="11388.0750924"/>
        <n v="20563.7776956"/>
        <n v="241.3512162"/>
        <n v="8403.6130991"/>
        <n v="6996.4384484"/>
        <n v="5037.5397141"/>
        <n v="1577.72277"/>
        <n v="21.3523751"/>
        <n v="10572.7907142"/>
        <n v="412.5342426"/>
        <n v="1080.4925316"/>
        <n v="7555.9073886"/>
        <n v="9192.0212617"/>
        <n v="112804.2891327"/>
        <n v="5308.3718501"/>
        <n v="14360.6370289"/>
        <n v="163.1235031"/>
        <n v="1593.2726485"/>
        <n v="4008.3520744"/>
        <n v="11796.9912463"/>
        <n v="377000.6518192"/>
        <n v="3157.0898766"/>
        <n v="7142.308525"/>
        <n v="16325.7593948"/>
        <n v="62701.56"/>
        <n v="2.287142"/>
        <n v="46.6081729"/>
        <n v="312.2921678"/>
        <n v="16343.6808187"/>
        <n v="23589.2593909"/>
        <n v="280.6235138"/>
        <n v="3376.6922747"/>
        <n v="66.1100218"/>
        <n v="950.4636696"/>
        <n v="2413.4861271"/>
        <n v="1117.1307048"/>
        <n v="1500.0794227"/>
        <n v="1646.8758295"/>
        <n v="6629.743379"/>
        <n v="30.5922947"/>
        <n v="28.5990278"/>
        <n v="115.0331499"/>
        <n v="2398.0158844"/>
        <n v="8305.27422"/>
        <n v="1289.9699937"/>
        <n v="29.8064679"/>
        <n v="113.3568818"/>
        <n v="2271.0063855"/>
        <n v="137.029741"/>
        <n v="33.04816"/>
        <n v="172.259407"/>
        <n v="810.8565605"/>
        <n v="52.83985"/>
        <n v="80.6040334"/>
        <n v="65.322588"/>
        <n v="14007.22"/>
        <n v="407.887959"/>
        <n v="30109.688226"/>
        <n v="2129.5832339"/>
        <n v="35.0015417"/>
        <n v="22092.4520683"/>
        <n v="2956.8978042"/>
        <n v="112.9999819"/>
        <n v="187.3797146"/>
        <n v="744.0422489"/>
        <n v="46.5423038"/>
        <n v="85781.195305"/>
        <n v="56.1792"/>
        <n v="15.7840932"/>
        <n v="21519.1600266"/>
        <n v="8940.7050051"/>
        <n v="31.2247229"/>
        <n v="7739.6991284"/>
        <n v="120.6564012"/>
        <n v="43642.6154076"/>
        <n v="4893.7936786"/>
        <n v="62.9820964"/>
        <n v="4696.8430329"/>
        <n v="4128.852475"/>
        <n v="526.0984751"/>
        <n v="3921.1722952"/>
        <n v="48.3982311"/>
        <n v="289.405864"/>
        <n v="9488.3048687"/>
        <n v="2281.5747975"/>
        <n v="551.9688562"/>
        <n v="27.4997336"/>
        <n v="206142.5333957"/>
        <n v="1809.1697052"/>
        <n v="334.649721"/>
        <n v="1165.8341375"/>
        <n v="449.0110125"/>
        <n v="29361.441285"/>
        <n v="213.3753428"/>
        <n v="267.4285857"/>
        <n v="408.3588786"/>
        <n v="388.7911796"/>
        <n v="1781.9023957"/>
        <n v="965.7508027"/>
        <n v="738.5053489"/>
        <n v="46.7280096"/>
        <n v="2589.429746"/>
        <n v="749.7921572"/>
        <n v="430.1549322"/>
        <n v="73.0936697"/>
        <n v="104.5071992"/>
        <n v="991.1663809"/>
        <n v="302.3677743"/>
        <n v="3905.908192"/>
        <n v="3785.8159054"/>
        <n v="1.27575"/>
        <n v="3593.1262044"/>
        <n v="3393.2084833"/>
        <n v="105.6018352"/>
        <n v="3286.2521895"/>
        <n v="512.8475417"/>
        <n v="12535.59075"/>
        <n v="142.153985"/>
        <n v="38.4140389"/>
        <n v="497.8481936"/>
        <n v="2065.4899623"/>
        <n v="287.174783"/>
        <n v="3244.2735045"/>
        <n v="177.6322595"/>
        <n v="592.0944"/>
        <n v="31474.7732946"/>
        <n v="413.9879132"/>
        <n v="201.689995"/>
        <n v="19862.5564137"/>
        <n v="654.1372557"/>
        <n v="102.0756"/>
        <n v="265564.71535"/>
        <n v="92.8588055"/>
        <n v="3140.4028615"/>
        <n v="1443.9345238"/>
        <n v="182.8151303"/>
        <n v="2019.1921944"/>
        <n v="1043.429385"/>
        <n v="3019.4223726"/>
        <n v="2139.141216"/>
        <n v="29525.886496"/>
        <n v="24.9002748"/>
        <n v="102.193301"/>
        <n v="829.39997"/>
        <n v="4954.0960075"/>
        <n v="47.59006"/>
        <n v="9121.3620705"/>
        <n v="211.8552"/>
        <n v="266.6242295"/>
        <n v="162.4509969"/>
        <n v="72.5884368"/>
        <n v="3239.1190803"/>
        <n v="2701.271"/>
        <n v="843.1334137"/>
        <n v="195.3617"/>
        <n v="2504.2980744"/>
        <n v="3183.1629843"/>
        <n v="69.5113939"/>
        <n v="93903.6945404"/>
        <n v="2408.4001382"/>
        <n v="2067.4394625"/>
        <n v="2276.1163416"/>
        <n v="5745.0781937"/>
        <n v="36618.5112163"/>
        <n v="2018.9165335"/>
        <n v="99.5328092"/>
        <n v="1841.3109"/>
        <n v="98.9500622"/>
        <n v="243.5905634"/>
        <n v="169.9194281"/>
        <n v="282.0746335"/>
        <n v="246.8298047"/>
        <n v="10257.9119"/>
        <n v="3960.9400406"/>
        <n v="154.710001"/>
        <n v="65642.8540928"/>
        <n v="1801.3169201"/>
        <n v="979.8727442"/>
        <n v="76019.5914675"/>
        <n v="557.5072049"/>
        <n v="382.91064"/>
        <n v="2437.1496722"/>
        <n v="500.9129796"/>
        <n v="9037.8045746"/>
        <n v="2176.34763"/>
        <n v="41.1843603"/>
        <n v="137.5221078"/>
        <n v="22.4656023"/>
        <n v="212.269183"/>
        <n v="602.8222645"/>
        <n v="4374.675132"/>
        <n v="11630.6282012"/>
        <n v="84.8296085"/>
        <n v="385.42341"/>
        <n v="41.8382629"/>
        <n v="3357.3599695"/>
        <n v="1770.1291065"/>
        <n v="5777.56205"/>
        <n v="6.3177221"/>
        <n v="33.5434819"/>
        <n v="2272.900034"/>
        <n v="1674.9599815"/>
        <n v="117.15323"/>
        <n v="660.5269208"/>
        <n v="36.1095759"/>
        <n v="127.145"/>
        <n v="1617.3117459"/>
        <n v="45.33362"/>
        <n v="56.9530079"/>
        <n v="196.6776738"/>
        <n v="1567.5594291"/>
        <n v="1413.1831447"/>
        <n v="1462.2652736"/>
        <n v="1085.492825"/>
        <n v="3782.58"/>
        <n v="2930.6900779"/>
        <n v="1503.5680973"/>
        <n v="1119.2510513"/>
        <n v="407.986749"/>
        <n v="6185.6551504"/>
        <n v="8635.9097825"/>
        <n v="32194.7107412"/>
        <n v="769.0610812"/>
        <n v="479.3102"/>
        <n v="2279.5441014"/>
        <n v="28.521318"/>
        <n v="541.6600045"/>
        <n v="370.0994427"/>
        <n v="1401.77167"/>
        <n v="752.9068352"/>
        <n v="221.779998"/>
        <n v="5173.6396949"/>
        <n v="454.480115"/>
        <n v="121.5143724"/>
        <n v="1709.4170925"/>
        <n v="76.2316326"/>
        <n v="1676.4697879"/>
        <n v="7226.1800299"/>
        <n v="49.1358596"/>
        <n v="1358.0554038"/>
        <n v="972.4124866"/>
        <n v="3779.8170214"/>
        <n v="113.5996399"/>
        <n v="11271.6615424"/>
        <n v="1092.4067636"/>
        <n v="7741.2762296"/>
        <n v="939.5646"/>
        <n v="2325.17674"/>
        <n v="36.3464331"/>
        <n v="3463.5933708"/>
        <n v="1385.8204865"/>
        <n v="75.300027"/>
        <n v="16.8292071"/>
        <n v="25929.33252"/>
        <n v="21.0644"/>
        <n v="30.5929565"/>
        <n v="1027.0355112"/>
        <n v="178.8621756"/>
        <n v="4816.074155"/>
        <n v="114.0202715"/>
        <n v="51.7623061"/>
        <n v="474.0761904"/>
        <n v="1437.4555849"/>
        <n v="425.1433064"/>
        <n v="101.4334194"/>
        <n v="27.383975"/>
        <n v="1979.95428"/>
        <n v="381.4489409"/>
        <n v="168.2019775"/>
        <n v="2301.5329375"/>
        <n v="1222.412062"/>
        <n v="1313.17119"/>
        <n v="1083.6245896"/>
        <n v="198.2364844"/>
        <n v="169.6647764"/>
        <n v="15.8503825"/>
        <n v="363.56355"/>
        <n v="178.9901548"/>
        <n v="14270.4582298"/>
        <n v="89.4295062"/>
        <n v="38257.891128"/>
        <n v="2072.0456478"/>
        <n v="975.9777223"/>
        <n v="224.4925457"/>
        <n v="178.238582"/>
        <n v="888.5664563"/>
        <n v="706.040853"/>
        <n v="6.788249"/>
        <n v="71.7540292"/>
        <n v="10194.4063006"/>
        <n v="51.6353428"/>
        <n v="112.1131778"/>
        <n v="28.7613902"/>
        <n v="602.208937"/>
        <n v="55.2513017"/>
        <n v="59.3838674"/>
        <n v="66.1863051"/>
        <n v="2847.3687"/>
        <n v="5560.9778371"/>
        <n v="126.1783219"/>
        <n v="188.52166"/>
        <n v="888.0074003"/>
        <n v="45.935949"/>
        <n v="107.9507172"/>
        <n v="78.0870141"/>
        <n v="8.716"/>
        <n v="16.3618753"/>
        <n v="20.4546549"/>
        <n v="87.8092618"/>
        <n v="128.1370171"/>
        <n v="195.0492761"/>
        <n v="4091.8465827"/>
        <n v="58.618673"/>
        <n v="37.1443321"/>
        <n v="29.520359"/>
        <n v="263.0253751"/>
        <n v="1130.1697389"/>
        <n v="2038.941"/>
        <n v="5951.1884618"/>
        <n v="435.295536"/>
        <n v="31.8366361"/>
        <n v="1848.331888"/>
        <n v="18.86781"/>
        <n v="57.3465532"/>
        <n v="501.704873"/>
        <n v="257.7535704"/>
        <n v="722.82247"/>
        <n v="14.725"/>
        <n v="53.9820949"/>
        <n v="1293.568"/>
        <n v="3699.0876509"/>
        <n v="18.37087"/>
        <n v="1242.6905225"/>
        <n v="128.373757"/>
        <n v="56.6826855"/>
        <n v="1191.4026346"/>
        <n v="159.28"/>
        <n v="39.8652605"/>
        <n v="1185.7323831"/>
        <n v="303.9730436"/>
        <n v="198.3263945"/>
        <n v="89.9287293"/>
        <n v="1009.0360497"/>
        <n v="16.2642807"/>
        <n v="3537.2012235"/>
        <n v="1125.4545124"/>
        <n v="1666.0746294"/>
        <n v="672.4708738"/>
        <n v="67.2757479"/>
        <n v="1110.539"/>
        <n v="3250.940335"/>
        <n v="1123.3494633"/>
        <n v="406.2953462"/>
        <n v="1095.2407853"/>
        <n v="310062.3911812"/>
        <n v="202.2627555"/>
        <n v="73806.0875825"/>
        <n v="80725.302"/>
        <n v="642.0069786"/>
        <n v="304.0902497"/>
        <n v="15492.073548"/>
        <n v="7.4447522"/>
        <n v="751.5662649"/>
        <n v="80.0001647"/>
        <n v="11458.4789571"/>
        <n v="758.260709"/>
        <n v="2193.4500168"/>
        <n v="159.6810236"/>
        <n v="527.7387817"/>
        <n v="329.4116006"/>
        <n v="1066.5342525"/>
        <n v="2893.1956491"/>
        <n v="7.8061449"/>
        <n v="1160.0954062"/>
        <n v="30.2297235"/>
        <n v="56.8299892"/>
        <n v="1024.1050801"/>
        <n v="5713.8801352"/>
        <n v="109.3157595"/>
        <n v="877.374875"/>
        <n v="9884.8670181"/>
        <n v="59.6132192"/>
        <n v="59.4070716"/>
        <n v="17.2441662"/>
        <n v="1016.2240157"/>
        <n v="1838.0395912"/>
        <n v="915.7136513"/>
        <n v="912.255831"/>
        <n v="23.00305"/>
        <n v="1020.8261632"/>
        <n v="38.1790375"/>
        <n v="218.235067"/>
        <n v="154.4673565"/>
        <n v="18.8241906"/>
        <n v="22.976877"/>
        <n v="122.5798"/>
        <n v="122.287227"/>
        <n v="897.704304"/>
        <n v="895.630225"/>
        <n v="842.7266494"/>
        <n v="17512.9457973"/>
        <n v="89.8268"/>
        <n v="399.788284"/>
        <n v="6965.9676739"/>
        <n v="16192.327465"/>
        <n v="43.4579653"/>
        <n v="1017.6326365"/>
        <n v="47.6023208"/>
        <n v="61.3283868"/>
        <n v="16.754997"/>
        <n v="59.3671913"/>
        <n v="92.006713"/>
        <n v="1138.8841895"/>
        <n v="2438.9769984"/>
        <n v="51.652159"/>
        <n v="67.7707931"/>
        <n v="13.4855794"/>
        <n v="225.0715566"/>
        <n v="22.3475456"/>
        <n v="12.3851146"/>
        <n v="186.4055816"/>
        <n v="60.5529627"/>
        <n v="41.4817903"/>
        <n v="54.9329799"/>
        <n v="24.7161931"/>
        <n v="66.3877774"/>
        <n v="1730.1879577"/>
        <n v="826.6747"/>
        <n v="120.4769611"/>
        <n v="743.6578229"/>
        <n v="123.4151912"/>
        <n v="726.8083481"/>
        <n v="309.533389"/>
        <n v="706.5539116"/>
        <n v="740.378205"/>
        <n v="68.0722625"/>
        <n v="13.8338331"/>
        <n v="19.6773069"/>
        <n v="961.800959"/>
        <n v="88.2729157"/>
        <n v="264.4202125"/>
        <n v="337.3474682"/>
        <n v="1354.3091141"/>
        <n v="6.3182633"/>
        <n v="20.6125871"/>
        <n v="77.9567435"/>
        <n v="276.6536958"/>
        <n v="109.9954"/>
        <n v="55.897289"/>
        <n v="212.7313081"/>
        <n v="699.1173817"/>
        <n v="49.312"/>
        <n v="2671.5974501"/>
        <n v="440.6979162"/>
        <n v="504.281968"/>
        <n v="1746.9186844"/>
        <n v="673.3252956"/>
        <n v="2747.673"/>
        <n v="664.0921472"/>
        <n v="90.1652267"/>
        <n v="849.4488348"/>
        <n v="608.6488963"/>
        <n v="578.0667163"/>
        <n v="556.6322564"/>
        <n v="43.6735185"/>
        <n v="477.6812399"/>
        <n v="416.2139119"/>
        <n v="415.0545317"/>
        <n v="379.27015"/>
        <n v="1589.34636"/>
        <n v="80100.500554"/>
        <n v="92.727465"/>
        <n v="370.3961211"/>
        <n v="166.9548246"/>
        <n v="112.1199951"/>
        <n v="369.3366"/>
        <n v="363.327"/>
        <n v="352.6431166"/>
        <n v="182.7287959"/>
        <n v="350.23596"/>
        <n v="325.1131427"/>
        <n v="122.7506"/>
        <n v="185.718015"/>
        <n v="46.3947183"/>
        <n v="6230.6504763"/>
        <n v="307.9250104"/>
        <n v="304.2276541"/>
        <n v="13.6233173"/>
        <n v="297.8630177"/>
        <n v="6551.903372"/>
        <n v="279.3022622"/>
        <n v="49.6086761"/>
        <n v="38.9660153"/>
        <n v="266.9697259"/>
        <n v="2028.6902593"/>
        <n v="261.6253236"/>
        <n v="256.6878468"/>
        <n v="344.6767383"/>
        <n v="250.5615828"/>
        <n v="250.2084662"/>
        <n v="7351.9069591"/>
        <n v="246.1789182"/>
        <n v="241.7496527"/>
        <n v="233.64732"/>
        <n v="439.8769902"/>
        <n v="290.8893563"/>
        <n v="431.2092936"/>
        <n v="118.43"/>
        <n v="206.902611"/>
        <n v="203.986509"/>
        <n v="191.676503"/>
        <n v="189.9959375"/>
        <n v="330.5348811"/>
        <n v="188.1013575"/>
        <n v="182.7943005"/>
        <n v="614.0520512"/>
        <n v="13525.522395"/>
        <n v="181.832154"/>
        <n v="4009.7412538"/>
        <n v="34.330071"/>
        <n v="99.95059"/>
        <n v="180.8886268"/>
        <n v="35.868077"/>
        <n v="156.1919805"/>
        <n v="70.8439103"/>
        <n v="157.5979676"/>
        <n v="153.7595884"/>
        <n v="690.6285146"/>
        <n v="470.67069"/>
        <n v="2967.5667136"/>
        <n v="146.1539509"/>
        <n v="216.5832638"/>
        <n v="161.1851819"/>
        <n v="145.3320648"/>
        <n v="51015.8697263"/>
        <n v="34.6871194"/>
        <n v="142.5355"/>
        <n v="142.4878034"/>
        <n v="44.1136752"/>
        <n v="118.6801"/>
        <n v="6933.0388209"/>
        <n v="139.4067716"/>
        <n v="185.5890932"/>
        <n v="138.275728"/>
        <n v="477.7819444"/>
        <n v="154.666455"/>
        <n v="70.3615465"/>
        <n v="138.1362719"/>
        <n v="146655.1968598"/>
        <n v="98.931464"/>
        <n v="53.1645254"/>
        <n v="22.6468352"/>
        <n v="3430.6150337"/>
        <n v="946.8890528"/>
        <n v="17.4663716"/>
        <n v="606.2848338"/>
        <n v="50.3437466"/>
        <n v="28.581647"/>
        <n v="2303.5947462"/>
        <n v="2301.0927025"/>
        <n v="277.4900755"/>
        <n v="3431.049485"/>
        <n v="2670.8639503"/>
        <n v="26.6892875"/>
        <n v="11.2914661"/>
        <n v="8.1596473"/>
        <n v="2466.72168"/>
        <n v="214.7405277"/>
        <n v="166.8148716"/>
        <n v="101.863872"/>
        <n v="37190.7055028"/>
        <n v="137.5426722"/>
        <n v="6.2455196"/>
        <n v="37.4253677"/>
        <n v="51.9160244"/>
        <n v="125.942807"/>
        <n v="4.9463568"/>
        <n v="78.0371912"/>
        <n v="5.8193089"/>
        <n v="142.583672"/>
        <n v="13.0855888"/>
        <n v="67.5"/>
        <n v="100.2634363"/>
        <n v="100.722542"/>
        <n v="201.841344"/>
        <n v="412.98993"/>
        <n v="1306.349439"/>
        <n v="3243.0080653"/>
        <n v="9.453"/>
        <n v="429.610596"/>
        <n v="111.8748215"/>
        <n v="320.6054126"/>
        <n v="170.9715"/>
        <n v="87.7742462"/>
        <n v="181009.5518262"/>
        <n v="57.0560596"/>
        <n v="6846.970732"/>
        <n v="3.4085481"/>
        <n v="163.3635214"/>
        <n v="18.6362533"/>
        <n v="94.0207147"/>
        <n v="26.3199999"/>
        <n v="86.296892"/>
        <n v="572.8285"/>
        <n v="19.175"/>
        <n v="158.3951736"/>
        <n v="277.4612979"/>
        <n v="1343.2747897"/>
        <n v="210.37997"/>
        <n v="137.453148"/>
        <n v="61.498296"/>
        <n v="17.6587901"/>
        <n v="11.4652818"/>
        <n v="175.167558"/>
        <n v="12.3474825"/>
        <n v="259.8242"/>
        <n v="19790.5995"/>
        <n v="178.9119013"/>
        <n v="3604.5891813"/>
        <n v="47.8974925"/>
        <n v="268.52046"/>
        <n v="697.6964701"/>
        <n v="75.37491"/>
        <n v="136.44"/>
        <n v="2043.5307441"/>
        <n v="135.5873137"/>
        <n v="919.5069"/>
        <n v="18.9257374"/>
        <n v="33.9349478"/>
        <n v="1.519331"/>
        <n v="33.9590017"/>
        <n v="101.1211282"/>
        <n v="64.8717975"/>
        <n v="84.980035"/>
        <n v="937.5511311"/>
        <n v="144.1611998"/>
        <n v="101.3162035"/>
        <n v="25.1586747"/>
        <n v="452.9855808"/>
        <n v="44.5338252"/>
        <n v="69.3466282"/>
        <n v="38.9694863"/>
        <n v="101.8389"/>
        <n v="9.3187405"/>
        <n v="26.0202582"/>
        <n v="441.6643776"/>
        <n v="118.1316631"/>
        <n v="975.0116135"/>
        <n v="130.5320691"/>
        <n v="8.9480142"/>
        <n v="130.2192523"/>
        <n v="159.470617"/>
        <n v="13.91051"/>
        <n v="318.7013374"/>
        <n v="198.1152693"/>
        <n v="70.1051639"/>
        <n v="1697.6060655"/>
        <n v="219.3878577"/>
        <n v="124.0309648"/>
        <n v="168.271803"/>
        <n v="718.6818116"/>
        <n v="148.0917376"/>
        <n v="7185.0438"/>
        <n v="316.3495815"/>
        <n v="1225.4998515"/>
        <n v="49896.0120714"/>
        <n v="48.0858098"/>
        <n v="42.9455993"/>
        <n v="116.4833731"/>
        <n v="220.4739255"/>
        <n v="719.8034768"/>
        <n v="296.1305998"/>
        <n v="397.2786159"/>
        <n v="422.057678"/>
        <n v="1050.24676"/>
        <n v="159.3403"/>
        <n v="865.08971"/>
        <n v="3039.5209496"/>
        <n v="917.196288"/>
        <n v="69.799996"/>
        <n v="28.7469107"/>
        <n v="26.4175676"/>
        <n v="21.2042764"/>
        <n v="194.1413845"/>
        <n v="40.0840208"/>
        <n v="2777.2170029"/>
        <n v="1317.35409"/>
        <n v="1910.0088"/>
        <n v="114.0663"/>
        <n v="1648.9400452"/>
        <n v="34.4191282"/>
        <n v="106.5201768"/>
        <n v="54.7420483"/>
        <n v="9948.0371518"/>
        <n v="1091.627698"/>
        <n v="4023.773418"/>
        <n v="111.7190256"/>
        <n v="113.532029"/>
        <n v="5351.9022815"/>
        <n v="19.6996421"/>
        <n v="2639.6935958"/>
        <n v="1022.2334895"/>
        <n v="208.2479299"/>
        <n v="112.5672269"/>
        <n v="99.813184"/>
        <n v="215.1695966"/>
        <n v="42.1089662"/>
        <n v="33478.618802"/>
        <n v="320.9573547"/>
        <n v="3521.1064"/>
        <n v="8196.125039"/>
        <n v="779.6861783"/>
        <n v="25937.2791975"/>
        <n v="28.2766003"/>
        <n v="108.123498"/>
        <n v="31.1572166"/>
        <n v="137.4621144"/>
        <n v="1562.156289"/>
        <n v="9259.6231617"/>
        <n v="288.0359076"/>
        <n v="24.5997611"/>
        <n v="6.6624"/>
        <n v="105.2602517"/>
        <n v="60.4706455"/>
        <n v="374.0370852"/>
        <n v="1541.1637709"/>
        <n v="47.6374504"/>
        <n v="131.3850525"/>
        <n v="107.483544"/>
        <n v="655.6656413"/>
        <n v="198.8442335"/>
        <n v="997.4548716"/>
        <n v="127.635701"/>
        <n v="2541.4200131"/>
        <n v="1867.7280513"/>
        <n v="32747.9844015"/>
        <n v="89.6037169"/>
        <n v="3000.3333777"/>
        <n v="364.0585965"/>
        <n v="883.189737"/>
        <n v="2120.878368"/>
        <n v="82.0871845"/>
        <n v="56.338471"/>
        <n v="677.116578"/>
        <n v="434.2471"/>
        <n v="8935.9857376"/>
        <n v="90.9606027"/>
        <n v="85.7353163"/>
        <n v="808.123955"/>
        <n v="585.0686205"/>
        <n v="337.319139"/>
        <n v="6.2800914"/>
        <n v="2739.543455"/>
        <n v="23.1199398"/>
        <n v="1315.6380631"/>
        <n v="6953.7405103"/>
        <n v="582.6307166"/>
        <n v="330.3925536"/>
        <n v="3035.1779381"/>
        <n v="2639.7231685"/>
        <n v="6.185761"/>
        <n v="226.7321841"/>
        <n v="40.8038878"/>
        <n v="104.8870457"/>
        <n v="70.4826491"/>
        <n v="108.5558074"/>
        <n v="14.4914738"/>
        <n v="19.3806462"/>
        <n v="120.6690175"/>
        <n v="283.6552835"/>
        <n v="317.8124811"/>
        <n v="33.732517"/>
        <n v="88.786044"/>
        <n v="36.1026285"/>
        <n v="103.7671773"/>
        <n v="137.000837"/>
        <n v="103.5236"/>
        <n v="17.54231"/>
        <n v="767.4757739"/>
        <n v="4.033371"/>
        <n v="120.116917"/>
        <n v="140.6424593"/>
        <n v="20.0426631"/>
        <n v="85.734451"/>
        <n v="34.0890725"/>
        <n v="121.3093605"/>
        <n v="103.0089551"/>
        <n v="32.3519627"/>
        <n v="20.9018875"/>
        <n v="102.7162817"/>
        <n v="8833.0587113"/>
        <n v="51.6144276"/>
        <n v="20.0197582"/>
        <n v="8390.3131699"/>
        <n v="1022.9653317"/>
        <n v="1760.1132225"/>
        <n v="317.8255276"/>
        <n v="626.869986"/>
        <n v="4899.8141497"/>
        <n v="8813.638395"/>
        <n v="6130.19022"/>
        <n v="899.9279312"/>
        <n v="1173.842855"/>
        <n v="1253.51493"/>
        <n v="185.6235326"/>
        <n v="13.49117"/>
        <n v="100.9118"/>
        <n v="10633.2892883"/>
        <n v="19730.0471394"/>
        <n v="1660.5028737"/>
        <n v="97.415263"/>
        <n v="96.116068"/>
        <n v="87.2006832"/>
        <n v="23.276652"/>
        <n v="86.2519407"/>
        <n v="83.9635368"/>
        <n v="83.1764543"/>
        <n v="105.2273"/>
        <n v="11.7941382"/>
        <n v="6923.0774433"/>
        <n v="298.9510345"/>
        <n v="110.686864"/>
        <n v="2.884987"/>
        <n v="27.0980225"/>
        <n v="13.8459765"/>
        <n v="8.5015246"/>
        <n v="19439.0558058"/>
        <n v="19.6909204"/>
        <n v="7445.6485949"/>
        <n v="132.005617"/>
        <n v="37.7683558"/>
        <n v="108.4214261"/>
        <n v="38.139234"/>
        <n v="20.6632803"/>
        <n v="21.60294"/>
        <n v="35.4441773"/>
        <n v="25.895642"/>
        <n v="60.5856774"/>
        <n v="14.0676827"/>
        <n v="430.6806964"/>
        <n v="43.5569647"/>
        <n v="47.6911312"/>
        <n v="643.7414908"/>
        <n v="136.4158609"/>
        <n v="19.4436468"/>
        <n v="75.103741"/>
        <n v="118.3674985"/>
        <n v="24.0079545"/>
        <n v="21.9316397"/>
        <n v="82.5740202"/>
        <n v="14.661145"/>
        <n v="67.580256"/>
        <n v="10.7779"/>
        <n v="73.3542"/>
        <n v="124.3347581"/>
        <n v="1382.2501737"/>
        <n v="66.5307"/>
        <n v="429.1534533"/>
        <n v="77.4780444"/>
        <n v="476.0042756"/>
        <n v="328.854964"/>
        <n v="1052.2071767"/>
        <n v="4548.69918"/>
        <n v="32.9558966"/>
        <n v="3872.69736"/>
        <n v="1853.46855"/>
        <n v="9588.6846525"/>
        <n v="144.039531"/>
        <n v="1862.5294998"/>
        <n v="401.4037837"/>
        <n v="1567.36804"/>
        <n v="19643.713615"/>
        <n v="935.615067"/>
        <n v="50.5706951"/>
        <n v="353404.232"/>
        <n v="169.5130035"/>
        <n v="146.1990782"/>
        <n v="641.6666231"/>
        <n v="8368.5733482"/>
        <n v="67.3512812"/>
        <n v="3273.71011"/>
        <n v="288.0616103"/>
        <n v="1522.2608945"/>
        <n v="50.1223354"/>
        <n v="81.9297574"/>
        <n v="3040.4735902"/>
        <n v="2770.2840875"/>
        <n v="182.2632228"/>
        <n v="1908.8658"/>
        <n v="2709.60998"/>
        <n v="30.431394"/>
        <n v="28919.795492"/>
        <n v="1672.4501365"/>
        <n v="4687.9640632"/>
        <n v="18543.5233255"/>
        <n v="81.7528364"/>
        <n v="81.4421206"/>
        <n v="124.1369148"/>
        <n v="1373.530722"/>
        <n v="309.0405199"/>
        <n v="91.4858137"/>
        <n v="209.7649355"/>
        <n v="146.763638"/>
        <n v="41.8684145"/>
        <n v="593.8587531"/>
        <n v="15599.5308"/>
        <n v="150.1988659"/>
        <n v="216.5288492"/>
        <n v="1053.644088"/>
        <n v="81.5005575"/>
        <n v="15.5028101"/>
        <n v="2895.2834993"/>
        <n v="59.9926268"/>
        <n v="80.9427052"/>
        <n v="853.8991441"/>
        <n v="140.4304502"/>
        <n v="393.6244942"/>
        <n v="1543.7477825"/>
        <n v="494.5504048"/>
        <n v="9.2860582"/>
        <n v="145.4784185"/>
        <n v="52.7219306"/>
        <n v="2695.4895805"/>
        <n v="665.9540656"/>
        <n v="78.6688877"/>
        <n v="239.6911272"/>
        <n v="80.736808"/>
        <n v="2296.9320038"/>
        <n v="138.334959"/>
        <n v="4628.2050158"/>
        <n v="4736.1852749"/>
        <n v="1003.4903206"/>
        <n v="42295.77436"/>
        <n v="1892.6147741"/>
        <n v="474.7210291"/>
        <n v="28.8984361"/>
        <n v="240.2132809"/>
        <n v="2874.4475922"/>
        <n v="628.0267755"/>
        <n v="30576.2026745"/>
        <n v="70057.0738037"/>
        <n v="37488.6238636"/>
        <n v="956.403855"/>
        <n v="45.5391726"/>
        <n v="80.4576128"/>
        <n v="14480.0784"/>
        <n v="68.8563145"/>
        <n v="17.6932562"/>
        <n v="789.039615"/>
        <n v="160.3479822"/>
        <n v="28.8879942"/>
        <n v="80.4500647"/>
        <n v="125.7591822"/>
        <n v="2965.4407631"/>
        <n v="63.4137865"/>
        <n v="510.1614"/>
        <n v="35.5508149"/>
        <n v="59.660623"/>
        <n v="322.374026"/>
        <n v="20.0411036"/>
        <n v="79.6161381"/>
        <n v="1330.209623"/>
        <n v="348552.9907728"/>
        <n v="79.0834906"/>
        <n v="36.4112645"/>
        <n v="66.0716546"/>
        <n v="2105986.7710168"/>
        <n v="262.00128"/>
        <n v="66007.8651201"/>
        <n v="704.1433451"/>
        <n v="78.84505"/>
        <n v="344.8778602"/>
        <n v="161.237229"/>
        <n v="124.5221325"/>
        <n v="2244.7704038"/>
        <n v="118.5907376"/>
        <n v="21300.93223"/>
        <n v="1480.5791"/>
        <n v="654.8101895"/>
        <n v="4.863158"/>
        <n v="4420.398375"/>
        <n v="58.8918921"/>
        <n v="1261.606054"/>
        <n v="108.6385"/>
        <n v="444.1143656"/>
        <n v="75.4335225"/>
        <n v="547.9151004"/>
        <n v="777.0492652"/>
        <n v="16.1680774"/>
        <n v="23.636342"/>
        <n v="761.308918"/>
        <n v="70.80879"/>
        <n v="108.323731"/>
        <n v="74.5674162"/>
        <n v="968.719976"/>
        <n v="72.1632645"/>
        <n v="8764.309875"/>
        <n v="36.5544202"/>
        <n v="3187.657968"/>
        <n v="5.4771207"/>
        <n v="333.8526905"/>
        <n v="30.666341"/>
        <n v="3314.2418515"/>
        <n v="760.960379"/>
        <n v="50.7825516"/>
        <n v="2333.94898"/>
        <n v="1453.1407678"/>
        <n v="748.5195345"/>
        <n v="120.6768649"/>
        <n v="38.409225"/>
        <n v="2511.4561207"/>
        <n v="198.3282014"/>
        <n v="234796.5750625"/>
        <n v="215.83206"/>
        <n v="67.0127445"/>
        <n v="143895.3378725"/>
        <n v="29.5573801"/>
        <n v="510.715191"/>
        <n v="115.8863806"/>
        <n v="34913.0991825"/>
        <n v="49225.8408015"/>
        <n v="1205.210088"/>
        <n v="96.5054822"/>
        <n v="37.5501631"/>
        <n v="65.8466548"/>
        <n v="926.875521"/>
        <n v="1560.2329155"/>
        <n v="33.3159975"/>
        <n v="657.1193355"/>
        <n v="4722.9497877"/>
        <n v="983.3794064"/>
        <n v="16764.81374"/>
        <n v="1081.2707912"/>
        <n v="100.6797194"/>
        <n v="20.1538788"/>
        <n v="79478.8240344"/>
        <n v="79.3011114"/>
        <n v="135.83201"/>
        <n v="67.3702248"/>
        <n v="68.066453"/>
        <n v="191.2656486"/>
        <n v="13.6661114"/>
        <n v="1179.5606081"/>
        <n v="65.765465"/>
        <n v="64.6289033"/>
        <n v="296717.4855316"/>
        <n v="555.2646414"/>
        <n v="101.7198"/>
        <n v="64.547364"/>
        <n v="236.772192"/>
        <n v="10.33782"/>
        <n v="153.9928467"/>
        <n v="1371.8717453"/>
        <n v="31.298281"/>
        <n v="51.9090267"/>
        <n v="731.629263"/>
        <n v="6263.3895763"/>
        <n v="50.9521783"/>
        <n v="476.6052007"/>
        <n v="173.5116205"/>
        <n v="17.9017146"/>
        <n v="61.5643387"/>
        <n v="222.7248292"/>
        <n v="59.907813"/>
        <n v="24.5314144"/>
        <n v="67.1239288"/>
        <n v="264.4381274"/>
        <n v="40.4655241"/>
        <n v="7.6752"/>
        <n v="16.1588243"/>
        <n v="21.260715"/>
        <n v="8.3858227"/>
        <n v="58.8809098"/>
        <n v="468.8127908"/>
        <n v="390.9811958"/>
        <n v="115.850163"/>
        <n v="100.518336"/>
        <n v="994.3391036"/>
        <n v="115.26"/>
        <n v="305.897984"/>
        <n v="7.472186"/>
        <n v="120.9529711"/>
        <n v="3775.8830844"/>
        <n v="2092.9434342"/>
        <n v="58.0800012"/>
        <n v="204.5465692"/>
        <n v="56.2806959"/>
        <n v="1381.8187102"/>
        <n v="58.5823535"/>
        <n v="42937.5528384"/>
        <n v="510.6914579"/>
        <n v="58.0019051"/>
        <n v="16.3359534"/>
        <n v="387.1744824"/>
        <n v="4081.8767827"/>
        <n v="15322.763992"/>
        <n v="3278.41125"/>
        <n v="19.7962712"/>
        <n v="18.0083"/>
        <n v="1454.5849642"/>
        <n v="107.0878936"/>
        <n v="100343.5258"/>
        <n v="13.2252475"/>
        <n v="5251.3504289"/>
        <n v="21.8248439"/>
        <n v="2442.1533515"/>
        <n v="189.3496694"/>
        <n v="196.7543988"/>
        <n v="3.6955908"/>
        <n v="367.7737275"/>
        <n v="142.8474948"/>
        <n v="34.4237143"/>
        <n v="453.9700608"/>
        <n v="41.7587153"/>
        <n v="3.3434099"/>
        <n v="157.299642"/>
        <n v="56.9886998"/>
        <n v="12.3118423"/>
        <n v="65.0461725"/>
        <n v="20.5750982"/>
        <n v="576.3207858"/>
        <n v="32.3530431"/>
        <n v="332.7745246"/>
        <n v="2157.6816944"/>
        <n v="90.5905135"/>
        <n v="152.52384"/>
        <n v="92.4133357"/>
        <n v="381.9835151"/>
        <n v="8.0917642"/>
        <n v="2516.6599487"/>
        <n v="51.7670116"/>
        <n v="49.4957237"/>
        <n v="56.64534"/>
        <n v="4006.387224"/>
        <n v="737.8903323"/>
        <n v="36.915358"/>
        <n v="8693.1222601"/>
        <n v="39.8267422"/>
        <n v="80.8212266"/>
        <n v="101.8991551"/>
        <n v="77.2525241"/>
        <n v="30.778708"/>
        <n v="39.731434"/>
        <n v="62.0944753"/>
        <n v="105800.4035"/>
        <n v="21401.7883069"/>
        <n v="19.08"/>
        <n v="55.3413639"/>
        <n v="242.6266035"/>
        <n v="882.8726429"/>
        <n v="127.2915"/>
        <n v="380.9187676"/>
        <n v="943.7345406"/>
        <n v="1336.5658531"/>
        <n v="74.8612296"/>
        <n v="53.5788012"/>
        <n v="268.9711222"/>
        <n v="154.7797668"/>
        <n v="12.1596049"/>
        <n v="70.8441757"/>
        <n v="52.5430337"/>
        <n v="156.4547274"/>
        <n v="13.882608"/>
        <n v="1537.8126413"/>
        <n v="52.5221495"/>
        <n v="222.3607823"/>
        <n v="2603.9643346"/>
        <n v="52.4563722"/>
        <n v="52.3075728"/>
        <n v="15.4915209"/>
        <n v="142.6196367"/>
        <n v="38.378598"/>
        <n v="373.5932937"/>
        <n v="12.6277928"/>
        <n v="50.2315608"/>
        <n v="40.279304"/>
        <n v="699.5611455"/>
        <n v="728.603952"/>
        <n v="14.7049905"/>
        <n v="692.8970414"/>
        <n v="985.2700271"/>
        <n v="49.3226681"/>
        <n v="77.9146462"/>
        <n v="59.8306368"/>
        <n v="48.6713657"/>
        <n v="32.4302133"/>
        <n v="84.187323"/>
        <n v="641.771693"/>
        <n v="1841.3480393"/>
        <n v="159.0184188"/>
        <n v="14.7565863"/>
        <n v="591.0985042"/>
        <n v="597.6572593"/>
        <n v="48.0172578"/>
        <n v="45.26388"/>
        <n v="18.7499097"/>
        <n v="113.109834"/>
        <n v="78.4335669"/>
        <n v="40.2482889"/>
        <n v="33.8282723"/>
        <n v="173.6796"/>
        <n v="715.009237"/>
        <n v="154.4343625"/>
        <n v="1158.4173991"/>
        <n v="37.449702"/>
        <n v="1744.6550557"/>
        <n v="85.2073486"/>
        <n v="235.45764"/>
        <n v="230.8204769"/>
        <n v="7.5877406"/>
        <n v="21.7356022"/>
        <n v="22.4481274"/>
        <n v="120.4720718"/>
        <n v="496.7585104"/>
        <n v="1487.4924754"/>
        <n v="48.0155175"/>
        <n v="3977.9250057"/>
        <n v="47.3881415"/>
        <n v="849.9261561"/>
        <n v="473.352768"/>
        <n v="2.8312033"/>
        <n v="16.0691"/>
        <n v="2759.7396663"/>
        <n v="57.8730056"/>
        <n v="66.1092724"/>
        <n v="60.3385248"/>
        <n v="136.3580621"/>
        <n v="19.1890538"/>
        <n v="124.9800374"/>
        <n v="46.693501"/>
        <n v="31.1307951"/>
        <n v="46.39156"/>
        <n v="1690.643392"/>
        <n v="851.1087542"/>
        <n v="139.5603007"/>
        <n v="49.2046003"/>
        <n v="4.5685758"/>
        <n v="72.7176581"/>
        <n v="72.2178338"/>
        <n v="35.8726984"/>
        <n v="3558.4269752"/>
        <n v="3210.4100835"/>
        <n v="497.7347238"/>
        <n v="1583.310307"/>
        <n v="54.4348949"/>
        <n v="45.8863882"/>
        <n v="248.068574"/>
        <n v="1114.4667391"/>
        <n v="3785.416023"/>
        <n v="55493.0392286"/>
        <n v="53404.2084957"/>
        <n v="577210.6605025"/>
        <n v="1485.8310906"/>
        <n v="164.9393752"/>
        <n v="245315.0613975"/>
        <n v="852.9698464"/>
        <n v="43.23778"/>
        <n v="6.7250699"/>
        <n v="94.2247981"/>
        <n v="104.954332"/>
        <n v="65.4789322"/>
        <n v="43.0899586"/>
        <n v="20.0799999"/>
        <n v="13.8549993"/>
        <n v="1031.7337184"/>
        <n v="4676.1389589"/>
        <n v="1103.7552877"/>
        <n v="103.7264371"/>
        <n v="1009.8344035"/>
        <n v="23.1274819"/>
        <n v="13.4495346"/>
        <n v="107583.0534845"/>
        <n v="18.2691939"/>
        <n v="103.0010248"/>
        <n v="14.7785523"/>
        <n v="441.8979598"/>
        <n v="2530.6527628"/>
        <n v="2683.2163096"/>
        <n v="88.4826763"/>
        <n v="773.2502287"/>
        <n v="42.6136223"/>
        <n v="447.8911882"/>
        <n v="49.5727861"/>
        <n v="234.4040099"/>
        <n v="202.0786"/>
        <n v="5.3777073"/>
        <n v="63.22525"/>
        <n v="1948.2048668"/>
        <n v="41.9348299"/>
        <n v="41.3713993"/>
        <n v="395.1803912"/>
        <n v="119.0993519"/>
        <n v="32.9357059"/>
        <n v="2251.8916556"/>
        <n v="371.7184407"/>
        <n v="10.6062286"/>
        <n v="40.5318683"/>
        <n v="43.2791835"/>
        <n v="39.0"/>
        <n v="40.626181"/>
        <n v="52.496"/>
        <n v="38.8512876"/>
        <n v="38.3700975"/>
        <n v="132299.60016"/>
        <n v="1061.3459644"/>
        <n v="38.3482745"/>
        <n v="243.9224039"/>
        <n v="173.6270994"/>
        <n v="77.804689"/>
        <n v="164.94235"/>
        <n v="93.9467292"/>
        <n v="77767.3663273"/>
        <n v="1277.0839876"/>
        <n v="46.3134099"/>
        <n v="921.54132"/>
        <n v="613.7306485"/>
        <n v="3441.4346505"/>
        <n v="19.477479"/>
        <n v="479.8468772"/>
        <n v="160.1976403"/>
        <n v="41.6135547"/>
        <n v="11.587439"/>
        <n v="41.3390178"/>
        <n v="24.8963615"/>
        <n v="504.6964716"/>
        <n v="48.0055842"/>
        <n v="37.96588"/>
        <n v="228.42805"/>
        <n v="22.4648858"/>
        <n v="83.5287412"/>
        <n v="3422.432"/>
        <n v="583.7263586"/>
        <n v="37.8066595"/>
        <n v="742.2177364"/>
        <n v="528559.29"/>
        <n v="92.4441393"/>
        <n v="233.426932"/>
        <n v="72.269422"/>
        <n v="135.2438337"/>
        <n v="14196.4056112"/>
        <n v="2251.7805681"/>
        <n v="135.3963653"/>
        <n v="65.7068367"/>
        <n v="37.4165646"/>
        <n v="53.2997337"/>
        <n v="479.6845"/>
        <n v="37.2096"/>
        <n v="230.789559"/>
        <n v="210.9155177"/>
        <n v="130.4109603"/>
        <n v="64.8296185"/>
        <n v="113.859333"/>
        <n v="231.446992"/>
        <n v="1273.0794101"/>
        <n v="3041.088894"/>
        <n v="9.2264973"/>
        <n v="24.451246"/>
        <n v="13.225889"/>
        <n v="231.2274352"/>
        <n v="35.8235948"/>
        <n v="49.761825"/>
        <n v="35.5584"/>
        <n v="1145.04915"/>
        <n v="15.384745"/>
        <n v="72.1274044"/>
        <n v="15.9129798"/>
        <n v="135.6799388"/>
        <n v="4.6747143"/>
        <n v="8.177165"/>
        <n v="188.5021231"/>
        <n v="24.0008907"/>
        <n v="1341.5612064"/>
        <n v="46.506565"/>
        <n v="63.531017"/>
        <n v="76.5893646"/>
        <n v="35.311912"/>
        <n v="11.3271037"/>
        <n v="738.5262117"/>
        <n v="34.68"/>
        <n v="34.534123"/>
        <n v="23596.998165"/>
        <n v="24.343735"/>
        <n v="80.6452569"/>
        <n v="7.700114"/>
        <n v="2430.0175633"/>
        <n v="749.8958665"/>
        <n v="36.5586183"/>
        <n v="839.8434193"/>
        <n v="812.28945"/>
        <n v="154.958434"/>
        <n v="49.020678"/>
        <n v="57.0826932"/>
        <n v="34.5273412"/>
        <n v="33.927168"/>
        <n v="32.623995"/>
        <n v="709.7552928"/>
        <n v="32.4626077"/>
        <n v="639.9456472"/>
        <n v="96.7709957"/>
        <n v="49.1803286"/>
        <n v="42.4114087"/>
        <n v="680.9517166"/>
        <n v="6104.9318668"/>
        <n v="23.848352"/>
        <n v="44.1872267"/>
        <n v="46.6247736"/>
        <n v="59.0607965"/>
        <n v="8050.0216805"/>
        <n v="15.72236"/>
        <n v="32.32"/>
        <n v="54.8880662"/>
        <n v="1209.7772026"/>
        <n v="361.5044799"/>
        <n v="31.4118003"/>
        <n v="364.6237418"/>
        <n v="135.0608841"/>
        <n v="31.3156172"/>
        <n v="17.2513465"/>
        <n v="1640.030832"/>
        <n v="118.8070977"/>
        <n v="36.21"/>
        <n v="3662.3792988"/>
        <n v="256.725522"/>
        <n v="6085.9466062"/>
        <n v="63.0900299"/>
        <n v="30.8022647"/>
        <n v="41.7202921"/>
        <n v="601.181812"/>
        <n v="1999.8859431"/>
        <n v="66.7721538"/>
        <n v="39.374625"/>
        <n v="12.7883887"/>
        <n v="29.5353091"/>
        <n v="316.953327"/>
        <n v="5225.8662664"/>
        <n v="43.6146954"/>
        <n v="62.2009461"/>
        <n v="96.5008534"/>
        <n v="184.364182"/>
        <n v="144.6705471"/>
        <n v="65.7003221"/>
        <n v="28.7461959"/>
        <n v="2195.8717743"/>
        <n v="19.5314043"/>
        <n v="4642.4751289"/>
        <n v="26.6519964"/>
        <n v="26.0368237"/>
        <n v="3824.0489703"/>
        <n v="15.5813944"/>
        <n v="30.16763"/>
        <n v="7850.6874385"/>
        <n v="198.5618909"/>
        <n v="303.9458162"/>
        <n v="61.692358"/>
        <n v="548.8938"/>
        <n v="44.3442015"/>
        <n v="84.5932959"/>
        <n v="106.729428"/>
        <n v="25.950811"/>
        <n v="872.685481"/>
        <n v="25.0264202"/>
        <n v="282.3089052"/>
        <n v="81.9140121"/>
        <n v="24.3540541"/>
        <n v="12.2005124"/>
        <n v="9.4705201"/>
        <n v="202.000444"/>
        <n v="3617.3452137"/>
        <n v="30.7609087"/>
        <n v="198.1127827"/>
        <n v="72.1217622"/>
        <n v="17.298848"/>
        <n v="247.6014643"/>
        <n v="5.8552077"/>
        <n v="127.8792882"/>
        <n v="25.5974737"/>
        <n v="218.235033"/>
        <n v="284.8262018"/>
        <n v="281.3241783"/>
        <n v="39.2881565"/>
        <n v="31.4059872"/>
        <n v="18.1030523"/>
        <n v="25.57213"/>
        <n v="6210.9435231"/>
        <n v="21.49185"/>
        <n v="16.7192399"/>
        <n v="24.1337436"/>
        <n v="25.2984447"/>
        <n v="20.36814"/>
        <n v="820.6378016"/>
        <n v="1245.98903"/>
        <n v="7321.050025"/>
        <n v="472.322458"/>
        <n v="25.2718706"/>
        <n v="24.7"/>
        <n v="40.1805236"/>
        <n v="387.189227"/>
        <n v="40.168167"/>
        <n v="180.8915179"/>
        <n v="8.986136"/>
        <n v="97.243141"/>
        <n v="14.9110461"/>
        <n v="3.7450648"/>
        <n v="105.3332274"/>
        <n v="386.684176"/>
        <n v="24.276"/>
        <n v="27.0351451"/>
        <n v="217.29768"/>
        <n v="29.3854886"/>
        <n v="29.6347511"/>
        <n v="2016.6095543"/>
        <n v="6579.384292"/>
        <n v="3.8781568"/>
        <n v="5.7840853"/>
        <n v="37.0850263"/>
        <n v="468.3477769"/>
        <n v="6.4059421"/>
        <n v="1112.2577245"/>
        <n v="41.6884355"/>
        <n v="61.7972422"/>
        <n v="20.26056"/>
        <n v="24.2079996"/>
        <n v="19.7880801"/>
        <n v="42.675654"/>
        <n v="208.7110536"/>
        <n v="326.3052"/>
        <n v="95.4253505"/>
        <n v="6.4725834"/>
        <n v="30104.6076006"/>
        <n v="22.5019809"/>
        <n v="29.9515125"/>
        <n v="22.45078"/>
        <n v="2557.229073"/>
        <n v="29.8532902"/>
        <n v="22.3584"/>
        <n v="26.202565"/>
        <n v="158.9842733"/>
        <n v="65.4079911"/>
        <n v="11994.4307484"/>
        <n v="38.3320471"/>
        <n v="22.2897843"/>
        <n v="18.2806839"/>
        <n v="278.4431516"/>
        <n v="9.0535"/>
        <n v="23928.80596"/>
        <n v="3401.1985521"/>
        <n v="343.0142225"/>
        <n v="20.8823252"/>
        <n v="21.9883087"/>
        <n v="21.3270994"/>
        <n v="253.990676"/>
        <n v="5.2269252"/>
        <n v="13.4574023"/>
        <n v="21.17571"/>
        <n v="29.646347"/>
        <n v="21.171415"/>
        <n v="77512.9449687"/>
        <n v="8613.844"/>
        <n v="48.6725162"/>
        <n v="59.7405653"/>
        <n v="124.9906889"/>
        <n v="47.489675"/>
        <n v="16.017936"/>
        <n v="38.52469"/>
        <n v="1280.4339143"/>
        <n v="2129.6054171"/>
        <n v="449.576396"/>
        <n v="137825.69265"/>
        <n v="42.6476517"/>
        <n v="43.6970897"/>
        <n v="4.294485"/>
        <n v="271.3320874"/>
        <n v="89.8183102"/>
        <n v="20.5185821"/>
        <n v="2161.4566559"/>
        <n v="3040.19925"/>
        <n v="41.8380095"/>
        <n v="216.9608307"/>
        <n v="446.66739"/>
        <n v="19.7033323"/>
        <n v="353.892745"/>
        <n v="18.9318247"/>
        <n v="18.8884306"/>
        <n v="213.9081442"/>
        <n v="73.7441273"/>
        <n v="2620.0700565"/>
        <n v="93953.83053"/>
        <n v="235.05183"/>
        <n v="15.9195202"/>
        <n v="14.561843"/>
        <n v="18.8733024"/>
        <n v="37.8651133"/>
        <n v="1792.4573317"/>
        <n v="132.3041722"/>
        <n v="62.2229254"/>
        <n v="121.5448662"/>
        <n v="49.6405699"/>
        <n v="30.9950895"/>
        <n v="25.5119314"/>
        <n v="22.4740224"/>
        <n v="18.3323784"/>
        <n v="172.5862"/>
        <n v="14.7467249"/>
        <n v="1296.397755"/>
        <n v="1660.7288054"/>
        <n v="71.8274702"/>
        <n v="515.1175105"/>
        <n v="52.374399"/>
        <n v="22.680325"/>
        <n v="13.3483159"/>
        <n v="18.1722524"/>
        <n v="154.7324452"/>
        <n v="430.6200008"/>
        <n v="42.5178003"/>
        <n v="18.0636479"/>
        <n v="53.7971282"/>
        <n v="29.0596923"/>
        <n v="308.0466462"/>
        <n v="17.9915686"/>
        <n v="1885.674"/>
        <n v="74.26148"/>
        <n v="5.8511705"/>
        <n v="4.9160152"/>
        <n v="17.78722"/>
        <n v="17.6768429"/>
        <n v="45.0734248"/>
        <n v="84.5296917"/>
        <n v="17.4004215"/>
        <n v="20.0880775"/>
        <n v="23.7257991"/>
        <n v="17.243003"/>
        <n v="900.2920387"/>
        <n v="37.4491395"/>
        <n v="89.8528143"/>
        <n v="43.4124102"/>
        <n v="85.454698"/>
        <n v="17.1308696"/>
        <n v="1572.7437198"/>
        <n v="128.3915701"/>
        <n v="51.2145901"/>
        <n v="1358.0424582"/>
        <n v="3231.7512789"/>
        <n v="15.2124527"/>
        <n v="379.5490442"/>
        <n v="16.934837"/>
        <n v="1951.874605"/>
        <n v="113.3402517"/>
        <n v="4051.308876"/>
        <n v="10.9442984"/>
        <n v="149.7905305"/>
        <n v="954.1350582"/>
        <n v="149.2665369"/>
        <n v="16.7856772"/>
        <n v="39.31847"/>
        <n v="14.22162"/>
        <n v="263.014785"/>
        <n v="102.0555754"/>
        <n v="23.438171"/>
        <n v="53254.28508"/>
        <n v="113.531936"/>
        <n v="907.05091"/>
        <n v="706.039383"/>
        <n v="23318.5856441"/>
        <n v="27.567804"/>
        <n v="10550.7345542"/>
        <n v="2182.490763"/>
        <n v="16.687585"/>
        <n v="8898.009"/>
        <n v="16974.0072805"/>
        <n v="120.1358"/>
        <n v="217.1349891"/>
        <n v="208964.978475"/>
        <n v="13924.1437497"/>
        <n v="24.20352"/>
        <n v="51.9239858"/>
        <n v="548.2662553"/>
        <n v="8291.3863235"/>
        <n v="5923.1400073"/>
        <n v="43707.3427358"/>
        <n v="1074.2207508"/>
        <n v="18156.9631676"/>
        <n v="151.5201382"/>
        <n v="13885.39674"/>
        <n v="12693.4945203"/>
        <n v="434800.3202244"/>
        <n v="30062.107356"/>
        <n v="86.423725"/>
        <n v="15957.1323116"/>
        <n v="76.1352973"/>
        <n v="741207.3203841"/>
        <n v="111.5289071"/>
        <n v="90041.961465"/>
        <n v="134.5367203"/>
        <n v="1341849.2100362"/>
        <n v="1822.368366"/>
        <n v="2244.8391857"/>
        <n v="355781.56785"/>
        <n v="16.08371"/>
        <n v="2586.8880707"/>
        <n v="66.57161"/>
        <n v="43190.1167053"/>
        <n v="66.7473216"/>
        <n v="2399.6252964"/>
        <n v="10392.86427"/>
        <n v="95.7876858"/>
        <n v="33122.2227001"/>
        <n v="20726.9756741"/>
        <n v="6.800295"/>
        <n v="25.981059"/>
        <n v="760.1935492"/>
        <n v="2812.4242958"/>
        <n v="360.2352049"/>
        <n v="44555.6614292"/>
        <n v="20.9597756"/>
        <n v="336.0747427"/>
        <n v="96278.81796"/>
        <n v="1516.8605388"/>
        <n v="101.6280039"/>
        <n v="320.4309709"/>
        <n v="917.991409"/>
        <n v="33310.469761"/>
        <n v="80.3174855"/>
        <n v="135.78201"/>
        <n v="44.5189396"/>
        <n v="224.241022"/>
        <n v="508.5487"/>
        <n v="25901.0362758"/>
        <n v="503.474016"/>
        <n v="15.35325"/>
        <n v="1723.5952984"/>
        <n v="15.3183672"/>
        <n v="5.1381743"/>
        <n v="133.5741823"/>
        <n v="42.3237881"/>
        <n v="11789.0482853"/>
        <n v="157.4850772"/>
        <n v="211.6095508"/>
        <n v="1582.3058986"/>
        <n v="2587.8957461"/>
        <n v="2241.6717598"/>
        <n v="1222.5605092"/>
        <n v="107569.3633283"/>
        <n v="345.6148744"/>
        <n v="155.9172724"/>
        <n v="118100.6508586"/>
        <n v="29358.78"/>
        <n v="151.444638"/>
        <n v="69.8737066"/>
        <n v="725.4541633"/>
        <n v="184.2186777"/>
        <n v="27.920891"/>
        <n v="95.1212063"/>
        <n v="8515.959685"/>
        <n v="2088.8981527"/>
        <n v="14.3416489"/>
        <n v="2177.6307255"/>
        <n v="16.8307669"/>
        <n v="31634.796985"/>
        <n v="33.50207"/>
        <n v="60.5729412"/>
        <n v="4247.58719"/>
        <n v="17298.1885694"/>
        <n v="513.8876331"/>
        <n v="113.151729"/>
        <n v="77.7033387"/>
        <n v="45.9129173"/>
        <n v="285.2560376"/>
        <n v="7771.94416"/>
        <n v="26.3073025"/>
        <n v="14.2738222"/>
        <n v="17949.72435"/>
        <n v="248.35536"/>
        <n v="140012.0389469"/>
        <n v="3286.5319177"/>
        <n v="53730.1623406"/>
        <n v="4.4823545"/>
        <n v="841832.3564995"/>
        <n v="94.618854"/>
        <n v="1237.6946543"/>
        <n v="433.0886616"/>
        <n v="112733.3544347"/>
        <n v="12546.9833678"/>
        <n v="653.548608"/>
        <n v="12681.4165348"/>
        <n v="1285.5838686"/>
        <n v="396974.3421"/>
        <n v="6980.2070715"/>
        <n v="4281.6967275"/>
        <n v="14.2214228"/>
        <n v="121542.8501557"/>
        <n v="134380.6475"/>
        <n v="1960.4967842"/>
        <n v="2352.9981806"/>
        <n v="9229.382448"/>
        <n v="104003.6251896"/>
        <n v="107195.1597284"/>
        <n v="65195.1500171"/>
        <n v="1021.680024"/>
        <n v="45751.6737997"/>
        <n v="22168.8771553"/>
        <n v="178.470468"/>
        <n v="7982.4845456"/>
        <n v="73956.4845714"/>
        <n v="665.6379975"/>
        <n v="7819.370659"/>
        <n v="1418.7237746"/>
        <n v="126.2074288"/>
        <n v="19265.5562568"/>
        <n v="36173.7440713"/>
        <n v="167816.8061836"/>
        <n v="72324.1370007"/>
        <n v="5691.8488617"/>
        <n v="3656.9565"/>
        <n v="1447.6652665"/>
        <n v="54205.3728533"/>
        <n v="2336.0704803"/>
        <n v="35633.6914737"/>
        <n v="6626.8057176"/>
        <n v="7649.8138349"/>
        <n v="5813.2605457"/>
        <n v="366.6719442"/>
        <n v="140133.404675"/>
        <n v="254062.5318505"/>
        <n v="9768.9025"/>
        <n v="182.5235949"/>
        <n v="40306.9108647"/>
        <n v="1391.2364837"/>
        <n v="3160.666099"/>
        <n v="321.698088"/>
        <n v="33.0588885"/>
        <n v="1340.264592"/>
        <n v="14.1201071"/>
        <n v="932.664791"/>
        <n v="1173.182692"/>
        <n v="72260.1270256"/>
        <n v="610.5686955"/>
        <n v="98.9908895"/>
        <n v="45108.42"/>
        <n v="14.0469137"/>
        <n v="20081.538138"/>
        <n v="166.3836625"/>
        <n v="9836.723187"/>
        <n v="40.5676961"/>
        <n v="702.4112592"/>
        <n v="19700.9851492"/>
        <n v="57160.3250672"/>
        <n v="13.9599651"/>
        <n v="8521.626"/>
        <n v="703.4979851"/>
        <n v="1070.3625147"/>
        <n v="176.028102"/>
        <n v="5572.58725"/>
        <n v="266.1582"/>
        <n v="155.3547005"/>
        <n v="16124.9035719"/>
        <n v="1388.835972"/>
        <n v="621.5559876"/>
        <n v="2789.7923609"/>
        <n v="695.3551074"/>
        <n v="87874.27925"/>
        <n v="20494.2797721"/>
        <n v="59357.9579025"/>
        <n v="395.5599878"/>
        <n v="313.948802"/>
        <n v="15.7745901"/>
        <n v="50429.4807695"/>
        <n v="1455.6836883"/>
        <n v="13.756533"/>
        <n v="909.948466"/>
        <n v="61428.9342241"/>
        <n v="632.132989"/>
        <n v="105.1715244"/>
        <n v="1991.3294455"/>
        <n v="964.956275"/>
        <n v="1201.047876"/>
        <n v="24.4402675"/>
        <n v="89900.7743215"/>
        <n v="1967.3282745"/>
        <n v="356.88254"/>
        <n v="1738.7109501"/>
        <n v="440.9152465"/>
        <n v="13.4722346"/>
        <n v="149057.3199972"/>
        <n v="205.3927805"/>
        <n v="1834.7882689"/>
        <n v="2050.4624729"/>
        <n v="5608.2144383"/>
        <n v="310.048528"/>
        <n v="591.5514705"/>
        <n v="28.16759"/>
        <n v="5370.9854337"/>
        <n v="15795.3773951"/>
        <n v="67.5053811"/>
        <n v="1324.5113622"/>
        <n v="47.8040517"/>
        <n v="4481.4502212"/>
        <n v="66283.226462"/>
        <n v="40159.8865175"/>
        <n v="38578.45984"/>
        <n v="383.125254"/>
        <n v="829.8136018"/>
        <n v="834.124145"/>
        <n v="1447.621416"/>
        <n v="1781.9005033"/>
        <n v="15.5638448"/>
        <n v="47.0954481"/>
        <n v="3403.4665161"/>
        <n v="11.6851678"/>
        <n v="11.5919517"/>
        <n v="126342.4891624"/>
        <n v="32748.5950093"/>
        <n v="24751.6654"/>
        <n v="11.09538"/>
        <n v="541.548168"/>
        <n v="83.9541136"/>
        <n v="86663.2438463"/>
        <n v="801.2420566"/>
        <n v="3.416874"/>
        <n v="3528.7912333"/>
        <n v="172.9463466"/>
        <n v="4310.9296888"/>
        <n v="10.9333898"/>
        <n v="452.2783659"/>
        <n v="4601.1180251"/>
        <n v="493.2579468"/>
        <n v="20525.46356"/>
        <n v="14914.012318"/>
        <n v="563.5424255"/>
        <n v="1052.9265266"/>
        <n v="5087.9411091"/>
        <n v="6547.3456561"/>
        <n v="422.0071386"/>
        <n v="6466.7298394"/>
        <n v="931.270532"/>
        <n v="57.5287139"/>
        <n v="4072.840429"/>
        <n v="483.7079658"/>
        <n v="8721.8904759"/>
        <n v="1381.8105015"/>
        <n v="67984.256395"/>
        <n v="257.8762959"/>
        <n v="18541.106748"/>
        <n v="10.6841397"/>
        <n v="171.5404179"/>
        <n v="446.9991269"/>
        <n v="3004.8663375"/>
        <n v="9.9603"/>
        <n v="21116.135044"/>
        <n v="12885.80964"/>
        <n v="121.9409226"/>
        <n v="10830.6261"/>
        <n v="1897.8643467"/>
        <n v="31.9962641"/>
        <n v="44.5878415"/>
        <n v="228664.5644279"/>
        <n v="19.2271922"/>
        <n v="503.1203062"/>
        <n v="9018.278823"/>
        <n v="136.6208174"/>
        <n v="268.9570503"/>
        <n v="16449.3027092"/>
        <n v="18825.9763352"/>
        <n v="1728.40824"/>
        <n v="60078.7362708"/>
        <n v="2834.2150942"/>
        <n v="460.024441"/>
        <n v="949.7023245"/>
        <n v="26081.4474613"/>
        <n v="49.611326"/>
        <n v="182.954669"/>
        <n v="3468.0914865"/>
        <n v="2007.6152173"/>
        <n v="2095.1838223"/>
        <n v="516.6424995"/>
        <n v="117.8658586"/>
        <n v="32950.6997181"/>
        <n v="9.7065901"/>
        <n v="1284.4915263"/>
        <n v="2824.0383345"/>
        <n v="16191.8198"/>
        <n v="161.8488111"/>
        <n v="54.6075729"/>
        <n v="620771.6763005"/>
        <n v="1048.2556364"/>
        <n v="184.9456227"/>
        <n v="200.658626"/>
        <n v="2142.72027"/>
        <n v="2119.5334372"/>
        <n v="8282.2677857"/>
        <n v="198.5826715"/>
        <n v="958.1196404"/>
        <n v="7614.4467"/>
        <n v="311.5461476"/>
        <n v="23300.9967262"/>
        <n v="12561.8749794"/>
        <n v="283.60458"/>
        <n v="332.1818109"/>
        <n v="30.8719305"/>
        <n v="324.1298035"/>
        <n v="227156.0213591"/>
        <n v="4791.1401452"/>
        <n v="5628.2993202"/>
        <n v="248.5919554"/>
        <n v="775.2701777"/>
        <n v="272.7232503"/>
        <n v="9.5395481"/>
        <n v="8731.8385596"/>
        <n v="144.2391219"/>
        <n v="77.72623"/>
        <n v="8.998854"/>
        <n v="17995.9400406"/>
        <n v="979.1328684"/>
        <n v="3289.7726938"/>
        <n v="27.411264"/>
        <n v="56815.6753283"/>
        <n v="8.8664345"/>
        <n v="7740.32802"/>
        <n v="6876.3866768"/>
        <n v="285.209995"/>
        <n v="99.7260673"/>
        <n v="640.0478342"/>
        <n v="113.2758345"/>
        <n v="308.442401"/>
        <n v="348.2526235"/>
        <n v="1504.8090351"/>
        <n v="18206.0486619"/>
        <n v="30502.4142055"/>
        <n v="301.5009752"/>
        <n v="16686.5396342"/>
        <n v="765.618597"/>
        <n v="3072.5237561"/>
        <n v="61.1011581"/>
        <n v="243.4933125"/>
        <n v="526.5435783"/>
        <n v="50340.3449874"/>
        <n v="33542.2813983"/>
        <n v="100.1505928"/>
        <n v="3249.1851973"/>
        <n v="23779.2127947"/>
        <n v="1711.7264385"/>
        <n v="936.4620418"/>
        <n v="50.32127"/>
        <n v="5943.157295"/>
        <n v="120094.697865"/>
        <n v="108512.6032396"/>
        <n v="386.672325"/>
        <n v="2709.457765"/>
        <n v="206.4596899"/>
        <n v="756.2627475"/>
        <n v="294.7944196"/>
        <n v="189.7272578"/>
        <n v="371.1274938"/>
        <n v="198.2473925"/>
        <n v="118.6493664"/>
        <n v="228.6631859"/>
        <n v="287.6280351"/>
        <n v="119.2092356"/>
        <n v="8.6005047"/>
        <n v="11.9414588"/>
        <n v="5.612618"/>
        <n v="774.7433188"/>
        <n v="8393.1074388"/>
        <n v="144.0921525"/>
        <n v="75159.4007042"/>
        <n v="3984.260171"/>
        <n v="139.1943956"/>
        <n v="123.4919913"/>
        <n v="54.8994355"/>
        <n v="2661.321728"/>
        <n v="96413.2067628"/>
        <n v="8.5767502"/>
        <n v="77.49404"/>
        <n v="59030.1144996"/>
        <n v="45739.5633904"/>
        <n v="15216.07536"/>
        <n v="45.434029"/>
        <n v="2377.1984837"/>
        <n v="20701.10757"/>
        <n v="283.9685584"/>
        <n v="1937.0411797"/>
        <n v="15625.6537993"/>
        <n v="2625.9362689"/>
        <n v="2735.3140844"/>
        <n v="1911.7932318"/>
        <n v="27229.1251327"/>
        <n v="15.78797"/>
        <n v="88933.602"/>
        <n v="5673.3453018"/>
        <n v="696.56136"/>
        <n v="7269.1651348"/>
        <n v="1587.5550506"/>
        <n v="4802.2454368"/>
        <n v="28908.3801022"/>
        <n v="198.4406546"/>
        <n v="4118.2667598"/>
        <n v="223.7051531"/>
        <n v="151.9195884"/>
        <n v="2146.607892"/>
        <n v="9425.5422"/>
        <n v="127.2463"/>
        <n v="243.3441627"/>
        <n v="366655.2779206"/>
        <n v="201.5604718"/>
        <n v="32.216345"/>
        <n v="514.3177916"/>
        <n v="1314.9452381"/>
        <n v="58.18701"/>
        <n v="24.6629541"/>
        <n v="11185.571678"/>
        <n v="826.0157735"/>
        <n v="537.8694477"/>
        <n v="57.3945654"/>
        <n v="729.3100883"/>
        <n v="387.7485"/>
        <n v="249.26256"/>
        <n v="3669.1566469"/>
        <n v="148.7129032"/>
        <n v="8.5620313"/>
        <n v="282.0400745"/>
        <n v="1083.6984787"/>
        <n v="725.757816"/>
        <n v="193.7888797"/>
        <n v="4115.5379655"/>
        <n v="2030.5853726"/>
        <n v="2056.6470344"/>
        <n v="11.279364"/>
        <n v="72240.6351707"/>
        <n v="756.8126043"/>
        <n v="21412.9178353"/>
        <n v="11676.4084"/>
        <n v="5667.0684378"/>
        <n v="7618.26362"/>
        <n v="166.8968"/>
        <n v="18435.3059731"/>
        <n v="35093.0841952"/>
        <n v="516.960587"/>
        <n v="273.0588852"/>
        <n v="10961.40087"/>
        <n v="246.8648583"/>
        <n v="8.4193976"/>
        <n v="371.5884839"/>
        <n v="111881.5815"/>
        <n v="77.2863712"/>
        <n v="28691.7834314"/>
        <n v="7.9146659"/>
        <n v="191.703068"/>
        <n v="154.6133364"/>
        <n v="2794.5696706"/>
        <n v="2576.6599977"/>
        <n v="1955.0458722"/>
        <n v="66.6727965"/>
        <n v="857.5042424"/>
        <n v="13.956865"/>
        <n v="2436.4714475"/>
        <n v="12132.2685337"/>
        <n v="323.7616935"/>
        <n v="4373.9870714"/>
        <n v="815.0745145"/>
        <n v="121384.9362952"/>
        <n v="198.9396815"/>
        <n v="2822.6443145"/>
        <n v="42566.1183458"/>
        <n v="85.272768"/>
        <n v="7.3169214"/>
        <n v="72.2614371"/>
        <n v="240.5738918"/>
        <n v="935.950068"/>
        <n v="1187.463736"/>
        <n v="39.4899322"/>
        <n v="244.3488628"/>
        <n v="8714.5853657"/>
        <n v="7.0133007"/>
        <n v="110.5748407"/>
        <n v="234.82865"/>
        <n v="2223.0356712"/>
        <n v="35776.5754825"/>
        <n v="7773.6850349"/>
        <n v="96.9512787"/>
        <n v="17864.8162973"/>
        <n v="6.9635021"/>
        <n v="247.4757365"/>
        <n v="50.4545448"/>
        <n v="24.2826579"/>
        <n v="95.3436035"/>
        <n v="28623.179721"/>
        <n v="278.0024738"/>
        <n v="6.9291936"/>
        <n v="59781.3345413"/>
        <n v="810.756104"/>
        <n v="6.8624759"/>
        <n v="292.705785"/>
        <n v="103.7310446"/>
        <n v="234.5155912"/>
        <n v="100.7034435"/>
        <n v="1109.615148"/>
        <n v="23279.0819885"/>
        <n v="24688.7623434"/>
        <n v="11.22652"/>
        <n v="5326.7661886"/>
        <n v="5.4049384"/>
        <n v="23226.0283512"/>
        <n v="23.1927939"/>
        <n v="1065.2777448"/>
        <n v="114.6076239"/>
        <n v="858.1419917"/>
        <n v="2562.510935"/>
        <n v="6.8906204"/>
        <n v="844.1377978"/>
        <n v="17.3556793"/>
        <n v="13946.4883482"/>
        <n v="143.7075738"/>
        <n v="3954.2455521"/>
        <n v="65.924249"/>
        <n v="5.9686173"/>
        <n v="17144.5611083"/>
        <n v="35.3505587"/>
        <n v="7.8395984"/>
        <n v="13.8611753"/>
        <n v="207.4123677"/>
        <n v="461.2682796"/>
        <n v="454.7124353"/>
        <n v="24.8834856"/>
        <n v="22.72426"/>
        <n v="294.7673967"/>
        <n v="414.1172086"/>
        <n v="35.1291433"/>
        <n v="957.6977591"/>
        <n v="1719.0447016"/>
        <n v="7.195975"/>
        <n v="3715.386863"/>
        <n v="3157.7228639"/>
        <n v="2386.5928863"/>
        <n v="10077.0862857"/>
        <n v="20661.96288"/>
        <n v="2574.368"/>
        <n v="5.9657642"/>
        <n v="5.8941937"/>
        <n v="49.4341737"/>
        <n v="22.44217"/>
        <n v="3387.3158926"/>
        <n v="37.7063572"/>
        <n v="19.3817281"/>
        <n v="90.7636473"/>
        <n v="181.4155"/>
        <n v="676.363396"/>
        <n v="87596.9098923"/>
        <n v="175.4908579"/>
        <n v="29979.55044"/>
        <n v="14.8788821"/>
        <n v="331.9261564"/>
        <n v="306.490926"/>
        <n v="68.5720373"/>
        <n v="62.3459587"/>
        <n v="16548.8512926"/>
        <n v="11474.9686955"/>
        <n v="5535.95694"/>
        <n v="148.245401"/>
        <n v="194.2622062"/>
        <n v="424.914264"/>
        <n v="57.9196987"/>
        <n v="4.132814"/>
        <n v="180.0375109"/>
        <n v="52.7609225"/>
        <n v="10.7767069"/>
        <n v="17.78727"/>
        <n v="952.5897761"/>
        <n v="40.95"/>
        <n v="303.5743025"/>
        <n v="114.307004"/>
        <n v="91.23705"/>
        <n v="1162.2670295"/>
        <n v="413.435291"/>
        <n v="116.8156722"/>
        <n v="274.2258871"/>
        <n v="263.029745"/>
        <n v="19.0379884"/>
        <n v="40.46532"/>
        <n v="23.6199375"/>
        <n v="515.752919"/>
        <n v="33.4341955"/>
        <n v="3.9866381"/>
        <n v="794.1245583"/>
        <n v="448.236945"/>
        <n v="46.6354128"/>
        <n v="186.332663"/>
        <n v="43.5646574"/>
        <n v="79.53026"/>
        <n v="604.874593"/>
        <n v="20.0851217"/>
        <n v="7683.029278"/>
        <n v="61.1960094"/>
        <n v="12.166441"/>
        <n v="3.793817"/>
        <n v="204.3108"/>
        <n v="71.7534195"/>
        <n v="67.9392"/>
        <n v="89.7416334"/>
        <n v="67.923394"/>
        <n v="29.2524946"/>
        <n v="937.37"/>
        <n v="68.6567409"/>
        <n v="2.8171032"/>
        <n v="7.6095292"/>
        <n v="318.0916994"/>
        <n v="46.4399962"/>
        <n v="6.5397071"/>
        <n v="107.2278156"/>
        <n v="30.040361"/>
        <n v="3847.96818"/>
        <n v="80.5900071"/>
        <n v="62.4"/>
        <n v="12919.8701782"/>
        <n v="25.08316"/>
        <n v="38.1022108"/>
        <n v="432.3139636"/>
        <n v="195.9694"/>
        <n v="50.9467787"/>
        <n v="77.3078129"/>
        <n v="78.9894935"/>
        <n v="3991.7569543"/>
        <n v="489.845688"/>
        <n v="421.4710367"/>
        <n v="138.1773228"/>
        <n v="15.5853222"/>
        <n v="137.6234035"/>
        <n v="98.3529025"/>
        <n v="371.848314"/>
        <n v="159.715"/>
        <n v="21055.81845"/>
        <n v="202.39296"/>
        <n v="880.306752"/>
        <n v="34.8197259"/>
        <n v="23.5437484"/>
        <n v="653.2055756"/>
        <n v="89.27228"/>
        <n v="9.5438403"/>
        <n v="13.7329299"/>
        <n v="8.6690561"/>
        <n v="256.839581"/>
        <n v="109.8736"/>
        <n v="25.0231812"/>
        <n v="35032.0459455"/>
        <n v="1269.275138"/>
        <n v="80.3064552"/>
        <n v="27.6162141"/>
        <n v="5.5149759"/>
        <n v="10.1821637"/>
        <n v="25.95646"/>
        <n v="22.7054335"/>
        <n v="7.791986"/>
        <n v="93.3822559"/>
        <n v="289.71792"/>
        <n v="5564.7466552"/>
        <n v="207.1623072"/>
        <n v="227.0459007"/>
        <n v="247.884975"/>
        <n v="31.5821231"/>
        <n v="14.6180338"/>
        <n v="44.354"/>
        <n v="24.3274326"/>
        <n v="160.0975529"/>
        <n v="12.4114192"/>
        <n v="572.3097473"/>
        <n v="84454.4820001"/>
        <n v="110.6898409"/>
        <n v="40.7221331"/>
        <n v="1599.096"/>
        <n v="26.4976909"/>
        <n v="16575.6956759"/>
        <n v="353.656848"/>
        <n v="1116.471825"/>
        <n v="8448.8511187"/>
        <n v="43.5720682"/>
        <n v="70.5330762"/>
        <n v="34.645563"/>
        <n v="423.5169295"/>
        <n v="1491.8862287"/>
        <n v="3.203294"/>
        <n v="57.2711212"/>
        <n v="1058.116592"/>
        <n v="369.8842574"/>
        <n v="181.9779889"/>
        <n v="464.83554"/>
        <n v="4238.226"/>
        <n v="6982.8393375"/>
        <n v="12.5112"/>
        <n v="96.9491712"/>
        <n v="5.0330872"/>
        <n v="253.273211"/>
        <n v="261.60858"/>
        <n v="27.9565026"/>
        <n v="21.9501762"/>
        <n v="23.506776"/>
        <n v="31.2116827"/>
        <n v="10.9499119"/>
        <n v="19.3154696"/>
        <n v="262.0257"/>
        <n v="513.1187768"/>
        <n v="13.4360372"/>
        <n v="1026.31824"/>
        <n v="13258.6077"/>
        <n v="774.4674983"/>
        <n v="120.8320666"/>
        <n v="19.895"/>
        <n v="61.6897184"/>
        <n v="180438.73172"/>
        <n v="33.9696945"/>
        <n v="277.6521206"/>
        <n v="298.461044"/>
        <n v="76.1213277"/>
        <n v="1985.949"/>
        <n v="1376.34375"/>
        <n v="62.534772"/>
        <n v="160.9085347"/>
        <n v="149.1546821"/>
        <n v="134.1671708"/>
        <n v="51.4131026"/>
        <n v="1100.9101663"/>
        <n v="568.009356"/>
        <n v="224.5346167"/>
        <n v="20.247283"/>
        <n v="83.6488988"/>
        <n v="367.2743525"/>
        <n v="18981.3507629"/>
        <n v="257.5024153"/>
        <n v="17.09568"/>
        <n v="24.73054"/>
        <n v="225566.9181925"/>
        <n v="270.7291599"/>
        <n v="573.6996507"/>
        <n v="109.6016497"/>
        <n v="8.9430177"/>
        <n v="16.0182926"/>
        <n v="978.0001117"/>
        <n v="921.9449"/>
        <n v="106.9525614"/>
        <n v="3195.5221738"/>
        <n v="107236.3663813"/>
        <n v="1780.4645"/>
        <n v="84.9977133"/>
        <n v="210.7409764"/>
        <n v="248.7646787"/>
        <n v="689.92006"/>
        <n v="103510.7698512"/>
        <n v="1575.325"/>
        <n v="196.2190228"/>
        <n v="121.6460766"/>
        <n v="46.0056539"/>
        <n v="458.8318172"/>
        <n v="84.675723"/>
        <n v="145.1927737"/>
        <n v="402.1242202"/>
        <n v="732.6039008"/>
        <n v="94.5423"/>
        <n v="9.6142149"/>
        <n v="2427.394381"/>
        <n v="252.1923536"/>
        <n v="46.9538081"/>
        <n v="1161.1726408"/>
        <n v="10628.5162201"/>
        <n v="152.9139943"/>
        <n v="2639.0741682"/>
        <n v="1208.882"/>
        <n v="45.0581375"/>
        <n v="175.5160879"/>
        <n v="20.7559739"/>
        <n v="40.4186147"/>
        <n v="28.1643423"/>
        <n v="447.3679"/>
        <n v="295.9172628"/>
        <n v="57.3711398"/>
        <n v="9318.9517"/>
        <n v="6925.7406772"/>
        <n v="108.7817945"/>
        <n v="4388.7210915"/>
        <n v="23964.1023887"/>
        <n v="78.4528879"/>
        <n v="28.733736"/>
        <n v="199.603642"/>
        <n v="284.7064895"/>
        <n v="1865.2180488"/>
        <n v="136.4040351"/>
        <n v="4527.0540205"/>
        <n v="267.815"/>
        <n v="1823.5473553"/>
        <n v="79.4557367"/>
        <n v="1608.3792"/>
        <n v="16.3165254"/>
        <n v="2679.0197587"/>
        <n v="24.9431823"/>
        <n v="23.80251"/>
        <n v="185.475"/>
        <n v="41.958"/>
        <n v="2450.680245"/>
        <n v="414.228924"/>
        <n v="140.8117773"/>
        <n v="436.4352441"/>
        <n v="5.5885935"/>
        <n v="114.307058"/>
        <n v="1204.0350506"/>
        <n v="7932.513588"/>
        <n v="185.6299"/>
        <n v="6.8078135"/>
        <n v="1793.0754109"/>
        <n v="7.1756401"/>
        <n v="7699.2220338"/>
        <n v="5.1580364"/>
        <n v="1754.38142"/>
        <n v="24.2467024"/>
        <n v="901.326938"/>
        <n v="229.0052667"/>
        <n v="3332.9053682"/>
        <n v="918.2155643"/>
        <n v="137.2197983"/>
        <n v="14152.3720259"/>
        <n v="17836.0153962"/>
        <n v="21.5674311"/>
        <n v="2087.0707021"/>
        <n v="284.6862242"/>
        <n v="763.1885184"/>
        <n v="1404.2140854"/>
        <n v="55.2120353"/>
        <n v="5959.7322005"/>
        <n v="144.345453"/>
        <n v="165.3988848"/>
        <n v="370.0698053"/>
        <n v="23.19028"/>
        <n v="302.4643522"/>
        <n v="17008.7900074"/>
        <n v="511.17918"/>
        <n v="17826.3528629"/>
        <n v="4252.96344"/>
        <n v="8687.39141"/>
        <n v="1769.5287148"/>
        <n v="1668.0216988"/>
        <n v="41.6453"/>
        <n v="26.9285912"/>
        <n v="21437.0686339"/>
        <n v="7277.0238305"/>
        <n v="210.927783"/>
        <n v="203.9680747"/>
        <n v="188.8779513"/>
        <n v="46.42541"/>
        <n v="28.4489057"/>
        <n v="166.1288527"/>
        <n v="2.872467"/>
        <n v="17692.2927955"/>
        <n v="1723.2993998"/>
        <n v="706.3224166"/>
        <n v="58881.9104685"/>
        <n v="59.0791463"/>
        <n v="2862.4509567"/>
        <n v="128.2521379"/>
        <n v="1132.8829103"/>
        <n v="126.371401"/>
        <n v="37.2412087"/>
        <n v="10.3969"/>
        <n v="229.8117"/>
        <n v="31924.82835"/>
        <n v="4.2042283"/>
        <n v="83.13969"/>
        <n v="68066.13375"/>
        <n v="53.7225394"/>
        <n v="109109.9897924"/>
        <n v="55.3494067"/>
        <n v="173.9662857"/>
        <n v="21.2059069"/>
        <n v="44795.4183202"/>
        <n v="66.6067313"/>
        <n v="500145.3141"/>
        <n v="25.7918433"/>
        <n v="274737.12014"/>
        <n v="67.10234"/>
        <n v="557.7905321"/>
        <n v="15.56261"/>
        <n v="5531.32944"/>
        <n v="21.775971"/>
        <n v="2206.5420146"/>
        <n v="160.5696816"/>
        <n v="751.7986051"/>
        <n v="31.593609"/>
        <n v="660.7986497"/>
        <n v="19797.1745705"/>
        <n v="266.3150377"/>
        <n v="357.6231451"/>
        <n v="330.5569861"/>
        <n v="162.24"/>
        <n v="451.5397284"/>
        <n v="282.4674"/>
        <n v="21.1299443"/>
        <n v="1743.4249"/>
        <n v="81.76297"/>
        <n v="41.25"/>
        <n v="599.8163"/>
        <n v="813.588736"/>
        <n v="54.4438723"/>
        <n v="6713.1827001"/>
        <n v="2709.3686397"/>
        <n v="26.6080212"/>
        <n v="44.236007"/>
        <n v="5488.233244"/>
        <n v="99.8701293"/>
        <n v="6056.8113003"/>
        <n v="15101.4423753"/>
        <n v="1981.9806538"/>
        <n v="7141.08996"/>
        <n v="395.8061654"/>
        <n v="15.3916306"/>
        <n v="3255.3475429"/>
        <n v="170.8652701"/>
        <n v="142.6305284"/>
        <n v="1312.9984443"/>
        <n v="1078.9895737"/>
        <n v="35.23032"/>
        <n v="207.264"/>
        <n v="62.1365386"/>
        <n v="30578.9154751"/>
        <n v="256.1269261"/>
        <n v="11044.9149124"/>
        <n v="31.1836"/>
        <n v="195.878725"/>
        <n v="9158.1210409"/>
        <n v="695.4915054"/>
        <n v="475.34108"/>
        <n v="69.5942965"/>
        <n v="8390.039756"/>
        <n v="415.1391695"/>
        <n v="2772.652255"/>
        <n v="116.6973426"/>
        <n v="1368.8912385"/>
        <n v="177.5703071"/>
        <n v="2605.6154129"/>
        <n v="34.0874755"/>
        <n v="76703.9200403"/>
        <n v="6864.3956755"/>
        <n v="2210.7804066"/>
        <n v="5017.627"/>
        <n v="42.7844701"/>
        <n v="43.7453412"/>
        <n v="103.0919274"/>
        <n v="31.52864"/>
        <n v="420.9413696"/>
        <n v="1040.17238"/>
        <n v="32836.6690468"/>
        <n v="11779.7470613"/>
        <n v="50519.9715085"/>
        <n v="40872.4186183"/>
        <n v="572.8083875"/>
        <n v="25048.6127775"/>
        <n v="10082.6420575"/>
        <n v="22968.703385"/>
        <n v="2414.0565798"/>
        <n v="671.7237666"/>
        <n v="1577.5656084"/>
        <n v="32908.3368858"/>
        <n v="20.83176"/>
        <n v="30.3818174"/>
        <n v="64.7514217"/>
        <n v="1415.2496032"/>
        <n v="231.08436"/>
        <n v="2887.7085643"/>
        <n v="38.4042294"/>
        <n v="108.6660271"/>
        <n v="129.90375"/>
        <n v="118.2429019"/>
        <n v="3248.5827141"/>
        <n v="7067.508712"/>
        <n v="182.9094512"/>
        <n v="13313.2911678"/>
        <n v="44.8283725"/>
        <n v="49.9738073"/>
        <n v="40020.9532033"/>
        <n v="40.1570057"/>
        <n v="338.15508"/>
        <n v="23.0815"/>
        <n v="338.1599465"/>
        <n v="72.5421745"/>
        <n v="194.6513439"/>
        <n v="21.2316111"/>
        <n v="256.436345"/>
        <n v="79.0876779"/>
        <n v="19098.79"/>
        <n v="36.4642462"/>
        <n v="60.0"/>
        <n v="10382.3554546"/>
        <n v="337.7135034"/>
        <n v="972.795"/>
        <n v="39.30651"/>
        <n v="5302.264444"/>
        <n v="150.6769"/>
        <n v="8094.7305545"/>
        <n v="15191.4325069"/>
        <n v="205.0449644"/>
        <n v="3463.953506"/>
        <n v="2223.0214618"/>
        <n v="30.6518267"/>
        <n v="14246.8159601"/>
        <n v="34426.919466"/>
        <n v="547.1204024"/>
        <n v="8866.573906"/>
        <n v="867.7716668"/>
        <n v="1062.8702456"/>
        <n v="6072.7957994"/>
        <n v="78.2968625"/>
        <n v="421.092"/>
        <n v="3301.5938665"/>
        <n v="19.9411464"/>
        <n v="181.2241438"/>
        <n v="286.7806525"/>
        <n v="397.5794117"/>
        <n v="543.5097708"/>
        <n v="623.181764"/>
        <n v="3029.834346"/>
        <n v="76.6046999"/>
        <n v="242.6490323"/>
        <n v="72426.0148971"/>
        <n v="39.6016983"/>
        <n v="2180.4081334"/>
        <n v="39562.4007722"/>
        <n v="24447.4221704"/>
        <n v="8917.6060723"/>
        <n v="379.167807"/>
        <n v="37.7487351"/>
        <n v="3407.6680132"/>
        <n v="633.2601"/>
        <n v="14561.39052"/>
        <n v="50.0"/>
        <n v="11148.993289"/>
        <n v="25.0450892"/>
        <n v="191.8406086"/>
        <n v="24.28585"/>
        <n v="44.30977"/>
        <n v="544.5165595"/>
        <n v="24.3501177"/>
        <n v="18660.5501048"/>
        <n v="2295.840011"/>
        <n v="3764.788454"/>
        <n v="6617.7852323"/>
        <n v="8872.371374"/>
        <n v="395.568998"/>
        <n v="202.9699635"/>
        <n v="28.2939768"/>
        <n v="215.0991234"/>
        <n v="17.7162091"/>
        <n v="62.158906"/>
        <n v="177.4194301"/>
        <n v="64784.34567"/>
        <n v="53.4097376"/>
        <n v="7274.3604976"/>
        <n v="93.324"/>
        <n v="42.9301281"/>
        <n v="11479.15802"/>
        <n v="381.6448032"/>
        <n v="683.800201"/>
        <n v="263.775935"/>
        <n v="75.9015928"/>
        <n v="555.8787827"/>
        <n v="6515.1197896"/>
        <n v="790.5921668"/>
        <n v="912.324292"/>
        <n v="169.4772327"/>
        <n v="10186.7730141"/>
        <n v="201.9545552"/>
        <n v="81.1620759"/>
        <n v="3648.1500083"/>
        <n v="24244.6511604"/>
        <n v="247.5771978"/>
        <n v="207.3727999"/>
        <n v="34.941"/>
        <n v="28.26968"/>
        <n v="9455.73048"/>
        <n v="7345.9467407"/>
        <n v="6450.6516"/>
        <n v="28417.34"/>
        <n v="27.8790395"/>
        <n v="4204.5930346"/>
        <n v="21.4056647"/>
        <n v="1326.9301913"/>
        <n v="792.9794496"/>
        <n v="61.88424"/>
        <n v="86.587365"/>
        <n v="16.0478604"/>
        <n v="208.944685"/>
        <n v="71.7106348"/>
        <n v="109.0264282"/>
        <n v="886.0110299"/>
        <n v="19855.6500124"/>
        <n v="64.701624"/>
        <n v="488.4683997"/>
        <n v="8082.5997435"/>
        <n v="10277.06525"/>
        <n v="5871.24832"/>
        <n v="1298.8297687"/>
        <n v="21.14949"/>
        <n v="20037.8033641"/>
        <n v="1980.4297588"/>
        <n v="24.4536"/>
        <n v="59.45476"/>
        <n v="42783.6446818"/>
        <n v="13157.24"/>
        <n v="56.9392248"/>
        <n v="3774.8971256"/>
        <n v="322.1922225"/>
        <n v="4053.6330016"/>
        <n v="183.9182457"/>
        <n v="25.144543"/>
        <n v="163.0698557"/>
        <n v="21614.193015"/>
        <n v="29876.5098211"/>
        <n v="3184.797499"/>
        <n v="24.1694"/>
        <n v="20445.147089"/>
        <n v="47.1674885"/>
        <n v="21.4941398"/>
        <n v="2443.854929"/>
        <n v="18676.2281251"/>
        <n v="7.6649586"/>
        <n v="412.307698"/>
        <n v="54.7393763"/>
        <n v="12591.84291"/>
        <n v="68.4675367"/>
        <n v="7884.330986"/>
        <n v="23.8832514"/>
        <n v="38.881455"/>
        <n v="7987.8834"/>
        <n v="12.5879106"/>
        <n v="245.49283"/>
        <n v="606.808993"/>
        <n v="52.1210089"/>
        <n v="4192.7870441"/>
        <n v="4589.1403098"/>
        <n v="1031.5251137"/>
        <n v="2129.0009994"/>
        <n v="7853.2742401"/>
        <n v="1331.385025"/>
        <n v="58969.40202"/>
        <n v="11575.1296927"/>
        <n v="156.4896804"/>
        <n v="1842.157125"/>
        <n v="52.9197599"/>
        <n v="60072.45704"/>
        <n v="974.2057575"/>
        <n v="105.8873"/>
        <n v="350826.3051046"/>
        <n v="219.1187071"/>
        <n v="8831.0638545"/>
        <n v="16775.420922"/>
        <n v="253.136693"/>
        <n v="1747.7756205"/>
        <n v="259.6365"/>
        <n v="25833.1674616"/>
        <n v="49.9443"/>
        <n v="24496.7467145"/>
        <n v="4988.55717"/>
        <n v="16658.97513"/>
        <n v="284.3907284"/>
        <n v="1954.71729"/>
        <n v="87333.0249279"/>
        <n v="1451.1654849"/>
        <n v="17.2530297"/>
        <n v="100455.8184"/>
        <n v="16970.061085"/>
        <n v="7601.3074508"/>
        <n v="1946.5225498"/>
        <n v="111.4420343"/>
        <n v="1624.433833"/>
        <n v="269.2502752"/>
        <n v="59677.403028"/>
        <n v="1450.585943"/>
        <n v="808.2867427"/>
        <n v="378.4563983"/>
        <n v="86020.39314"/>
        <n v="5899.1186475"/>
        <n v="8358.1544989"/>
        <n v="11.0392209"/>
        <n v="18622.30419"/>
        <n v="17676.96499"/>
        <n v="5544.673416"/>
        <n v="10969.5613652"/>
        <n v="2006.2863109"/>
        <n v="17074.692468"/>
        <n v="116.4016911"/>
        <n v="2122.3632132"/>
        <n v="84.7011182"/>
        <n v="8914.0191686"/>
        <n v="1851.1633712"/>
        <n v="25410.4868227"/>
        <n v="56.478692"/>
        <n v="5987.447594"/>
        <n v="19963.4225"/>
        <n v="12547.1713614"/>
        <n v="11718.9739317"/>
        <n v="38.96485"/>
        <n v="2637.7601793"/>
        <n v="30.35276"/>
        <n v="11171.9380366"/>
        <n v="30933.7456613"/>
        <n v="5690.46132"/>
        <n v="2592.4417404"/>
        <n v="5002.6694946"/>
        <n v="605.712975"/>
        <n v="660693.0149"/>
        <n v="415.937614"/>
        <n v="2029.9380422"/>
        <n v="1495.5295726"/>
        <n v="43806.9348765"/>
        <n v="2107.0013582"/>
        <n v="5809.9796"/>
        <n v="3699.9374369"/>
        <n v="16629.3422551"/>
        <n v="274962.4416"/>
        <n v="8226.45712"/>
        <n v="273.069895"/>
        <n v="46681.454427"/>
        <n v="19834.1121235"/>
        <n v="16833.8516"/>
        <n v="661.44234"/>
        <n v="400.6209285"/>
        <n v="396819.0312746"/>
        <n v="299.8863838"/>
        <n v="19590.8130116"/>
        <n v="136.8157446"/>
        <n v="214.7196575"/>
        <n v="5380.877134"/>
        <n v="2428.8281981"/>
        <n v="2546.9091326"/>
        <n v="2031.4900775"/>
        <n v="86327.53519"/>
        <n v="363.970644"/>
        <n v="1408401.41765"/>
        <n v="34926.0392809"/>
        <n v="7938.89493"/>
        <n v="2646.6885186"/>
        <n v="5.6931391"/>
        <n v="6350.5686472"/>
        <n v="2109.6987485"/>
        <n v="139671.8589"/>
        <n v="12747.54348"/>
        <n v="65200.6352093"/>
        <n v="1118.5483435"/>
        <n v="14635.323816"/>
        <n v="1874.8047539"/>
        <n v="7213.2392534"/>
        <n v="159485.5"/>
        <n v="51586.803"/>
        <n v="13547.87137"/>
        <n v="894.2288595"/>
        <n v="3197.892576"/>
        <n v="101.1827488"/>
        <n v="22.0932037"/>
        <n v="702.331686"/>
        <n v="1251.50271"/>
        <n v="967.2169714"/>
        <n v="88.6259808"/>
        <n v="45649.04192"/>
        <n v="27.6929996"/>
        <n v="254.1017326"/>
        <n v="18711.9762559"/>
        <n v="126.131356"/>
        <n v="457.8402982"/>
        <n v="15.197249"/>
        <n v="12120.99166"/>
        <n v="10311.41163"/>
        <n v="58.722"/>
        <n v="8864.6154986"/>
        <n v="95.40059"/>
        <n v="118.979754"/>
        <n v="1605.4793462"/>
        <n v="1828.5978487"/>
        <n v="44.9276514"/>
        <n v="35.49"/>
        <n v="23.1865507"/>
        <n v="12376.9009182"/>
        <n v="6962.4652478"/>
        <n v="926.7996259"/>
        <n v="14570.5875342"/>
        <n v="41236.6992356"/>
        <n v="4111.99497"/>
        <n v="321260.5190333"/>
        <n v="372.085375"/>
        <n v="164402.0945175"/>
        <n v="66637.2210692"/>
        <n v="62434.2638599"/>
        <n v="35.6912"/>
        <n v="67.138056"/>
        <n v="486.75912"/>
        <n v="41.74937"/>
        <n v="11.61888"/>
        <n v="2082.223092"/>
        <n v="150.2156"/>
        <n v="169.993794"/>
        <n v="24.1807662"/>
        <n v="4001.2662985"/>
        <n v="57447.2117363"/>
        <n v="64.899059"/>
        <n v="1179.2536237"/>
        <n v="965.0065732"/>
        <n v="19.6933521"/>
        <n v="24.9366455"/>
        <n v="29486.5589717"/>
        <n v="776.993125"/>
        <n v="512.832656"/>
        <n v="1353.2443759"/>
        <n v="4954.82238"/>
        <n v="51.0424408"/>
        <n v="243.4050501"/>
        <n v="263.90664"/>
        <n v="21.1355"/>
        <n v="703.6109925"/>
        <n v="18973.5169015"/>
        <n v="139.81986"/>
        <n v="298.8166"/>
        <n v="17460.2657036"/>
        <n v="16531.3923231"/>
        <n v="318.198382"/>
        <n v="66.2461793"/>
        <n v="29.5662773"/>
        <n v="1092.1426451"/>
        <n v="183.9655112"/>
        <n v="4734.9506104"/>
        <n v="15.5764476"/>
        <n v="4574.5322839"/>
        <n v="15248.0633095"/>
        <n v="12898.7125287"/>
        <n v="35.6909"/>
        <n v="12032.4150426"/>
        <n v="11727.9002222"/>
        <n v="10754.5284289"/>
        <n v="8998.6609836"/>
        <n v="494.698248"/>
        <n v="8290.484475"/>
        <n v="100.0426584"/>
        <n v="87.5092031"/>
        <n v="1784.5488469"/>
        <n v="1037.854381"/>
        <n v="913.3924093"/>
        <n v="2355.6261555"/>
        <n v="568.9185"/>
        <n v="4230.0663525"/>
        <n v="2305.4034766"/>
        <n v="2986.4482193"/>
        <n v="8044.170771"/>
        <n v="1030.2865955"/>
        <n v="240.6268836"/>
        <n v="23.527086"/>
        <n v="438.023799"/>
        <n v="1252.9492568"/>
        <n v="7231.3170589"/>
        <n v="95.9595645"/>
        <n v="52.7897881"/>
        <n v="99.2352765"/>
        <n v="193.43638"/>
        <n v="39.060684"/>
        <n v="566.5839166"/>
        <n v="19.4949195"/>
        <n v="16.8409658"/>
        <n v="168.647751"/>
        <n v="377.5106775"/>
        <n v="2118.2522674"/>
        <n v="76.039973"/>
        <n v="201.5602805"/>
        <n v="933.3470081"/>
        <n v="21.2481945"/>
        <n v="636.2893763"/>
        <n v="25.97346"/>
        <n v="91.1333948"/>
        <n v="31.1302712"/>
        <n v="417.9097747"/>
        <n v="129.0814778"/>
        <n v="359.232284"/>
        <n v="3522.9087141"/>
        <n v="25.7252474"/>
        <n v="1256.1591415"/>
        <n v="322.543818"/>
        <n v="117.5624287"/>
        <n v="6493.0826828"/>
        <n v="49.9360115"/>
        <n v="55.4226052"/>
        <n v="92.2294351"/>
        <n v="203.4323678"/>
        <n v="631.0400847"/>
        <n v="140.3054835"/>
        <n v="415.2037054"/>
        <n v="881.5622155"/>
        <n v="440.9409882"/>
        <n v="1628.8951404"/>
        <n v="72.8724595"/>
        <n v="2236.8096693"/>
        <n v="12.8119317"/>
        <n v="41.719115"/>
        <n v="21.7629725"/>
        <n v="1257.4514535"/>
        <n v="2673.4046141"/>
        <n v="628.49072"/>
        <n v="870.3987993"/>
        <n v="3315.4157152"/>
        <n v="6474.1558281"/>
        <n v="27.2717352"/>
        <n v="6177.480861"/>
        <n v="304.6770355"/>
        <n v="74.9820916"/>
        <n v="286.6449731"/>
        <n v="5908.484623"/>
        <n v="110.051412"/>
        <n v="5445.3753189"/>
        <n v="127.2613741"/>
        <n v="5077.2823128"/>
        <n v="3541.5003665"/>
        <n v="5075.887829"/>
        <n v="1022.7577275"/>
        <n v="16142.5359445"/>
        <n v="691.559867"/>
        <n v="54047.3373489"/>
        <n v="29696.17854"/>
        <n v="702.6448251"/>
        <n v="58.8565773"/>
        <n v="653.114677"/>
        <n v="14977.1985685"/>
        <n v="2052.966178"/>
        <n v="2587.5920805"/>
        <n v="225.986747"/>
        <n v="1704.4084235"/>
        <n v="818.9687642"/>
        <n v="17.6799966"/>
        <n v="6656.7882669"/>
        <n v="847662.9384338"/>
        <n v="1110.8432976"/>
        <n v="3608.4412133"/>
        <n v="4207.6564427"/>
        <n v="3512.1767"/>
        <n v="326.6339732"/>
        <n v="120402.0970069"/>
        <n v="2785.08356"/>
        <n v="100910.1399"/>
        <n v="1990.55574"/>
        <n v="57.512"/>
        <n v="1113.3243092"/>
        <n v="217.2418799"/>
        <n v="599.725799"/>
        <n v="42.0069717"/>
        <n v="390.337896"/>
        <n v="15.35625"/>
        <n v="381.8249862"/>
        <n v="1816.2402412"/>
        <n v="24711.5675336"/>
        <n v="11241.826413"/>
        <n v="15199.1388231"/>
        <n v="31.2580176"/>
        <n v="5675.913073"/>
        <n v="74.2"/>
        <n v="2754.8639445"/>
        <n v="4900.35472"/>
        <n v="55362.6950715"/>
        <n v="346.0932021"/>
        <n v="29.5556877"/>
        <n v="21288.0893675"/>
        <n v="4540.9516923"/>
        <n v="6764.827595"/>
        <n v="2102.0455167"/>
        <n v="3243.130636"/>
        <n v="120.7305036"/>
        <n v="102.582425"/>
        <n v="1361.3923542"/>
        <n v="3464.7615892"/>
        <n v="7772.8363997"/>
        <n v="139784.2875128"/>
        <n v="10796.5424322"/>
        <n v="133.647773"/>
        <n v="36.3792"/>
        <n v="1621.79486"/>
        <n v="2320.4006672"/>
        <n v="4045.1894942"/>
        <n v="35564.6435252"/>
        <n v="1051.7733861"/>
        <n v="107.256072"/>
        <n v="511.6526659"/>
        <n v="6224.8381198"/>
        <n v="2965.3302832"/>
        <n v="80.8499612"/>
        <n v="198.9692309"/>
        <n v="137.0263401"/>
        <n v="369155.4760929"/>
        <n v="182.0776833"/>
        <n v="77.1675996"/>
        <n v="3840.625899"/>
        <n v="265.359478"/>
        <n v="18.4392415"/>
        <n v="2322.7141716"/>
        <n v="582.765226"/>
        <n v="30.3899993"/>
        <n v="107.5721687"/>
        <n v="106.5829891"/>
        <n v="2257.470429"/>
        <n v="3876.1905411"/>
        <n v="353.2135496"/>
        <n v="1501.801627"/>
        <n v="13317.9103823"/>
        <n v="2251.7814172"/>
        <n v="1571.5086201"/>
        <n v="149.6652152"/>
        <n v="4701.5156922"/>
        <n v="488.9905439"/>
        <n v="73774.74368"/>
        <n v="1263.9606417"/>
        <n v="311025.3254902"/>
        <n v="1128.2285347"/>
        <n v="1060.5029936"/>
        <n v="1337.2492265"/>
        <n v="1010.391116"/>
        <n v="4029.5820388"/>
        <n v="3872.4376344"/>
        <n v="64.1300255"/>
        <n v="1691.689698"/>
        <n v="249.393098"/>
        <n v="83.278272"/>
        <n v="402.49155"/>
        <n v="33.1932288"/>
        <n v="3116.9977818"/>
        <n v="11500.7977103"/>
        <n v="54.099174"/>
        <n v="45.8321181"/>
        <n v="84.8571215"/>
        <n v="361.486569"/>
        <n v="4579.0857063"/>
        <n v="38.154327"/>
        <n v="64.6406327"/>
        <n v="34.0394184"/>
        <n v="264.0570855"/>
        <n v="276020.5175181"/>
        <n v="20.3946913"/>
        <n v="100476.4016283"/>
        <n v="24.9703303"/>
        <n v="9405.947175"/>
        <n v="97.9478786"/>
        <n v="38.834355"/>
        <n v="123926.5111694"/>
        <n v="1839.3502154"/>
        <n v="560.1193206"/>
        <n v="31.2776702"/>
        <n v="132.4854884"/>
        <n v="27.2628177"/>
        <n v="332.2205715"/>
        <n v="51935.9211926"/>
        <n v="7921.1916233"/>
        <n v="21538.07"/>
        <n v="3910.675461"/>
        <n v="2143.0716945"/>
        <n v="2206.832581"/>
        <n v="105.284274"/>
        <n v="4917.5338784"/>
        <n v="114048.3330466"/>
        <n v="278.5092469"/>
        <n v="1705.2699889"/>
        <n v="1007.4378274"/>
        <n v="45.1079579"/>
        <n v="2845.4017515"/>
        <n v="160.2856517"/>
        <n v="278.8407541"/>
        <n v="1648.2748211"/>
        <n v="1409.1582591"/>
        <n v="3228.2466"/>
        <n v="37.4857184"/>
        <n v="11.2330431"/>
        <n v="282873.1948317"/>
        <n v="314.597434"/>
        <n v="2031.2059277"/>
        <n v="156.525"/>
        <n v="3567.1945979"/>
        <n v="4255.7850685"/>
        <n v="1762.9290557"/>
        <n v="10924.04959"/>
        <n v="2035.0853977"/>
        <n v="5173.6191596"/>
        <n v="2726.7285783"/>
        <n v="2017.2307181"/>
        <n v="6255.8354533"/>
        <n v="5304.5612242"/>
        <n v="3616.3943671"/>
        <n v="2985.608"/>
      </sharedItems>
    </cacheField>
    <cacheField name="Final Sector" numFmtId="0">
      <sharedItems>
        <s v="Specialty Chemicals"/>
        <s v="Paper, Forest &amp; Jute Products"/>
        <s v="Pharmaceuticals"/>
        <s v="Chemicals &amp; Petrochemicals"/>
        <s v="Residential, Commercial Projects"/>
        <s v="Non - Ferrous Metals"/>
        <s v="Leisure Services"/>
        <s v="Textiles &amp; Apparels"/>
        <s v="Fertilizers &amp; Agrochemicals"/>
        <s v="Industrial Products"/>
        <s v="Ferrous Metals"/>
        <s v="Auto Components &amp; Equipments"/>
        <s v="Agricultural Food &amp; other Products"/>
        <s v="Cement &amp; Cement Products"/>
        <s v="Diversified Metals"/>
        <s v="Media"/>
        <s v="Telecom - Equipment &amp; Accessories"/>
        <s v="Capital Markets"/>
        <s v="Consumer Durables"/>
        <s v="Telecom - Services"/>
        <s v="Non Banking Financial Company (NBFC)"/>
        <s v="Finance"/>
        <s v="Oil"/>
        <s v="Metals &amp; Minerals Trading"/>
        <s v="Auto Components"/>
        <s v="IT - Hardware"/>
        <s v="Minerals &amp; Mining"/>
        <s v="Food Products"/>
        <s v="Other Consumer Services"/>
        <s v="Aerospace &amp; Defense"/>
        <s v="Automobiles"/>
        <s v="Civil Construction"/>
        <s v="Retailing"/>
        <s v="Entertainment"/>
        <s v="IT - Software"/>
        <s v="Other Construction Materials"/>
        <s v="IT - Services"/>
        <s v="Power"/>
        <s v="Commercial Services &amp; Supplies"/>
        <s v="Transport Services"/>
        <s v="Electrical Equipment"/>
        <s v="Household Products"/>
        <s v="Heavy Electrical Equipment"/>
        <s v="Computers - Software &amp; Consulting"/>
        <s v="Engineering Services"/>
        <s v="Transport Infrastructure"/>
        <s v="Agricultural, Commercial &amp; Construction Vehicles"/>
        <s v="Beverages"/>
        <s v="Diversified"/>
        <s v="Personal Products"/>
        <s v="Printing &amp; Publication"/>
        <s v="Cigarettes &amp; Tobacco Products"/>
        <s v="Financial Technology (Fintech)"/>
        <s v="Pharmaceuticals &amp; Biotechnology"/>
        <s v="Realty"/>
        <s v="Consumable Fuels"/>
        <s v="Healthcare Services"/>
        <s v="Petroleum Products"/>
        <s v="Gas"/>
        <s v="Industrial Manufacturing"/>
        <s v="Healthcare Equipment &amp; Supplies"/>
        <s v="Diversified FMCG"/>
        <s v="Other Utilities"/>
        <s v="Private Sector Bank"/>
        <s v="Banks"/>
        <s v="Insurance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754" sheet="Top750"/>
  </cacheSource>
  <cacheFields>
    <cacheField name="BSE Code">
      <sharedItems containsMixedTypes="1" containsNumber="1" containsInteger="1">
        <n v="500325.0"/>
        <n v="532540.0"/>
        <n v="500180.0"/>
        <n v="532454.0"/>
        <n v="532174.0"/>
        <n v="500112.0"/>
        <n v="500209.0"/>
        <n v="543526.0"/>
        <n v="500696.0"/>
        <n v="500875.0"/>
        <n v="500510.0"/>
        <n v="500034.0"/>
        <n v="532215.0"/>
        <n v="532281.0"/>
        <n v="532500.0"/>
        <n v="532555.0"/>
        <n v="524715.0"/>
        <n v="512599.0"/>
        <n v="500247.0"/>
        <n v="500570.0"/>
        <n v="570001.0"/>
        <n v="541154.0"/>
        <n v="500312.0"/>
        <n v="500520.0"/>
        <n v="532538.0"/>
        <n v="532921.0"/>
        <n v="532898.0"/>
        <n v="540376.0"/>
        <n v="500114.0"/>
        <n v="533278.0"/>
        <n v="541450.0"/>
        <n v="500188.0"/>
        <n v="500820.0"/>
        <n v="533096.0"/>
        <n v="507685.0"/>
        <n v="500550.0"/>
        <n v="532977.0"/>
        <n v="532978.0"/>
        <n v="500790.0"/>
        <n v="530965.0"/>
        <n v="543257.0"/>
        <n v="543940.0"/>
        <n v="500228.0"/>
        <n v="500049.0"/>
        <n v="500470.0"/>
        <n v="540180.0"/>
        <n v="532868.0"/>
        <n v="500251.0"/>
        <n v="500300.0"/>
        <n v="543320.0"/>
        <n v="500002.0"/>
        <n v="532810.0"/>
        <n v="500295.0"/>
        <n v="539448.0"/>
        <n v="500425.0"/>
        <n v="500331.0"/>
        <n v="540005.0"/>
        <n v="500440.0"/>
        <n v="540719.0"/>
        <n v="543287.0"/>
        <n v="532155.0"/>
        <n v="532955.0"/>
        <n v="532134.0"/>
        <n v="500400.0"/>
        <n v="517334.0"/>
        <n v="532755.0"/>
        <n v="532424.0"/>
        <n v="532461.0"/>
        <n v="500825.0"/>
        <n v="505200.0"/>
        <n v="540777.0"/>
        <n v="533148.0"/>
        <n v="532388.0"/>
        <n v="532488.0"/>
        <n v="532822.0"/>
        <n v="500087.0"/>
        <n v="511243.0"/>
        <n v="517354.0"/>
        <n v="539254.0"/>
        <n v="532343.0"/>
        <n v="532187.0"/>
        <n v="532321.0"/>
        <n v="500182.0"/>
        <n v="500480.0"/>
        <n v="500124.0"/>
        <n v="500800.0"/>
        <n v="511218.0"/>
        <n v="500093.0"/>
        <n v="532483.0"/>
        <n v="500096.0"/>
        <n v="532286.0"/>
        <n v="532477.0"/>
        <n v="500103.0"/>
        <n v="500530.0"/>
        <n v="534816.0"/>
        <n v="533098.0"/>
        <n v="542652.0"/>
        <n v="542066.0"/>
        <n v="500387.0"/>
        <n v="532725.0"/>
        <n v="500420.0"/>
        <n v="500490.0"/>
        <n v="532432.0"/>
        <n v="533150.0"/>
        <n v="500116.0"/>
        <n v="540716.0"/>
        <n v="508869.0"/>
        <n v="540133.0"/>
        <n v="543220.0"/>
        <n v="500850.0"/>
        <n v="542649.0"/>
        <n v="541729.0"/>
        <n v="532466.0"/>
        <n v="543237.0"/>
        <n v="532777.0"/>
        <n v="543904.0"/>
        <n v="540762.0"/>
        <n v="542830.0"/>
        <n v="533106.0"/>
        <n v="500830.0"/>
        <n v="531642.0"/>
        <n v="500493.0"/>
        <n v="509930.0"/>
        <n v="533274.0"/>
        <n v="500257.0"/>
        <n v="505790.0"/>
        <n v="532648.0"/>
        <n v="540699.0"/>
        <n v="532779.0"/>
        <n v="526371.0"/>
        <n v="532667.0"/>
        <n v="532814.0"/>
        <n v="533398.0"/>
        <n v="524804.0"/>
        <n v="523457.0"/>
        <n v="500104.0"/>
        <n v="503806.0"/>
        <n v="500477.0"/>
        <n v="543066.0"/>
        <n v="532508.0"/>
        <n v="543994.0"/>
        <n v="540755.0"/>
        <n v="500547.0"/>
        <n v="503100.0"/>
        <n v="533273.0"/>
        <n v="533179.0"/>
        <n v="532505.0"/>
        <n v="532830.0"/>
        <n v="590024.0"/>
        <n v="532539.0"/>
        <n v="531344.0"/>
        <n v="502355.0"/>
        <n v="540691.0"/>
        <n v="500113.0"/>
        <n v="543390.0"/>
        <n v="541143.0"/>
        <n v="509480.0"/>
        <n v="539523.0"/>
        <n v="543187.0"/>
        <n v="540530.0"/>
        <n v="500488.0"/>
        <n v="540678.0"/>
        <n v="500411.0"/>
        <n v="532754.0"/>
        <n v="539437.0"/>
        <n v="523642.0"/>
        <n v="544026.0"/>
        <n v="500368.0"/>
        <n v="544162.0"/>
        <n v="500290.0"/>
        <n v="532885.0"/>
        <n v="500483.0"/>
        <n v="532149.0"/>
        <n v="500459.0"/>
        <n v="532478.0"/>
        <n v="533206.0"/>
        <n v="540115.0"/>
        <n v="543278.0"/>
        <n v="517174.0"/>
        <n v="540611.0"/>
        <n v="590071.0"/>
        <n v="543384.0"/>
        <n v="500575.0"/>
        <n v="500410.0"/>
        <n v="532522.0"/>
        <n v="500086.0"/>
        <n v="506395.0"/>
        <n v="526299.0"/>
        <n v="532525.0"/>
        <n v="500660.0"/>
        <n v="542651.0"/>
        <n v="533519.0"/>
        <n v="500495.0"/>
        <n v="500469.0"/>
        <n v="500408.0"/>
        <n v="543458.0"/>
        <n v="532827.0"/>
        <n v="500253.0"/>
        <n v="539336.0"/>
        <n v="533758.0"/>
        <n v="512070.0"/>
        <n v="532523.0"/>
        <n v="523395.0"/>
        <n v="544028.0"/>
        <n v="517569.0"/>
        <n v="533295.0"/>
        <n v="540767.0"/>
        <n v="522275.0"/>
        <n v="532683.0"/>
        <n v="540769.0"/>
        <n v="540153.0"/>
        <n v="500109.0"/>
        <n v="543300.0"/>
        <n v="512455.0"/>
        <n v="533155.0"/>
        <n v="532720.0"/>
        <n v="532843.0"/>
        <n v="532892.0"/>
        <n v="513683.0"/>
        <n v="532296.0"/>
        <n v="543654.0"/>
        <n v="532541.0"/>
        <n v="532514.0"/>
        <n v="506401.0"/>
        <n v="542812.0"/>
        <n v="532234.0"/>
        <n v="532259.0"/>
        <n v="542216.0"/>
        <n v="500877.0"/>
        <s v="BSE"/>
        <n v="543426.0"/>
        <n v="500067.0"/>
        <n v="501301.0"/>
        <n v="500271.0"/>
        <n v="543412.0"/>
        <n v="522113.0"/>
        <n v="532644.0"/>
        <n v="513375.0"/>
        <n v="541153.0"/>
        <n v="543498.0"/>
        <n v="535755.0"/>
        <n v="500472.0"/>
        <n v="524000.0"/>
        <n v="532929.0"/>
        <n v="513599.0"/>
        <n v="544081.0"/>
        <n v="506076.0"/>
        <n v="500003.0"/>
        <n v="544179.0"/>
        <n v="500008.0"/>
        <n v="532733.0"/>
        <n v="531162.0"/>
        <n v="500092.0"/>
        <n v="543245.0"/>
        <n v="534309.0"/>
        <n v="506285.0"/>
        <n v="523610.0"/>
        <n v="533023.0"/>
        <n v="500403.0"/>
        <n v="543529.0"/>
        <n v="532889.0"/>
        <n v="520056.0"/>
        <n v="500164.0"/>
        <n v="524494.0"/>
        <n v="532331.0"/>
        <n v="539268.0"/>
        <n v="533272.0"/>
        <n v="540680.0"/>
        <n v="500770.0"/>
        <n v="506943.0"/>
        <n v="500840.0"/>
        <n v="500040.0"/>
        <n v="543396.0"/>
        <n v="543463.0"/>
        <n v="539876.0"/>
        <n v="504973.0"/>
        <n v="541956.0"/>
        <n v="542920.0"/>
        <n v="543664.0"/>
        <n v="524208.0"/>
        <n v="500238.0"/>
        <n v="520111.0"/>
        <n v="541179.0"/>
        <n v="540595.0"/>
        <n v="539551.0"/>
        <n v="542011.0"/>
        <n v="532714.0"/>
        <n v="532966.0"/>
        <n v="500144.0"/>
        <n v="531531.0"/>
        <s v="CDSL"/>
        <n v="507815.0"/>
        <n v="532605.0"/>
        <n v="532497.0"/>
        <n v="543663.0"/>
        <n v="539524.0"/>
        <n v="540222.0"/>
        <n v="522074.0"/>
        <n v="500042.0"/>
        <n v="532636.0"/>
        <n v="500233.0"/>
        <n v="532756.0"/>
        <n v="500165.0"/>
        <n v="534139.0"/>
        <n v="534618.0"/>
        <n v="532784.0"/>
        <n v="500294.0"/>
        <n v="524816.0"/>
        <n v="500163.0"/>
        <n v="500870.0"/>
        <n v="500084.0"/>
        <n v="543235.0"/>
        <n v="543635.0"/>
        <n v="500302.0"/>
        <n v="500680.0"/>
        <n v="543064.0"/>
        <n v="530517.0"/>
        <n v="541770.0"/>
        <n v="540173.0"/>
        <n v="539006.0"/>
        <n v="500085.0"/>
        <n v="534091.0"/>
        <n v="533655.0"/>
        <n v="500184.0"/>
        <n v="543981.0"/>
        <n v="524200.0"/>
        <n v="532953.0"/>
        <n v="533293.0"/>
        <n v="532175.0"/>
        <n v="500940.0"/>
        <n v="543330.0"/>
        <n v="543990.0"/>
        <n v="539177.0"/>
        <n v="544174.0"/>
        <n v="532400.0"/>
        <n v="500043.0"/>
        <n v="544012.0"/>
        <n v="500260.0"/>
        <n v="532659.0"/>
        <n v="500027.0"/>
        <n v="522287.0"/>
        <n v="500048.0"/>
        <n v="526612.0"/>
        <n v="521064.0"/>
        <n v="543374.0"/>
        <n v="500330.0"/>
        <n v="542752.0"/>
        <n v="539083.0"/>
        <n v="532762.0"/>
        <n v="543299.0"/>
        <n v="503310.0"/>
        <n v="543232.0"/>
        <n v="531768.0"/>
        <n v="544176.0"/>
        <n v="543653.0"/>
        <n v="543988.0"/>
        <n v="531595.0"/>
        <n v="533573.0"/>
        <n v="500241.0"/>
        <n v="500252.0"/>
        <n v="532504.0"/>
        <n v="500378.0"/>
        <n v="543317.0"/>
        <n v="542399.0"/>
        <n v="500620.0"/>
        <n v="531213.0"/>
        <n v="540975.0"/>
        <n v="543428.0"/>
        <n v="500249.0"/>
        <n v="532926.0"/>
        <n v="542760.0"/>
        <n v="532221.0"/>
        <n v="541556.0"/>
        <n v="532702.0"/>
        <n v="590003.0"/>
        <n v="542141.0"/>
        <n v="504067.0"/>
        <n v="543960.0"/>
        <n v="543308.0"/>
        <n v="532805.0"/>
        <n v="543335.0"/>
        <n v="515030.0"/>
        <n v="532548.0"/>
        <n v="532527.0"/>
        <n v="515055.0"/>
        <n v="542726.0"/>
        <n v="543415.0"/>
        <n v="500183.0"/>
        <n v="540065.0"/>
        <n v="500106.0"/>
        <n v="532976.0"/>
        <n v="540750.0"/>
        <n v="506820.0"/>
        <n v="523367.0"/>
        <n v="543318.0"/>
        <n v="540902.0"/>
        <n v="539957.0"/>
        <n v="532809.0"/>
        <n v="500674.0"/>
        <n v="541557.0"/>
        <n v="543265.0"/>
        <n v="532144.0"/>
        <n v="505700.0"/>
        <n v="532371.0"/>
        <n v="541988.0"/>
        <n v="514162.0"/>
        <n v="538835.0"/>
        <n v="505537.0"/>
        <n v="500405.0"/>
        <n v="543945.0"/>
        <n v="532734.0"/>
        <n v="500110.0"/>
        <n v="517271.0"/>
        <n v="532439.0"/>
        <n v="540073.0"/>
        <n v="532178.0"/>
        <n v="501425.0"/>
        <n v="500210.0"/>
        <n v="532689.0"/>
        <n v="540596.0"/>
        <n v="540743.0"/>
        <n v="544014.0"/>
        <n v="502986.0"/>
        <n v="521070.0"/>
        <n v="540900.0"/>
        <n v="543276.0"/>
        <n v="500125.0"/>
        <n v="532627.0"/>
        <n v="522205.0"/>
        <n v="544172.0"/>
        <n v="534076.0"/>
        <n v="505533.0"/>
        <n v="500710.0"/>
        <n v="543524.0"/>
        <n v="513377.0"/>
        <n v="543238.0"/>
        <n v="532790.0"/>
        <n v="544045.0"/>
        <n v="532210.0"/>
        <n v="539150.0"/>
        <n v="543720.0"/>
        <n v="543334.0"/>
        <n v="544046.0"/>
        <n v="532209.0"/>
        <n v="532891.0"/>
        <n v="500335.0"/>
        <n v="543425.0"/>
        <n v="500031.0"/>
        <n v="532181.0"/>
        <n v="532482.0"/>
        <n v="500033.0"/>
        <n v="543227.0"/>
        <n v="523598.0"/>
        <n v="543534.0"/>
        <n v="531335.0"/>
        <n v="532443.0"/>
        <n v="511196.0"/>
        <n v="517146.0"/>
        <n v="532927.0"/>
        <n v="544057.0"/>
        <n v="530019.0"/>
        <n v="534597.0"/>
        <n v="541019.0"/>
        <n v="532939.0"/>
        <n v="500413.0"/>
        <n v="532928.0"/>
        <n v="543322.0"/>
        <n v="541233.0"/>
        <n v="530007.0"/>
        <n v="538962.0"/>
        <n v="543228.0"/>
        <n v="524742.0"/>
        <n v="544061.0"/>
        <n v="532757.0"/>
        <n v="509488.0"/>
        <n v="517506.0"/>
        <n v="543413.0"/>
        <n v="532300.0"/>
        <n v="500878.0"/>
        <n v="542323.0"/>
        <n v="524230.0"/>
        <n v="506767.0"/>
        <n v="533286.0"/>
        <n v="543243.0"/>
        <n v="513023.0"/>
        <n v="533248.0"/>
        <n v="543957.0"/>
        <n v="500128.0"/>
        <n v="532163.0"/>
        <n v="532670.0"/>
        <n v="532162.0"/>
        <n v="500670.0"/>
        <n v="500266.0"/>
        <n v="530343.0"/>
        <n v="500380.0"/>
        <n v="543398.0"/>
        <n v="533339.0"/>
        <n v="533160.0"/>
        <n v="523025.0"/>
        <n v="540203.0"/>
        <n v="532942.0"/>
        <n v="500245.0"/>
        <n v="520113.0"/>
        <n v="542650.0"/>
        <n v="533282.0"/>
        <n v="543397.0"/>
        <n v="541578.0"/>
        <n v="535789.0"/>
        <n v="533095.0"/>
        <n v="540935.0"/>
        <n v="500101.0"/>
        <n v="500690.0"/>
        <n v="544129.0"/>
        <n v="506590.0"/>
        <n v="532832.0"/>
        <n v="533033.0"/>
        <n v="524558.0"/>
        <n v="533122.0"/>
        <n v="500133.0"/>
        <n v="543482.0"/>
        <n v="500645.0"/>
        <n v="532468.0"/>
        <n v="504882.0"/>
        <n v="532313.0"/>
        <n v="509496.0"/>
        <n v="533088.0"/>
        <n v="530005.0"/>
        <n v="533581.0"/>
        <n v="505509.0"/>
        <n v="543259.0"/>
        <n v="539978.0"/>
        <n v="532798.0"/>
        <n v="543523.0"/>
        <n v="532726.0"/>
        <n v="543573.0"/>
        <n v="532783.0"/>
        <n v="532811.0"/>
        <n v="532493.0"/>
        <n v="543417.0"/>
        <n v="500123.0"/>
        <n v="543626.0"/>
        <n v="543657.0"/>
        <n v="541195.0"/>
        <n v="543936.0"/>
        <n v="504918.0"/>
        <n v="543959.0"/>
        <n v="542904.0"/>
        <n v="532531.0"/>
        <n v="500038.0"/>
        <n v="500265.0"/>
        <n v="543336.0"/>
        <n v="535648.0"/>
        <n v="532356.0"/>
        <n v="539807.0"/>
        <n v="523405.0"/>
        <n v="540575.0"/>
        <n v="543980.0"/>
        <n v="500338.0"/>
        <n v="531500.0"/>
        <n v="500126.0"/>
        <n v="543669.0"/>
        <n v="509631.0"/>
        <s v="SHRIPISTON"/>
        <n v="526367.0"/>
        <n v="543297.0"/>
        <n v="543275.0"/>
        <n v="532638.0"/>
        <n v="543253.0"/>
        <n v="543965.0"/>
        <n v="543527.0"/>
        <n v="523704.0"/>
        <n v="504614.0"/>
        <n v="543427.0"/>
        <n v="531431.0"/>
        <n v="533326.0"/>
        <n v="512573.0"/>
        <n v="543441.0"/>
        <n v="543271.0"/>
        <n v="539992.0"/>
        <n v="532642.0"/>
        <n v="512179.0"/>
        <n v="532668.0"/>
        <n v="500185.0"/>
        <n v="533269.0"/>
        <n v="539302.0"/>
        <n v="517385.0"/>
        <n v="540047.0"/>
        <n v="519600.0"/>
        <n v="532652.0"/>
        <n v="509557.0"/>
        <n v="532872.0"/>
        <n v="500390.0"/>
        <n v="531358.0"/>
        <n v="538979.0"/>
        <n v="544044.0"/>
        <n v="532800.0"/>
        <n v="500191.0"/>
        <n v="543350.0"/>
        <n v="532915.0"/>
        <n v="531599.0"/>
        <n v="507717.0"/>
        <n v="543596.0"/>
        <n v="542907.0"/>
        <n v="532189.0"/>
        <n v="530999.0"/>
        <n v="544022.0"/>
        <n v="521016.0"/>
        <n v="543272.0"/>
        <n v="533169.0"/>
        <n v="530305.0"/>
        <n v="500336.0"/>
        <n v="532856.0"/>
        <n v="524404.0"/>
        <n v="532349.0"/>
        <n v="538730.0"/>
        <n v="538891.0"/>
        <n v="543358.0"/>
        <n v="532509.0"/>
        <n v="505890.0"/>
        <n v="522163.0"/>
        <n v="543277.0"/>
        <n v="531543.0"/>
        <n v="544009.0"/>
        <n v="532218.0"/>
        <n v="542484.0"/>
        <n v="543533.0"/>
        <n v="543532.0"/>
        <n v="543280.0"/>
        <n v="500135.0"/>
        <n v="505714.0"/>
        <n v="544008.0"/>
        <n v="544118.0"/>
        <n v="512237.0"/>
        <n v="543530.0"/>
        <n v="543325.0"/>
        <n v="507880.0"/>
        <n v="500214.0"/>
        <n v="502219.0"/>
        <n v="532374.0"/>
        <n v="532630.0"/>
        <n v="532900.0"/>
        <n v="532804.0"/>
        <n v="530813.0"/>
        <n v="506655.0"/>
        <n v="543258.0"/>
        <n v="542773.0"/>
        <n v="532940.0"/>
        <n v="540673.0"/>
        <n v="502937.0"/>
        <n v="505355.0"/>
        <n v="542867.0"/>
        <n v="523630.0"/>
        <n v="533271.0"/>
        <n v="505726.0"/>
        <n v="500355.0"/>
        <n v="532735.0"/>
        <n v="538567.0"/>
        <n v="543620.0"/>
        <n v="543249.0"/>
        <n v="532524.0"/>
        <n v="524226.0"/>
        <n v="535602.0"/>
        <n v="542597.0"/>
        <n v="543952.0"/>
        <n v="509966.0"/>
        <n v="519126.0"/>
        <n v="532553.0"/>
        <n v="505255.0"/>
        <n v="543933.0"/>
        <n v="500243.0"/>
        <n v="540293.0"/>
        <s v="SUNDARMHLD"/>
        <n v="543306.0"/>
        <n v="530117.0"/>
        <n v="532749.0"/>
        <n v="543270.0"/>
        <n v="533553.0"/>
        <n v="543332.0"/>
        <n v="532922.0"/>
        <n v="500463.0"/>
        <n v="534976.0"/>
        <n v="530001.0"/>
        <n v="533151.0"/>
        <n v="541301.0"/>
        <n v="532835.0"/>
        <n v="544133.0"/>
        <n v="543971.0"/>
        <n v="524372.0"/>
        <n v="530549.0"/>
        <n v="543942.0"/>
        <n v="535754.0"/>
        <n v="540725.0"/>
        <n v="539883.0"/>
        <n v="543748.0"/>
        <n v="540205.0"/>
        <n v="543367.0"/>
        <n v="543349.0"/>
        <n v="500655.0"/>
        <n v="503960.0"/>
        <n v="500339.0"/>
        <n v="500171.0"/>
        <n v="543242.0"/>
        <n v="523398.0"/>
        <n v="532407.0"/>
        <n v="540749.0"/>
        <n v="543401.0"/>
        <n v="520057.0"/>
        <n v="539787.0"/>
        <n v="532375.0"/>
        <n v="543667.0"/>
        <n v="531120.0"/>
        <n v="500032.0"/>
        <n v="519552.0"/>
        <n v="538268.0"/>
        <n v="543490.0"/>
        <n v="542759.0"/>
        <n v="539118.0"/>
        <n v="543489.0"/>
        <n v="532156.0"/>
        <n v="512329.0"/>
        <n v="570004.0"/>
        <n v="500039.0"/>
        <n v="500219.0"/>
        <n v="543248.0"/>
        <n v="500292.0"/>
        <n v="543600.0"/>
        <n v="505242.0"/>
        <n v="590021.0"/>
        <n v="544021.0"/>
        <n v="520051.0"/>
        <n v="539658.0"/>
        <n v="507205.0"/>
        <n v="533158.0"/>
        <n v="532899.0"/>
        <n v="500730.0"/>
        <n v="523323.0"/>
        <n v="543650.0"/>
        <n v="524348.0"/>
        <n v="544122.0"/>
        <n v="540212.0"/>
        <n v="522285.0"/>
        <n v="530073.0"/>
        <n v="500444.0"/>
        <n v="531201.0"/>
        <n v="523319.0"/>
        <n v="500187.0"/>
        <n v="532775.0"/>
        <n v="543213.0"/>
        <n v="544167.0"/>
        <n v="543652.0"/>
        <n v="522034.0"/>
        <n v="544027.0"/>
        <n v="539607.0"/>
      </sharedItems>
    </cacheField>
    <cacheField name="Issuer Name" numFmtId="0">
      <sharedItems>
        <s v="Reliance Industries Ltd"/>
        <s v="Tata Consultancy Services Ltd."/>
        <s v="HDFC Bank Ltd."/>
        <s v="Bharti Airtel  Ltd."/>
        <s v="ICICI Bank Ltd."/>
        <s v="State Bank Of India"/>
        <s v="Infosys Ltd"/>
        <s v="LIFE INSURANCE CORPORATION OF INDIA"/>
        <s v="Hindustan Unilever Ltd."/>
        <s v="ITC Ltd"/>
        <s v="Larsen &amp; Toubro Limited"/>
        <s v="Bajaj Finance Limited"/>
        <s v="AXIS Bank Ltd."/>
        <s v="HCL Technologies Ltd"/>
        <s v="Maruti Suzuki India  Ltd."/>
        <s v="NTPC Limited"/>
        <s v="Sun Pharmaceutical Industries Ltd."/>
        <s v="Adani Enterprises Ltd."/>
        <s v="Kotak Mahindra Bank Ltd."/>
        <s v="Tata Motors Ltd."/>
        <s v="Hindustan Aeronautics Limited"/>
        <s v="Oil And Natural Gas Corporation Ltd"/>
        <s v="Mahindra &amp; Mahindra Ltd."/>
        <s v="UltraTech Cement Ltd"/>
        <s v="Adani Ports and Special Economic Zone Ltd"/>
        <s v="POWER GRID CORPORATION OF INDIA LIMITED"/>
        <s v="Avenue Supermarts Limited"/>
        <s v="Titan Company Limited"/>
        <s v="Coal India Limited"/>
        <s v="Adani Green Energy Limited"/>
        <s v="Hindustan Zinc Ltd."/>
        <s v="Asian Paints Ltd."/>
        <s v="Adani Power Limited"/>
        <s v="Wipro  Ltd."/>
        <s v="Siemens Ltd."/>
        <s v="Bajaj Auto Limited"/>
        <s v="Bajaj Finserv Limited"/>
        <s v="Nestle India Ltd."/>
        <s v="Indian Oil Corporation Ltd."/>
        <s v="Indian Railway Finance Corporation"/>
        <s v="Jio Financial Services Limited"/>
        <s v="JSW Steel Limited"/>
        <s v="Bharat Electronics Ltd."/>
        <s v="TATA STEEL LIMITED"/>
        <s v="Varun Beverages Limited"/>
        <s v="DLF LIMITED"/>
        <s v="Trent Ltd [Lakme Ltd]"/>
        <s v="Grasim Industries Ltd"/>
        <s v="Zomato Limited"/>
        <s v="ABB India Limited"/>
        <s v="Power Finance Corporation Ltd"/>
        <s v="Vedanta Limited"/>
        <s v="InterGlobe Aviation Limited"/>
        <s v="Ambuja Cements Ltd."/>
        <s v="Pidilite Industries Ltd."/>
        <s v="LTIMindtree Limited"/>
        <s v="Hindalco Industries Ltd."/>
        <s v="SBI Life Insurance Company Limited"/>
        <s v="Macrotech Developers Limited"/>
        <s v="Gail (India) Ltd."/>
        <s v="REC LIMITED"/>
        <s v="Bank Of Baroda"/>
        <s v="Tata Power Co. Ltd"/>
        <s v="Samvardhana Motherson International Limited"/>
        <s v="Tech Mahindra Limited"/>
        <s v="Godrej Consumer Products Ltd."/>
        <s v="Punjab National Bank"/>
        <s v="Britannia Industries Ltd."/>
        <s v="Eicher Motors Ltd."/>
        <s v="HDFC LIFE INSURANCE COMPANY LIMITED"/>
        <s v="JSW Energy Limited"/>
        <s v="Indian Overseas Bank"/>
        <s v="Divi's Laboratories Ltd."/>
        <s v="VODAFONE IDEA LIMITED"/>
        <s v="Cipla Ltd."/>
        <s v="Cholamandalam Investment and Finance Company Ltd"/>
        <s v="Havells India Limited"/>
        <s v="Adani Energy Solutions Limited"/>
        <s v="TVS Motor Company Ltd."/>
        <s v="IndusInd Bank Ltd."/>
        <s v="Zydus Lifesciences Limited"/>
        <s v="Hero MotoCorp Limited"/>
        <s v="Cummins India Ltd."/>
        <s v="Dr. Reddy's Laboratories Ltd."/>
        <s v="TATA CONSUMER PRODUCTS LIMITED"/>
        <s v="Shriram Finance Limited"/>
        <s v="CG Power and Industrial Solutions Limited"/>
        <s v="Canara Bank"/>
        <s v="Dabur India Ltd."/>
        <s v="Jindal Steel &amp; Power Ltd"/>
        <s v="Union Bank of India"/>
        <s v="Bharat Heavy Electricals Ltd."/>
        <s v="Bosch Ltd"/>
        <s v="INDUS TOWERS LIMITED"/>
        <s v="NHPC Limited"/>
        <s v="Polycab India Limited"/>
        <s v="ADANI TOTAL GAS LIMITED"/>
        <s v="Shree Cements Ltd."/>
        <s v="Solar Industries India Limited"/>
        <s v="Torrent Pharmaceuticals Ltd."/>
        <s v="Bajaj Holdings &amp; Investment Limited"/>
        <s v="United Spirits Limited"/>
        <s v="Godrej Properties Limited"/>
        <s v="IDBI Bank Ltd"/>
        <s v="ICICI Lombard General Insurance Company Limited"/>
        <s v="Apollo Hospitals Enterprises Ltd."/>
        <s v="ICICI Prudential Life Insurance Company Limited"/>
        <s v="Max Healthcare Institute Limited"/>
        <s v="Indian Hotels Co. Ltd"/>
        <s v="Rail Vikas Nigam Limited"/>
        <s v="HDFC Asset Management Company Limited"/>
        <s v="Oracle Financial Services Software Limited"/>
        <s v="Mazagon Dock Shipbuilders Limited"/>
        <s v="Info Edge(India) Ltd."/>
        <s v="Mankind Pharma Limited"/>
        <s v="Tube Investments of India Ltd"/>
        <s v="Indian Railway Catering &amp; Tourism Corporation Ltd"/>
        <s v="Oil India Limited"/>
        <s v="Colgate-Palmolive (India) Ltd."/>
        <s v="Marico Limited"/>
        <s v="Bharat Forge Ltd"/>
        <s v="Supreme Industries Ltd."/>
        <s v="Prestige Estates Projects Limited"/>
        <s v="Lupin Ltd"/>
        <s v="Schaeffler India Limited"/>
        <s v="Yes Bank Ltd."/>
        <s v="Dixon Technologies (India) Limited"/>
        <s v="TORRENT POWER LIMITED"/>
        <s v="NMDC Ltd"/>
        <s v="SUZLON ENERGY LTD."/>
        <s v="Indian Bank"/>
        <s v="MUTHOOT FINANCE LIMITED"/>
        <s v="Aurobindo Pharma Ltd."/>
        <s v="Linde India Limited"/>
        <s v="Hindustan Petroleum Corporation Ltd"/>
        <s v="SRF Ltd."/>
        <s v="Ashok Leyland Ltd."/>
        <s v="SBI CARDS AND PAYMENT SERVICES LIMITED"/>
        <s v="Jindal Stainless Limited"/>
        <s v="JSW Infrastructure Limited"/>
        <s v="General Insurance Corporation of India"/>
        <s v="Bharat Petroleum Corpn. Ltd."/>
        <s v="The Phoenix Mills Ltd."/>
        <s v="OBEROI REALTY LIMITED"/>
        <s v="Persistent Systems Limited"/>
        <s v="UCO Bank"/>
        <s v="ASTRAL LIMITED"/>
        <s v="Fertilizers and Chemicals Travancore Limited"/>
        <s v="UNO Minda Limited"/>
        <s v="Container Corporation Of India Ltd."/>
        <s v="Balkrishna Industries Ltd."/>
        <s v="Aditya Birla Capital Ltd"/>
        <s v="Steel Authority of India Ltd."/>
        <s v="PB Fintech Limited"/>
        <s v="Bharat Dynamics Limited"/>
        <s v="Berger Paints India Ltd"/>
        <s v="Alkem Laboratories Limited"/>
        <s v="HITACHI ENERGY INDIA LIMITED"/>
        <s v="Housing &amp;Urban Development Corporation Ltd."/>
        <s v="Abbott India Ltd."/>
        <s v="Cochin Shipyard Limited"/>
        <s v="Thermax Ltd."/>
        <s v="GMR AIRPORTS INFRASTRUCTURE LIMITED"/>
        <s v="IDFC FIRST BANK LIMITED"/>
        <s v="PI Industries Limited"/>
        <s v="Indian Renewable Energy Development Agency Limited"/>
        <s v="Patanjali Foods Limited"/>
        <s v="Bharti Hexacom Limited"/>
        <s v="M.R.F. Ltd."/>
        <s v="Central Bank of India"/>
        <s v="Tata Communications Limited"/>
        <s v="Bank of India"/>
        <s v="Procter &amp; Gamble Hygiene &amp; Health Care Ltd."/>
        <s v="United Breweries Ltd."/>
        <s v="SJVN LIMITED"/>
        <s v="L&amp;T Technology Services Limited"/>
        <s v="Kalyan Jewellers India Limited"/>
        <s v="Honeywell Automation India Ltd."/>
        <s v="AU Small Finance Bank Limited"/>
        <s v="SUNDARAM FINANCE LTD"/>
        <s v="FSN E-Commerce Ventures Limited"/>
        <s v="Voltas Ltd."/>
        <s v="ACC Ltd"/>
        <s v="PETRONET LNG LTD."/>
        <s v="Exide Industries Ltd."/>
        <s v="Coromandel International Limited"/>
        <s v="Mphasis Limited"/>
        <s v="Bank of maharashtra"/>
        <s v="GlaxoSmithkline Pharmaceuticals Ltd."/>
        <s v="KPIT Technologies Ltd"/>
        <s v="L&amp;T Finance Limited"/>
        <s v="Escorts Kubota Limited"/>
        <s v="Federal Bank Ltd."/>
        <s v="Tata Elxsi Ltd"/>
        <s v="Adani Wilmar Limited"/>
        <s v="Page Industries Ltd."/>
        <s v="Lic Housing Finance Ltd."/>
        <s v="Gujarat Gas Limited"/>
        <s v="APL Apollo Tubes Limited"/>
        <s v="UPL Limited"/>
        <s v="Biocon Ltd."/>
        <s v="3M India Ltd."/>
        <s v="Tata Technologies Limited"/>
        <s v="KEI Industries Ltd."/>
        <s v="PUNJAB &amp; SIND BANK"/>
        <s v="NIPPON LIFE INDIA ASSET MANAGEMENT LIMITED"/>
        <s v="GE T&amp;D India Limited"/>
        <s v="AIA Engineering Ltd."/>
        <s v="The New India Assurance Company Limited"/>
        <s v="Endurance Technologies Limited"/>
        <s v="Mangalore Refinery &amp; Petrochemicals"/>
        <s v="Sona BLW Precision Forgings Limited"/>
        <s v="Lloyds Metals and Energy Limited"/>
        <s v="Jubilant Foodworks Limited"/>
        <s v="Mahindra &amp; Mahindra Financial Services Limited"/>
        <s v="Fortis Healthcare Ltd"/>
        <s v="Motilal Oswal Financial Services Limited"/>
        <s v="NLC India Limited"/>
        <s v="Glenmark Pharmaceuticals ltd"/>
        <s v="Global Health Limited"/>
        <s v="COFORGE LIMITED"/>
        <s v="Indraprashtha Gas Ltd."/>
        <s v="Deepak Nitrite Limited"/>
        <s v="Gujarat Fluorochemicals Limited"/>
        <s v="National Aluminium Co. Ltd."/>
        <s v="Apar Industries Ltd"/>
        <s v="DALMIA BHARAT LIMITED"/>
        <s v="Apollo Tyres Ltd"/>
        <s v="BSE"/>
        <s v="Metro Brands Limited"/>
        <s v="Blue Star Ltd"/>
        <s v="Tata Investment Corporation Ltd."/>
        <s v="Max Financial Services Limited"/>
        <s v="Star Health and Allied Insurance Company Limited"/>
        <s v="Timken India Ltd"/>
        <s v="J.K. CEMENT LTD"/>
        <s v="Carborundum Universal Ltd."/>
        <s v="Bandhan Bank Limited"/>
        <s v="Motherson Sumi Wiring India Limited"/>
        <s v="Aditya Birla Fashion and Retail Limited"/>
        <s v="SKF India Ltd."/>
        <s v="POONAWALLA FINCORP LIMITED"/>
        <s v="Brigade Enterprises Limited"/>
        <s v="Hindustan Copper Ltd."/>
        <s v="Jyoti CNC Automation Limited"/>
        <s v="Grindwell Norton Ltd."/>
        <s v="Aegis Logistics Ltd."/>
        <s v="Go Digit General Insurance Limited"/>
        <s v="Amara Raja Energy &amp; Mobility Limited"/>
        <s v="SUN TV NETWORK LIMITED"/>
        <s v="Emami Ltd"/>
        <s v="CRISIL Ltd."/>
        <s v="Gland Pharma Limited"/>
        <s v="NBCC (India) Limited"/>
        <s v="Bayer CropScience Limited."/>
        <s v="ITI Limited (Indian Teleph.Ind.Ltd)"/>
        <s v="ZF Commercial Vehicle Control Systems India Limited"/>
        <s v="Sundram Fasteners Ltd."/>
        <s v="Delhivery Limited"/>
        <s v="K.P.R. Mill Ltd."/>
        <s v="TVS Holdings Limited"/>
        <s v="Godrej Industries Ltd."/>
        <s v="Ipca Laboratories Ltd."/>
        <s v="Ajanta Pharma Ltd."/>
        <s v="Syngene International Limited"/>
        <s v="JUPITER WAGONS LIMITED"/>
        <s v="KIOCL Limited"/>
        <s v="Tata Chemicals Ltd"/>
        <s v="J.B. Chemicals &amp; Pharmaceuticals Lt"/>
        <s v="EIH Ltd"/>
        <s v="Century Textiles &amp; Industries Ltd."/>
        <s v="One 97 Communications Limited"/>
        <s v="Vedant Fashions Limited"/>
        <s v="Crompton Greaves Consumer Electricals Limited"/>
        <s v="CHOLAMANDALAM FINANCIAL HOLDINGS LIMITED"/>
        <s v="IRCON International Ltd"/>
        <s v="SUMITOMO CHEMICAL INDIA LIMITED"/>
        <s v="KAYNES TECHNOLOGY INDIA LIMITED"/>
        <s v="Aarti Industries Ltd"/>
        <s v="Whirlpool of India Ltd"/>
        <s v="Ratnamani Metals &amp; Tubes Ltd"/>
        <s v="ICICI Securities Limited"/>
        <s v="Tejas Networks Limited"/>
        <s v="Narayana Hrudayalaya Limited"/>
        <s v="Garden Reach Shipbuilders &amp; Engineers Limited"/>
        <s v="KEC International Ltd."/>
        <s v="TITAGARH RAIL SYSTEMS LIMITED"/>
        <s v="Finolex Cables Ltd."/>
        <s v="Hatsun Agro Products Ltd."/>
        <s v="C D S L"/>
        <s v="Gillette India Ltd."/>
        <s v="JBM Auto Limited"/>
        <s v="Radico Khaitan Ltd."/>
        <s v="Five-Star Business Finance Ltd."/>
        <s v="Dr. Lal Pathlabs Limited"/>
        <s v="Laurus Labs Limited"/>
        <s v="Elgi Equipments Ltd."/>
        <s v="BASF India Ltd"/>
        <s v="IIFL FINANCE LIMITED"/>
        <s v="Kajaria Ceramics Ltd"/>
        <s v="CIE Automotive India Limited"/>
        <s v="Kansai Nerolac Paints"/>
        <s v="SCHNEIDER ELECTRIC INFRASTRUCTURE LIMITED"/>
        <s v="WAAREE RENEWABLE TECHNOLOGIES LIMITED"/>
        <s v="Sobha Limited"/>
        <s v="NCC Limited"/>
        <s v="Natco Pharma Ltd."/>
        <s v="Godfrey Phillips India Ltd."/>
        <s v="Castrol India Ltd"/>
        <s v="CESC Limited"/>
        <s v="ANGEL ONE LIMITED"/>
        <s v="PIRAMAL PHARMA LIMITED"/>
        <s v="Piramal Enterprises Limited"/>
        <s v="Pfizer Ltd."/>
        <s v="SUVEN PHARMACEUTICALS LIMITED"/>
        <s v="Relaxo Footwears Ltd."/>
        <s v="CreditAccess Grameen Ltd."/>
        <s v="PNB Housing Finance Limited"/>
        <s v="PTC Industries Ltd."/>
        <s v="Chambal Fertilisers &amp; Chemicals Ltd"/>
        <s v="Multi Commodity Exchange of India Ltd"/>
        <s v="Triveni Turbine Limited"/>
        <s v="Himadri Speciality Chemical Ltd."/>
        <s v="R R KABEL LIMITED"/>
        <s v="Vinati Organics Ltd."/>
        <s v="V-Guard Industries Ltd."/>
        <s v="Kirloskar Oil Engines Limited"/>
        <s v="Cyient Limited"/>
        <s v="Finolex Industries Ltd."/>
        <s v="Devyani International Limited"/>
        <s v="SIGNATUREGLOBAL (INDIA) LIMITED"/>
        <s v="Authum Investment &amp; Infrastructure Limited"/>
        <s v="TBO TEK LIMITED"/>
        <s v="BIRLASOFT LIMITED"/>
        <s v="Bata India Limited"/>
        <s v="Cello World Limited"/>
        <s v="The Ramco Cements Limited"/>
        <s v="IDFC LIMITED"/>
        <s v="Atul Limited."/>
        <s v="KALPATARU PROJECTS INTERNATIONAL LIMITED"/>
        <s v="BEML Ltd"/>
        <s v="Blue Dart Express Ltd."/>
        <s v="Trident Ltd"/>
        <s v="Aditya Birla Sun Life AMC Limited"/>
        <s v="Raymond Limited"/>
        <s v="Affle (India) Limited"/>
        <s v="Inox Wind Limited"/>
        <s v="Action Construction Equipments Ltd."/>
        <s v="Shyam Metalics and Energy Limited"/>
        <s v="Swan Energy Ltd."/>
        <s v="Computer Age Management Services Limited"/>
        <s v="Poly Medicure Ltd"/>
        <s v="Aadhar Housing Finance Limited"/>
        <s v="Bikaji Foods International Limited"/>
        <s v="Nuvama Wealth Management Limited"/>
        <s v="Capri Global Capital Limited"/>
        <s v="ALEMBIC PHARMACEUTICALS LIMITED"/>
        <s v="Kirloskar Brothers Ltd."/>
        <s v="Lakshmi Machine Works Ltd."/>
        <s v="Navin Fluorine International Limited"/>
        <s v="Jindal Saw Ltd."/>
        <s v="G R Infraprojects Limited"/>
        <s v="Chalet Hotels Limited"/>
        <s v="Great Eastern Shipping Co. Ltd."/>
        <s v="Manappuram Finance Limited"/>
        <s v="Aster DM Healthcare Limited"/>
        <s v="Data Patterns (India) Limited"/>
        <s v="KSB LIMITED"/>
        <s v="JYOTHY LABS LIMITED"/>
        <s v="STERLING AND WILSON RENEWABLE ENERGY LIMITED"/>
        <s v="Sonata Software Ltd."/>
        <s v="RITES Limited"/>
        <s v="Gujarat State Petronet Ltd."/>
        <s v="Karur Vysya Bank Ltd."/>
        <s v="Techno Electric &amp; Engineering Company Limited"/>
        <s v="Zensar Technologies Ltd."/>
        <s v="Concord Biotech Limited"/>
        <s v="Krishna Institute of Medical Sciences Limited"/>
        <s v="Redington Limited"/>
        <s v="Aptus Value Housing Finance India Limited"/>
        <s v="Asahi India Glass Ltd."/>
        <s v="Century Plyboards (India) Ltd."/>
        <s v="ramkrishna forgings Ltd."/>
        <s v="Anant Raj Limited"/>
        <s v="IndiaMART InterMESH Limited"/>
        <s v="Anand Rathi Wealth Limited"/>
        <s v="HFCL LIMITED"/>
        <s v="RBL Bank Limited"/>
        <s v="IFCI Ltd."/>
        <s v="Jai Balaji Industries Limited"/>
        <s v="Indian Energy Exchange Limited"/>
        <s v="AstraZeneca Pharma India Ltd."/>
        <s v="DCM Shriram Limited"/>
        <s v="Clean Science and Technology Limited"/>
        <s v="Amber Enterprises India Limited"/>
        <s v="Mahanagar Gas Limited"/>
        <s v="Firstsource Solutions Ltd."/>
        <s v="Sanofi India Ltd"/>
        <s v="Fine Organic Industries Limited"/>
        <s v="RailTel Corporation of India Limited"/>
        <s v="Welspun Corp Limited"/>
        <s v="Elecon Engineering Co.Ltd."/>
        <s v="Tata Teleservices (Maharashtra) Ltd."/>
        <s v="AAVAS Financiers Limited"/>
        <s v="WELSPUN LIVING LIMITED"/>
        <s v="INTELLECT DESIGN ARENA LIMITED"/>
        <s v="Zee Entertainment Enterprises Ltd."/>
        <s v="Supreme Petrochem Ltd."/>
        <s v="NETWEB TECHNOLOGIES INDIA LIMITED"/>
        <s v="GODAWARI POWER AND ISPAT LTD."/>
        <s v="Chennai Petroleum Corporation Ltd."/>
        <s v="HBL Power Systems Ltd."/>
        <s v="OLECTRA GREENTECH LIMITED"/>
        <s v="BLS International Services Ltd"/>
        <s v="Engineers India Ltd."/>
        <s v="Bombay Burmah Trading Corpn. Ltd."/>
        <s v="Ingersoll-Rand (India) Ltd."/>
        <s v="PVR INOX LIMITED"/>
        <s v="Eris Lifesciences Limited"/>
        <s v="Godrej Agrovet Limited"/>
        <s v="Honasa Consumer Limited"/>
        <s v="Vardhman Textiles Limted"/>
        <s v="Alok Industries Ltd."/>
        <s v="Newgen Software Technologies Limited"/>
        <s v="Craftsman Automation Limited"/>
        <s v="E.I.D. Parry (India) Ltd."/>
        <s v="Jaiprakash Power Ventures Limited"/>
        <s v="Praj Industries Ltd."/>
        <s v="Indegene Limited"/>
        <s v="RHI MAGNESITA INDIA LIMITED"/>
        <s v="WESTLIFE FOODWORLD LIMITED"/>
        <s v="Akzo Nobel India Limited"/>
        <s v="Rainbow Children's Medicare Limited"/>
        <s v="MMTC Ltd."/>
        <s v="UTI Asset Management Company Limited"/>
        <s v="TANLA PLATFORMS LIMITED"/>
        <s v="DOMS Industries Limited"/>
        <s v="City Union Bank Ltd"/>
        <s v="PNC Infratech Limited"/>
        <s v="KFin Technologies Limited"/>
        <s v="Nuvoco Vistas Corporation Limited"/>
        <s v="INOX India Limited"/>
        <s v="Jammu and Kashmir Bank Ltd."/>
        <s v="Puravankara Limited"/>
        <s v="Birla Corporation Ltd."/>
        <s v="C.E. Info Systems Limited"/>
        <s v="Bajaj Electricals Ltd."/>
        <s v="Gujarat Mineral Development Corpora"/>
        <s v="Granules India Ltd."/>
        <s v="Force Motors Limited"/>
        <s v="Happiest Minds Technologies Limited"/>
        <s v="Shipping Corporation Of India Ltd"/>
        <s v="Aether Industries Limited"/>
        <s v="Zydus Wellness Limited"/>
        <s v="Cera Sanitaryware Ltd."/>
        <s v="Can Fin Homes Ltd."/>
        <s v="Usha Martin Ltd."/>
        <s v="eClerx Services Limited"/>
        <s v="Happy Forgings Limited"/>
        <s v="JUBILANT PHARMOVA LIMITED"/>
        <s v="RATTANINDIA ENTERPRISES LIMITED"/>
        <s v="H.G. Infra Engineering Limited"/>
        <s v="Reliance Power Limited"/>
        <s v="Thomas Cook (India) Ltd."/>
        <s v="Transformers and Rectifiers (India) Limited"/>
        <s v="Glenmark Life Sciences Limited"/>
        <s v="Lemon Tree Hotels Limited"/>
        <s v="JK Tyre &amp; Industries Ltd."/>
        <s v="Minda Corporation Limited"/>
        <s v="Route Mobile Limited"/>
        <s v="Caplin Point Laboratories Ltd."/>
        <s v="Azad Engineering Limited"/>
        <s v="VOLTAMP TRANSFORMERS LIMITED"/>
        <s v="Graphite India Ltd."/>
        <s v="TTK Prestige Ltd."/>
        <s v="Tega Industries Limited"/>
        <s v="Wockhardt Ltd"/>
        <s v="Ceat Ltd."/>
        <s v="KPI Green Energy Limited"/>
        <s v="Rashtriya Chemicals &amp; Fertilizers Limited"/>
        <s v="Alkyl Amines Chemicals Ltd."/>
        <s v="MOIL Limited"/>
        <s v="Equitas Small Finance Bank Limited"/>
        <s v="NAVA LIMITED"/>
        <s v="Gujarat Pipavav Port Limited"/>
        <s v="REDTAPE Limited"/>
        <s v="Electrosteel Castings Ltd."/>
        <s v="Saregama India Ltd."/>
        <s v="Shree Renuka Sugars Ltd."/>
        <s v="JK Paper Ltd."/>
        <s v="Gujarat Narmada Valley Fert.Co.Ltd"/>
        <s v="Maharashtra Scooters Ltd."/>
        <s v="Genus Power Infrastructures Ltd"/>
        <s v="JK Lakshmi Cement Limited"/>
        <s v="Latent View Analytics Limited"/>
        <s v="Zen Technologies Ltd."/>
        <s v="VALOR ESTATE LIMITED"/>
        <s v="Safari Industries (India) Ltd."/>
        <s v="Sheela Foam Limited"/>
        <s v="KNR Constructions Limited"/>
        <s v="Kirloskar Ferrous Industries Ltd."/>
        <s v="Vesuvius India Ltd."/>
        <s v="Metropolis Healthcare Limited"/>
        <s v="GRAVITA INDIA LIMITED"/>
        <s v="Sapphire Foods India Limited"/>
        <s v="Varroc Engineering Limited"/>
        <s v="INDIABULLS HOUSING FINANCE LIMITED"/>
        <s v="Bengal &amp; Assam Company Limited"/>
        <s v="Galaxy Surfactants Limited"/>
        <s v="Arvind Ltd."/>
        <s v="Gujarat State Fertilizers &amp; Chem.Ltd"/>
        <s v="Juniper Hotels Limited"/>
        <s v="PCBL LIMITED"/>
        <s v="Indiabulls Real Estate Limited"/>
        <s v="ISGEC Heavy Engineering Limited"/>
        <s v="Neuland Laboratories Limited."/>
        <s v="RattanIndia Power Limited"/>
        <s v="Esab India Ltd."/>
        <s v="Eureka Forbes Limited"/>
        <s v="Deepak Fertilizers &amp;Petrochemicals"/>
        <s v="Kama Holdings Limited"/>
        <s v="National Standard (India) Limited"/>
        <s v="Mahindra Lifespace Developers Ltd."/>
        <s v="ITD Cementation India Ltd"/>
        <s v="Mahindra Holidays &amp; Resorts India Limited"/>
        <s v="India Cements Ltd."/>
        <s v="PG Electroplast Limited"/>
        <s v="Responsive Industries Ltd"/>
        <s v="Home First Finance Company India Limited"/>
        <s v="Quess Corp Limited"/>
        <s v="Network 18 Media &amp; Investments Limited"/>
        <s v="Campus Activewear Limited"/>
        <s v="GALLANTT ISPAT LIMITED"/>
        <s v="Syrma SGS Technology Limited"/>
        <s v="LT Foods Limited"/>
        <s v="Ahluwalia Contracts (India) Ltd"/>
        <s v="Astra Microwave Products Ltd."/>
        <s v="RateGain Travel Technologies Limited"/>
        <s v="Elantas Beck India Ltd"/>
        <s v="Electronics Mart India Limited"/>
        <s v="Archean Chemical Industries Limited"/>
        <s v="Mishra Dhatu Nigam Limited"/>
        <s v="Senco Gold Limited"/>
        <s v="Sandur Manganese &amp; Iron Ores Ltd."/>
        <s v="SBFC Finance Limited"/>
        <s v="Ujjivan Small Finance Bank Limited"/>
        <s v="STRIDES PHARMA SCIENCE LIMITED"/>
        <s v="Balrampur Chini Mills Ltd."/>
        <s v="Maharashtra Seamless Ltd."/>
        <s v="Chemplast Sanmar Limited"/>
        <s v="Just Dial Limited"/>
        <s v="Triveni Engineering &amp; Industries Ltd"/>
        <s v="INFIBEAM AVENUES LIMITED"/>
        <s v="JM Financial Limited"/>
        <s v="Star Cement Limited"/>
        <s v="Jupiter Life Line Hospitals Limited"/>
        <s v="PRISM JOHNSON LIMITED."/>
        <s v="Rajesh Exports Ltd."/>
        <s v="PROCTER &amp; GAMBLE HEALTH LIMITED"/>
        <s v="Keystone Realtors Limited"/>
        <s v="HEG Ltd."/>
        <s v="Shriram Pistons"/>
        <s v="Ganesh Housing Corporation Ltd."/>
        <s v="Inox Wind Energy Limited"/>
        <s v="Anupam Rasayan India Limited"/>
        <s v="Shoppers Stop Ltd"/>
        <s v="Mrs. Bectors Food Specialities Limited"/>
        <s v="TVS Supply Chain Solutions Limited"/>
        <s v="Prudent Corporate Advisory Services Limited"/>
        <s v="Mastek Limited"/>
        <s v="Sarda Energy &amp; Minerals Ltd"/>
        <s v="Medplus Health Services Limited"/>
        <s v="Shakti Pumps (India) Ltd."/>
        <s v="Texmaco Rail &amp; Engineering Limited"/>
        <s v="Avanti Feeds ltd."/>
        <s v="CMS Info Systems Limited"/>
        <s v="Jubilant Ingrevia Limited"/>
        <s v="LLOYDS ENGINEERING WORKS LIMITED"/>
        <s v="JSW Holdings Limited"/>
        <s v="Sunteck Realty Ltd"/>
        <s v="Aurionpro Solutions Ltd."/>
        <s v="Hindustan Construction Co. Ltd."/>
        <s v="VA Tech Wabag Limited"/>
        <s v="Power Mech Projects Limited"/>
        <s v="Symphony Limited"/>
        <s v="Dilip Buildcon Limited"/>
        <s v="CCL Products (India) Ltd."/>
        <s v="Karnataka Bank Ltd."/>
        <s v="GARWARE TECHNICAL FIBRES LIMITED"/>
        <s v="Sun Pharma Advanced Research Company Ltd."/>
        <s v="Reliance Infrastructure Ltd"/>
        <s v="Choice International Ltd"/>
        <s v="Greenlam Industries Ltd"/>
        <s v="India Shelter Finance Corporation Limited"/>
        <s v="TV18 Broadcast Ltd."/>
        <s v="HMT Limited"/>
        <s v="Vijaya Diagnostic Centre Limited"/>
        <s v="Religare Enterprises Ltd"/>
        <s v="FDC Ltd."/>
        <s v="Dhanuka Agritech Ltd."/>
        <s v="Tamilnad Mercantile Bank Limited"/>
        <s v="Prince Pipes and Fittings Limited"/>
        <s v="India Tourism Development Corporati"/>
        <s v="Balaji Amines Ltd."/>
        <s v="ASK Automotive Limited"/>
        <s v="Indo Count Industries Ltd"/>
        <s v="Easy Trip Planners Limited"/>
        <s v="MAN INFRACONSTRUCTION LIMITED"/>
        <s v="Piccadily Agro Industries ltd."/>
        <s v="Surya Roshni Ltd."/>
        <s v="Time Technoplast Limited"/>
        <s v="Marksans Pharma Ltd."/>
        <s v="Transport Corporation of India Ltd"/>
        <s v="PDS LIMITED"/>
        <s v="MAGELLANIC CLOUD LIMITED"/>
        <s v="Sansera Engineering Limited"/>
        <s v="Suprajit Engineering Ltd."/>
        <s v="Kennametal India Limtied"/>
        <s v="Diamond Power Infrastructure Limited"/>
        <s v="Laxmi Organic Industries Limited"/>
        <s v="Jindal Worldwide Ltd."/>
        <s v="Blue Jet Healthcare Limited"/>
        <s v="South Indian Bank Ltd."/>
        <s v="Arvind Fashions Limited"/>
        <s v="eMudhra Limited"/>
        <s v="ETHOS LIMITED"/>
        <s v="Nazara Technologies Limited"/>
        <s v="EPL LIMITED"/>
        <s v="Gabriel India Ltd."/>
        <s v="Max Estates Limited"/>
        <s v="JANA SMALL FINANCE BANK LIMITED"/>
        <s v="Jai Corp Limited"/>
        <s v="Paradeep Phosphates Limited"/>
        <s v="Rolex Rings Limited"/>
        <s v="V.I.P. Industries Ltd."/>
        <s v="Ion Exchange (India) Ltd"/>
        <s v="BOROSIL RENEWABLES LIMITED"/>
        <s v="Sterlite Technologies Limited."/>
        <s v="Gokaldas Exports Ltd"/>
        <s v="PAISALO DIGITAL LIMITED"/>
        <s v="Technocraft Industries (India) Ltd."/>
        <s v="KRBL Ltd."/>
        <s v="Sudarshan Chemical Indus. Ltd."/>
        <s v="Indigo Paints Limited"/>
        <s v="IIFL Securities Limited"/>
        <s v="J. Kumar Infraprojects Limited"/>
        <s v="SIS LIMITED"/>
        <s v="Kesoram Industries Ltd"/>
        <s v="Nesco Ltd"/>
        <s v="CSB Bank Limited"/>
        <s v="National Fertilizers Ltd."/>
        <s v="Ashoka Buildcon Limited"/>
        <s v="IFB Industries Limited"/>
        <s v="Rallis India Ltd"/>
        <s v="R Systems International Limited"/>
        <s v="Gulf Oil Lubricants India Limited"/>
        <s v="INSOLATION ENERGY LIMITED"/>
        <s v="TARC LIMITED"/>
        <s v="PTC India Ltd"/>
        <s v="Gujarat Ambuja Exports Ltd."/>
        <s v="Sharda Motor Industries Ltd"/>
        <s v="MSTC Limited"/>
        <s v="NIIT Learning Systems Limited"/>
        <s v="VST Industries Ltd."/>
        <s v="Hindustan Foods Ltd."/>
        <s v="Welspun Enterprises Limited"/>
        <s v="GMM Pfaudler Ltd."/>
        <s v="Cyient DLM Limited"/>
        <s v="Kirloskar Industries Ltd"/>
        <s v="Pricol Limited"/>
        <s v="Sundaram Fin.Hol"/>
        <s v="Dodla Dairy Limited"/>
        <s v="PRIVI SPECIALITY CHEMICALS LIMITED"/>
        <s v="Allcargo Logistics Ltd"/>
        <s v="MTAR Technologies Limited"/>
        <s v="TD Power Systems Ltd"/>
        <s v="Epigral Limited"/>
        <s v="Edelweiss Financial Services Ltd."/>
        <s v="BLACK BOX LIMITED"/>
        <s v="V-Mart Retail Limited"/>
        <s v="Gujarat Alkalis &amp; Chemicals Ltd."/>
        <s v="D.B.Corp Limited"/>
        <s v="Orient Electric Limited"/>
        <s v="ICRA Limited"/>
        <s v="EXICOM TELE-SYSTEMS LIMITED"/>
        <s v="Bondada Engineering Limited"/>
        <s v="Orchid Pharma Limited"/>
        <s v="Shilpa Medicare Ltd."/>
        <s v="UTKARSH SMALL FINANCE BANK LIMITED"/>
        <s v="ORIENT CEMENT LIMITED"/>
        <s v="Share India Securities Limited"/>
        <s v="Pilani Investment And Industries Corporation Limited"/>
        <s v="Aarti Pharmalabs Limited"/>
        <s v="Aditya Vision Limited"/>
        <s v="Paras Defence and Space Technologies Limited"/>
        <s v="Ami Organics Limited"/>
        <s v="GARWARE HI-TECH FILMS LIMITED"/>
        <s v="Bharat Bijlee Ltd."/>
        <s v="Rain Industries Limited"/>
        <s v="GHCL Ltd."/>
        <s v="Hemisphere Properties India Limited"/>
        <s v="Johnson Controls-Hitachi Air Conditioning India Ltd."/>
        <s v="MOSCHIP TECHNOLOGIES LIMITED"/>
        <s v="MAS Financial Services Limited"/>
        <s v="Go Fashion (India) Limited"/>
        <s v="JTEKT India Limited"/>
        <s v="HealthCare Global Enterprises Limited"/>
        <s v="Tips Industries Limited"/>
        <s v="INOX GREEN ENERGY SERVICES LIMITED"/>
        <s v="Patel Engineering Ltd"/>
        <s v="Bajaj Hindusthan Sugar Limited"/>
        <s v="Heritage Foods Limited"/>
        <s v="Wonderla Holidays Limited"/>
        <s v="GMR Power and Urban Infra Limited"/>
        <s v="Spandana Sphoorty Financial Limited"/>
        <s v="VRL Logistics Limited"/>
        <s v="Gateway Distriparks Limited"/>
        <s v="Vaibhav Global Ltd"/>
        <s v="SG MART LIMITED"/>
        <s v="Jain Irrigation Systems Ltd."/>
        <s v="Banco Products (India) Ltd."/>
        <s v="Restaurant Brands Asia Limited"/>
        <s v="HeidelbergCement  India Limited"/>
        <s v="Harsha Engineers International Limited"/>
        <s v="Dynamatic Technologies Ltd."/>
        <s v="Bharat Rasayan Limited"/>
        <s v="Protean eGov Technologies Limited"/>
        <s v="Jamna Auto Industries Ltd."/>
        <s v="TeamLease Services Limited"/>
        <s v="Tilaknagar Industries Ltd"/>
        <s v="Thangamayil Jewellery Limited"/>
        <s v="Kaveri Seed Company Ltd"/>
        <s v="NOCIL Ltd"/>
        <s v="Kovai Medical Center &amp; Hospital Ltd"/>
        <s v="DCX Systems Limited"/>
        <s v="Aarti Drugs Limited"/>
        <s v="Entero Healthcare Solutions Limited"/>
        <s v="TCI Express Limited"/>
        <s v="Jayaswal Neco Industries Ltd"/>
        <s v="Sanghvi Movers Ltd."/>
        <s v="West Coast Paper Mills Limited"/>
        <s v="Shilchar Technologies Ltd."/>
        <s v="Balmer Lawrie &amp; Co. Ltd."/>
        <s v="AGI GREENPAC LIMITED"/>
        <s v="GTL Infrastructure Limited"/>
        <s v="ROSSARI BIOTECH LIMITED"/>
        <s v="JNK India Limited"/>
        <s v="Fusion Micro Finance Limited"/>
        <s v="Shanthi Gears Ltd."/>
        <s v="Fedbank Financial Services Limited"/>
        <s v="Blue Cloud Softech Solutions Limited"/>
      </sharedItems>
    </cacheField>
    <cacheField name="NSE Code" numFmtId="0">
      <sharedItems>
        <s v="RELIANCE"/>
        <s v="TCS"/>
        <s v="HDFCBANK"/>
        <s v="BHARTIARTL"/>
        <s v="ICICIBANK"/>
        <s v="SBIN"/>
        <s v="INFY"/>
        <s v="LICI"/>
        <s v="HINDUNILVR"/>
        <s v="ITC"/>
        <s v="LT"/>
        <s v="BAJFINANCE"/>
        <s v="AXISBANK"/>
        <s v="HCLTECH"/>
        <s v="MARUTI"/>
        <s v="NTPC"/>
        <s v="SUNPHARMA"/>
        <s v="ADANIENT"/>
        <s v="KOTAKBANK"/>
        <s v="TATAMOTORS"/>
        <s v="TATAMTRDVR"/>
        <s v="HAL"/>
        <s v="ONGC"/>
        <s v="M&amp;M"/>
        <s v="ULTRACEMCO"/>
        <s v="ADANIPORTS"/>
        <s v="POWERGRID"/>
        <s v="DMART"/>
        <s v="TITAN"/>
        <s v="COALINDIA"/>
        <s v="ADANIGREEN"/>
        <s v="HINDZINC"/>
        <s v="ASIANPAINT"/>
        <s v="ADANIPOWER"/>
        <s v="WIPRO"/>
        <s v="SIEMENS"/>
        <s v="BAJAJ-AUTO"/>
        <s v="BAJAJFINSV"/>
        <s v="NESTLEIND"/>
        <s v="IOC"/>
        <s v="IRFC"/>
        <s v="JIOFIN"/>
        <s v="JSWSTEEL"/>
        <s v="BEL"/>
        <s v="TATASTEEL"/>
        <s v="VBL"/>
        <s v="DLF"/>
        <s v="TRENT"/>
        <s v="GRASIM"/>
        <s v="ZOMATO"/>
        <s v="ABB"/>
        <s v="PFC"/>
        <s v="VEDL"/>
        <s v="INDIGO"/>
        <s v="AMBUJACEM"/>
        <s v="PIDILITIND"/>
        <s v="LTIM"/>
        <s v="HINDALCO"/>
        <s v="SBILIFE"/>
        <s v="LODHA"/>
        <s v="GAIL"/>
        <s v="RECLTD"/>
        <s v="BANKBARODA"/>
        <s v="TATAPOWER"/>
        <s v="MOTHERSON"/>
        <s v="TECHM"/>
        <s v="GODREJCP"/>
        <s v="PNB"/>
        <s v="BRITANNIA"/>
        <s v="EICHERMOT"/>
        <s v="HDFCLIFE"/>
        <s v="JSWENERGY"/>
        <s v="IOB"/>
        <s v="DIVISLAB"/>
        <s v="IDEA"/>
        <s v="CIPLA"/>
        <s v="CHOLAFIN"/>
        <s v="HAVELLS"/>
        <s v="ADANIENSOL"/>
        <s v="TVSMOTOR"/>
        <s v="INDUSINDBK"/>
        <s v="ZYDUSLIFE"/>
        <s v="HEROMOTOCO"/>
        <s v="CUMMINSIND"/>
        <s v="DRREDDY"/>
        <s v="TATACONSUM"/>
        <s v="SHRIRAMFIN"/>
        <s v="CGPOWER"/>
        <s v="CANBK"/>
        <s v="DABUR"/>
        <s v="JINDALSTEL"/>
        <s v="UNIONBANK"/>
        <s v="BHEL"/>
        <s v="BOSCHLTD"/>
        <s v="INDUSTOWER"/>
        <s v="NHPC"/>
        <s v="POLYCAB"/>
        <s v="ATGL"/>
        <s v="SHREECEM"/>
        <s v="SOLARINDS"/>
        <s v="TORNTPHARM"/>
        <s v="BAJAJHLDNG"/>
        <s v="UNITDSPR"/>
        <s v="GODREJPROP"/>
        <s v="IDBI"/>
        <s v="ICICIGI"/>
        <s v="APOLLOHOSP"/>
        <s v="ICICIPRULI"/>
        <s v="MAXHEALTH"/>
        <s v="INDHOTEL"/>
        <s v="RVNL"/>
        <s v="HDFCAMC"/>
        <s v="OFSS"/>
        <s v="MAZDOCK"/>
        <s v="NAUKRI"/>
        <s v="MANKIND"/>
        <s v="TIINDIA"/>
        <s v="IRCTC"/>
        <s v="OIL"/>
        <s v="COLPAL"/>
        <s v="MARICO"/>
        <s v="BHARATFORG"/>
        <s v="SUPREMEIND"/>
        <s v="PRESTIGE"/>
        <s v="LUPIN"/>
        <s v="SCHAEFFLER"/>
        <s v="YESBANK"/>
        <s v="DIXON"/>
        <s v="TORNTPOWER"/>
        <s v="NMDC"/>
        <s v="SUZLON"/>
        <s v="INDIANB"/>
        <s v="MUTHOOTFIN"/>
        <s v="AUROPHARMA"/>
        <s v="LINDEINDIA"/>
        <s v="HINDPETRO"/>
        <s v="SRF"/>
        <s v="ASHOKLEY"/>
        <s v="SBICARD"/>
        <s v="JSL"/>
        <s v="JSWINFRA"/>
        <s v="GICRE"/>
        <s v="BPCL"/>
        <s v="PHOENIXLTD"/>
        <s v="OBEROIRLTY"/>
        <s v="PERSISTENT"/>
        <s v="UCOBANK"/>
        <s v="ASTRAL"/>
        <s v="FACT"/>
        <s v="UNOMINDA"/>
        <s v="CONCOR"/>
        <s v="BALKRISIND"/>
        <s v="ABCAPITAL"/>
        <s v="SAIL"/>
        <s v="POLICYBZR"/>
        <s v="BDL"/>
        <s v="BERGEPAINT"/>
        <s v="ALKEM"/>
        <s v="POWERINDIA"/>
        <s v="HUDCO"/>
        <s v="ABBOTINDIA"/>
        <s v="COCHINSHIP"/>
        <s v="THERMAX"/>
        <s v="GMRINFRA"/>
        <s v="IDFCFIRSTB"/>
        <s v="PIIND"/>
        <s v="IREDA"/>
        <s v="PATANJALI"/>
        <s v="BHARTIHEXA"/>
        <s v="MRF"/>
        <s v="CENTRALBK"/>
        <s v="TATACOMM"/>
        <s v="BANKINDIA"/>
        <s v="PGHH"/>
        <s v="UBL"/>
        <s v="SJVN"/>
        <s v="LTTS"/>
        <s v="KALYANKJIL"/>
        <s v="HONAUT"/>
        <s v="AUBANK"/>
        <s v="SUNDARMFIN"/>
        <s v="NYKAA"/>
        <s v="VOLTAS"/>
        <s v="ACC"/>
        <s v="PETRONET"/>
        <s v="EXIDEIND"/>
        <s v="COROMANDEL"/>
        <s v="MPHASIS"/>
        <s v="MAHABANK"/>
        <s v="GLAXO"/>
        <s v="KPITTECH"/>
        <s v="LTF"/>
        <s v="ESCORTS"/>
        <s v="FEDERALBNK"/>
        <s v="TATAELXSI"/>
        <s v="AWL"/>
        <s v="PAGEIND"/>
        <s v="LICHSGFIN"/>
        <s v="GUJGASLTD"/>
        <s v="APLAPOLLO"/>
        <s v="UPL"/>
        <s v="BIOCON"/>
        <s v="3MINDIA"/>
        <s v="TATATECH"/>
        <s v="KEI"/>
        <s v="PSB"/>
        <s v="NAM-INDIA"/>
        <s v="GET&amp;D"/>
        <s v="AIAENG"/>
        <s v="NIACL"/>
        <s v="ENDURANCE"/>
        <s v="MRPL"/>
        <s v="SONACOMS"/>
        <s v="LLOYDSME"/>
        <s v="JUBLFOOD"/>
        <s v="M&amp;MFIN"/>
        <s v="FORTIS"/>
        <s v="MOTILALOFS"/>
        <s v="NLCINDIA"/>
        <s v="GLENMARK"/>
        <s v="MEDANTA"/>
        <s v="COFORGE"/>
        <s v="IGL"/>
        <s v="DEEPAKNTR"/>
        <s v="FLUOROCHEM"/>
        <s v="NATIONALUM"/>
        <s v="APARINDS"/>
        <s v="DALBHARAT"/>
        <s v="APOLLOTYRE"/>
        <s v="BSE"/>
        <s v="METROBRAND"/>
        <s v="BLUESTARCO"/>
        <s v="TATAINVEST"/>
        <s v="MFSL"/>
        <s v="STARHEALTH"/>
        <s v="TIMKEN"/>
        <s v="JKCEMENT"/>
        <s v="CARBORUNIV"/>
        <s v="BANDHANBNK"/>
        <s v="MSUMI"/>
        <s v="ABFRL"/>
        <s v="SKFINDIA"/>
        <s v="POONAWALLA"/>
        <s v="BRIGADE"/>
        <s v="HINDCOPPER"/>
        <s v="JYOTICNC"/>
        <s v="GRINDWELL"/>
        <s v="AEGISLOG"/>
        <s v="GODIGIT"/>
        <s v="ARE&amp;M"/>
        <s v="SUNTV"/>
        <s v="EMAMILTD"/>
        <s v="CRISIL"/>
        <s v="GLAND"/>
        <s v="NBCC"/>
        <s v="BAYERCROP"/>
        <s v="ITI"/>
        <s v="ZFCVINDIA"/>
        <s v="SUNDRMFAST"/>
        <s v="DELHIVERY"/>
        <s v="KPRMILL"/>
        <s v="TVSHLTD"/>
        <s v="GODREJIND"/>
        <s v="IPCALAB"/>
        <s v="AJANTPHARM"/>
        <s v="SYNGENE"/>
        <s v="JWL"/>
        <s v="KIOCL"/>
        <s v="TATACHEM"/>
        <s v="JBCHEPHARM"/>
        <s v="EIHOTEL"/>
        <s v="CENTURYTEX"/>
        <s v="PAYTM"/>
        <s v="MANYAVAR"/>
        <s v="CROMPTON"/>
        <s v="CHOLAHLDNG"/>
        <s v="IRCON"/>
        <s v="SUMICHEM"/>
        <s v="KAYNES"/>
        <s v="AARTIIND"/>
        <s v="WHIRLPOOL"/>
        <s v="RATNAMANI"/>
        <s v="ISEC"/>
        <s v="TEJASNET"/>
        <s v="NH"/>
        <s v="GRSE"/>
        <s v="KEC"/>
        <s v="TITAGARH"/>
        <s v="FINCABLES"/>
        <s v="HATSUN"/>
        <s v="CDSL"/>
        <s v="GILLETTE"/>
        <s v="JBMA"/>
        <s v="RADICO"/>
        <s v="FIVESTAR"/>
        <s v="LALPATHLAB"/>
        <s v="LAURUSLABS"/>
        <s v="ELGIEQUIP"/>
        <s v="BASF"/>
        <s v="IIFL"/>
        <s v="KAJARIACER"/>
        <s v="CIEINDIA"/>
        <s v="KANSAINER"/>
        <s v="SCHNEIDER"/>
        <s v="WAAREERTL"/>
        <s v="SOBHA"/>
        <s v="NCC"/>
        <s v="NATCOPHARM"/>
        <s v="GODFRYPHLP"/>
        <s v="CASTROLIND"/>
        <s v="CESC"/>
        <s v="ANGELONE"/>
        <s v="PPLPHARMA"/>
        <s v="PEL"/>
        <s v="PFIZER"/>
        <s v="SUVENPHAR"/>
        <s v="RELAXO"/>
        <s v="CREDITACC"/>
        <s v="PNBHOUSING"/>
        <s v="PTCIL"/>
        <s v="CHAMBLFERT"/>
        <s v="MCX"/>
        <s v="TRITURBINE"/>
        <s v="HSCL"/>
        <s v="RRKABEL"/>
        <s v="VINATIORGA"/>
        <s v="VGUARD"/>
        <s v="KIRLOSENG"/>
        <s v="CYIENT"/>
        <s v="FINPIPE"/>
        <s v="DEVYANI"/>
        <s v="SIGNATURE"/>
        <s v="AIIL"/>
        <s v="TBOTEK"/>
        <s v="BSOFT"/>
        <s v="BATAINDIA"/>
        <s v="CELLO"/>
        <s v="RAMCOCEM"/>
        <s v="IDFC"/>
        <s v="ATUL"/>
        <s v="KPIL"/>
        <s v="BEML"/>
        <s v="BLUEDART"/>
        <s v="TRIDENT"/>
        <s v="ABSLAMC"/>
        <s v="RAYMOND"/>
        <s v="AFFLE"/>
        <s v="INOXWIND"/>
        <s v="ACE"/>
        <s v="SHYAMMETL"/>
        <s v="SWANENERGY"/>
        <s v="CAMS"/>
        <s v="POLYMED"/>
        <s v="AADHARHFC"/>
        <s v="BIKAJI"/>
        <s v="NUVAMA"/>
        <s v="CGCL"/>
        <s v="APLLTD"/>
        <s v="KIRLOSBROS"/>
        <s v="LAXMIMACH"/>
        <s v="NAVINFLUOR"/>
        <s v="JINDALSAW"/>
        <s v="GRINFRA"/>
        <s v="CHALET"/>
        <s v="GESHIP"/>
        <s v="MANAPPURAM"/>
        <s v="ASTERDM"/>
        <s v="DATAPATTNS"/>
        <s v="KSB"/>
        <s v="JYOTHYLAB"/>
        <s v="SWSOLAR"/>
        <s v="SONATSOFTW"/>
        <s v="RITES"/>
        <s v="GSPL"/>
        <s v="KARURVYSYA"/>
        <s v="TECHNOE"/>
        <s v="ZENSARTECH"/>
        <s v="CONCORDBIO"/>
        <s v="KIMS"/>
        <s v="REDINGTON"/>
        <s v="APTUS"/>
        <s v="ASAHIINDIA"/>
        <s v="CENTURYPLY"/>
        <s v="RKFORGE"/>
        <s v="ANANTRAJ"/>
        <s v="INDIAMART"/>
        <s v="ANANDRATHI"/>
        <s v="HFCL"/>
        <s v="RBLBANK"/>
        <s v="IFCI"/>
        <s v="JAIBALAJI"/>
        <s v="IEX"/>
        <s v="ASTRAZEN"/>
        <s v="DCMSHRIRAM"/>
        <s v="CLEAN"/>
        <s v="AMBER"/>
        <s v="MGL"/>
        <s v="FSL"/>
        <s v="SANOFI"/>
        <s v="FINEORG"/>
        <s v="RAILTEL"/>
        <s v="WELCORP"/>
        <s v="ELECON"/>
        <s v="TTML"/>
        <s v="AAVAS"/>
        <s v="WELSPUNLIV"/>
        <s v="INTELLECT"/>
        <s v="ZEEL"/>
        <s v="SPLPETRO"/>
        <s v="NETWEB"/>
        <s v="GPIL"/>
        <s v="CHENNPETRO"/>
        <s v="HBLPOWER"/>
        <s v="OLECTRA"/>
        <s v="BLS"/>
        <s v="ENGINERSIN"/>
        <s v="BBTC"/>
        <s v="INGERRAND"/>
        <s v="PVRINOX"/>
        <s v="ERIS"/>
        <s v="GODREJAGRO"/>
        <s v="HONASA"/>
        <s v="VTL"/>
        <s v="ALOKINDS"/>
        <s v="NEWGEN"/>
        <s v="CRAFTSMAN"/>
        <s v="EIDPARRY"/>
        <s v="JPPOWER"/>
        <s v="PRAJIND"/>
        <s v="INDGN"/>
        <s v="RHIM"/>
        <s v="WESTLIFE"/>
        <s v="AKZOINDIA"/>
        <s v="RAINBOW"/>
        <s v="MMTC"/>
        <s v="UTIAMC"/>
        <s v="TANLA"/>
        <s v="DOMS"/>
        <s v="CUB"/>
        <s v="PNCINFRA"/>
        <s v="KFINTECH"/>
        <s v="NUVOCO"/>
        <s v="INOXINDIA"/>
        <s v="J&amp;KBANK"/>
        <s v="PURVA"/>
        <s v="BIRLACORPN"/>
        <s v="MAPMYINDIA"/>
        <s v="BAJAJELEC"/>
        <s v="GMDCLTD"/>
        <s v="GRANULES"/>
        <s v="FORCEMOT"/>
        <s v="HAPPSTMNDS"/>
        <s v="SCI"/>
        <s v="AETHER"/>
        <s v="ZYDUSWELL"/>
        <s v="CERA"/>
        <s v="CANFINHOME"/>
        <s v="USHAMART"/>
        <s v="ECLERX"/>
        <s v="HAPPYFORGE"/>
        <s v="JUBLPHARMA"/>
        <s v="RTNINDIA"/>
        <s v="HGINFRA"/>
        <s v="RPOWER"/>
        <s v="THOMASCOOK"/>
        <s v="TRIL"/>
        <s v="GLS"/>
        <s v="LEMONTREE"/>
        <s v="JKTYRE"/>
        <s v="MINDACORP"/>
        <s v="ROUTE"/>
        <s v="CAPLIPOINT"/>
        <s v="AZAD"/>
        <s v="VOLTAMP"/>
        <s v="GRAPHITE"/>
        <s v="TTKPRESTIG"/>
        <s v="TEGA"/>
        <s v="WOCKPHARMA"/>
        <s v="CEATLTD"/>
        <s v="KPIGREEN"/>
        <s v="RCF"/>
        <s v="ALKYLAMINE"/>
        <s v="MOIL"/>
        <s v="EQUITASBNK"/>
        <s v="NAVA"/>
        <s v="GPPL"/>
        <s v="REDTAPE"/>
        <s v="ELECTCAST"/>
        <s v="SAREGAMA"/>
        <s v="RENUKA"/>
        <s v="JKPAPER"/>
        <s v="GNFC"/>
        <s v="MAHSCOOTER"/>
        <s v="GENUSPOWER"/>
        <s v="JKLAKSHMI"/>
        <s v="LATENTVIEW"/>
        <s v="ZENTEC"/>
        <s v="DBREALTY"/>
        <s v="SAFARI"/>
        <s v="SFL"/>
        <s v="KNRCON"/>
        <s v="KIRLFER"/>
        <s v="VESUVIUS"/>
        <s v="METROPOLIS"/>
        <s v="GRAVITA"/>
        <s v="SAPPHIRE"/>
        <s v="VARROC"/>
        <s v="IBULHSGFIN"/>
        <s v="BENGALASM"/>
        <s v="GALAXYSURF"/>
        <s v="ARVIND"/>
        <s v="GSFC"/>
        <s v="JUNIPER"/>
        <s v="PCBL"/>
        <s v="IBREALEST"/>
        <s v="ISGEC"/>
        <s v="NEULANDLAB"/>
        <s v="RTNPOWER"/>
        <s v="ESABINDIA"/>
        <s v="EUREKAFORBE"/>
        <s v="DEEPAKFERT"/>
        <s v="KAMAHOLD"/>
        <s v="NATIONSTD"/>
        <s v="MAHLIFE"/>
        <s v="ITDCEM"/>
        <s v="MHRIL"/>
        <s v="INDIACEM"/>
        <s v="PGEL"/>
        <s v="RESPONIND"/>
        <s v="HOMEFIRST"/>
        <s v="QUESS"/>
        <s v="NETWORK18"/>
        <s v="CAMPUS"/>
        <s v="GALLANTT"/>
        <s v="SYRMA"/>
        <s v="LTFOODS"/>
        <s v="AHLUCONT"/>
        <s v="ASTRAMICRO"/>
        <s v="RATEGAIN"/>
        <s v="ELANTAS"/>
        <s v="EMIL"/>
        <s v="ACI"/>
        <s v="MIDHANI"/>
        <s v="SENCO"/>
        <s v="SANDUMA"/>
        <s v="SBFC"/>
        <s v="UJJIVANSFB"/>
        <s v="STAR"/>
        <s v="BALRAMCHIN"/>
        <s v="MAHSEAMLES"/>
        <s v="CHEMPLASTS"/>
        <s v="JUSTDIAL"/>
        <s v="TRIVENI"/>
        <s v="INFIBEAM"/>
        <s v="JMFINANCIL"/>
        <s v="STARCEMENT"/>
        <s v="JLHL"/>
        <s v="PRSMJOHNSN"/>
        <s v="RAJESHEXPO"/>
        <s v="PGHL"/>
        <s v="RUSTOMJEE"/>
        <s v="HEG"/>
        <s v="SHRIPISTON"/>
        <s v="GANESHHOUC"/>
        <s v="IWEL"/>
        <s v="ANURAS"/>
        <s v="SHOPERSTOP"/>
        <s v="BECTORFOOD"/>
        <s v="TVSSCS"/>
        <s v="PRUDENT"/>
        <s v="MASTEK"/>
        <s v="SARDAEN"/>
        <s v="MEDPLUS"/>
        <s v="SHAKTIPUMP"/>
        <s v="TEXRAIL"/>
        <s v="AVANTIFEED"/>
        <s v="CMSINFO"/>
        <s v="JUBLINGREA"/>
        <s v="LLOYDSENGG"/>
        <s v="JSWHL"/>
        <s v="SUNTECK"/>
        <s v="AURIONPRO"/>
        <s v="HCC"/>
        <s v="WABAG"/>
        <s v="POWERMECH"/>
        <s v="SYMPHONY"/>
        <s v="DBL"/>
        <s v="CCL"/>
        <s v="KTKBANK"/>
        <s v="GARFIBRES"/>
        <s v="SPARC"/>
        <s v="RELINFRA"/>
        <s v="CHOICEIN"/>
        <s v="GREENLAM"/>
        <s v="INDIASHLTR"/>
        <s v="TV18BRDCST"/>
        <s v="HMT"/>
        <s v="VIJAYA"/>
        <s v="RELIGARE"/>
        <s v="FDC"/>
        <s v="DHANUKA"/>
        <s v="TMB"/>
        <s v="PRINCEPIPE"/>
        <s v="ITDC"/>
        <s v="BALAMINES"/>
        <s v="ASKAUTOLTD"/>
        <s v="ICIL"/>
        <s v="EASEMYTRIP"/>
        <s v="MANINFRA"/>
        <s v="PICCADIL"/>
        <s v="SURYAROSNI"/>
        <s v="TIMETECHNO"/>
        <s v="MARKSANS"/>
        <s v="TCI"/>
        <s v="PDSL"/>
        <s v="MCLOUD"/>
        <s v="SANSERA"/>
        <s v="SUPRAJIT"/>
        <s v="KENNAMET"/>
        <s v="DIACABS"/>
        <s v="LXCHEM"/>
        <s v="JINDWORLD"/>
        <s v="BLUEJET"/>
        <s v="SOUTHBANK"/>
        <s v="ARVINDFASN"/>
        <s v="EMUDHRA"/>
        <s v="ETHOSLTD"/>
        <s v="NAZARA"/>
        <s v="EPL"/>
        <s v="GABRIEL"/>
        <s v="MAXESTATES"/>
        <s v="JSFB"/>
        <s v="JAICORPLTD"/>
        <s v="PARADEEP"/>
        <s v="ROLEXRINGS"/>
        <s v="VIPIND"/>
        <s v="IONEXCHANG"/>
        <s v="BORORENEW"/>
        <s v="STLTECH"/>
        <s v="GOKEX"/>
        <s v="PAISALO"/>
        <s v="TIIL"/>
        <s v="KRBL"/>
        <s v="SUDARSCHEM"/>
        <s v="INDIGOPNTS"/>
        <s v="IIFLSEC"/>
        <s v="JKIL"/>
        <s v="SIS"/>
        <s v="KESORAMIND"/>
        <s v="NESCO"/>
        <s v="CSBBANK"/>
        <s v="NFL"/>
        <s v="ASHOKA"/>
        <s v="IFBIND"/>
        <s v="RALLIS"/>
        <s v="RSYSTEMS"/>
        <s v="GULFOILLUB"/>
        <s v="INA"/>
        <s v="TARC"/>
        <s v="PTC"/>
        <s v="GAEL"/>
        <s v="SHARDAMOTR"/>
        <s v="MSTCLTD"/>
        <s v="NIITMTS"/>
        <s v="VSTIND"/>
        <s v="HNDFDS"/>
        <s v="WELENT"/>
        <s v="GMMPFAUDLR"/>
        <s v="CYIENTDLM"/>
        <s v="KIRLOSIND"/>
        <s v="PRICOLLTD"/>
        <s v="SUNDARMHLD"/>
        <s v="DODLA"/>
        <s v="PRIVISCL"/>
        <s v="ALLCARGO"/>
        <s v="MTARTECH"/>
        <s v="TDPOWERSYS"/>
        <s v="EPIGRAL"/>
        <s v="EDELWEISS"/>
        <s v="BBOX"/>
        <s v="VMART"/>
        <s v="GUJALKALI"/>
        <s v="DBCORP"/>
        <s v="ORIENTELEC"/>
        <s v="ICRA"/>
        <s v="EXICOM"/>
        <s v="BONDADA"/>
        <s v="ORCHPHARMA"/>
        <s v="SHILPAMED"/>
        <s v="UTKARSHBNK"/>
        <s v="ORIENTCEM"/>
        <s v="SHAREINDIA"/>
        <s v="PILANIINVS"/>
        <s v="AARTIPHARM"/>
        <s v="AVL"/>
        <s v="PARAS"/>
        <s v="AMIORG"/>
        <s v="GRWRHITECH"/>
        <s v="BBL"/>
        <s v="RAIN"/>
        <s v="GHCL"/>
        <s v="HEMIPROP"/>
        <s v="JCHAC"/>
        <s v="MOSCHIP"/>
        <s v="MASFIN"/>
        <s v="GOCOLORS"/>
        <s v="JTEKTINDIA"/>
        <s v="HCG"/>
        <s v="TIPSINDLTD"/>
        <s v="INOXGREEN"/>
        <s v="PATELENG"/>
        <s v="BAJAJHIND"/>
        <s v="HERITGFOOD"/>
        <s v="WONDERLA"/>
        <s v="GMRP&amp;UI"/>
        <s v="SPANDANA"/>
        <s v="VRLLOG"/>
        <s v="GATEWAY"/>
        <s v="VAIBHAVGBL"/>
        <s v="SGMART"/>
        <s v="JISLDVREQS"/>
        <s v="BANCOINDIA"/>
        <s v="JISLJALEQS"/>
        <s v="RBA"/>
        <s v="HEIDELBERG"/>
        <s v="HARSHA"/>
        <s v="DYNAMATECH"/>
        <s v="BHARATRAS"/>
        <s v="PROTEAN"/>
        <s v="JAMNAAUTO"/>
        <s v="TEAMLEASE"/>
        <s v="TI"/>
        <s v="THANGAMAYL"/>
        <s v="KSCL"/>
        <s v="NOCIL"/>
        <s v="KOVAI"/>
        <s v="DCXINDIA"/>
        <s v="AARTIDRUGS"/>
        <s v="ENTERO"/>
        <s v="TCIEXP"/>
        <s v="JAYNECOIND"/>
        <s v="SANGHVIMOV"/>
        <s v="WSTCSTPAPR"/>
        <s v="SHILCTECH"/>
        <s v="BALMLAWRIE"/>
        <s v="AGI"/>
        <s v="GTLINFRA"/>
        <s v="ROSSARI"/>
        <s v="JNKINDIA"/>
        <s v="FUSION"/>
        <s v="SHANTIGEAR"/>
        <s v="FEDFINA"/>
        <s v="BLUECLOUDS"/>
      </sharedItems>
    </cacheField>
    <cacheField name="Security Name" numFmtId="0">
      <sharedItems>
        <s v="RELIANCE INDUSTRIES LTD."/>
        <s v="TATA CONSULTANCY SERVICES LTD."/>
        <s v="HDFC Bank Ltd"/>
        <s v="BHARTI AIRTEL LTD."/>
        <s v="ICICI BANK LTD."/>
        <s v="STATE BANK OF INDIA"/>
        <s v="INFOSYS LTD."/>
        <s v="Life Insurance Corporation of India"/>
        <s v="HINDUSTAN UNILEVER LTD."/>
        <s v="ITC LTD."/>
        <s v="LARSEN &amp; TOUBRO LTD."/>
        <s v="Bajaj Finance Limited"/>
        <s v="AXIS BANK LTD."/>
        <s v="HCL TECHNOLOGIES LTD."/>
        <s v="MARUTI SUZUKI INDIA LTD."/>
        <s v="NTPC LTD."/>
        <s v="SUN PHARMACEUTICAL INDUSTRIES LTD."/>
        <s v="ADANI ENTERPRISES LTD."/>
        <s v="KOTAK MAHINDRA BANK LTD."/>
        <s v="TATA MOTORS LTD."/>
        <s v="Tata Motors  Ltd - DVR"/>
        <s v="Hindustan Aeronautics Ltd"/>
        <s v="Oil and Natural Gas Corporation Ltd"/>
        <s v="MAHINDRA &amp; MAHINDRA LTD."/>
        <s v="ULTRATECH CEMENT LTD."/>
        <s v="ADANI PORTS AND SPECIAL ECONOMIC ZONE LTD."/>
        <s v="POWER GRID CORPORATION OF INDIA LTD."/>
        <s v="Avenue Supermarts Ltd"/>
        <s v="Titan Company Limited"/>
        <s v="COAL INDIA LTD."/>
        <s v="Adani Green Energy Ltd"/>
        <s v="HINDUSTAN ZINC LTD."/>
        <s v="ASIAN PAINTS LTD."/>
        <s v="ADANI POWER LTD."/>
        <s v="WIPRO LTD."/>
        <s v="SIEMENS LTD."/>
        <s v="BAJAJ AUTO LTD."/>
        <s v="BAJAJ FINSERV LTD."/>
        <s v="NESTLE INDIA LTD."/>
        <s v="INDIAN OIL CORPORATION LTD."/>
        <s v="Indian Railway Finance Corporation Ltd"/>
        <s v="Jio Financial Services Ltd"/>
        <s v="JSW STEEL LTD."/>
        <s v="BHARAT ELECTRONICS LTD."/>
        <s v="TATA STEEL LTD."/>
        <s v="Varun Beverages Ltd"/>
        <s v="DLF LTD."/>
        <s v="TRENT LTD."/>
        <s v="GRASIM INDUSTRIES LTD."/>
        <s v="Zomato Ltd"/>
        <s v="ABB India Limited"/>
        <s v="POWER FINANCE CORPORATION LTD."/>
        <s v="Vedanta Limited"/>
        <s v="InterGlobe Aviation Ltd"/>
        <s v="AMBUJA CEMENTS LTD."/>
        <s v="PIDILITE INDUSTRIES LTD."/>
        <s v="LTIMindtree Ltd"/>
        <s v="HINDALCO INDUSTRIES LTD."/>
        <s v="SBI Life Insurance Company Ltd"/>
        <s v="Macrotech Developers Ltd"/>
        <s v="GAIL (INDIA) LTD."/>
        <s v="REC Ltd"/>
        <s v="BANK OF BARODA"/>
        <s v="TATA POWER CO.LTD."/>
        <s v="Samvardhana Motherson International Ltd"/>
        <s v="TECH MAHINDRA LTD."/>
        <s v="GODREJ CONSUMER PRODUCTS LTD."/>
        <s v="PUNJAB NATIONAL BANK"/>
        <s v="BRITANNIA INDUSTRIES LTD."/>
        <s v="EICHER MOTORS LTD."/>
        <s v="HDFC Life Insurance Company Ltd"/>
        <s v="JSW Energy Ltd"/>
        <s v="INDIAN OVERSEAS BANK"/>
        <s v="DIVI'S LABORATORIES LTD."/>
        <s v="Vodafone Idea Ltd"/>
        <s v="CIPLA LTD."/>
        <s v="Cholamandalam Investment and Finance Company Ltd"/>
        <s v="HAVELLS INDIA LTD."/>
        <s v="Adani Energy Solutions Ltd"/>
        <s v="TVS MOTOR COMPANY LTD."/>
        <s v="INDUSIND BANK LTD."/>
        <s v="Zydus Lifesciences Ltd"/>
        <s v="HERO MOTOCORP LTD."/>
        <s v="CUMMINS INDIA LTD."/>
        <s v="DR.REDDY'S LABORATORIES LTD."/>
        <s v="Tata Consumer Products Ltd"/>
        <s v="Shriram Finance Ltd"/>
        <s v="CG Power and Industrial Solutions Ltd"/>
        <s v="CANARA BANK"/>
        <s v="DABUR INDIA LTD."/>
        <s v="JINDAL STEEL &amp; POWER LTD."/>
        <s v="UNION BANK OF INDIA"/>
        <s v="BHARAT HEAVY ELECTRICALS LTD."/>
        <s v="BOSCH LTD."/>
        <s v="Indus Towers Ltd"/>
        <s v="NHPC LTD."/>
        <s v="Polycab India Ltd"/>
        <s v="Adani Total Gas Ltd"/>
        <s v="SHREE CEMENT LTD."/>
        <s v="SOLAR INDUSTRIES INDIA LTD."/>
        <s v="TORRENT PHARMACEUTICALS LTD."/>
        <s v="BAJAJ HOLDINGS &amp; INVESTMENT LTD."/>
        <s v="UNITED SPIRITS LTD."/>
        <s v="Godrej Properties Ltd"/>
        <s v="IDBI BANK LTD."/>
        <s v="ICICI Lombard General Insurance Company Ltd"/>
        <s v="APOLLO HOSPITALS ENTERPRISE LTD."/>
        <s v="ICICI Prudential Life Insurance Company Ltd"/>
        <s v="Max Healthcare Institute Ltd"/>
        <s v="INDIAN HOTELS CO.LTD."/>
        <s v="Rail Vikas Nigam Ltd"/>
        <s v="HDFC Asset Management Company Ltd"/>
        <s v="ORACLE FINANCIAL SERVICES SOFTWARE LTD."/>
        <s v="Mazagon Dock Shipbuilders Ltd"/>
        <s v="INFO EDGE (INDIA) LTD."/>
        <s v="Mankind Pharma Ltd"/>
        <s v="Tube Investments of India Ltd"/>
        <s v="Indian Railway Catering and Tourism Corporation Ltd"/>
        <s v="OIL INDIA LTD."/>
        <s v="COLGATE-PALMOLIVE (INDIA) LTD."/>
        <s v="MARICO LTD."/>
        <s v="BHARAT FORGE LTD."/>
        <s v="SUPREME INDUSTRIES LTD."/>
        <s v="PRESTIGE ESTATES PROJECTS LTD."/>
        <s v="LUPIN LTD."/>
        <s v="Schaeffler India Ltd"/>
        <s v="YES BANK LTD."/>
        <s v="Dixon Technologies (India) Ltd"/>
        <s v="TORRENT POWER LTD."/>
        <s v="NMDC LTD."/>
        <s v="SUZLON ENERGY LTD."/>
        <s v="INDIAN BANK"/>
        <s v="MUTHOOT FINANCE LTD."/>
        <s v="AUROBINDO PHARMA LTD."/>
        <s v="Linde India Limited"/>
        <s v="HINDUSTAN PETROLEUM CORPORATION LTD."/>
        <s v="SRF LTD."/>
        <s v="ASHOK LEYLAND LTD."/>
        <s v="SBI Cards and Payment Services Ltd"/>
        <s v="JINDAL STAINLESS LTD."/>
        <s v="JSW Infrastructure Ltd"/>
        <s v="General Insurance Corporation of India"/>
        <s v="BHARAT PETROLEUM CORPORATION LTD."/>
        <s v="The Phoenix Mills Ltd"/>
        <s v="OBEROI REALTY LTD."/>
        <s v="PERSISTENT SYSTEMS LTD."/>
        <s v="UCO BANK"/>
        <s v="Astral Ltd"/>
        <s v="FERTILIZERS &amp; CHEMICALS TRAVANCORE LTD."/>
        <s v="UNO Minda Ltd-$"/>
        <s v="CONTAINER CORPORATION OF INDIA LTD."/>
        <s v="BALKRISHNA INDUSTRIES LTD.-$"/>
        <s v="Aditya Birla Capital Ltd"/>
        <s v="STEEL AUTHORITY OF INDIA LTD."/>
        <s v="PB Fintech Ltd"/>
        <s v="Bharat Dynamics Ltd"/>
        <s v="BERGER PAINTS INDIA LTD."/>
        <s v="Alkem Laboratories Ltd"/>
        <s v="Hitachi Energy India Ltd"/>
        <s v="Housing &amp; Urban Development Corporation Ltd"/>
        <s v="ABBOTT INDIA LTD."/>
        <s v="Cochin Shipyard Ltd"/>
        <s v="THERMAX LTD."/>
        <s v="GMR Airports Infrastructure Ltd"/>
        <s v="IDFC First Bank Ltd"/>
        <s v="PI Industries Ltd"/>
        <s v="Indian Renewable Energy Development Agency Ltd"/>
        <s v="Patanjali Foods Ltd"/>
        <s v="Bharti Hexacom Ltd"/>
        <s v="MRF LTD."/>
        <s v="CENTRAL BANK OF INDIA"/>
        <s v="TATA COMMUNICATIONS LTD."/>
        <s v="BANK OF INDIA"/>
        <s v="PROCTER &amp; GAMBLE HYGIENE &amp; HEALTH CARE LTD."/>
        <s v="UNITED BREWERIES LTD.-$"/>
        <s v="SJVN Ltd"/>
        <s v="L&amp;T Technology Services Ltd"/>
        <s v="Kalyan Jewellers India Ltd"/>
        <s v="HONEYWELL AUTOMATION INDIA LTD."/>
        <s v="AU Small Finance Bank Ltd"/>
        <s v="SUNDARAM FINANCE LTD."/>
        <s v="FSN E-Commerce Ventures Ltd"/>
        <s v="VOLTAS LTD."/>
        <s v="ACC LTD."/>
        <s v="PETRONET LNG LTD."/>
        <s v="EXIDE INDUSTRIES LTD."/>
        <s v="COROMANDEL INTERNATIONAL LTD."/>
        <s v="MPHASIS LTD."/>
        <s v="BANK OF MAHARASHTRA"/>
        <s v="GLAXOSMITHKLINE PHARMACEUTICALS LTD."/>
        <s v="KPIT Technologies Ltd"/>
        <s v="L&amp;T Finance Ltd"/>
        <s v="Escorts Kubota Ltd"/>
        <s v="FEDERAL BANK LTD."/>
        <s v="TATA ELXSI LTD."/>
        <s v="Adani Wilmar Ltd"/>
        <s v="PAGE INDUSTRIES LTD."/>
        <s v="LIC HOUSING FINANCE LTD."/>
        <s v="Gujarat Gas Ltd"/>
        <s v="APL APOLLO TUBES LTD."/>
        <s v="UPL Limited"/>
        <s v="BIOCON LTD."/>
        <s v="3M INDIA LTD."/>
        <s v="Tata Technologies Ltd"/>
        <s v="KEI INDUSTRIES LTD."/>
        <s v="PUNJAB &amp; SIND BANK"/>
        <s v="Nippon Life India Asset Management Ltd"/>
        <s v="GE T&amp;D India Ltd"/>
        <s v="AIA ENGINEERING LTD."/>
        <s v="The New India Assurance Company Ltd"/>
        <s v="Endurance Technologies Ltd"/>
        <s v="MANGALORE REFINERY &amp; PETROCHEMICALS LTD."/>
        <s v="Sona BLW Precision Forgings Ltd"/>
        <s v="LLOYDS METALS AND ENERGY LTD."/>
        <s v="Jubilant FoodWorks Ltd"/>
        <s v="MAHINDRA &amp; MAHINDRA FINANCIAL SERVICES LTD."/>
        <s v="FORTIS HEALTHCARE LTD."/>
        <s v="MOTILAL OSWAL FINANCIAL SERVICES LTD."/>
        <s v="NLC India Ltd"/>
        <s v="GLENMARK PHARMACEUTICALS LTD."/>
        <s v="Global Health Ltd"/>
        <s v="Coforge Ltd"/>
        <s v="INDRAPRASTHA GAS LTD."/>
        <s v="DEEPAK NITRITE LTD.-$"/>
        <s v="Gujarat Fluorochemicals Ltd"/>
        <s v="NATIONAL ALUMINIUM CO.LTD."/>
        <s v="APAR INDUSTRIES LTD."/>
        <s v="Dalmia Bharat Ltd"/>
        <s v="APOLLO TYRES LTD."/>
        <s v="BSE"/>
        <s v="Metro Brands Ltd"/>
        <s v="BLUE STAR LTD."/>
        <s v="TATA INVESTMENT CORPORATION LTD."/>
        <s v="Max Financial Services Ltd"/>
        <s v="Star Health and Allied Insurance Company Ltd"/>
        <s v="TIMKEN INDIA LTD."/>
        <s v="J.K.CEMENT LTD."/>
        <s v="CARBORUNDUM UNIVERSAL LTD."/>
        <s v="Bandhan Bank Ltd"/>
        <s v="Motherson Sumi Wiring India Ltd"/>
        <s v="Aditya Birla Fashion and Retail Ltd"/>
        <s v="SKF India Ltd"/>
        <s v="Poonawalla Fincorp Ltd"/>
        <s v="BRIGADE ENTERPRISES LTD."/>
        <s v="HINDUSTAN COPPER LTD."/>
        <s v="Jyoti CNC Automation Ltd"/>
        <s v="GRINDWELL NORTON LTD.-$"/>
        <s v="AEGIS LOGISTICS LTD."/>
        <s v="Go Digit General Insurance Ltd"/>
        <s v="Amara Raja Energy &amp; Mobility Ltd"/>
        <s v="SUN TV NETWORK LTD."/>
        <s v="EMAMI LTD.-$"/>
        <s v="CRISIL LTD."/>
        <s v="Gland Pharma Ltd"/>
        <s v="NBCC (India) Ltd"/>
        <s v="BAYER CROPSCIENCE LTD."/>
        <s v="ITI LTD."/>
        <s v="ZF Commercial Vehicle Control Systems India Ltd"/>
        <s v="SUNDRAM FASTENERS LTD."/>
        <s v="Delhivery Ltd"/>
        <s v="K.P.R. Mill Limited"/>
        <s v="TVS Holdings Ltd"/>
        <s v="GODREJ INDUSTRIES LTD."/>
        <s v="IPCA LABORATORIES LTD."/>
        <s v="AJANTA PHARMA LTD."/>
        <s v="Syngene International Ltd"/>
        <s v="Jupiter Wagons Ltd"/>
        <s v="KIOCL Ltd"/>
        <s v="TATA CHEMICALS LTD."/>
        <s v="J.B.CHEMICALS &amp; PHARMACEUTICALS LTD."/>
        <s v="EIH LTD."/>
        <s v="CENTURY TEXTILES &amp; INDUSTRIES LTD."/>
        <s v="One 97 Communications Ltd"/>
        <s v="Vedant Fashions Ltd"/>
        <s v="Crompton Greaves Consumer Electricals Ltd"/>
        <s v="Cholamandalam Financial Holdings Ltd"/>
        <s v="IRCON International Ltd"/>
        <s v="Sumitomo Chemical India Ltd"/>
        <s v="Kaynes Technology India Ltd"/>
        <s v="AARTI INDUSTRIES LTD."/>
        <s v="WHIRLPOOL OF INDIA LTD."/>
        <s v="RATNAMANI METALS &amp; TUBES LTD.-$"/>
        <s v="ICICI Securities Ltd"/>
        <s v="Tejas Networks Ltd"/>
        <s v="Narayana Hrudayalaya Ltd"/>
        <s v="Garden Reach Shipbuilders &amp; Engineers Ltd"/>
        <s v="KEC INTERNATIONAL LTD."/>
        <s v="Titagarh Rail Systems Ltd"/>
        <s v="FINOLEX CABLES LTD."/>
        <s v="HATSUN AGRO PRODUCT LTD."/>
        <s v="C D S L"/>
        <s v="GILLETTE INDIA LTD."/>
        <s v="JBM AUTO LTD."/>
        <s v="RADICO KHAITAN LTD."/>
        <s v="Five-Star Business Finance Ltd"/>
        <s v="Dr. Lal PathLabs Ltd"/>
        <s v="Laurus Labs Ltd"/>
        <s v="ELGI EQUIPMENTS LTD."/>
        <s v="BASF INDIA LTD."/>
        <s v="IIFL Finance Ltd"/>
        <s v="KAJARIA CERAMICS LTD."/>
        <s v="CIE Automotive India Ltd"/>
        <s v="KANSAI NEROLAC PAINTS LTD."/>
        <s v="SCHNEIDER ELECTRIC INFRASTRUCTURE LTD."/>
        <s v="Waaree Renewable Technologies Ltd"/>
        <s v="Sobha Limited"/>
        <s v="NCC Limited"/>
        <s v="NATCO PHARMA LTD."/>
        <s v="GODFREY PHILLIPS INDIA LTD."/>
        <s v="CASTROL INDIA LTD."/>
        <s v="CESC LTD."/>
        <s v="Angel One Ltd"/>
        <s v="Piramal Pharma Ltd"/>
        <s v="PIRAMAL ENTERPRISES LTD."/>
        <s v="PFIZER LTD."/>
        <s v="Suven Pharmaceuticals Ltd"/>
        <s v="RELAXO FOOTWEARS LTD.-$"/>
        <s v="CreditAccess Grameen Ltd"/>
        <s v="PNB Housing Finance Ltd"/>
        <s v="PTC Industries Ltd"/>
        <s v="CHAMBAL FERTILISERS &amp; CHEMICALS LTD."/>
        <s v="MULTI COMMODITY EXCHANGE OF INDIA LTD."/>
        <s v="TRIVENI TURBINE LTD."/>
        <s v="Himadri Speciality Chemical Ltd"/>
        <s v="R R Kabel Ltd"/>
        <s v="VINATI ORGANICS LTD.-$"/>
        <s v="V-GUARD INDUSTRIES LTD."/>
        <s v="KIRLOSKAR OIL ENGINES LTD."/>
        <s v="Cyient Limited"/>
        <s v="FINOLEX INDUSTRIES LTD."/>
        <s v="Devyani International Ltd"/>
        <s v="Signatureglobal (India) Ltd"/>
        <s v="Authum Investment &amp; Infrastructure Ltd"/>
        <s v="TBO TEK Ltd"/>
        <s v="Birlasoft Ltd"/>
        <s v="BATA INDIA LTD."/>
        <s v="Cello World Ltd"/>
        <s v="The Ramco Cements Limited"/>
        <s v="IDFC LIMITED"/>
        <s v="ATUL LTD."/>
        <s v="Kalpataru Projects International Ltd"/>
        <s v="BEML LTD."/>
        <s v="BLUE DART EXPRESS LTD."/>
        <s v="TRIDENT LTD."/>
        <s v="Aditya Birla Sun Life AMC Ltd"/>
        <s v="RAYMOND LTD."/>
        <s v="Affle (India) Ltd"/>
        <s v="Inox Wind Ltd"/>
        <s v="ACTION CONSTRUCTION EQUIPMENT LTD."/>
        <s v="Shyam Metalics and Energy Ltd"/>
        <s v="SWAN ENERGY LTD."/>
        <s v="Computer Age Management Services Ltd"/>
        <s v="POLY MEDICURE LTD."/>
        <s v="Aadhar Housing Finance Ltd"/>
        <s v="Bikaji Foods International Ltd"/>
        <s v="Nuvama Wealth Management Ltd"/>
        <s v="Capri Global Capital Limited"/>
        <s v="ALEMBIC PHARMACEUTICALS LTD."/>
        <s v="KIRLOSKAR BROTHERS LTD.-$"/>
        <s v="LAKSHMI MACHINE WORKS LTD."/>
        <s v="Navin Fluorine International Limited-$"/>
        <s v="JINDAL SAW LTD."/>
        <s v="G R Infraprojects Ltd"/>
        <s v="Chalet Hotels Ltd"/>
        <s v="GREAT EASTERN SHIPPING CO.LTD."/>
        <s v="MANAPPURAM FINANCE LTD."/>
        <s v="Aster DM Healthcare Ltd"/>
        <s v="Data Patterns (India) Ltd"/>
        <s v="KSB Ltd"/>
        <s v="Jyothy Labs Ltd"/>
        <s v="Sterling and Wilson Renewable Energy Ltd"/>
        <s v="SONATA SOFTWARE LTD."/>
        <s v="RITES Ltd"/>
        <s v="GUJARAT STATE PETRONET LTD."/>
        <s v="KARUR VYSYA BANK LTD."/>
        <s v="Techno Electric &amp; Engineering Company Ltd"/>
        <s v="ZENSAR TECHNOLOGIES LTD."/>
        <s v="Concord Biotech Ltd"/>
        <s v="Krishna Institute of Medical Sciences Ltd"/>
        <s v="Redington Ltd"/>
        <s v="Aptus Value Housing Finance India Ltd"/>
        <s v="ASAHI INDIA GLASS LTD."/>
        <s v="CENTURY PLYBOARDS (I) LTD.-$"/>
        <s v="RAMKRISHNA FORGINGS LTD."/>
        <s v="Anant Raj Limited-$"/>
        <s v="IndiaMART InterMESH Ltd"/>
        <s v="Anand Rathi Wealth Ltd"/>
        <s v="HFCL Ltd"/>
        <s v="RBL Bank Ltd"/>
        <s v="IFCI LTD."/>
        <s v="JAI BALAJI INDUSTRIES LTD."/>
        <s v="Indian Energy Exchange Ltd"/>
        <s v="ASTRAZENECA PHARMA INDIA LTD."/>
        <s v="DCM Shriram Limited"/>
        <s v="Clean Science and Technology Ltd"/>
        <s v="Amber Enterprises India Ltd"/>
        <s v="Mahanagar Gas Ltd"/>
        <s v="FIRSTSOURCE SOLUTIONS LTD."/>
        <s v="Sanofi India Ltd"/>
        <s v="Fine Organic Industries Ltd"/>
        <s v="RailTel Corporation of India Ltd"/>
        <s v="Welspun Corp Limited"/>
        <s v="ELECON ENGINEERING CO.LTD."/>
        <s v="TATA TELESERVICES (MAHARASHTRA) LTD."/>
        <s v="AAVAS Financiers Ltd"/>
        <s v="Welspun Living Ltd"/>
        <s v="Intellect Design Arena Ltd"/>
        <s v="ZEE ENTERTAINMENT ENTERPRISES LTD."/>
        <s v="SUPREME PETROCHEM LTD."/>
        <s v="Netweb Technologies India Ltd"/>
        <s v="GODAWARI POWER &amp; ISPAT LTD."/>
        <s v="CHENNAI PETROLEUM CORPORATION LTD."/>
        <s v="HBL POWER SYSTEMS LTD.-$"/>
        <s v="Olectra Greentech Ltd"/>
        <s v="BLS International Services Ltd"/>
        <s v="ENGINEERS INDIA LTD."/>
        <s v="BOMBAY BURMAH TRADING CORP.LTD."/>
        <s v="INGERSOLL-RAND (INDIA) LTD."/>
        <s v="PVR Inox Ltd"/>
        <s v="Eris Lifesciences Ltd"/>
        <s v="Godrej Agrovet Ltd"/>
        <s v="Honasa Consumer Ltd"/>
        <s v="VARDHMAN TEXTILES LTD."/>
        <s v="ALOK INDUSTRIES LTD."/>
        <s v="Newgen Software Technologies Ltd"/>
        <s v="Craftsman Automation Ltd"/>
        <s v="E.I.D.-PARRY (INDIA) LTD."/>
        <s v="Jaiprakash Power Ventures Limited"/>
        <s v="PRAJ INDUSTRIES LTD."/>
        <s v="Indegene Ltd"/>
        <s v="Rhi Magnesita India Ltd"/>
        <s v="Westlife Foodworld Ltd"/>
        <s v="Akzo Nobel India Limited"/>
        <s v="Rainbow Children's Medicare Ltd"/>
        <s v="MMTC LTD."/>
        <s v="UTI Asset Management Company Ltd"/>
        <s v="Tanla Platforms Ltd"/>
        <s v="DOMS Industries Ltd"/>
        <s v="CITY UNION BANK LTD."/>
        <s v="PNC Infratech Ltd"/>
        <s v="KFin Technologies Ltd"/>
        <s v="Nuvoco Vistas Corporation Ltd"/>
        <s v="INOX India Ltd"/>
        <s v="JAMMU &amp; KASHMIR BANK LTD."/>
        <s v="Puravankara Ltd"/>
        <s v="BIRLA CORPORATION LTD."/>
        <s v="C.E. Info Systems Ltd"/>
        <s v="BAJAJ ELECTRICALS LTD.-$"/>
        <s v="GUJARAT MINERAL DEVELOPMENT CORPORATION LTD."/>
        <s v="GRANULES INDIA LTD.-$"/>
        <s v="FORCE MOTORS LTD.-$"/>
        <s v="Happiest Minds Technologies Ltd"/>
        <s v="SHIPPING CORPORATION OF INDIA LTD."/>
        <s v="Aether Industries Ltd"/>
        <s v="ZYDUS WELLNESS LTD.-$"/>
        <s v="CERA SANITARYWARE LTD."/>
        <s v="CAN FIN HOMES LTD."/>
        <s v="USHA MARTIN LTD."/>
        <s v="ECLERX SERVICES LTD."/>
        <s v="Happy Forgings Ltd"/>
        <s v="Jubilant Pharmova Ltd"/>
        <s v="Rattanindia Enterprises Ltd"/>
        <s v="H.G. Infra Engineering Ltd"/>
        <s v="RELIANCE POWER LTD."/>
        <s v="THOMAS COOK (INDIA) LTD."/>
        <s v="TRANSFORMERS AND RECTIFIERS (INDIA) LTD."/>
        <s v="Glenmark Life Sciences Ltd"/>
        <s v="Lemon Tree Hotels Ltd"/>
        <s v="JK TYRE &amp; INDUSTRIES LTD."/>
        <s v="Minda Corporation Ltd"/>
        <s v="Route Mobile Ltd"/>
        <s v="CAPLIN POINT LABORATORIES LTD."/>
        <s v="Azad Engineering Ltd"/>
        <s v="VOLTAMP TRANSFORMERS LTD."/>
        <s v="GRAPHITE INDIA LTD."/>
        <s v="TTK PRESTIGE LTD."/>
        <s v="Tega Industries Ltd"/>
        <s v="WOCKHARDT LTD."/>
        <s v="CEAT LTD."/>
        <s v="KPI Green Energy Ltd"/>
        <s v="RASHTRIYA CHEMICALS &amp; FERTILIZERS LTD."/>
        <s v="ALKYL AMINES CHEMICALS LTD.-$"/>
        <s v="MOIL LTD."/>
        <s v="Equitas Small Finance Bank Ltd"/>
        <s v="Nava Ltd"/>
        <s v="GUJARAT PIPAVAV PORT LTD."/>
        <s v="Redtape Ltd"/>
        <s v="ELECTROSTEEL CASTINGS LTD."/>
        <s v="SAREGAMA INDIA LTD."/>
        <s v="SHREE RENUKA SUGARS LTD."/>
        <s v="JK PAPER LTD."/>
        <s v="GUJARAT NARMADA VALLEY FERTILIZERS &amp; CHEMICALS LTD."/>
        <s v="MAHARASHTRA SCOOTERS LTD."/>
        <s v="GENUS POWER INFRASTRUCTURES LTD.-$"/>
        <s v="JK LAKSHMI CEMENT LTD."/>
        <s v="Latent View Analytics Ltd"/>
        <s v="ZEN TECHNOLOGIES LTD."/>
        <s v="Valor Estate Ltd"/>
        <s v="SAFARI INDUSTRIES (INDIA) LTD."/>
        <s v="Sheela Foam Ltd"/>
        <s v="KNR CONSTRUCTIONS LTD."/>
        <s v="KIRLOSKAR FERROUS INDUSTRIES LTD."/>
        <s v="VESUVIUS INDIA LTD."/>
        <s v="Metropolis Healthcare Ltd"/>
        <s v="GRAVITA INDIA LTD."/>
        <s v="Sapphire Foods India Ltd"/>
        <s v="Varroc Engineering Ltd"/>
        <s v="Indiabulls Housing Finance Ltd"/>
        <s v="BENGAL &amp; ASSAM COMPANY LTD."/>
        <s v="Galaxy Surfactants Ltd"/>
        <s v="ARVIND LTD."/>
        <s v="GUJARAT STATE FERTILIZERS &amp; CHEMICALS LTD."/>
        <s v="Juniper Hotels Ltd"/>
        <s v="PCBL Ltd"/>
        <s v="INDIABULLS REAL ESTATE LTD."/>
        <s v="ISGEC Heavy Engineering Ltd"/>
        <s v="NEULAND LABORATORIES LTD."/>
        <s v="RattanIndia Power Limited"/>
        <s v="ESAB INDIA LTD."/>
        <s v="Eureka Forbes Ltd"/>
        <s v="DEEPAK FERTILISERS &amp; PETROCHEMICALS CORPORATION LTD."/>
        <s v="Kama Holdings Limited-$"/>
        <s v="NATIONAL STANDARD (INDIA) LTD."/>
        <s v="MAHINDRA LIFESPACE DEVELOPERS LTD."/>
        <s v="ITD CEMENTATION INDIA LTD."/>
        <s v="MAHINDRA HOLIDAYS &amp; RESORTS INDIA LTD."/>
        <s v="INDIA CEMENTS LTD."/>
        <s v="PG ELECTROPLAST LTD."/>
        <s v="RESPONSIVE INDUSTRIES LTD."/>
        <s v="Home First Finance Company India Ltd"/>
        <s v="Quess Corp Ltd"/>
        <s v="NETWORK18 MEDIA &amp; INVESTMENTS LTD."/>
        <s v="Campus Activewear Ltd"/>
        <s v="Gallantt Ispat Ltd"/>
        <s v="Syrma SGS Technology Ltd"/>
        <s v="LT FOODS LTD."/>
        <s v="AHLUWALIA CONTRACTS (INDIA) LTD."/>
        <s v="ASTRA MICROWAVE PRODUCTS LTD."/>
        <s v="RateGain Travel Technologies Ltd"/>
        <s v="ELANTAS BECK INDIA LTD.-$"/>
        <s v="Electronics Mart India Ltd"/>
        <s v="Archean Chemical Industries Ltd"/>
        <s v="Mishra Dhatu Nigam Ltd"/>
        <s v="Senco Gold Ltd"/>
        <s v="SANDUR MANGANESE &amp; IRON ORES LTD."/>
        <s v="SBFC Finance Ltd"/>
        <s v="Ujjivan Small Finance Bank Ltd"/>
        <s v="Strides Pharma Science Ltd"/>
        <s v="BALRAMPUR CHINI MILLS LTD."/>
        <s v="MAHARASHTRA SEAMLESS LTD."/>
        <s v="Chemplast Sanmar Ltd"/>
        <s v="JUST DIAL LTD."/>
        <s v="TRIVENI ENGINEERING &amp; INDUSTRIES LTD."/>
        <s v="Infibeam Avenues Ltd"/>
        <s v="JM FINANCIAL LTD.-$"/>
        <s v="Star Cement Ltd"/>
        <s v="Jupiter Life Line Hospitals Ltd"/>
        <s v="Prism Johnson Ltd"/>
        <s v="RAJESH EXPORTS LTD."/>
        <s v="Procter &amp; Gamble Health Ltd"/>
        <s v="Keystone Realtors Ltd"/>
        <s v="HEG LTD."/>
        <s v="Shriram Pistons"/>
        <s v="GANESH HOUSING CORPORATION LTD.-$"/>
        <s v="Inox Wind Energy Ltd"/>
        <s v="Anupam Rasayan India Ltd"/>
        <s v="SHOPPERS STOP LTD."/>
        <s v="Mrs. Bectors Food Specialities Ltd"/>
        <s v="TVS Supply Chain Solutions Ltd"/>
        <s v="Prudent Corporate Advisory Services Ltd"/>
        <s v="MASTEK LTD."/>
        <s v="SARDA ENERGY &amp; MINERALS LTD.-$"/>
        <s v="Medplus Health Services Ltd"/>
        <s v="SHAKTI PUMPS (INDIA) LTD.-$"/>
        <s v="TEXMACO RAIL &amp; ENGINEERING LTD."/>
        <s v="AVANTI FEEDS LTD.-$"/>
        <s v="CMS Info Systems Ltd"/>
        <s v="Jubilant Ingrevia Ltd"/>
        <s v="Lloyds Engineering Works Ltd"/>
        <s v="JSW Holdings Limited"/>
        <s v="SUNTECK REALTY LTD."/>
        <s v="AURIONPRO SOLUTIONS LTD."/>
        <s v="HINDUSTAN CONSTRUCTION CO.LTD."/>
        <s v="VA TECH WABAG LTD."/>
        <s v="Power Mech Projects Ltd"/>
        <s v="Symphony Limited"/>
        <s v="Dilip Buildcon Ltd"/>
        <s v="CCL PRODUCTS (INDIA) LTD."/>
        <s v="KARNATAKA BANK LTD."/>
        <s v="Garware Technical Fibres Ltd"/>
        <s v="SUN PHARMA ADVANCED RESEARCH COMPANY LTD."/>
        <s v="RELIANCE INFRASTRUCTURE LTD."/>
        <s v="CHOICE INTERNATIONAL LTD."/>
        <s v="Greenlam Industries Ltd"/>
        <s v="India Shelter Finance Corporation Ltd"/>
        <s v="TV18 BROADCAST LTD."/>
        <s v="HMT LTD."/>
        <s v="Vijaya Diagnostic Centre Ltd"/>
        <s v="RELIGARE ENTERPRISES LTD."/>
        <s v="FDC LTD."/>
        <s v="DHANUKA AGRITECH LTD."/>
        <s v="Tamilnad Mercantile Bank Ltd"/>
        <s v="Prince Pipes and Fittings Ltd"/>
        <s v="INDIA TOURISM DEVELOPMENT CORPORATION LTD."/>
        <s v="BALAJI AMINES LTD.-$"/>
        <s v="ASK Automotive Ltd"/>
        <s v="INDO COUNT INDUSTRIES LTD."/>
        <s v="Easy Trip Planners Ltd"/>
        <s v="MAN INFRACONSTRUCTION LTD."/>
        <s v="PICCADILY AGRO INDUSTRIES LTD."/>
        <s v="SURYA ROSHNI LTD."/>
        <s v="TIME TECHNOPLAST LTD."/>
        <s v="MARKSANS PHARMA LTD."/>
        <s v="TRANSPORT CORPORATION OF INDIA LTD."/>
        <s v="PDS Ltd"/>
        <s v="Magellanic Cloud Ltd"/>
        <s v="Sansera Engineering Ltd"/>
        <s v="SUPRAJIT ENGINEERING LTD.-$"/>
        <s v="KENNAMETAL INDIA LTD.-$"/>
        <s v="Diamond Power Infrastructure Limited-$"/>
        <s v="Laxmi Organic Industries Ltd"/>
        <s v="JINDAL WORLDWIDE LTD."/>
        <s v="Blue Jet Healthcare Ltd"/>
        <s v="SOUTH INDIAN BANK LTD."/>
        <s v="Arvind Fashions Ltd"/>
        <s v="eMudhra Ltd"/>
        <s v="Ethos Ltd"/>
        <s v="Nazara Technologies Ltd"/>
        <s v="EPL Ltd"/>
        <s v="GABRIEL INDIA LTD.-$"/>
        <s v="Max Estates Ltd"/>
        <s v="Jana Small Finance Bank Ltd"/>
        <s v="JAI CORP LTD."/>
        <s v="Paradeep Phosphates Ltd"/>
        <s v="Rolex Rings Ltd"/>
        <s v="V.I.P.INDUSTRIES LTD.-$"/>
        <s v="ION EXCHANGE (INDIA) LTD.-$"/>
        <s v="Borosil Renewables Ltd"/>
        <s v="STERLITE TECHNOLOGIES LTD."/>
        <s v="GOKALDAS EXPORTS LTD."/>
        <s v="Paisalo Digital Ltd"/>
        <s v="TECHNOCRAFT INDUSTRIES (INDIA) LTD."/>
        <s v="KRBL LTD."/>
        <s v="SUDARSHAN CHEMICAL INDUSTRIES LTD."/>
        <s v="Indigo Paints Ltd"/>
        <s v="IIFL Securities Ltd"/>
        <s v="J.KUMAR INFRAPROJECTS LTD."/>
        <s v="SIS Ltd"/>
        <s v="KESORAM INDUSTRIES LTD."/>
        <s v="NESCO LTD."/>
        <s v="CSB Bank Ltd"/>
        <s v="NATIONAL FERTILIZERS LTD."/>
        <s v="ASHOKA BUILDCON LTD."/>
        <s v="IFB INDUSTRIES LTD."/>
        <s v="RALLIS INDIA LTD."/>
        <s v="R Systems International Limited"/>
        <s v="Gulf Oil Lubricants India Ltd"/>
        <s v="Insolation Energy Ltd"/>
        <s v="Tarc Ltd"/>
        <s v="PTC INDIA LTD."/>
        <s v="GUJARAT AMBUJA EXPORTS LTD."/>
        <s v="Sharda Motor Industries Ltd"/>
        <s v="MSTC Ltd"/>
        <s v="NIIT Learning Systems Ltd"/>
        <s v="VST INDUSTRIES LTD."/>
        <s v="HINDUSTAN FOODS LTD."/>
        <s v="Welspun Enterprises Ltd"/>
        <s v="GMM PFAUDLER LTD."/>
        <s v="Cyient DLM Ltd"/>
        <s v="Kirloskar Industries Ltd"/>
        <s v="Pricol Ltd"/>
        <s v="Sundaram Fin.Hol"/>
        <s v="Dodla Dairy Ltd"/>
        <s v="Privi Speciality Chemicals Ltd"/>
        <s v="ALLCARGO LOGISTICS LTD."/>
        <s v="MTAR Technologies Ltd"/>
        <s v="T D POWER SYSTEMS LTD."/>
        <s v="Epigral Ltd"/>
        <s v="Edelweiss Financial Services Ltd."/>
        <s v="Black Box Ltd"/>
        <s v="V-MART RETAIL LTD."/>
        <s v="GUJARAT ALKALIES &amp; CHEMICALS LTD."/>
        <s v="D B Corp Ltd"/>
        <s v="Orient Electric Ltd"/>
        <s v="ICRA LTD."/>
        <s v="Exicom Tele-Systems Ltd"/>
        <s v="Bondada Engineering Ltd"/>
        <s v="Orchid Pharma Ltd"/>
        <s v="SHILPA MEDICARE LTD."/>
        <s v="Utkarsh Small Finance Bank Ltd"/>
        <s v="Orient Cement Ltd"/>
        <s v="Share India Securities Ltd"/>
        <s v="Pilani Investment and Industries Corporation Ltd"/>
        <s v="Aarti Pharmalabs Ltd"/>
        <s v="Aditya Vision Ltd"/>
        <s v="Paras Defence and Space Technologies Ltd"/>
        <s v="Ami Organics Ltd"/>
        <s v="Garware Hi-Tech Films Ltd"/>
        <s v="BHARAT BIJLEE LTD.-$"/>
        <s v="Rain Industries Ltd"/>
        <s v="GHCL LTD."/>
        <s v="Hemisphere Properties India Ltd"/>
        <s v="Johnson Controls-Hitachi Air Conditioning India Ltd"/>
        <s v="Moschip Technologies Ltd"/>
        <s v="MAS Financial Services Ltd"/>
        <s v="Go Fashion (India) Ltd"/>
        <s v="Jtekt India Ltd"/>
        <s v="HealthCare Global Enterprises Ltd"/>
        <s v="TIPS INDUSTRIES LTD."/>
        <s v="Inox Green Energy Services Ltd"/>
        <s v="PATEL ENGINEERING LTD.-$"/>
        <s v="Bajaj Hindusthan Sugar Limited"/>
        <s v="Heritage Foods Limited"/>
        <s v="Wonderla Holidays Ltd"/>
        <s v="GMR Power and Urban Infra Ltd"/>
        <s v="Spandana Sphoorty Financial Ltd"/>
        <s v="VRL Logistics Ltd"/>
        <s v="Gateway Distriparks Ltd"/>
        <s v="Vaibhav Global Ltd"/>
        <s v="SG Mart Ltd"/>
        <s v="JAIN IRRIGATION SYSTEMS LTD."/>
        <s v="BANCO PRODUCTS (INDIA) LTD.-$"/>
        <s v="Restaurant Brands Asia Ltd"/>
        <s v="HEIDELBERGCEMENT INDIA LTD."/>
        <s v="Harsha Engineers International Ltd"/>
        <s v="DYNAMATIC TECHNOLOGIES LTD.-$"/>
        <s v="BHARAT RASAYAN LTD."/>
        <s v="Protean eGov Technologies Ltd"/>
        <s v="JAMNA AUTO INDUSTRIES LTD."/>
        <s v="TeamLease Services Ltd"/>
        <s v="TILAKNAGAR INDUSTRIES LTD.-$"/>
        <s v="Thangamayil Jewellery Ltd"/>
        <s v="KAVERI SEED COMPANY LTD."/>
        <s v="NOCIL LTD."/>
        <s v="KOVAI MEDICAL CENTER &amp; HOSPITAL LTD."/>
        <s v="DCX Systems Ltd"/>
        <s v="AARTI DRUGS LTD."/>
        <s v="Entero Healthcare Solutions Ltd"/>
        <s v="TCI Express Ltd"/>
        <s v="JAYASWAL NECO INDUSTRIES LTD."/>
        <s v="SANGHVI MOVERS LTD."/>
        <s v="WEST COAST PAPER MILLS LTD."/>
        <s v="SHILCHAR TECHNOLOGIES LTD."/>
        <s v="BALMER LAWRIE &amp; CO.LTD."/>
        <s v="Agi Greenpac Ltd"/>
        <s v="GTL INFRASTRUCTURE LTD."/>
        <s v="Rossari Biotech Ltd"/>
        <s v="JNK India Ltd"/>
        <s v="Fusion Micro Finance Ltd"/>
        <s v="SHANTHI GEARS LTD."/>
        <s v="Fedbank Financial Services Ltd"/>
        <s v="Blue Cloud Softech Solutions Ltd"/>
      </sharedItems>
    </cacheField>
    <cacheField name="Status" numFmtId="0">
      <sharedItems>
        <s v="Active"/>
      </sharedItems>
    </cacheField>
    <cacheField name="Group" numFmtId="0">
      <sharedItems containsBlank="1">
        <s v="A"/>
        <s v="B"/>
        <s v="T"/>
        <m/>
        <s v="Z"/>
        <s v="M"/>
        <s v="MT"/>
      </sharedItems>
    </cacheField>
    <cacheField name="Face Value" numFmtId="0">
      <sharedItems containsString="0" containsBlank="1" containsNumber="1" containsInteger="1">
        <n v="10.0"/>
        <n v="1.0"/>
        <n v="5.0"/>
        <n v="2.0"/>
        <m/>
        <n v="4.0"/>
      </sharedItems>
    </cacheField>
    <cacheField name="ISIN No" numFmtId="0">
      <sharedItems>
        <s v="INE002A01018"/>
        <s v="INE467B01029"/>
        <s v="INE040A01034"/>
        <s v="INE397D01024"/>
        <s v="INE090A01021"/>
        <s v="INE062A01020"/>
        <s v="INE009A01021"/>
        <s v="INE0J1Y01017"/>
        <s v="INE030A01027"/>
        <s v="INE154A01025"/>
        <s v="INE018A01030"/>
        <s v="INE296A01024"/>
        <s v="INE238A01034"/>
        <s v="INE860A01027"/>
        <s v="INE585B01010"/>
        <s v="INE733E01010"/>
        <s v="INE044A01036"/>
        <s v="INE423A01024"/>
        <s v="INE237A01028"/>
        <s v="INE155A01022"/>
        <s v="IN9155A01020"/>
        <s v="INE066F01020"/>
        <s v="INE213A01029"/>
        <s v="INE101A01026"/>
        <s v="INE481G01011"/>
        <s v="INE742F01042"/>
        <s v="INE752E01010"/>
        <s v="INE192R01011"/>
        <s v="INE280A01028"/>
        <s v="INE522F01014"/>
        <s v="INE364U01010"/>
        <s v="INE267A01025"/>
        <s v="INE021A01026"/>
        <s v="INE814H01011"/>
        <s v="INE075A01022"/>
        <s v="INE003A01024"/>
        <s v="INE917I01010"/>
        <s v="INE918I01026"/>
        <s v="INE239A01024"/>
        <s v="INE242A01010"/>
        <s v="INE053F01010"/>
        <s v="INE758E01017"/>
        <s v="INE019A01038"/>
        <s v="INE263A01024"/>
        <s v="INE081A01020"/>
        <s v="INE200M01021"/>
        <s v="INE271C01023"/>
        <s v="INE849A01020"/>
        <s v="INE047A01021"/>
        <s v="INE758T01015"/>
        <s v="INE117A01022"/>
        <s v="INE134E01011"/>
        <s v="INE205A01025"/>
        <s v="INE646L01027"/>
        <s v="INE079A01024"/>
        <s v="INE318A01026"/>
        <s v="INE214T01019"/>
        <s v="INE038A01020"/>
        <s v="INE123W01016"/>
        <s v="INE670K01029"/>
        <s v="INE129A01019"/>
        <s v="INE020B01018"/>
        <s v="INE028A01039"/>
        <s v="INE245A01021"/>
        <s v="INE775A01035"/>
        <s v="INE669C01036"/>
        <s v="INE102D01028"/>
        <s v="INE160A01022"/>
        <s v="INE216A01030"/>
        <s v="INE066A01021"/>
        <s v="INE795G01014"/>
        <s v="INE121E01018"/>
        <s v="INE565A01014"/>
        <s v="INE361B01024"/>
        <s v="INE669E01016"/>
        <s v="INE059A01026"/>
        <s v="INE121A01024"/>
        <s v="INE176B01034"/>
        <s v="INE931S01010"/>
        <s v="INE494B01023"/>
        <s v="INE095A01012"/>
        <s v="INE010B01027"/>
        <s v="INE158A01026"/>
        <s v="INE298A01020"/>
        <s v="INE089A01023"/>
        <s v="INE192A01025"/>
        <s v="INE721A01013"/>
        <s v="INE067A01029"/>
        <s v="INE476A01022"/>
        <s v="INE016A01026"/>
        <s v="INE749A01030"/>
        <s v="INE692A01016"/>
        <s v="INE257A01026"/>
        <s v="INE323A01026"/>
        <s v="INE121J01017"/>
        <s v="INE848E01016"/>
        <s v="INE455K01017"/>
        <s v="INE399L01023"/>
        <s v="INE070A01015"/>
        <s v="INE343H01029"/>
        <s v="INE685A01028"/>
        <s v="INE118A01012"/>
        <s v="INE854D01024"/>
        <s v="INE484J01027"/>
        <s v="INE008A01015"/>
        <s v="INE765G01017"/>
        <s v="INE437A01024"/>
        <s v="INE726G01019"/>
        <s v="INE027H01010"/>
        <s v="INE053A01029"/>
        <s v="INE415G01027"/>
        <s v="INE127D01025"/>
        <s v="INE881D01027"/>
        <s v="INE249Z01012"/>
        <s v="INE663F01024"/>
        <s v="INE634S01028"/>
        <s v="INE974X01010"/>
        <s v="INE335Y01020"/>
        <s v="INE274J01014"/>
        <s v="INE259A01022"/>
        <s v="INE196A01026"/>
        <s v="INE465A01025"/>
        <s v="INE195A01028"/>
        <s v="INE811K01011"/>
        <s v="INE326A01037"/>
        <s v="INE513A01022"/>
        <s v="INE528G01035"/>
        <s v="INE935N01020"/>
        <s v="INE813H01021"/>
        <s v="INE584A01023"/>
        <s v="INE040H01021"/>
        <s v="INE562A01011"/>
        <s v="INE414G01012"/>
        <s v="INE406A01037"/>
        <s v="INE473A01011"/>
        <s v="INE094A01015"/>
        <s v="INE647A01010"/>
        <s v="INE208A01029"/>
        <s v="INE018E01016"/>
        <s v="INE220G01021"/>
        <s v="INE880J01026"/>
        <s v="INE481Y01014"/>
        <s v="INE029A01011"/>
        <s v="INE211B01039"/>
        <s v="INE093I01010"/>
        <s v="INE262H01021"/>
        <s v="INE691A01018"/>
        <s v="INE006I01046"/>
        <s v="INE188A01015"/>
        <s v="INE405E01023"/>
        <s v="INE111A01025"/>
        <s v="INE787D01026"/>
        <s v="INE674K01013"/>
        <s v="INE114A01011"/>
        <s v="INE417T01026"/>
        <s v="INE171Z01026"/>
        <s v="INE463A01038"/>
        <s v="INE540L01014"/>
        <s v="INE07Y701011"/>
        <s v="INE031A01017"/>
        <s v="INE358A01014"/>
        <s v="INE704P01025"/>
        <s v="INE152A01029"/>
        <s v="INE776C01039"/>
        <s v="INE092T01019"/>
        <s v="INE603J01030"/>
        <s v="INE202E01016"/>
        <s v="INE619A01035"/>
        <s v="INE343G01021"/>
        <s v="INE883A01011"/>
        <s v="INE483A01010"/>
        <s v="INE151A01013"/>
        <s v="INE084A01016"/>
        <s v="INE179A01014"/>
        <s v="INE686F01025"/>
        <s v="INE002L01015"/>
        <s v="INE010V01017"/>
        <s v="INE303R01014"/>
        <s v="INE671A01010"/>
        <s v="INE949L01017"/>
        <s v="INE660A01013"/>
        <s v="INE388Y01029"/>
        <s v="INE226A01021"/>
        <s v="INE012A01025"/>
        <s v="INE347G01014"/>
        <s v="INE302A01020"/>
        <s v="INE169A01031"/>
        <s v="INE356A01018"/>
        <s v="INE457A01014"/>
        <s v="INE159A01016"/>
        <s v="INE04I401011"/>
        <s v="INE498L01015"/>
        <s v="INE042A01014"/>
        <s v="INE171A01029"/>
        <s v="INE670A01012"/>
        <s v="INE699H01024"/>
        <s v="INE761H01022"/>
        <s v="INE115A01026"/>
        <s v="INE844O01030"/>
        <s v="INE702C01027"/>
        <s v="INE628A01036"/>
        <s v="INE376G01013"/>
        <s v="INE470A01017"/>
        <s v="INE142M01025"/>
        <s v="INE878B01027"/>
        <s v="INE608A01012"/>
        <s v="INE298J01013"/>
        <s v="INE200A01026"/>
        <s v="INE212H01026"/>
        <s v="INE470Y01017"/>
        <s v="INE913H01037"/>
        <s v="INE103A01014"/>
        <s v="INE073K01018"/>
        <s v="INE281B01032"/>
        <s v="INE797F01020"/>
        <s v="INE774D01024"/>
        <s v="INE061F01013"/>
        <s v="INE338I01027"/>
        <s v="INE589A01014"/>
        <s v="INE935A01035"/>
        <s v="INE474Q01031"/>
        <s v="INE591G01017"/>
        <s v="INE203G01027"/>
        <s v="INE288B01029"/>
        <s v="INE09N301011"/>
        <s v="INE139A01034"/>
        <s v="INE372A01015"/>
        <s v="INE00R701025"/>
        <s v="INE438A01022"/>
        <s v="INE118H01025"/>
        <s v="INE317I01021"/>
        <s v="INE472A01039"/>
        <s v="INE672A01018"/>
        <s v="INE180A01020"/>
        <s v="INE575P01011"/>
        <s v="INE325A01013"/>
        <s v="INE823G01014"/>
        <s v="INE120A01034"/>
        <s v="INE545U01014"/>
        <s v="INE0FS801015"/>
        <s v="INE647O01011"/>
        <s v="INE640A01023"/>
        <s v="INE511C01022"/>
        <s v="INE791I01019"/>
        <s v="INE531E01026"/>
        <s v="INE980O01024"/>
        <s v="INE536A01023"/>
        <s v="INE208C01025"/>
        <s v="INE03JT01014"/>
        <s v="INE885A01032"/>
        <s v="INE424H01027"/>
        <s v="INE548C01032"/>
        <s v="INE007A01025"/>
        <s v="INE068V01023"/>
        <s v="INE095N01031"/>
        <s v="INE462A01022"/>
        <s v="INE248A01017"/>
        <s v="INE342J01019"/>
        <s v="INE387A01021"/>
        <s v="INE148O01028"/>
        <s v="INE930H01031"/>
        <s v="INE105A01035"/>
        <s v="INE233A01035"/>
        <s v="INE571A01038"/>
        <s v="INE031B01049"/>
        <s v="INE398R01022"/>
        <s v="INE209L01016"/>
        <s v="INE880L01014"/>
        <s v="INE092A01019"/>
        <s v="INE572A01036"/>
        <s v="INE230A01023"/>
        <s v="INE055A01016"/>
        <s v="INE982J01020"/>
        <s v="INE825V01034"/>
        <s v="INE299U01018"/>
        <s v="INE149A01033"/>
        <s v="INE962Y01021"/>
        <s v="INE258G01013"/>
        <s v="INE918Z01012"/>
        <s v="INE769A01020"/>
        <s v="INE716A01013"/>
        <s v="INE703B01027"/>
        <s v="INE763G01038"/>
        <s v="INE010J01012"/>
        <s v="INE410P01011"/>
        <s v="INE382Z01011"/>
        <s v="INE389H01022"/>
        <s v="INE615H01020"/>
        <s v="INE235A01022"/>
        <s v="INE473B01035"/>
        <s v="INE736A01011"/>
        <s v="INE322A01010"/>
        <s v="INE927D01044"/>
        <s v="INE944F01028"/>
        <s v="INE128S01021"/>
        <s v="INE600L01024"/>
        <s v="INE947Q01028"/>
        <s v="INE285A01027"/>
        <s v="INE373A01013"/>
        <s v="INE530B01024"/>
        <s v="INE217B01036"/>
        <s v="INE536H01010"/>
        <s v="INE531A01024"/>
        <s v="INE839M01018"/>
        <s v="INE299N01021"/>
        <s v="INE671H01015"/>
        <s v="INE868B01028"/>
        <s v="INE987B01026"/>
        <s v="INE260B01028"/>
        <s v="INE172A01027"/>
        <s v="INE486A01021"/>
        <s v="INE732I01013"/>
        <s v="INE0DK501011"/>
        <s v="INE140A01024"/>
        <s v="INE182A01018"/>
        <s v="INE03QK01018"/>
        <s v="INE131B01039"/>
        <s v="INE741K01010"/>
        <s v="INE572E01012"/>
        <s v="INE596F01018"/>
        <s v="INE085A01013"/>
        <s v="INE745G01035"/>
        <s v="INE152M01016"/>
        <s v="INE019C01026"/>
        <s v="INE777K01022"/>
        <s v="INE410B01037"/>
        <s v="INE951I01027"/>
        <s v="INE146L01010"/>
        <s v="INE136B01020"/>
        <s v="INE183A01024"/>
        <s v="INE872J01023"/>
        <s v="INE903U01023"/>
        <s v="INE206F01022"/>
        <s v="INE673O01025"/>
        <s v="INE836A01035"/>
        <s v="INE176A01028"/>
        <s v="INE0LMW01024"/>
        <s v="INE331A01037"/>
        <s v="INE043D01016"/>
        <s v="INE100A01010"/>
        <s v="INE220B01022"/>
        <s v="INE258A01016"/>
        <s v="INE233B01017"/>
        <s v="INE064C01022"/>
        <s v="INE404A01024"/>
        <s v="INE301A01014"/>
        <s v="INE00WC01027"/>
        <s v="INE066P01011"/>
        <s v="INE731H01025"/>
        <s v="INE810G01011"/>
        <s v="INE665A01038"/>
        <s v="INE596I01012"/>
        <s v="INE205C01021"/>
        <s v="INE883F01010"/>
        <s v="INE00E101023"/>
        <s v="INE531F01015"/>
        <s v="INE180C01042"/>
        <s v="INE901L01018"/>
        <s v="INE732A01036"/>
        <s v="INE269B01029"/>
        <s v="INE048G01026"/>
        <s v="INE324A01024"/>
        <s v="INE201P01022"/>
        <s v="INE427F01016"/>
        <s v="INE017A01032"/>
        <s v="INE522D01027"/>
        <s v="INE914M01019"/>
        <s v="INE0IX101010"/>
        <s v="INE999A01015"/>
        <s v="INE668F01031"/>
        <s v="INE00M201021"/>
        <s v="INE269A01021"/>
        <s v="INE320J01015"/>
        <s v="INE246F01010"/>
        <s v="INE036D01028"/>
        <s v="INE285K01026"/>
        <s v="INE520A01027"/>
        <s v="INE338H01029"/>
        <s v="INE967H01017"/>
        <s v="INE891D01026"/>
        <s v="INE852O01025"/>
        <s v="INE439A01020"/>
        <s v="INE348B01021"/>
        <s v="INE399G01023"/>
        <s v="INE242C01024"/>
        <s v="INE933S01016"/>
        <s v="INE463V01026"/>
        <s v="INE548A01028"/>
        <s v="INE976G01028"/>
        <s v="INE039A01010"/>
        <s v="INE091G01018"/>
        <s v="INE022Q01020"/>
        <s v="INE203A01020"/>
        <s v="INE499A01024"/>
        <s v="INE227W01023"/>
        <s v="INE371P01015"/>
        <s v="INE002S01010"/>
        <s v="INE684F01012"/>
        <s v="INE058A01010"/>
        <s v="INE686Y01026"/>
        <s v="INE0DD101019"/>
        <s v="INE191B01025"/>
        <s v="INE205B01023"/>
        <s v="INE517B01013"/>
        <s v="INE216P01012"/>
        <s v="INE192B01031"/>
        <s v="INE306R01017"/>
        <s v="INE256A01028"/>
        <s v="INE663A01033"/>
        <s v="INE0NT901020"/>
        <s v="INE177H01021"/>
        <s v="INE178A01016"/>
        <s v="INE292B01021"/>
        <s v="INE260D01016"/>
        <s v="INE153T01027"/>
        <s v="INE510A01028"/>
        <s v="INE050A01025"/>
        <s v="INE177A01018"/>
        <s v="INE191H01014"/>
        <s v="INE406M01024"/>
        <s v="INE850D01014"/>
        <s v="INE0J5401028"/>
        <s v="INE825A01020"/>
        <s v="INE270A01029"/>
        <s v="INE619B01017"/>
        <s v="INE00LO01017"/>
        <s v="INE126A01031"/>
        <s v="INE351F01018"/>
        <s v="INE074A01025"/>
        <s v="INE065X01017"/>
        <s v="INE743M01012"/>
        <s v="INE274F01020"/>
        <s v="INE133A01011"/>
        <s v="INE961O01016"/>
        <s v="INE123F01029"/>
        <s v="INE094J01016"/>
        <s v="INE483C01032"/>
        <s v="INE321T01012"/>
        <s v="INE491A01021"/>
        <s v="INE195J01029"/>
        <s v="INE138Y01010"/>
        <s v="INE118D01016"/>
        <s v="INE616N01034"/>
        <s v="INE168A01041"/>
        <s v="INE323I01011"/>
        <s v="INE340A01012"/>
        <s v="INE0BV301023"/>
        <s v="INE193E01025"/>
        <s v="INE131A01031"/>
        <s v="INE101D01020"/>
        <s v="INE451A01017"/>
        <s v="INE419U01012"/>
        <s v="INE109A01011"/>
        <s v="INE0BWX01014"/>
        <s v="INE768C01010"/>
        <s v="INE739E01017"/>
        <s v="INE477A01020"/>
        <s v="INE228A01035"/>
        <s v="INE738I01010"/>
        <s v="INE330T01021"/>
        <s v="INE700A01033"/>
        <s v="INE834M01019"/>
        <s v="INE926X01010"/>
        <s v="INE614G01033"/>
        <s v="INE332A01027"/>
        <s v="INE763I01026"/>
        <s v="INE03Q201024"/>
        <s v="INE970X01018"/>
        <s v="INE573A01042"/>
        <s v="INE842C01021"/>
        <s v="INE450U01017"/>
        <s v="INE475E01026"/>
        <s v="INE02IJ01035"/>
        <s v="INE540H01012"/>
        <s v="INE371A01025"/>
        <s v="INE690A01028"/>
        <s v="INE011K01018"/>
        <s v="INE049B01025"/>
        <s v="INE482A01020"/>
        <s v="INE542W01017"/>
        <s v="INE027A01015"/>
        <s v="INE150B01039"/>
        <s v="INE490G01020"/>
        <s v="INE063P01018"/>
        <s v="INE725A01022"/>
        <s v="INE517F01014"/>
        <s v="INE0LXT01019"/>
        <s v="INE086A01029"/>
        <s v="INE979A01025"/>
        <s v="INE087H01022"/>
        <s v="INE789E01012"/>
        <s v="INE113A01013"/>
        <s v="INE288A01013"/>
        <s v="INE955D01029"/>
        <s v="INE786A01032"/>
        <s v="INE0I7C01011"/>
        <s v="INE251B01027"/>
        <s v="INE879I01012"/>
        <s v="INE429E01023"/>
        <s v="INE916U01025"/>
        <s v="INE634I01029"/>
        <s v="INE884B01025"/>
        <s v="INE386A01015"/>
        <s v="INE112L01020"/>
        <s v="INE024L01027"/>
        <s v="INE806T01012"/>
        <s v="INE665L01035"/>
        <s v="INE148I01020"/>
        <s v="INE083K01017"/>
        <s v="INE600K01018"/>
        <s v="INE034A01011"/>
        <s v="INE026A01025"/>
        <s v="INE696F01016"/>
        <s v="INE602A01031"/>
        <s v="INE069I01010"/>
        <s v="INE858B01029"/>
        <s v="INE794A01010"/>
        <s v="INE399K01017"/>
        <s v="INE284A01012"/>
        <s v="INE0KCE01017"/>
        <s v="INE501A01019"/>
        <s v="INE411F01010"/>
        <s v="INE166R01015"/>
        <s v="INE813A01018"/>
        <s v="INE686A01026"/>
        <s v="INE998I01010"/>
        <s v="INE383A01012"/>
        <s v="INE457L01011"/>
        <s v="INE688D01026"/>
        <s v="INE481N01025"/>
        <s v="INE615P01015"/>
        <s v="INE870H01013"/>
        <s v="INE278Y01022"/>
        <s v="INE297H01019"/>
        <s v="INE0DYJ01015"/>
        <s v="INE818H01020"/>
        <s v="INE758C01029"/>
        <s v="INE386C01029"/>
        <s v="INE0CLI01024"/>
        <s v="INE280B01018"/>
        <s v="INE02YR01019"/>
        <s v="INE128X01021"/>
        <s v="INE099Z01011"/>
        <s v="INE602W01019"/>
        <s v="INE149K01016"/>
        <s v="INE423Y01016"/>
        <s v="INE551W01018"/>
        <s v="INE939A01011"/>
        <s v="INE119A01028"/>
        <s v="INE271B01025"/>
        <s v="INE488A01050"/>
        <s v="INE599M01018"/>
        <s v="INE256C01024"/>
        <s v="INE483S01020"/>
        <s v="INE780C01023"/>
        <s v="INE460H01021"/>
        <s v="INE682M01012"/>
        <s v="INE010A01011"/>
        <s v="INE343B01030"/>
        <s v="INE199A01012"/>
        <s v="INE263M01029"/>
        <s v="INE545A01016"/>
        <s v="INE526E01018"/>
        <s v="INE460C01014"/>
        <s v="INE0FLR01028"/>
        <s v="INE930P01018"/>
        <s v="INE498B01024"/>
        <s v="INE495P01012"/>
        <s v="INE395N01027"/>
        <s v="INE00F201020"/>
        <s v="INE759A01021"/>
        <s v="INE385C01021"/>
        <s v="INE804L01022"/>
        <s v="INE908D01010"/>
        <s v="INE621L01012"/>
        <s v="INE871C01038"/>
        <s v="INE925R01014"/>
        <s v="INE0BY001018"/>
        <s v="INE093R01011"/>
        <s v="INE824G01012"/>
        <s v="INE805D01034"/>
        <s v="INE132H01018"/>
        <s v="INE549A01026"/>
        <s v="INE956G01038"/>
        <s v="INE211R01019"/>
        <s v="INE225D01027"/>
        <s v="INE917M01012"/>
        <s v="INE421D01022"/>
        <s v="INE614B01018"/>
        <s v="INE276A01018"/>
        <s v="INE232I01014"/>
        <s v="INE036A01016"/>
        <s v="INE102B01014"/>
        <s v="INE544R01021"/>
        <s v="INE922K01024"/>
        <s v="INE886H01027"/>
        <s v="INE262A01018"/>
        <s v="INE043W01024"/>
        <s v="INE621H01010"/>
        <s v="INE258B01022"/>
        <s v="INE435G01025"/>
        <s v="INE668A01016"/>
        <s v="INE689W01016"/>
        <s v="INE353K01014"/>
        <s v="INE050E01027"/>
        <s v="INE491J01022"/>
        <s v="INE483B01026"/>
        <s v="INE07O001026"/>
        <s v="INE949H01023"/>
        <s v="INE546C01010"/>
        <s v="INE335A01020"/>
        <s v="INE508G01029"/>
        <s v="INE750C01026"/>
        <s v="INE688A01022"/>
        <s v="INE111Q01021"/>
        <s v="INE613C01018"/>
        <s v="INE953O01021"/>
        <s v="INE399C01030"/>
        <s v="INE717A01029"/>
        <s v="INE989C01020"/>
        <s v="INE576O01020"/>
        <s v="INE247D01039"/>
        <s v="INE0KBH01020"/>
        <s v="INE683A01023"/>
        <s v="INE955V01021"/>
        <s v="INE01QM01018"/>
        <s v="INE04TZ01018"/>
        <s v="INE418L01021"/>
        <s v="INE255A01020"/>
        <s v="INE524A01029"/>
        <s v="INE03EI01018"/>
        <s v="INE953L01027"/>
        <s v="INE070D01027"/>
        <s v="INE088F01024"/>
        <s v="INE645S01016"/>
        <s v="INE054A01027"/>
        <s v="INE570A01022"/>
        <s v="INE666D01022"/>
        <s v="INE089C01029"/>
        <s v="INE887G01027"/>
        <s v="INE420C01059"/>
        <s v="INE545H01011"/>
        <s v="INE001B01026"/>
        <s v="INE659A01023"/>
        <s v="INE09VQ01012"/>
        <s v="INE489L01022"/>
        <s v="INE576I01022"/>
        <s v="INE285J01028"/>
        <s v="INE087A01019"/>
        <s v="INE317F01035"/>
        <s v="INE679A01013"/>
        <s v="INE870D01012"/>
        <s v="INE442H01029"/>
        <s v="INE559A01017"/>
        <s v="INE613A01020"/>
        <s v="INE411H01032"/>
        <s v="INE635Q01029"/>
        <s v="INE0LGX01016"/>
        <s v="INE0EK901012"/>
        <s v="INE877F01012"/>
        <s v="INE036B01030"/>
        <s v="INE597I01028"/>
        <s v="INE255X01014"/>
        <s v="INE342G01023"/>
        <s v="INE710A01016"/>
        <s v="INE254N01026"/>
        <s v="INE625G01013"/>
        <s v="INE541A01023"/>
        <s v="INE055S01018"/>
        <s v="INE250A01039"/>
        <s v="INE726V01018"/>
        <s v="INE202Z01029"/>
        <s v="INE021O01019"/>
        <s v="INE959A01019"/>
        <s v="INE418H01029"/>
        <s v="INE864I01014"/>
        <s v="INE419M01027"/>
        <s v="INE071N01016"/>
        <s v="INE532F01054"/>
        <s v="INE676A01027"/>
        <s v="INE665J01013"/>
        <s v="INE186A01019"/>
        <s v="INE950I01011"/>
        <s v="INE142Z01019"/>
        <s v="INE725G01011"/>
        <s v="INE777F01014"/>
        <s v="INE0Q8P01011"/>
        <s v="INE191A01027"/>
        <s v="INE790G01031"/>
        <s v="INE735W01017"/>
        <s v="INE876N01018"/>
        <s v="INE932X01026"/>
        <s v="INE417C01014"/>
        <s v="INE0LRU01027"/>
        <s v="INE679V01019"/>
        <s v="INE045601015"/>
        <s v="INE00FF01017"/>
        <s v="INE291A01017"/>
        <s v="INE464A01036"/>
        <s v="INE855B01025"/>
        <s v="INE539A01019"/>
        <s v="INE0AJG01018"/>
        <s v="INE782A01015"/>
        <s v="INE935B01025"/>
        <s v="INE348L01012"/>
        <s v="INE0BJS01011"/>
        <s v="INE643A01035"/>
        <s v="INE075I01017"/>
        <s v="INE716B01029"/>
        <s v="INE510W01014"/>
        <s v="INE244B01030"/>
        <s v="INE306A01021"/>
        <s v="INE978A01027"/>
        <s v="INE066O01014"/>
        <s v="INE0CU601026"/>
        <s v="INE572J01011"/>
        <s v="INE366I01010"/>
        <s v="INE079J01017"/>
        <s v="INE884A01027"/>
        <s v="INE385F01024"/>
        <s v="IN9175A01010"/>
        <s v="INE213C01025"/>
        <s v="INE175A01038"/>
        <s v="INE07T201019"/>
        <s v="INE578A01017"/>
        <s v="INE0JUS01029"/>
        <s v="INE221B01012"/>
        <s v="INE838B01013"/>
        <s v="INE004A01022"/>
        <s v="INE039C01032"/>
        <s v="INE985S01024"/>
        <s v="INE133E01013"/>
        <s v="INE085J01014"/>
        <s v="INE455I01029"/>
        <s v="INE163A01018"/>
        <s v="INE177F01017"/>
        <s v="INE0KL801015"/>
        <s v="INE767A01016"/>
        <s v="INE010601016"/>
        <s v="INE586V01016"/>
        <s v="INE854B01010"/>
        <s v="INE989A01024"/>
        <s v="INE976A01021"/>
        <s v="INE024F01011"/>
        <s v="INE164A01016"/>
        <s v="INE415A01038"/>
        <s v="INE221H01019"/>
        <s v="INE02A801020"/>
        <s v="INE0OAF01028"/>
        <s v="INE139R01012"/>
        <s v="INE631A01022"/>
        <s v="INE007N01010"/>
        <s v="INE373T01039"/>
      </sharedItems>
    </cacheField>
    <cacheField name="Instrument" numFmtId="0">
      <sharedItems>
        <s v="Equity"/>
      </sharedItems>
    </cacheField>
    <cacheField name="Sector" numFmtId="0">
      <sharedItems>
        <s v="Energy"/>
        <s v="Information Technology"/>
        <s v="Financial Services"/>
        <s v="Telecommunication"/>
        <s v="Fast Moving Consumer Goods"/>
        <s v="Industrials"/>
        <s v="Consumer Discretionary"/>
        <s v="Utilities"/>
        <s v="Healthcare"/>
        <s v="Commodities"/>
        <s v="Services"/>
        <s v="Diversified"/>
      </sharedItems>
    </cacheField>
    <cacheField name="Industry" numFmtId="0">
      <sharedItems>
        <s v="Oil, Gas &amp; Consumable, Fuels"/>
        <s v="Information Technology"/>
        <s v="Financial Services"/>
        <s v="Telecommunication"/>
        <s v="Fast Moving Consumer Goods"/>
        <s v="Construction"/>
        <s v="Automobile and Auto Components"/>
        <s v="Power"/>
        <s v="Healthcare"/>
        <s v="Metals &amp; Mining"/>
        <s v="Capital Goods"/>
        <s v="Construction Materials"/>
        <s v="Services"/>
        <s v="Consumer Services"/>
        <s v="Consumer Durables"/>
        <s v="Realty"/>
        <s v="Chemicals"/>
        <s v="Textiles"/>
        <s v="Diversified"/>
        <s v="Media, Entertainment &amp; Publication"/>
        <s v="Forest Materials"/>
        <s v="Utilities"/>
      </sharedItems>
    </cacheField>
    <cacheField name="group2" numFmtId="0">
      <sharedItems>
        <s v="Petroleum Products"/>
        <s v="IT - Software"/>
        <s v="Banks"/>
        <s v="Telecom - Services"/>
        <s v="Insurance"/>
        <s v="Diversified FMCG"/>
        <s v="Construction"/>
        <s v="Finance"/>
        <s v="Automobiles"/>
        <s v="Power"/>
        <s v="Pharmaceuticals &amp; Biotechnology"/>
        <s v="Metals &amp; Minerals Trading"/>
        <s v="Aerospace &amp; Defense"/>
        <s v="Oil"/>
        <s v="Cement &amp; Cement Products"/>
        <s v="Transport Infrastructure"/>
        <s v="Retailing"/>
        <s v="Consumer Durables"/>
        <s v="Consumable Fuels"/>
        <s v="Non - Ferrous Metals"/>
        <s v="Electrical Equipment"/>
        <s v="Food Products"/>
        <s v="Ferrous Metals"/>
        <s v="Beverages"/>
        <s v="Realty"/>
        <s v="Diversified Metals"/>
        <s v="Transport Services"/>
        <s v="Chemicals &amp; Petrochemicals"/>
        <s v="Gas"/>
        <s v="Auto Components"/>
        <s v="Personal Products"/>
        <s v="Industrial Products"/>
        <s v="Agricultural Food &amp; other Products"/>
        <s v="Healthcare Services"/>
        <s v="Leisure Services"/>
        <s v="Capital Markets"/>
        <s v="Industrial Manufacturing"/>
        <s v="Minerals &amp; Mining"/>
        <s v="Agricultural, Commercial &amp; Construction Vehicles"/>
        <s v="Fertilizers &amp; Agrochemicals"/>
        <s v="Financial Technology (Fintech)"/>
        <s v="IT - Services"/>
        <s v="Textiles &amp; Apparels"/>
        <s v="Diversified"/>
        <s v="Entertainment"/>
        <s v="Telecom - Equipment &amp; Accessories"/>
        <s v="Paper, Forest &amp; Jute Products"/>
        <s v="Cigarettes &amp; Tobacco Products"/>
        <s v="Healthcare Equipment &amp; Supplies"/>
        <s v="Household Products"/>
        <s v="Commercial Services &amp; Supplies"/>
        <s v="IT - Hardware"/>
        <s v="Other Utilities"/>
        <s v="Other Consumer Services"/>
        <s v="Media"/>
      </sharedItems>
    </cacheField>
    <cacheField name="Subgroup" numFmtId="0">
      <sharedItems>
        <s v="Refineries &amp; Marketing"/>
        <s v="Computers - Software &amp; Consulting"/>
        <s v="Private Sector Bank"/>
        <s v="Telecom - Cellular &amp; Fixed line services"/>
        <s v="Public Sector Bank"/>
        <s v="Life Insurance"/>
        <s v="Diversified FMCG"/>
        <s v="Civil Construction"/>
        <s v="Non Banking Financial Company (NBFC)"/>
        <s v="Passenger Cars &amp; Utility Vehicles"/>
        <s v="Power Generation"/>
        <s v="Pharmaceuticals"/>
        <s v="Trading - Minerals"/>
        <s v="Aerospace &amp; Defense"/>
        <s v="Oil Exploration &amp; Production"/>
        <s v="Cement &amp; Cement Products"/>
        <s v="Port &amp; Port services"/>
        <s v="Power - Transmission"/>
        <s v="Diversified Retail"/>
        <s v="Gems, Jewellery And Watches"/>
        <s v="Coal"/>
        <s v="Zinc"/>
        <s v="Paints"/>
        <s v="Integrated Power Utilities"/>
        <s v="Heavy Electrical Equipment"/>
        <s v="2/3 Wheelers"/>
        <s v="Holding Company"/>
        <s v="Packaged Foods"/>
        <s v="Financial Institution"/>
        <s v="Iron &amp; Steel"/>
        <s v="Other Beverages"/>
        <s v="Residential, Commercial Projects"/>
        <s v="Speciality Retail"/>
        <s v="E-Retail/ E-Commerce"/>
        <s v="Diversified Metals"/>
        <s v="Airline"/>
        <s v="Specialty Chemicals"/>
        <s v="Aluminium"/>
        <s v="Gas Transmission/Marketing"/>
        <s v="Auto Components &amp; Equipments"/>
        <s v="Personal Care"/>
        <s v="Consumer Electronics"/>
        <s v="Power Distribution"/>
        <s v="Compressors, Pumps &amp; Diesel Engines"/>
        <s v="Tea &amp; Coffee"/>
        <s v="Telecom - Infrastructure"/>
        <s v="Cables - Electricals"/>
        <s v="LPG/CNG/PNG/LNG Supplier"/>
        <s v="Explosives"/>
        <s v="Breweries &amp; Distilleries"/>
        <s v="General Insurance"/>
        <s v="Hospital"/>
        <s v="Hotels &amp; Resorts"/>
        <s v="Asset Management Company"/>
        <s v="Software Products"/>
        <s v="Ship Building &amp; Allied Services"/>
        <s v="Internet &amp; Catalogue Retail"/>
        <s v="Tour, Travel Related Services"/>
        <s v="Edible Oil"/>
        <s v="Plastic Products - Industrial"/>
        <s v="Industrial Minerals"/>
        <s v="Industrial Gases"/>
        <s v="Commercial Vehicles"/>
        <s v="Fertilizers"/>
        <s v="Logistics Solution Provider"/>
        <s v="Tyres &amp; Rubber Products"/>
        <s v="Investment Company"/>
        <s v="Financial Technology (Fintech)"/>
        <s v="Airport &amp; Airport services"/>
        <s v="Pesticides &amp; Agrochemicals"/>
        <s v="IT Enabled Services"/>
        <s v="Industrial Products"/>
        <s v="Household Appliances"/>
        <s v="Tractors"/>
        <s v="Garments &amp; Apparels"/>
        <s v="Housing Finance Company"/>
        <s v="Iron &amp; Steel Products"/>
        <s v="Diversified"/>
        <s v="Castings &amp; Forgings"/>
        <s v="Sponge Iron"/>
        <s v="Restaurants"/>
        <s v="Stockbroking &amp; Allied"/>
        <s v="Other Electrical Equipment"/>
        <s v="Exchange and Data Platform"/>
        <s v="Footwear"/>
        <s v="Abrasives &amp; Bearings"/>
        <s v="Copper"/>
        <s v="Trading - Gas"/>
        <s v="TV Broadcasting &amp; Software Production"/>
        <s v="Other Financial Services"/>
        <s v="Telecom - Equipment &amp; Accessories"/>
        <s v="Other Textile Products"/>
        <s v="Healthcare Research, Analytics &amp; Technology"/>
        <s v="Railway Wagons"/>
        <s v="Commodity Chemicals"/>
        <s v="Paper &amp; Paper Products"/>
        <s v="Dairy Products"/>
        <s v="Depositories, Clearing Houses and Other Intermediaries"/>
        <s v="Healthcare Service Provider"/>
        <s v="Ceramics"/>
        <s v="Cigarettes &amp; Tobacco Products"/>
        <s v="Lubricants"/>
        <s v="Microfinance Institutions"/>
        <s v="Other Industrial Products"/>
        <s v="Houseware"/>
        <s v="Construction Vehicles"/>
        <s v="Medical Equipment &amp; Supplies"/>
        <s v="Shipping"/>
        <s v="Household Products"/>
        <s v="Trading &amp; Distributors"/>
        <s v="Plywood Boards/ Laminates"/>
        <s v="Financial Products Distributor"/>
        <s v="Business Process Outsourcing (BPO)/ Knowledge Process Outsourcing (KPO)"/>
        <s v="Other Telecom Services"/>
        <s v="Petrochemicals"/>
        <s v="Computers Hardware &amp; Equipments"/>
        <s v="Film Production, Distribution &amp; Exhibition"/>
        <s v="Animal Feed"/>
        <s v="Electrodes &amp; Refractories"/>
        <s v="Stationary"/>
        <s v="Sanitary Ware"/>
        <s v="Media &amp; Entertainment"/>
        <s v="Sugar"/>
        <s v="Plastic Products - Consumer"/>
        <s v="Furniture, Home Furnishing"/>
        <s v="Pig Iron"/>
        <s v="Carbon Black"/>
        <s v="Diversified Commercial Services"/>
        <s v="Other Agricultural Products"/>
        <s v="Pharmacy Retail"/>
        <s v="Water Supply &amp; Management"/>
        <s v="Trading - Textile Products"/>
        <s v="Digital Entertainment"/>
        <s v="Packaging"/>
        <s v="Glass - Industrial"/>
        <s v="Dyes And Pigments"/>
        <s v="Power Trading"/>
        <s v="Education"/>
        <s v="Print Media"/>
        <s v="Ratings"/>
        <s v="Other Utilities"/>
        <s v="Amusement Parks/ Other Recreation"/>
      </sharedItems>
    </cacheField>
    <cacheField name="M Cap" numFmtId="164">
      <sharedItems containsSemiMixedTypes="0" containsString="0" containsNumber="1">
        <n v="2105986.7710168"/>
        <n v="1408401.41765"/>
        <n v="1341849.2100362"/>
        <n v="847662.9384338"/>
        <n v="841832.3564995"/>
        <n v="741207.3203841"/>
        <n v="660693.0149"/>
        <n v="620771.6763005"/>
        <n v="577210.6605025"/>
        <n v="528559.29"/>
        <n v="500145.3141"/>
        <n v="434800.3202244"/>
        <n v="396974.3421"/>
        <n v="396819.0312746"/>
        <n v="377000.6518192"/>
        <n v="369155.4760929"/>
        <n v="366655.2779206"/>
        <n v="359010.1251547"/>
        <n v="355781.56785"/>
        <n v="353838.74982"/>
        <n v="353404.232"/>
        <n v="350826.3051046"/>
        <n v="348552.9907728"/>
        <n v="344478.9275"/>
        <n v="333409.2820698"/>
        <n v="321260.5190333"/>
        <n v="311025.3254902"/>
        <n v="310062.3911812"/>
        <n v="299311.7872042"/>
        <n v="296717.4855316"/>
        <n v="282873.1948317"/>
        <n v="282043.7210633"/>
        <n v="281218.3796746"/>
        <n v="276020.5175181"/>
        <n v="274962.4416"/>
        <n v="274737.12014"/>
        <n v="265564.71535"/>
        <n v="254062.5318505"/>
        <n v="245315.0613975"/>
        <n v="234796.5750625"/>
        <n v="228664.5644279"/>
        <n v="227156.0213591"/>
        <n v="226876.0284348"/>
        <n v="225566.9181925"/>
        <n v="218922.9473199"/>
        <n v="208964.978475"/>
        <n v="206142.5333957"/>
        <n v="195097.95776"/>
        <n v="185584.3107632"/>
        <n v="181009.5518262"/>
        <n v="180438.73172"/>
        <n v="167816.8061836"/>
        <n v="167004.8104"/>
        <n v="164402.0945175"/>
        <n v="163950.6630596"/>
        <n v="160664.6293066"/>
        <n v="159485.5"/>
        <n v="154049.6516"/>
        <n v="149057.3199972"/>
        <n v="146655.1968598"/>
        <n v="143895.3378725"/>
        <n v="140133.404675"/>
        <n v="140012.0389469"/>
        <n v="139784.2875128"/>
        <n v="139721.6862877"/>
        <n v="139671.8589"/>
        <n v="137825.69265"/>
        <n v="134380.6475"/>
        <n v="132299.60016"/>
        <n v="129244.986"/>
        <n v="126342.4891624"/>
        <n v="123926.5111694"/>
        <n v="121542.8501557"/>
        <n v="121384.9362952"/>
        <n v="120402.0970069"/>
        <n v="120094.697865"/>
        <n v="118100.6508586"/>
        <n v="115308.3225226"/>
        <n v="114048.3330466"/>
        <n v="112804.2891327"/>
        <n v="112733.3544347"/>
        <n v="111881.5815"/>
        <n v="111268.8683994"/>
        <n v="109109.9897924"/>
        <n v="108512.6032396"/>
        <n v="107583.0534845"/>
        <n v="107569.3633283"/>
        <n v="107236.3663813"/>
        <n v="107195.1597284"/>
        <n v="105800.4035"/>
        <n v="104134.0040424"/>
        <n v="104003.6251896"/>
        <n v="103510.7698512"/>
        <n v="102678.412501"/>
        <n v="100910.1399"/>
        <n v="100476.4016283"/>
        <n v="100455.8184"/>
        <n v="100343.5258"/>
        <n v="97575.0602819"/>
        <n v="97569.4340828"/>
        <n v="96413.2067628"/>
        <n v="96278.81796"/>
        <n v="93953.83053"/>
        <n v="93903.6945404"/>
        <n v="90041.961465"/>
        <n v="89900.7743215"/>
        <n v="88933.602"/>
        <n v="87874.27925"/>
        <n v="87596.9098923"/>
        <n v="87553.3615"/>
        <n v="87333.0249279"/>
        <n v="86663.2438463"/>
        <n v="86327.53519"/>
        <n v="86020.39314"/>
        <n v="85781.195305"/>
        <n v="84454.4820001"/>
        <n v="80725.302"/>
        <n v="80100.500554"/>
        <n v="79478.8240344"/>
        <n v="77767.3663273"/>
        <n v="77512.9449687"/>
        <n v="77237.4241058"/>
        <n v="76703.9200403"/>
        <n v="76019.5914675"/>
        <n v="75159.4007042"/>
        <n v="74585.147911"/>
        <n v="73956.4845714"/>
        <n v="73806.0875825"/>
        <n v="73774.74368"/>
        <n v="72872.9153091"/>
        <n v="72426.0148971"/>
        <n v="72324.1370007"/>
        <n v="72260.1270256"/>
        <n v="72240.6351707"/>
        <n v="71319.62935"/>
        <n v="70057.0738037"/>
        <n v="70046.3666717"/>
        <n v="68066.13375"/>
        <n v="67984.256395"/>
        <n v="67886.099659"/>
        <n v="66637.2210692"/>
        <n v="66283.226462"/>
        <n v="66007.8651201"/>
        <n v="65691.4513275"/>
        <n v="65642.8540928"/>
        <n v="65200.6352093"/>
        <n v="65195.1500171"/>
        <n v="64784.34567"/>
        <n v="63971.6712892"/>
        <n v="62701.56"/>
        <n v="62434.2638599"/>
        <n v="61800.9963305"/>
        <n v="61428.9342241"/>
        <n v="60428.1346229"/>
        <n v="60078.7362708"/>
        <n v="60072.45704"/>
        <n v="59933.1105107"/>
        <n v="59781.3345413"/>
        <n v="59677.403028"/>
        <n v="59357.9579025"/>
        <n v="59030.1144996"/>
        <n v="58969.40202"/>
        <n v="58881.9104685"/>
        <n v="57447.2117363"/>
        <n v="57160.3250672"/>
        <n v="57115.9531"/>
        <n v="56815.6753283"/>
        <n v="55493.0392286"/>
        <n v="55362.6950715"/>
        <n v="54283.89266"/>
        <n v="54205.3728533"/>
        <n v="54047.3373489"/>
        <n v="53730.1623406"/>
        <n v="53404.2084957"/>
        <n v="53254.28508"/>
        <n v="51935.9211926"/>
        <n v="51586.803"/>
        <n v="51015.8697263"/>
        <n v="50519.9715085"/>
        <n v="50429.4807695"/>
        <n v="50340.3449874"/>
        <n v="49896.0120714"/>
        <n v="49662.3153914"/>
        <n v="49602.7464877"/>
        <n v="49225.8408015"/>
        <n v="47358.90824"/>
        <n v="46785.0156"/>
        <n v="46681.454427"/>
        <n v="45751.6737997"/>
        <n v="45739.5633904"/>
        <n v="45649.04192"/>
        <n v="45108.42"/>
        <n v="44795.4183202"/>
        <n v="44555.6614292"/>
        <n v="43806.9348765"/>
        <n v="43707.3427358"/>
        <n v="43642.6154076"/>
        <n v="43190.1167053"/>
        <n v="42937.5528384"/>
        <n v="42783.6446818"/>
        <n v="42755.0366801"/>
        <n v="42566.1183458"/>
        <n v="42295.77436"/>
        <n v="41236.6992356"/>
        <n v="40872.4186183"/>
        <n v="40306.9108647"/>
        <n v="40159.8865175"/>
        <n v="40020.9532033"/>
        <n v="39562.4007722"/>
        <n v="38578.45984"/>
        <n v="38257.891128"/>
        <n v="37488.6238636"/>
        <n v="37190.7055028"/>
        <n v="37084.1208369"/>
        <n v="36618.5112163"/>
        <n v="36173.7440713"/>
        <n v="35776.5754825"/>
        <n v="35633.6914737"/>
        <n v="35564.6435252"/>
        <n v="35093.0841952"/>
        <n v="35032.0459455"/>
        <n v="34926.0392809"/>
        <n v="34913.0991825"/>
        <n v="34850.1416458"/>
        <n v="34763.008325"/>
        <n v="34650.8035137"/>
        <n v="34426.919466"/>
        <n v="33671.61468"/>
        <n v="33602.84109"/>
        <n v="33542.2813983"/>
        <n v="33478.618802"/>
        <n v="33373.7188851"/>
        <n v="33310.469761"/>
        <n v="33122.2227001"/>
        <n v="32950.6997181"/>
        <n v="32908.3368858"/>
        <n v="32902.2928019"/>
        <n v="32836.6690468"/>
        <n v="32748.5950093"/>
        <n v="32747.9844015"/>
        <n v="32194.7107412"/>
        <n v="31924.82835"/>
        <n v="31634.796985"/>
        <n v="31474.7732946"/>
        <n v="30957.7770639"/>
        <n v="30933.7456613"/>
        <n v="30578.9154751"/>
        <n v="30576.2026745"/>
        <n v="30502.4142055"/>
        <n v="30439.86"/>
        <n v="30109.688226"/>
        <n v="30104.6076006"/>
        <n v="30062.107356"/>
        <n v="29979.55044"/>
        <n v="29876.5098211"/>
        <n v="29861.818264"/>
        <n v="29696.17854"/>
        <n v="29525.886496"/>
        <n v="29497.6949865"/>
        <n v="29486.5589717"/>
        <n v="29361.441285"/>
        <n v="29358.78"/>
        <n v="28919.795492"/>
        <n v="28908.3801022"/>
        <n v="28691.7834314"/>
        <n v="28623.179721"/>
        <n v="28417.34"/>
        <n v="28274.2179473"/>
        <n v="28065.3649345"/>
        <n v="27229.1251327"/>
        <n v="26721.5865527"/>
        <n v="26446.3775297"/>
        <n v="26081.4474613"/>
        <n v="25937.2791975"/>
        <n v="25929.33252"/>
        <n v="25901.0362758"/>
        <n v="25833.1674616"/>
        <n v="25477.8588954"/>
        <n v="25410.4868227"/>
        <n v="25079.7734183"/>
        <n v="25054.1582912"/>
        <n v="25048.6127775"/>
        <n v="24751.6654"/>
        <n v="24711.5675336"/>
        <n v="24688.7623434"/>
        <n v="24496.7467145"/>
        <n v="24447.4221704"/>
        <n v="24244.6511604"/>
        <n v="23964.1023887"/>
        <n v="23928.80596"/>
        <n v="23779.2127947"/>
        <n v="23596.998165"/>
        <n v="23589.2593909"/>
        <n v="23318.5856441"/>
        <n v="23300.9967262"/>
        <n v="23279.0819885"/>
        <n v="23226.0283512"/>
        <n v="22968.703385"/>
        <n v="22490.4927783"/>
        <n v="22168.8771553"/>
        <n v="22166.6645526"/>
        <n v="22092.4520683"/>
        <n v="22040.5397068"/>
        <n v="21614.193015"/>
        <n v="21538.07"/>
        <n v="21519.1600266"/>
        <n v="21437.0686339"/>
        <n v="21412.9178353"/>
        <n v="21401.7883069"/>
        <n v="21300.93223"/>
        <n v="21288.0893675"/>
        <n v="21116.135044"/>
        <n v="21055.81845"/>
        <n v="20726.9756741"/>
        <n v="20701.10757"/>
        <n v="20661.96288"/>
        <n v="20563.7776956"/>
        <n v="20525.46356"/>
        <n v="20494.2797721"/>
        <n v="20445.147089"/>
        <n v="20122.6366152"/>
        <n v="20081.538138"/>
        <n v="20037.8033641"/>
        <n v="19966.7140875"/>
        <n v="19963.4225"/>
        <n v="19960.4883023"/>
        <n v="19862.5564137"/>
        <n v="19855.6500124"/>
        <n v="19834.1121235"/>
        <n v="19797.1745705"/>
        <n v="19790.5995"/>
        <n v="19730.0471394"/>
        <n v="19700.9851492"/>
        <n v="19643.713615"/>
        <n v="19590.8130116"/>
        <n v="19505.2741675"/>
        <n v="19439.0558058"/>
        <n v="19426.9092031"/>
        <n v="19265.5562568"/>
        <n v="19156.8292062"/>
        <n v="19098.79"/>
        <n v="18981.3507629"/>
        <n v="18973.5169015"/>
        <n v="18945.7754471"/>
        <n v="18825.9763352"/>
        <n v="18726.8483616"/>
        <n v="18711.9762559"/>
        <n v="18676.2281251"/>
        <n v="18660.5501048"/>
        <n v="18622.30419"/>
        <n v="18543.5233255"/>
        <n v="18541.106748"/>
        <n v="18435.3059731"/>
        <n v="18206.0486619"/>
        <n v="18156.9631676"/>
        <n v="17995.9400406"/>
        <n v="17949.72435"/>
        <n v="17864.8162973"/>
        <n v="17836.0153962"/>
        <n v="17826.3528629"/>
        <n v="17712.8035111"/>
        <n v="17692.2927955"/>
        <n v="17676.96499"/>
        <n v="17512.9457973"/>
        <n v="17460.2657036"/>
        <n v="17298.1885694"/>
        <n v="17144.5611083"/>
        <n v="17074.692468"/>
        <n v="17008.7900074"/>
        <n v="16974.0072805"/>
        <n v="16970.061085"/>
        <n v="16833.8516"/>
        <n v="16775.420922"/>
        <n v="16764.81374"/>
        <n v="16686.5396342"/>
        <n v="16658.97513"/>
        <n v="16629.3422551"/>
        <n v="16575.6956759"/>
        <n v="16548.8512926"/>
        <n v="16531.3923231"/>
        <n v="16449.3027092"/>
        <n v="16402.6722402"/>
        <n v="16343.6808187"/>
        <n v="16325.7593948"/>
        <n v="16252.3753357"/>
        <n v="16192.327465"/>
        <n v="16191.8198"/>
        <n v="16142.5359445"/>
        <n v="16124.9035719"/>
        <n v="15957.1323116"/>
        <n v="15943.5374"/>
        <n v="15795.3773951"/>
        <n v="15625.6537993"/>
        <n v="15599.5308"/>
        <n v="15510.50384"/>
        <n v="15492.073548"/>
        <n v="15322.763992"/>
        <n v="15248.0633095"/>
        <n v="15216.07536"/>
        <n v="15214.072311"/>
        <n v="15199.1388231"/>
        <n v="15191.4325069"/>
        <n v="15101.4423753"/>
        <n v="14977.1985685"/>
        <n v="14914.012318"/>
        <n v="14782.7"/>
        <n v="14635.323816"/>
        <n v="14585.4505739"/>
        <n v="14581.9601804"/>
        <n v="14570.5875342"/>
        <n v="14561.39052"/>
        <n v="14480.0784"/>
        <n v="14406.1707887"/>
        <n v="14360.6370289"/>
        <n v="14270.4582298"/>
        <n v="14246.8159601"/>
        <n v="14196.4056112"/>
        <n v="14152.3720259"/>
        <n v="14007.22"/>
        <n v="13946.4883482"/>
        <n v="13924.1437497"/>
        <n v="13885.39674"/>
        <n v="13770.3571357"/>
        <n v="13645.6740807"/>
        <n v="13547.87137"/>
        <n v="13525.522395"/>
        <n v="13455.4937729"/>
        <n v="13317.9103823"/>
        <n v="13313.2911678"/>
        <n v="13258.6077"/>
        <n v="13157.24"/>
        <n v="13145.3114879"/>
        <n v="12958.51392"/>
        <n v="12919.8701782"/>
        <n v="12898.7125287"/>
        <n v="12885.80964"/>
        <n v="12747.54348"/>
        <n v="12693.4945203"/>
        <n v="12681.4165348"/>
        <n v="12591.84291"/>
        <n v="12561.8749794"/>
        <n v="12549.4559204"/>
        <n v="12547.1713614"/>
        <n v="12546.9833678"/>
        <n v="12535.59075"/>
        <n v="12436.363016"/>
        <n v="12376.9009182"/>
        <n v="12345.7018792"/>
        <n v="12342.3183"/>
        <n v="12132.2685337"/>
        <n v="12127.8567955"/>
        <n v="12120.99166"/>
        <n v="12032.4150426"/>
        <n v="12012.096733"/>
        <n v="11994.4307484"/>
        <n v="11796.9912463"/>
        <n v="11789.0482853"/>
        <n v="11779.7470613"/>
        <n v="11727.9002222"/>
        <n v="11718.9739317"/>
        <n v="11676.4084"/>
        <n v="11630.6282012"/>
        <n v="11575.1296927"/>
        <n v="11500.7977103"/>
        <n v="11483.4526253"/>
        <n v="11479.15802"/>
        <n v="11474.9686955"/>
        <n v="11458.4789571"/>
        <n v="11388.0750924"/>
        <n v="11271.6615424"/>
        <n v="11241.826413"/>
        <n v="11185.571678"/>
        <n v="11171.9380366"/>
        <n v="11148.993289"/>
        <n v="11044.9149124"/>
        <n v="10988.7418321"/>
        <n v="10969.5613652"/>
        <n v="10961.40087"/>
        <n v="10954.1800178"/>
        <n v="10924.04959"/>
        <n v="10912.3369288"/>
        <n v="10847.0977069"/>
        <n v="10842.89895"/>
        <n v="10830.6261"/>
        <n v="10796.5424322"/>
        <n v="10754.5284289"/>
        <n v="10633.2892883"/>
        <n v="10628.5162201"/>
        <n v="10572.7907142"/>
        <n v="10550.7345542"/>
        <n v="10463.4165447"/>
        <n v="10422.8353914"/>
        <n v="10392.86427"/>
        <n v="10382.3554546"/>
        <n v="10326.646741"/>
        <n v="10311.41163"/>
        <n v="10277.06525"/>
        <n v="10257.9119"/>
        <n v="10201.4987062"/>
        <n v="10194.4063006"/>
        <n v="10186.7730141"/>
        <n v="10117.3197487"/>
        <n v="10082.6420575"/>
        <n v="10077.0862857"/>
        <n v="10029.4767503"/>
        <n v="9948.0371518"/>
        <n v="9884.8670181"/>
        <n v="9836.723187"/>
        <n v="9768.9025"/>
        <n v="9710.292766"/>
        <n v="9657.3265518"/>
        <n v="9641.7987149"/>
        <n v="9588.6846525"/>
        <n v="9562.010375"/>
        <n v="9488.3048687"/>
        <n v="9455.73048"/>
        <n v="9425.5422"/>
        <n v="9405.947175"/>
        <n v="9318.9517"/>
        <n v="9259.6231617"/>
        <n v="9250.273796"/>
        <n v="9229.382448"/>
        <n v="9200.796717"/>
        <n v="9192.0212617"/>
        <n v="9158.1210409"/>
        <n v="9121.3620705"/>
        <n v="9083.1853165"/>
        <n v="9037.8045746"/>
        <n v="9029.9818277"/>
        <n v="9018.278823"/>
        <n v="8998.6609836"/>
        <n v="8940.7050051"/>
        <n v="8935.9857376"/>
        <n v="8917.6060723"/>
        <n v="8914.0191686"/>
        <n v="8898.009"/>
        <n v="8872.371374"/>
        <n v="8866.573906"/>
        <n v="8864.6154986"/>
        <n v="8858.6313611"/>
        <n v="8833.0587113"/>
        <n v="8831.7498014"/>
        <n v="8831.0638545"/>
        <n v="8813.638395"/>
        <n v="8764.309875"/>
        <n v="8731.8385596"/>
        <n v="8721.8904759"/>
        <n v="8714.5853657"/>
        <n v="8693.1222601"/>
        <n v="8687.39141"/>
        <n v="8667.4527395"/>
        <n v="8635.9097825"/>
        <n v="8613.844"/>
        <n v="8521.626"/>
        <n v="8515.959685"/>
        <n v="8484.3305221"/>
        <n v="8448.8511187"/>
        <n v="8409.1280625"/>
        <n v="8403.6130991"/>
        <n v="8393.1074388"/>
        <n v="8390.3131699"/>
        <n v="8390.039756"/>
        <n v="8368.5733482"/>
        <n v="8365.4619744"/>
        <n v="8358.1544989"/>
        <n v="8353.7267146"/>
        <n v="8305.27422"/>
        <n v="8291.3863235"/>
        <n v="8290.484475"/>
        <n v="8282.2677857"/>
        <n v="8226.45712"/>
        <n v="8215.1258182"/>
        <n v="8196.125039"/>
        <n v="8094.7305545"/>
        <n v="8082.5997435"/>
        <n v="8050.0216805"/>
        <n v="8044.170771"/>
        <n v="8025.7700088"/>
        <n v="7987.8834"/>
        <n v="7982.4845456"/>
        <n v="7942.152129"/>
        <n v="7938.89493"/>
        <n v="7932.513588"/>
        <n v="7921.1916233"/>
        <n v="7884.330986"/>
        <n v="7870.8423422"/>
        <n v="7853.2742401"/>
        <n v="7850.6874385"/>
        <n v="7819.370659"/>
        <n v="7788.4157704"/>
        <n v="7773.6850349"/>
        <n v="7772.8363997"/>
        <n v="7771.94416"/>
        <n v="7741.2762296"/>
        <n v="7740.32802"/>
        <n v="7739.6991284"/>
        <n v="7699.2220338"/>
        <n v="7683.029278"/>
        <n v="7649.8138349"/>
        <n v="7618.26362"/>
        <n v="7617.5087748"/>
        <n v="7614.4467"/>
        <n v="7601.3074508"/>
        <n v="7555.9073886"/>
        <n v="7530.9573951"/>
        <n v="7445.6485949"/>
        <n v="7382.18115"/>
        <n v="7351.9069591"/>
        <n v="7345.9467407"/>
        <n v="7321.050025"/>
        <n v="7277.0238305"/>
        <n v="7274.3604976"/>
        <n v="7269.1651348"/>
        <n v="7231.3170589"/>
        <n v="7226.1800299"/>
        <n v="7213.2392534"/>
        <n v="7185.0438"/>
        <n v="7142.308525"/>
        <n v="7141.08996"/>
        <n v="7067.508712"/>
        <n v="7027.6646091"/>
        <n v="6996.4384484"/>
        <n v="6982.8393375"/>
        <n v="6980.2070715"/>
        <n v="6965.9676739"/>
        <n v="6962.4652478"/>
        <n v="6953.7405103"/>
        <n v="6933.0388209"/>
        <n v="6925.7406772"/>
        <n v="6924.1467525"/>
        <n v="6923.0774433"/>
        <n v="6876.3866768"/>
        <n v="6864.3956755"/>
        <n v="6855.6370681"/>
        <n v="6846.970732"/>
        <n v="6789.5572844"/>
        <n v="6764.827595"/>
        <n v="6713.1827001"/>
        <n v="6656.7882669"/>
        <n v="6629.743379"/>
        <n v="6626.8057176"/>
        <n v="6617.7852323"/>
        <n v="6579.384292"/>
        <n v="6554.2739888"/>
        <n v="6551.903372"/>
        <n v="6547.3456561"/>
        <n v="6515.1197896"/>
        <n v="6493.0826828"/>
        <n v="6479.7648587"/>
        <n v="6474.1558281"/>
        <n v="6466.7298394"/>
        <n v="6450.9499192"/>
        <n v="6450.6516"/>
        <n v="6436.169856"/>
        <n v="6410.5104746"/>
        <n v="6350.5686472"/>
        <n v="6263.3895763"/>
        <n v="6255.8354533"/>
        <n v="6230.6504763"/>
        <n v="6224.8381198"/>
        <n v="6210.9435231"/>
        <n v="6185.6551504"/>
        <n v="6177.480861"/>
        <n v="6130.19022"/>
        <n v="6104.9318668"/>
        <n v="6085.9466062"/>
        <n v="6072.7957994"/>
        <n v="6056.8113003"/>
        <n v="5987.447594"/>
        <n v="5959.7322005"/>
        <n v="5951.1884618"/>
        <n v="5943.157295"/>
        <n v="5923.1400073"/>
        <n v="5909.5059493"/>
        <n v="5908.484623"/>
        <n v="5899.1186475"/>
        <n v="5871.24832"/>
        <n v="5841.3537354"/>
        <n v="5813.2605457"/>
        <n v="5809.9796"/>
        <n v="5777.56205"/>
        <n v="5765.309352"/>
        <n v="5745.0781937"/>
        <n v="5713.8801352"/>
        <n v="5691.8488617"/>
        <n v="5690.46132"/>
        <n v="5675.913073"/>
        <n v="5673.3453018"/>
        <n v="5667.0684378"/>
        <n v="5628.2993202"/>
        <n v="5628.2410938"/>
        <n v="5608.2144383"/>
        <n v="5572.58725"/>
        <n v="5564.7466552"/>
        <n v="5560.9778371"/>
        <n v="5544.673416"/>
        <n v="5535.95694"/>
        <n v="5531.32944"/>
        <n v="5488.233244"/>
        <n v="5479.8563501"/>
        <n v="5470.7231383"/>
        <n v="5445.3753189"/>
        <n v="5435.94645"/>
        <n v="5380.877134"/>
        <n v="5370.9854337"/>
        <n v="5351.9022815"/>
        <n v="5342.2217485"/>
        <n v="5326.7661886"/>
        <n v="5308.3718501"/>
        <n v="5304.5612242"/>
        <n v="5302.264444"/>
        <n v="5251.3504289"/>
        <n v="5225.8662664"/>
        <n v="5173.6396949"/>
        <n v="5173.6191596"/>
        <n v="5087.9411091"/>
        <n v="5077.2823128"/>
        <n v="5075.887829"/>
        <n v="5037.5397141"/>
        <n v="5017.627"/>
        <n v="5002.6694946"/>
        <n v="4999.1450893"/>
        <n v="4995.9455792"/>
        <n v="4988.55717"/>
        <n v="4969.7585286"/>
        <n v="4954.82238"/>
        <n v="4954.0960075"/>
        <n v="4917.5338784"/>
        <n v="4900.35472"/>
        <n v="4899.8141497"/>
        <n v="4893.7936786"/>
        <n v="4816.074155"/>
        <n v="4802.2454368"/>
        <n v="4791.1401452"/>
        <n v="4745.3108715"/>
        <n v="4736.1852749"/>
        <n v="4734.9506104"/>
        <n v="4722.9497877"/>
        <n v="4701.5156922"/>
        <n v="4696.8430329"/>
        <n v="4687.9640632"/>
        <n v="4676.1389589"/>
        <n v="4671.3953011"/>
        <n v="4642.4751289"/>
        <n v="4628.2050158"/>
        <n v="4603.1791201"/>
        <n v="4601.1180251"/>
        <n v="4589.1403098"/>
        <n v="4579.0857063"/>
        <n v="4574.5322839"/>
        <n v="4548.69918"/>
        <n v="4540.9516923"/>
        <n v="4527.0540205"/>
      </sharedItems>
    </cacheField>
    <cacheField name="industry2" numFmtId="0">
      <sharedItems containsSemiMixedTypes="0" containsString="0" containsNumber="1" containsInteger="1">
        <n v="20.0"/>
        <n v="36.0"/>
        <n v="123.0"/>
        <n v="14.0"/>
        <n v="44.0"/>
        <n v="27.0"/>
        <n v="47.0"/>
        <n v="22.0"/>
        <n v="62.0"/>
        <n v="110.0"/>
        <n v="17.0"/>
        <n v="37.0"/>
        <n v="42.0"/>
        <n v="52.0"/>
        <n v="13.0"/>
        <n v="5.0"/>
        <n v="9.0"/>
        <n v="3.0"/>
      </sharedItems>
    </cacheField>
    <cacheField name="group3" numFmtId="0">
      <sharedItems containsSemiMixedTypes="0" containsString="0" containsNumber="1" containsInteger="1">
        <n v="8.0"/>
        <n v="27.0"/>
        <n v="35.0"/>
        <n v="11.0"/>
        <n v="10.0"/>
        <n v="3.0"/>
        <n v="56.0"/>
        <n v="22.0"/>
        <n v="45.0"/>
        <n v="1.0"/>
        <n v="2.0"/>
        <n v="17.0"/>
        <n v="4.0"/>
        <n v="18.0"/>
        <n v="42.0"/>
        <n v="5.0"/>
        <n v="20.0"/>
        <n v="12.0"/>
        <n v="37.0"/>
        <n v="7.0"/>
        <n v="51.0"/>
        <n v="14.0"/>
        <n v="16.0"/>
        <n v="19.0"/>
        <n v="21.0"/>
        <n v="15.0"/>
        <n v="13.0"/>
      </sharedItems>
    </cacheField>
    <cacheField name="subgroup2" numFmtId="0">
      <sharedItems containsSemiMixedTypes="0" containsString="0" containsNumber="1" containsInteger="1">
        <n v="6.0"/>
        <n v="22.0"/>
        <n v="23.0"/>
        <n v="5.0"/>
        <n v="12.0"/>
        <n v="3.0"/>
        <n v="27.0"/>
        <n v="21.0"/>
        <n v="13.0"/>
        <n v="45.0"/>
        <n v="1.0"/>
        <n v="11.0"/>
        <n v="2.0"/>
        <n v="17.0"/>
        <n v="4.0"/>
        <n v="7.0"/>
        <n v="8.0"/>
        <n v="20.0"/>
        <n v="25.0"/>
        <n v="32.0"/>
        <n v="9.0"/>
      </sharedItems>
    </cacheField>
    <cacheField name="New Sectore" numFmtId="0">
      <sharedItems>
        <s v="Oil, Gas &amp; Consumable, Fuels"/>
        <s v="Information Technology"/>
        <s v="Banks"/>
        <s v="Telecommunication"/>
        <s v="Financial Services"/>
        <s v="Fast Moving Consumer Goods"/>
        <s v="Construction"/>
        <s v="Non Banking Financial Company (NBFC)"/>
        <s v="Automobile and Auto Components"/>
        <s v="Power"/>
        <s v="Healthcare"/>
        <s v="Metals &amp; Mining"/>
        <s v="Capital Goods"/>
        <s v="Construction Materials"/>
        <s v="Services"/>
        <s v="Retailing"/>
        <s v="Consumer Durables"/>
        <s v="Electrical Equipment"/>
        <s v="Finance"/>
        <s v="Realty"/>
        <s v="Chemicals"/>
        <s v="Industrial Products"/>
        <s v="Healthcare Services"/>
        <s v="Leisure Services"/>
        <s v="Capital Markets"/>
        <s v="Industrial Manufacturing"/>
        <s v="Fertilizers &amp; Agrochemicals"/>
        <s v="Textiles"/>
        <s v="Diversified"/>
        <s v="Media, Entertainment &amp; Publication"/>
        <s v="Forest Materials"/>
        <s v="Utilities"/>
        <s v="Consumer Services"/>
      </sharedItems>
    </cacheField>
    <cacheField name="Final Sectore" numFmtId="0">
      <sharedItems>
        <s v="Oil, Gas &amp; Consumable, Fuels"/>
        <s v="Information Technology"/>
        <s v="Banks"/>
        <s v="Telecommunication"/>
        <s v="Financial Services"/>
        <s v="Fast Moving Consumer Goods"/>
        <s v="Construction"/>
        <s v="Non Banking Financial Company (NBFC)"/>
        <s v="Automobile and Auto Components"/>
        <s v="Power"/>
        <s v="Healthcare"/>
        <s v="Metals &amp; Mining"/>
        <s v="Capital Goods"/>
        <s v="Construction Materials"/>
        <s v="Services"/>
        <s v="Retailing"/>
        <s v="Consumer Durables"/>
        <s v="Electrical Equipment"/>
        <s v="Finance"/>
        <s v="Realty"/>
        <s v="Chemicals"/>
        <s v="Industrial Products"/>
        <s v="Healthcare Services"/>
        <s v="Leisure Services"/>
        <s v="Capital Markets"/>
        <s v="Industrial Manufacturing"/>
        <s v="Fertilizers &amp; Agrochemicals"/>
        <s v="Textiles"/>
        <s v="Misc."/>
        <s v="Media, Entertainment &amp; Publication"/>
      </sharedItems>
    </cacheField>
    <cacheField name="No of Group" numFmtId="0">
      <sharedItems containsSemiMixedTypes="0" containsString="0" containsNumber="1" containsInteger="1">
        <n v="4.0"/>
        <n v="3.0"/>
        <n v="5.0"/>
        <n v="2.0"/>
        <n v="7.0"/>
        <n v="1.0"/>
      </sharedItems>
    </cacheField>
    <cacheField name=" " numFmtId="10">
      <sharedItems containsSemiMixedTypes="0" containsString="0" containsNumber="1">
        <n v="0.30000000000000004"/>
        <n v="0.125"/>
        <n v="0.06097560975609756"/>
        <n v="0.21428571428571427"/>
        <n v="0.23863636363636365"/>
        <n v="0.05555555555555555"/>
        <n v="0.06382978723404255"/>
        <n v="0.06818181818181818"/>
        <n v="0.07258064516129031"/>
        <n v="0.375"/>
        <n v="0.08823529411764705"/>
        <n v="0.16666666666666666"/>
        <n v="0.12162162162162163"/>
        <n v="0.03571428571428571"/>
        <n v="0.07500000000000001"/>
        <n v="0.057692307692307696"/>
        <n v="0.11538461538461539"/>
        <n v="0.3333333333333333"/>
        <n v="0.5"/>
      </sharedItems>
    </cacheField>
    <cacheField name=" 2" numFmtId="10">
      <sharedItems containsSemiMixedTypes="0" containsString="0" containsNumber="1">
        <n v="0.4"/>
        <n v="0.75"/>
        <n v="0.2845528455284553"/>
        <n v="0.7857142857142857"/>
        <n v="0.08130081300813008"/>
        <n v="0.06818181818181818"/>
        <n v="1.0"/>
        <n v="0.45528455284552843"/>
        <n v="0.2127659574468085"/>
        <n v="0.7258064516129032"/>
        <n v="0.05"/>
        <n v="0.1"/>
        <n v="0.14814814814814814"/>
        <n v="0.4864864864864865"/>
        <n v="0.2"/>
        <n v="0.25"/>
        <n v="0.5"/>
        <n v="0.11363636363636363"/>
        <n v="0.4444444444444444"/>
        <n v="0.7115384615384616"/>
        <n v="0.7872340425531915"/>
        <n v="0.1590909090909091"/>
        <n v="0.4636363636363636"/>
        <n v="0.3181818181818182"/>
        <n v="0.25806451612903225"/>
        <n v="0.15447154471544716"/>
        <n v="0.19090909090909092"/>
        <n v="0.045454545454545456"/>
        <n v="0.28846153846153844"/>
        <n v="0.024390243902439025"/>
        <n v="0.2222222222222222"/>
        <n v="0.8888888888888888"/>
        <n v="0.21428571428571427"/>
        <n v="0.016129032258064516"/>
        <n v="0.4074074074074074"/>
        <n v="0.027777777777777776"/>
        <n v="0.02702702702702703"/>
        <n v="0.1111111111111111"/>
      </sharedItems>
    </cacheField>
    <cacheField name=" 3" numFmtId="10">
      <sharedItems containsSemiMixedTypes="0" containsString="0" containsNumber="1">
        <n v="0.75"/>
        <n v="0.8148148148148148"/>
        <n v="0.6571428571428571"/>
        <n v="0.45454545454545453"/>
        <n v="0.34285714285714286"/>
        <n v="0.5"/>
        <n v="1.0"/>
        <n v="0.375"/>
        <n v="0.6"/>
        <n v="0.5909090909090909"/>
        <n v="0.045454545454545456"/>
        <n v="0.2222222222222222"/>
        <n v="0.16666666666666666"/>
        <n v="0.25"/>
        <n v="0.11904761904761904"/>
        <n v="0.2727272727272727"/>
        <n v="0.7727272727272727"/>
        <n v="0.4"/>
        <n v="0.14285714285714285"/>
        <n v="0.5454545454545454"/>
        <n v="0.10714285714285714"/>
        <n v="0.7"/>
        <n v="0.2"/>
        <n v="0.3333333333333333"/>
        <n v="0.08333333333333333"/>
        <n v="0.6756756756756757"/>
        <n v="0.8648648648648649"/>
        <n v="0.07142857142857142"/>
        <n v="0.13725490196078433"/>
        <n v="0.36363636363636365"/>
        <n v="0.0784313725490196"/>
        <n v="0.625"/>
        <n v="0.02702702702702703"/>
        <n v="0.8"/>
        <n v="0.6875"/>
        <n v="0.3888888888888889"/>
        <n v="0.21052631578947367"/>
        <n v="0.18518518518518517"/>
        <n v="0.09523809523809523"/>
        <n v="0.2777777777777778"/>
        <n v="0.21428571428571427"/>
        <n v="0.17647058823529413"/>
        <n v="0.5333333333333333"/>
        <n v="0.13513513513513514"/>
        <n v="0.4666666666666667"/>
        <n v="0.8095238095238095"/>
        <n v="0.30952380952380953"/>
        <n v="0.3076923076923077"/>
        <n v="0.16071428571428573"/>
        <n v="0.2549019607843137"/>
        <n v="0.0392156862745098"/>
        <n v="0.3157894736842105"/>
        <n v="0.22727272727272727"/>
        <n v="0.15789473684210525"/>
        <n v="0.125"/>
        <n v="0.017857142857142856"/>
        <n v="0.6153846153846154"/>
        <n v="0.16216216216216217"/>
        <n v="0.1875"/>
        <n v="0.023809523809523808"/>
        <n v="0.05357142857142857"/>
        <n v="0.09803921568627451"/>
        <n v="0.047619047619047616"/>
        <n v="0.10526315789473684"/>
        <n v="0.18181818181818182"/>
        <n v="0.05405405405405406"/>
        <n v="0.35714285714285715"/>
        <n v="0.1"/>
        <n v="0.2857142857142857"/>
        <n v="0.1111111111111111"/>
        <n v="0.6666666666666666"/>
        <n v="0.07692307692307693"/>
        <n v="0.0196078431372549"/>
        <n v="0.05263157894736842"/>
        <n v="0.05555555555555555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 Table 3" cacheId="0" dataCaption="" createdVersion="6" compact="0" compactData="0">
  <location ref="A3:E33" firstHeaderRow="0" firstDataRow="4" firstDataCol="0" rowPageCount="1" colPageCount="1"/>
  <pivotFields>
    <pivotField name="ISIN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BS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Issuer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t="default"/>
      </items>
    </pivotField>
    <pivotField name="NS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Secur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t="default"/>
      </items>
    </pivotField>
    <pivotField name="Status" compact="0" outline="0" multipleItemSelectionAllowed="1" showAll="0">
      <items>
        <item x="0"/>
        <item t="default"/>
      </items>
    </pivotField>
    <pivotField name="Grou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ace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isin no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Instrument" compact="0" outline="0" multipleItemSelectionAllowed="1" showAll="0">
      <items>
        <item x="0"/>
        <item t="default"/>
      </items>
    </pivotField>
    <pivotField name="Sector" axis="axisRow" compact="0" outline="0" multipleItemSelectionAllowed="1" showAll="0" sortType="ascending">
      <items>
        <item sd="0" x="0"/>
        <item x="2"/>
        <item sd="0" x="11"/>
        <item sd="0" x="7"/>
        <item sd="0" x="4"/>
        <item sd="0" x="6"/>
        <item sd="0" x="1"/>
        <item sd="0" x="3"/>
        <item sd="0" x="8"/>
        <item sd="0" x="10"/>
        <item x="5"/>
        <item sd="0" x="9"/>
        <item t="default"/>
      </items>
    </pivotField>
    <pivotField name="Industry" axis="axisRow" compact="0" outline="0" multipleItemSelectionAllowed="1" showAll="0" sortType="ascending">
      <items>
        <item x="8"/>
        <item x="7"/>
        <item sd="0" x="0"/>
        <item sd="0" x="17"/>
        <item sd="0" x="10"/>
        <item sd="0" x="14"/>
        <item sd="0" x="5"/>
        <item x="20"/>
        <item x="9"/>
        <item sd="0" x="13"/>
        <item sd="0" x="1"/>
        <item sd="0" x="2"/>
        <item sd="0" x="16"/>
        <item sd="0" x="11"/>
        <item sd="0" x="4"/>
        <item sd="0" x="15"/>
        <item sd="0" x="18"/>
        <item sd="0" x="3"/>
        <item x="19"/>
        <item x="12"/>
        <item sd="0" x="6"/>
        <item sd="0" x="21"/>
        <item t="default"/>
      </items>
    </pivotField>
    <pivotField name="group2" axis="axisRow" compact="0" outline="0" multipleItemSelectionAllowed="1" showAll="0" sortType="ascending">
      <items>
        <item x="27"/>
        <item sd="0" x="11"/>
        <item x="42"/>
        <item x="10"/>
        <item sd="0" x="28"/>
        <item x="56"/>
        <item sd="0" x="43"/>
        <item x="16"/>
        <item x="12"/>
        <item sd="0" x="0"/>
        <item sd="0" x="47"/>
        <item sd="0" x="36"/>
        <item x="29"/>
        <item x="49"/>
        <item x="17"/>
        <item sd="0" x="44"/>
        <item sd="0" x="54"/>
        <item sd="0" x="13"/>
        <item sd="0" x="38"/>
        <item x="40"/>
        <item sd="0" x="31"/>
        <item sd="0" x="9"/>
        <item sd="0" x="7"/>
        <item x="20"/>
        <item x="48"/>
        <item sd="0" x="25"/>
        <item x="52"/>
        <item x="53"/>
        <item x="50"/>
        <item sd="0" x="39"/>
        <item x="8"/>
        <item sd="0" x="18"/>
        <item x="57"/>
        <item sd="0" x="23"/>
        <item x="34"/>
        <item x="32"/>
        <item sd="0" x="5"/>
        <item x="14"/>
        <item sd="0" x="22"/>
        <item sd="0" x="24"/>
        <item sd="0" x="4"/>
        <item x="21"/>
        <item x="33"/>
        <item sd="0" x="26"/>
        <item x="55"/>
        <item x="1"/>
        <item sd="0" x="45"/>
        <item x="51"/>
        <item x="2"/>
        <item x="35"/>
        <item sd="0" x="46"/>
        <item x="3"/>
        <item sd="0" x="30"/>
        <item x="15"/>
        <item x="19"/>
        <item x="6"/>
        <item x="41"/>
        <item x="37"/>
        <item t="default"/>
      </items>
    </pivotField>
    <pivotField name="Subgroup" axis="axisRow" compact="0" outline="0" multipleItemSelectionAllowed="1" showAll="0" sortType="ascending">
      <items>
        <item x="62"/>
        <item x="102"/>
        <item x="151"/>
        <item x="52"/>
        <item x="87"/>
        <item x="101"/>
        <item x="26"/>
        <item x="22"/>
        <item x="107"/>
        <item x="137"/>
        <item x="123"/>
        <item x="160"/>
        <item x="11"/>
        <item x="124"/>
        <item x="109"/>
        <item x="88"/>
        <item x="92"/>
        <item x="28"/>
        <item x="96"/>
        <item x="15"/>
        <item x="64"/>
        <item x="118"/>
        <item x="63"/>
        <item x="131"/>
        <item x="98"/>
        <item x="3"/>
        <item x="65"/>
        <item x="93"/>
        <item x="41"/>
        <item x="99"/>
        <item x="121"/>
        <item x="21"/>
        <item x="38"/>
        <item x="48"/>
        <item x="120"/>
        <item x="169"/>
        <item x="129"/>
        <item x="172"/>
        <item x="112"/>
        <item x="85"/>
        <item x="143"/>
        <item x="157"/>
        <item x="16"/>
        <item x="80"/>
        <item x="94"/>
        <item x="29"/>
        <item x="135"/>
        <item x="105"/>
        <item x="46"/>
        <item x="51"/>
        <item x="79"/>
        <item x="126"/>
        <item x="166"/>
        <item x="50"/>
        <item x="130"/>
        <item x="8"/>
        <item x="82"/>
        <item x="153"/>
        <item x="170"/>
        <item x="122"/>
        <item x="179"/>
        <item x="58"/>
        <item x="152"/>
        <item x="69"/>
        <item x="59"/>
        <item x="145"/>
        <item x="60"/>
        <item x="167"/>
        <item x="155"/>
        <item x="159"/>
        <item x="132"/>
        <item x="147"/>
        <item x="133"/>
        <item x="91"/>
        <item x="39"/>
        <item x="141"/>
        <item x="6"/>
        <item x="56"/>
        <item x="90"/>
        <item x="114"/>
        <item x="117"/>
        <item x="42"/>
        <item x="44"/>
        <item x="9"/>
        <item x="182"/>
        <item x="180"/>
        <item x="83"/>
        <item x="32"/>
        <item x="10"/>
        <item x="49"/>
        <item x="81"/>
        <item x="149"/>
        <item x="128"/>
        <item x="150"/>
        <item x="164"/>
        <item x="86"/>
        <item x="146"/>
        <item x="144"/>
        <item x="138"/>
        <item x="72"/>
        <item x="156"/>
        <item x="168"/>
        <item x="171"/>
        <item x="31"/>
        <item x="119"/>
        <item x="53"/>
        <item x="43"/>
        <item x="33"/>
        <item x="110"/>
        <item x="111"/>
        <item x="20"/>
        <item x="78"/>
        <item x="178"/>
        <item x="89"/>
        <item x="40"/>
        <item x="68"/>
        <item x="73"/>
        <item x="34"/>
        <item x="7"/>
        <item x="173"/>
        <item x="106"/>
        <item x="30"/>
        <item x="61"/>
        <item x="1"/>
        <item x="57"/>
        <item x="113"/>
        <item x="25"/>
        <item x="23"/>
        <item x="2"/>
        <item x="136"/>
        <item x="14"/>
        <item x="54"/>
        <item x="47"/>
        <item x="77"/>
        <item x="116"/>
        <item x="183"/>
        <item x="184"/>
        <item x="84"/>
        <item x="181"/>
        <item x="5"/>
        <item x="18"/>
        <item x="115"/>
        <item x="24"/>
        <item x="162"/>
        <item x="163"/>
        <item x="177"/>
        <item x="165"/>
        <item x="127"/>
        <item x="140"/>
        <item x="4"/>
        <item x="70"/>
        <item x="95"/>
        <item x="148"/>
        <item x="55"/>
        <item x="75"/>
        <item x="76"/>
        <item x="154"/>
        <item x="100"/>
        <item x="74"/>
        <item x="66"/>
        <item x="0"/>
        <item x="17"/>
        <item x="139"/>
        <item x="103"/>
        <item x="13"/>
        <item x="36"/>
        <item x="27"/>
        <item x="19"/>
        <item x="134"/>
        <item x="45"/>
        <item x="161"/>
        <item x="185"/>
        <item x="67"/>
        <item x="142"/>
        <item x="104"/>
        <item x="35"/>
        <item x="108"/>
        <item x="97"/>
        <item x="175"/>
        <item x="125"/>
        <item x="71"/>
        <item x="37"/>
        <item x="158"/>
        <item x="176"/>
        <item x="174"/>
        <item x="12"/>
        <item t="default"/>
      </items>
    </pivotField>
    <pivotField name="M Cap" axis="axisPag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t="default"/>
      </items>
    </pivotField>
    <pivotField name="Final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>
    <field x="10"/>
    <field x="11"/>
    <field x="12"/>
    <field x="13"/>
  </rowFields>
  <pageFields>
    <pageField fld="14"/>
  </pageFields>
  <dataFields>
    <dataField name="COUNTA of Issuer Name" fld="2" subtotal="count" baseField="0"/>
  </dataFields>
  <filters>
    <filter fld="14" type="captionGreaterThanOrEqual" evalOrder="-1" id="1" stringValue1="5000">
      <autoFilter ref="A1">
        <filterColumn colId="0">
          <customFilters>
            <customFilter operator="greaterThanOrEqual" val="500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Pivot Table 1" cacheId="1" dataCaption="" createdVersion="6" compact="0" compactData="0">
  <location ref="A3:B65" firstHeaderRow="0" firstDataRow="1" firstDataCol="0" rowPageCount="1" colPageCount="1"/>
  <pivotFields>
    <pivotField name="BS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Issuer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t="default"/>
      </items>
    </pivotField>
    <pivotField name="NS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Secur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t="default"/>
      </items>
    </pivotField>
    <pivotField name="Status" compact="0" outline="0" multipleItemSelectionAllowed="1" showAll="0">
      <items>
        <item x="0"/>
        <item t="default"/>
      </items>
    </pivotField>
    <pivotField name="Grou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ace 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ISIN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t="default"/>
      </items>
    </pivotField>
    <pivotField name="Instrument" compact="0" outline="0" multipleItemSelectionAllowed="1" showAll="0">
      <items>
        <item x="0"/>
        <item t="default"/>
      </items>
    </pivotField>
    <pivotField name="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Indus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roup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name="Subgrou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M Cap" axis="axisPag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t="default"/>
      </items>
    </pivotField>
    <pivotField name="Final Secto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4"/>
  </rowFields>
  <pageFields>
    <pageField fld="13"/>
  </pageFields>
  <dataFields>
    <dataField name="COUNTA of Issuer Name" fld="1" subtotal="count" baseField="0"/>
  </dataFields>
  <filters>
    <filter fld="13" type="captionGreaterThanOrEqual" evalOrder="-1" id="1" stringValue1="4500">
      <autoFilter ref="A1">
        <filterColumn colId="0">
          <customFilters>
            <customFilter operator="greaterThanOrEqual" val="4500"/>
          </customFilters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 Table 2" cacheId="2" dataCaption="" compact="0" compactData="0">
  <location ref="A1:B32" firstHeaderRow="0" firstDataRow="1" firstDataCol="0"/>
  <pivotFields>
    <pivotField name="BS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t="default"/>
      </items>
    </pivotField>
    <pivotField name="Issuer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t="default"/>
      </items>
    </pivotField>
    <pivotField name="NSE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t="default"/>
      </items>
    </pivotField>
    <pivotField name="Secur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t="default"/>
      </items>
    </pivotField>
    <pivotField name="Status" compact="0" outline="0" multipleItemSelectionAllowed="1" showAll="0">
      <items>
        <item x="0"/>
        <item t="default"/>
      </items>
    </pivotField>
    <pivotField name="Group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Face Valu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SIN 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t="default"/>
      </items>
    </pivotField>
    <pivotField name="Instrument" compact="0" outline="0" multipleItemSelectionAllowed="1" showAll="0">
      <items>
        <item x="0"/>
        <item t="default"/>
      </items>
    </pivotField>
    <pivotField name="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Indus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roup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ubgrou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name="M Ca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t="default"/>
      </items>
    </pivotField>
    <pivotField name="industry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group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ubgroup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New Sect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Final Sector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o of Group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 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 2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 3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>
    <field x="18"/>
  </rowFields>
  <dataFields>
    <dataField name="COUNTA of Issuer Name" fld="1" subtotal="count" baseField="0"/>
  </dataFields>
</pivotTableDefinition>
</file>

<file path=xl/tables/table1.xml><?xml version="1.0" encoding="utf-8"?>
<table xmlns="http://schemas.openxmlformats.org/spreadsheetml/2006/main" headerRowCount="0" ref="A1:P31" displayName="Table_1" name="Table_1" id="1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Detail45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25"/>
    <col customWidth="1" min="3" max="3" width="32.63"/>
    <col customWidth="1" min="5" max="5" width="56.25"/>
    <col customWidth="1" min="6" max="6" width="6.13"/>
    <col customWidth="1" min="7" max="7" width="6.0"/>
    <col customWidth="1" min="9" max="9" width="13.25"/>
    <col customWidth="1" min="10" max="10" width="10.75"/>
    <col customWidth="1" min="11" max="12" width="18.25"/>
    <col customWidth="1" min="16" max="16" width="37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/>
    </row>
    <row r="2">
      <c r="A2" s="3" t="s">
        <v>15</v>
      </c>
      <c r="B2" s="4">
        <v>500027.0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>
        <v>10.0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5">
        <v>19156.8292062</v>
      </c>
      <c r="P2" s="6" t="str">
        <f t="shared" ref="P2:P19" si="1">ifs(COUNTIFs(N:N,N2,O:O,"&gt;4500")&gt;15,N2,COUNTIFs(N:N,N2,O:O,"&gt;4500")&lt;=15,M2)</f>
        <v>Specialty Chemicals</v>
      </c>
    </row>
    <row r="3">
      <c r="A3" s="3" t="s">
        <v>27</v>
      </c>
      <c r="B3" s="4">
        <v>500040.0</v>
      </c>
      <c r="C3" s="3" t="s">
        <v>28</v>
      </c>
      <c r="D3" s="3" t="s">
        <v>29</v>
      </c>
      <c r="E3" s="3" t="s">
        <v>30</v>
      </c>
      <c r="F3" s="3" t="s">
        <v>19</v>
      </c>
      <c r="G3" s="3" t="s">
        <v>20</v>
      </c>
      <c r="H3" s="3">
        <v>10.0</v>
      </c>
      <c r="I3" s="3" t="s">
        <v>31</v>
      </c>
      <c r="J3" s="3" t="s">
        <v>22</v>
      </c>
      <c r="K3" s="3" t="s">
        <v>23</v>
      </c>
      <c r="L3" s="3" t="s">
        <v>32</v>
      </c>
      <c r="M3" s="3" t="s">
        <v>33</v>
      </c>
      <c r="N3" s="3" t="s">
        <v>34</v>
      </c>
      <c r="O3" s="5">
        <v>26446.3775297</v>
      </c>
      <c r="P3" s="6" t="str">
        <f t="shared" si="1"/>
        <v>Paper, Forest &amp; Jute Products</v>
      </c>
    </row>
    <row r="4">
      <c r="A4" s="3" t="s">
        <v>35</v>
      </c>
      <c r="B4" s="4">
        <v>500042.0</v>
      </c>
      <c r="C4" s="3" t="s">
        <v>36</v>
      </c>
      <c r="D4" s="3" t="s">
        <v>37</v>
      </c>
      <c r="E4" s="3" t="s">
        <v>38</v>
      </c>
      <c r="F4" s="3" t="s">
        <v>19</v>
      </c>
      <c r="G4" s="3" t="s">
        <v>20</v>
      </c>
      <c r="H4" s="3">
        <v>10.0</v>
      </c>
      <c r="I4" s="3" t="s">
        <v>39</v>
      </c>
      <c r="J4" s="3" t="s">
        <v>22</v>
      </c>
      <c r="K4" s="3" t="s">
        <v>23</v>
      </c>
      <c r="L4" s="3" t="s">
        <v>24</v>
      </c>
      <c r="M4" s="3" t="s">
        <v>25</v>
      </c>
      <c r="N4" s="3" t="s">
        <v>26</v>
      </c>
      <c r="O4" s="5">
        <v>22490.4927783</v>
      </c>
      <c r="P4" s="6" t="str">
        <f t="shared" si="1"/>
        <v>Specialty Chemicals</v>
      </c>
    </row>
    <row r="5" hidden="1">
      <c r="A5" s="3" t="s">
        <v>40</v>
      </c>
      <c r="B5" s="4">
        <v>500009.0</v>
      </c>
      <c r="C5" s="3" t="s">
        <v>41</v>
      </c>
      <c r="D5" s="3" t="s">
        <v>42</v>
      </c>
      <c r="E5" s="3" t="s">
        <v>43</v>
      </c>
      <c r="F5" s="3" t="s">
        <v>19</v>
      </c>
      <c r="G5" s="3" t="s">
        <v>44</v>
      </c>
      <c r="H5" s="3">
        <v>10.0</v>
      </c>
      <c r="I5" s="3" t="s">
        <v>40</v>
      </c>
      <c r="J5" s="3" t="s">
        <v>22</v>
      </c>
      <c r="K5" s="3" t="s">
        <v>45</v>
      </c>
      <c r="L5" s="3" t="s">
        <v>45</v>
      </c>
      <c r="M5" s="3" t="s">
        <v>46</v>
      </c>
      <c r="N5" s="3" t="s">
        <v>47</v>
      </c>
      <c r="O5" s="5">
        <v>362.2650675</v>
      </c>
      <c r="P5" s="6" t="str">
        <f t="shared" si="1"/>
        <v>Pharmaceuticals</v>
      </c>
    </row>
    <row r="6" hidden="1">
      <c r="A6" s="3" t="s">
        <v>48</v>
      </c>
      <c r="B6" s="4">
        <v>500012.0</v>
      </c>
      <c r="C6" s="3" t="s">
        <v>49</v>
      </c>
      <c r="D6" s="3" t="s">
        <v>50</v>
      </c>
      <c r="E6" s="3" t="s">
        <v>51</v>
      </c>
      <c r="F6" s="3" t="s">
        <v>19</v>
      </c>
      <c r="G6" s="3" t="s">
        <v>44</v>
      </c>
      <c r="H6" s="3">
        <v>10.0</v>
      </c>
      <c r="I6" s="3" t="s">
        <v>48</v>
      </c>
      <c r="J6" s="3" t="s">
        <v>22</v>
      </c>
      <c r="K6" s="3" t="s">
        <v>23</v>
      </c>
      <c r="L6" s="3" t="s">
        <v>24</v>
      </c>
      <c r="M6" s="3" t="s">
        <v>25</v>
      </c>
      <c r="N6" s="3" t="s">
        <v>52</v>
      </c>
      <c r="O6" s="5">
        <v>979.73353</v>
      </c>
      <c r="P6" s="6" t="str">
        <f t="shared" si="1"/>
        <v>Chemicals &amp; Petrochemicals</v>
      </c>
    </row>
    <row r="7" hidden="1">
      <c r="A7" s="3" t="s">
        <v>53</v>
      </c>
      <c r="B7" s="4">
        <v>500013.0</v>
      </c>
      <c r="C7" s="3" t="s">
        <v>54</v>
      </c>
      <c r="D7" s="3" t="s">
        <v>55</v>
      </c>
      <c r="E7" s="3" t="s">
        <v>56</v>
      </c>
      <c r="F7" s="3" t="s">
        <v>19</v>
      </c>
      <c r="G7" s="3" t="s">
        <v>57</v>
      </c>
      <c r="H7" s="3">
        <v>5.0</v>
      </c>
      <c r="I7" s="3" t="s">
        <v>53</v>
      </c>
      <c r="J7" s="3" t="s">
        <v>22</v>
      </c>
      <c r="K7" s="3" t="s">
        <v>58</v>
      </c>
      <c r="L7" s="3" t="s">
        <v>59</v>
      </c>
      <c r="M7" s="3" t="s">
        <v>59</v>
      </c>
      <c r="N7" s="3" t="s">
        <v>60</v>
      </c>
      <c r="O7" s="5">
        <v>146.5745809</v>
      </c>
      <c r="P7" s="6" t="str">
        <f t="shared" si="1"/>
        <v>Residential, Commercial Projects</v>
      </c>
    </row>
    <row r="8" hidden="1">
      <c r="A8" s="3" t="s">
        <v>61</v>
      </c>
      <c r="B8" s="4">
        <v>500014.0</v>
      </c>
      <c r="C8" s="3" t="s">
        <v>62</v>
      </c>
      <c r="D8" s="3" t="s">
        <v>63</v>
      </c>
      <c r="E8" s="3" t="s">
        <v>64</v>
      </c>
      <c r="F8" s="3" t="s">
        <v>19</v>
      </c>
      <c r="G8" s="3" t="s">
        <v>44</v>
      </c>
      <c r="H8" s="3">
        <v>10.0</v>
      </c>
      <c r="I8" s="3" t="s">
        <v>61</v>
      </c>
      <c r="J8" s="3" t="s">
        <v>22</v>
      </c>
      <c r="K8" s="3" t="s">
        <v>23</v>
      </c>
      <c r="L8" s="3" t="s">
        <v>65</v>
      </c>
      <c r="M8" s="3" t="s">
        <v>66</v>
      </c>
      <c r="N8" s="3" t="s">
        <v>67</v>
      </c>
      <c r="O8" s="5">
        <v>43.41267</v>
      </c>
      <c r="P8" s="6" t="str">
        <f t="shared" si="1"/>
        <v>Non - Ferrous Metals</v>
      </c>
    </row>
    <row r="9" hidden="1">
      <c r="A9" s="3" t="s">
        <v>68</v>
      </c>
      <c r="B9" s="4">
        <v>500016.0</v>
      </c>
      <c r="C9" s="3" t="s">
        <v>69</v>
      </c>
      <c r="D9" s="3" t="s">
        <v>70</v>
      </c>
      <c r="E9" s="3" t="s">
        <v>71</v>
      </c>
      <c r="F9" s="3" t="s">
        <v>19</v>
      </c>
      <c r="G9" s="3" t="s">
        <v>72</v>
      </c>
      <c r="H9" s="3">
        <v>10.0</v>
      </c>
      <c r="I9" s="3" t="s">
        <v>68</v>
      </c>
      <c r="J9" s="3" t="s">
        <v>22</v>
      </c>
      <c r="K9" s="3" t="s">
        <v>58</v>
      </c>
      <c r="L9" s="3" t="s">
        <v>73</v>
      </c>
      <c r="M9" s="3" t="s">
        <v>74</v>
      </c>
      <c r="N9" s="3" t="s">
        <v>75</v>
      </c>
      <c r="O9" s="5">
        <v>36.0816058</v>
      </c>
      <c r="P9" s="6" t="str">
        <f t="shared" si="1"/>
        <v>Leisure Services</v>
      </c>
    </row>
    <row r="10" hidden="1">
      <c r="A10" s="3" t="s">
        <v>76</v>
      </c>
      <c r="B10" s="4">
        <v>500020.0</v>
      </c>
      <c r="C10" s="3" t="s">
        <v>77</v>
      </c>
      <c r="D10" s="3" t="s">
        <v>78</v>
      </c>
      <c r="E10" s="3" t="s">
        <v>79</v>
      </c>
      <c r="F10" s="3" t="s">
        <v>19</v>
      </c>
      <c r="G10" s="3" t="s">
        <v>20</v>
      </c>
      <c r="H10" s="3">
        <v>2.0</v>
      </c>
      <c r="I10" s="3" t="s">
        <v>76</v>
      </c>
      <c r="J10" s="3" t="s">
        <v>22</v>
      </c>
      <c r="K10" s="3" t="s">
        <v>58</v>
      </c>
      <c r="L10" s="3" t="s">
        <v>80</v>
      </c>
      <c r="M10" s="3" t="s">
        <v>81</v>
      </c>
      <c r="N10" s="3" t="s">
        <v>82</v>
      </c>
      <c r="O10" s="5">
        <v>4409.9143508</v>
      </c>
      <c r="P10" s="6" t="str">
        <f t="shared" si="1"/>
        <v>Textiles &amp; Apparels</v>
      </c>
    </row>
    <row r="11" hidden="1">
      <c r="A11" s="3" t="s">
        <v>83</v>
      </c>
      <c r="B11" s="4">
        <v>500023.0</v>
      </c>
      <c r="C11" s="3" t="s">
        <v>84</v>
      </c>
      <c r="D11" s="3" t="s">
        <v>85</v>
      </c>
      <c r="E11" s="3" t="s">
        <v>84</v>
      </c>
      <c r="F11" s="3" t="s">
        <v>19</v>
      </c>
      <c r="G11" s="3" t="s">
        <v>86</v>
      </c>
      <c r="H11" s="3">
        <v>10.0</v>
      </c>
      <c r="I11" s="3" t="s">
        <v>83</v>
      </c>
      <c r="J11" s="3" t="s">
        <v>22</v>
      </c>
      <c r="K11" s="3" t="s">
        <v>58</v>
      </c>
      <c r="L11" s="3" t="s">
        <v>73</v>
      </c>
      <c r="M11" s="3" t="s">
        <v>74</v>
      </c>
      <c r="N11" s="3" t="s">
        <v>75</v>
      </c>
      <c r="O11" s="5">
        <v>296.2273524</v>
      </c>
      <c r="P11" s="6" t="str">
        <f t="shared" si="1"/>
        <v>Leisure Services</v>
      </c>
    </row>
    <row r="12">
      <c r="A12" s="3" t="s">
        <v>21</v>
      </c>
      <c r="B12" s="4">
        <v>500085.0</v>
      </c>
      <c r="C12" s="3" t="s">
        <v>87</v>
      </c>
      <c r="D12" s="3" t="s">
        <v>88</v>
      </c>
      <c r="E12" s="3" t="s">
        <v>89</v>
      </c>
      <c r="F12" s="3" t="s">
        <v>19</v>
      </c>
      <c r="G12" s="3" t="s">
        <v>20</v>
      </c>
      <c r="H12" s="3">
        <v>10.0</v>
      </c>
      <c r="I12" s="3" t="s">
        <v>90</v>
      </c>
      <c r="J12" s="3" t="s">
        <v>22</v>
      </c>
      <c r="K12" s="3" t="s">
        <v>23</v>
      </c>
      <c r="L12" s="3" t="s">
        <v>24</v>
      </c>
      <c r="M12" s="3" t="s">
        <v>91</v>
      </c>
      <c r="N12" s="3" t="s">
        <v>92</v>
      </c>
      <c r="O12" s="5">
        <v>20122.6366152</v>
      </c>
      <c r="P12" s="6" t="str">
        <f t="shared" si="1"/>
        <v>Fertilizers &amp; Agrochemicals</v>
      </c>
    </row>
    <row r="13" hidden="1">
      <c r="A13" s="3" t="s">
        <v>93</v>
      </c>
      <c r="B13" s="4">
        <v>500028.0</v>
      </c>
      <c r="C13" s="3" t="s">
        <v>94</v>
      </c>
      <c r="D13" s="3" t="s">
        <v>95</v>
      </c>
      <c r="E13" s="3" t="s">
        <v>96</v>
      </c>
      <c r="F13" s="3" t="s">
        <v>19</v>
      </c>
      <c r="G13" s="3" t="s">
        <v>72</v>
      </c>
      <c r="H13" s="3">
        <v>10.0</v>
      </c>
      <c r="I13" s="3" t="s">
        <v>93</v>
      </c>
      <c r="J13" s="3" t="s">
        <v>22</v>
      </c>
      <c r="K13" s="3" t="s">
        <v>97</v>
      </c>
      <c r="L13" s="3" t="s">
        <v>98</v>
      </c>
      <c r="M13" s="3" t="s">
        <v>99</v>
      </c>
      <c r="N13" s="3" t="s">
        <v>100</v>
      </c>
      <c r="O13" s="5">
        <v>151.98702</v>
      </c>
      <c r="P13" s="6" t="str">
        <f t="shared" si="1"/>
        <v>Industrial Products</v>
      </c>
    </row>
    <row r="14">
      <c r="A14" s="3" t="s">
        <v>101</v>
      </c>
      <c r="B14" s="4">
        <v>500113.0</v>
      </c>
      <c r="C14" s="3" t="s">
        <v>102</v>
      </c>
      <c r="D14" s="3" t="s">
        <v>103</v>
      </c>
      <c r="E14" s="3" t="s">
        <v>104</v>
      </c>
      <c r="F14" s="3" t="s">
        <v>19</v>
      </c>
      <c r="G14" s="3" t="s">
        <v>20</v>
      </c>
      <c r="H14" s="3">
        <v>10.0</v>
      </c>
      <c r="I14" s="3" t="s">
        <v>105</v>
      </c>
      <c r="J14" s="3" t="s">
        <v>22</v>
      </c>
      <c r="K14" s="3" t="s">
        <v>23</v>
      </c>
      <c r="L14" s="3" t="s">
        <v>65</v>
      </c>
      <c r="M14" s="3" t="s">
        <v>106</v>
      </c>
      <c r="N14" s="3" t="s">
        <v>107</v>
      </c>
      <c r="O14" s="5">
        <v>60428.1346229</v>
      </c>
      <c r="P14" s="6" t="str">
        <f t="shared" si="1"/>
        <v>Ferrous Metals</v>
      </c>
    </row>
    <row r="15">
      <c r="A15" s="3" t="s">
        <v>108</v>
      </c>
      <c r="B15" s="4">
        <v>500123.0</v>
      </c>
      <c r="C15" s="3" t="s">
        <v>109</v>
      </c>
      <c r="D15" s="3" t="s">
        <v>110</v>
      </c>
      <c r="E15" s="3" t="s">
        <v>111</v>
      </c>
      <c r="F15" s="3" t="s">
        <v>19</v>
      </c>
      <c r="G15" s="3" t="s">
        <v>112</v>
      </c>
      <c r="H15" s="3">
        <v>10.0</v>
      </c>
      <c r="I15" s="3" t="s">
        <v>113</v>
      </c>
      <c r="J15" s="3" t="s">
        <v>22</v>
      </c>
      <c r="K15" s="3" t="s">
        <v>23</v>
      </c>
      <c r="L15" s="3" t="s">
        <v>24</v>
      </c>
      <c r="M15" s="3" t="s">
        <v>25</v>
      </c>
      <c r="N15" s="3" t="s">
        <v>26</v>
      </c>
      <c r="O15" s="5">
        <v>8858.6313611</v>
      </c>
      <c r="P15" s="6" t="str">
        <f t="shared" si="1"/>
        <v>Specialty Chemicals</v>
      </c>
    </row>
    <row r="16">
      <c r="A16" s="3" t="s">
        <v>114</v>
      </c>
      <c r="B16" s="4">
        <v>500125.0</v>
      </c>
      <c r="C16" s="3" t="s">
        <v>115</v>
      </c>
      <c r="D16" s="3" t="s">
        <v>116</v>
      </c>
      <c r="E16" s="3" t="s">
        <v>117</v>
      </c>
      <c r="F16" s="3" t="s">
        <v>19</v>
      </c>
      <c r="G16" s="3" t="s">
        <v>20</v>
      </c>
      <c r="H16" s="3">
        <v>1.0</v>
      </c>
      <c r="I16" s="3" t="s">
        <v>118</v>
      </c>
      <c r="J16" s="3" t="s">
        <v>22</v>
      </c>
      <c r="K16" s="3" t="s">
        <v>23</v>
      </c>
      <c r="L16" s="3" t="s">
        <v>24</v>
      </c>
      <c r="M16" s="3" t="s">
        <v>91</v>
      </c>
      <c r="N16" s="3" t="s">
        <v>92</v>
      </c>
      <c r="O16" s="5">
        <v>13455.4937729</v>
      </c>
      <c r="P16" s="6" t="str">
        <f t="shared" si="1"/>
        <v>Fertilizers &amp; Agrochemicals</v>
      </c>
    </row>
    <row r="17">
      <c r="A17" s="3" t="s">
        <v>119</v>
      </c>
      <c r="B17" s="4">
        <v>500171.0</v>
      </c>
      <c r="C17" s="3" t="s">
        <v>120</v>
      </c>
      <c r="D17" s="3" t="s">
        <v>121</v>
      </c>
      <c r="E17" s="3" t="s">
        <v>122</v>
      </c>
      <c r="F17" s="3" t="s">
        <v>19</v>
      </c>
      <c r="G17" s="3" t="s">
        <v>20</v>
      </c>
      <c r="H17" s="3">
        <v>10.0</v>
      </c>
      <c r="I17" s="3" t="s">
        <v>123</v>
      </c>
      <c r="J17" s="3" t="s">
        <v>22</v>
      </c>
      <c r="K17" s="3" t="s">
        <v>23</v>
      </c>
      <c r="L17" s="3" t="s">
        <v>24</v>
      </c>
      <c r="M17" s="3" t="s">
        <v>25</v>
      </c>
      <c r="N17" s="3" t="s">
        <v>52</v>
      </c>
      <c r="O17" s="5">
        <v>5470.7231383</v>
      </c>
      <c r="P17" s="6" t="str">
        <f t="shared" si="1"/>
        <v>Chemicals &amp; Petrochemicals</v>
      </c>
    </row>
    <row r="18">
      <c r="A18" s="3" t="s">
        <v>124</v>
      </c>
      <c r="B18" s="4">
        <v>500184.0</v>
      </c>
      <c r="C18" s="3" t="s">
        <v>125</v>
      </c>
      <c r="D18" s="3" t="s">
        <v>126</v>
      </c>
      <c r="E18" s="3" t="s">
        <v>127</v>
      </c>
      <c r="F18" s="3" t="s">
        <v>19</v>
      </c>
      <c r="G18" s="3" t="s">
        <v>20</v>
      </c>
      <c r="H18" s="3">
        <v>1.0</v>
      </c>
      <c r="I18" s="3" t="s">
        <v>128</v>
      </c>
      <c r="J18" s="3" t="s">
        <v>22</v>
      </c>
      <c r="K18" s="3" t="s">
        <v>23</v>
      </c>
      <c r="L18" s="3" t="s">
        <v>24</v>
      </c>
      <c r="M18" s="3" t="s">
        <v>25</v>
      </c>
      <c r="N18" s="3" t="s">
        <v>26</v>
      </c>
      <c r="O18" s="5">
        <v>19966.7140875</v>
      </c>
      <c r="P18" s="6" t="str">
        <f t="shared" si="1"/>
        <v>Specialty Chemicals</v>
      </c>
    </row>
    <row r="19" hidden="1">
      <c r="A19" s="3" t="s">
        <v>129</v>
      </c>
      <c r="B19" s="4">
        <v>500039.0</v>
      </c>
      <c r="C19" s="3" t="s">
        <v>130</v>
      </c>
      <c r="D19" s="3" t="s">
        <v>131</v>
      </c>
      <c r="E19" s="3" t="s">
        <v>132</v>
      </c>
      <c r="F19" s="3" t="s">
        <v>19</v>
      </c>
      <c r="G19" s="3" t="s">
        <v>112</v>
      </c>
      <c r="H19" s="3">
        <v>2.0</v>
      </c>
      <c r="I19" s="3" t="s">
        <v>129</v>
      </c>
      <c r="J19" s="3" t="s">
        <v>22</v>
      </c>
      <c r="K19" s="3" t="s">
        <v>58</v>
      </c>
      <c r="L19" s="3" t="s">
        <v>133</v>
      </c>
      <c r="M19" s="3" t="s">
        <v>134</v>
      </c>
      <c r="N19" s="3" t="s">
        <v>135</v>
      </c>
      <c r="O19" s="5">
        <v>4999.1450893</v>
      </c>
      <c r="P19" s="6" t="str">
        <f t="shared" si="1"/>
        <v>Auto Components &amp; Equipments</v>
      </c>
    </row>
    <row r="20">
      <c r="A20" s="3" t="s">
        <v>31</v>
      </c>
      <c r="B20" s="4">
        <v>500188.0</v>
      </c>
      <c r="C20" s="3" t="s">
        <v>136</v>
      </c>
      <c r="D20" s="3" t="s">
        <v>137</v>
      </c>
      <c r="E20" s="3" t="s">
        <v>138</v>
      </c>
      <c r="F20" s="3" t="s">
        <v>19</v>
      </c>
      <c r="G20" s="3" t="s">
        <v>20</v>
      </c>
      <c r="H20" s="3">
        <v>2.0</v>
      </c>
      <c r="I20" s="3" t="s">
        <v>139</v>
      </c>
      <c r="J20" s="3" t="s">
        <v>22</v>
      </c>
      <c r="K20" s="3" t="s">
        <v>23</v>
      </c>
      <c r="L20" s="3" t="s">
        <v>65</v>
      </c>
      <c r="M20" s="3" t="s">
        <v>66</v>
      </c>
      <c r="N20" s="3" t="s">
        <v>140</v>
      </c>
      <c r="O20" s="5">
        <v>282043.7210633</v>
      </c>
      <c r="P20" s="6" t="str">
        <f>ifs(COUNTIFs(N:N,N20,O:O,"&gt;4500")&gt;15,N20,COUNTIFs(M:M,M20,O:O,"&gt;4500")&gt;15,M20,COUNTIFs(L:L,L20,O:O,"&gt;4500")&gt;15,M20,COUNTIFs(L:L,L20,O:O,"&gt;4500")&lt;=15,K20)</f>
        <v>Non - Ferrous Metals</v>
      </c>
    </row>
    <row r="21" hidden="1">
      <c r="A21" s="3" t="s">
        <v>141</v>
      </c>
      <c r="B21" s="4">
        <v>500041.0</v>
      </c>
      <c r="C21" s="3" t="s">
        <v>142</v>
      </c>
      <c r="D21" s="3" t="s">
        <v>143</v>
      </c>
      <c r="E21" s="3" t="s">
        <v>144</v>
      </c>
      <c r="F21" s="3" t="s">
        <v>19</v>
      </c>
      <c r="G21" s="3" t="s">
        <v>112</v>
      </c>
      <c r="H21" s="3">
        <v>10.0</v>
      </c>
      <c r="I21" s="3" t="s">
        <v>141</v>
      </c>
      <c r="J21" s="3" t="s">
        <v>22</v>
      </c>
      <c r="K21" s="3" t="s">
        <v>145</v>
      </c>
      <c r="L21" s="3" t="s">
        <v>145</v>
      </c>
      <c r="M21" s="3" t="s">
        <v>146</v>
      </c>
      <c r="N21" s="3" t="s">
        <v>147</v>
      </c>
      <c r="O21" s="5">
        <v>3965.58036</v>
      </c>
      <c r="P21" s="6" t="str">
        <f t="shared" ref="P21:P4173" si="2">ifs(COUNTIFs(N:N,N21,O:O,"&gt;4500")&gt;15,N21,COUNTIFs(N:N,N21,O:O,"&gt;4500")&lt;=15,M21)</f>
        <v>Agricultural Food &amp; other Products</v>
      </c>
    </row>
    <row r="22">
      <c r="A22" s="3" t="s">
        <v>39</v>
      </c>
      <c r="B22" s="4">
        <v>500228.0</v>
      </c>
      <c r="C22" s="3" t="s">
        <v>148</v>
      </c>
      <c r="D22" s="3" t="s">
        <v>149</v>
      </c>
      <c r="E22" s="3" t="s">
        <v>150</v>
      </c>
      <c r="F22" s="3" t="s">
        <v>19</v>
      </c>
      <c r="G22" s="3" t="s">
        <v>20</v>
      </c>
      <c r="H22" s="3">
        <v>1.0</v>
      </c>
      <c r="I22" s="3" t="s">
        <v>151</v>
      </c>
      <c r="J22" s="3" t="s">
        <v>22</v>
      </c>
      <c r="K22" s="3" t="s">
        <v>23</v>
      </c>
      <c r="L22" s="3" t="s">
        <v>65</v>
      </c>
      <c r="M22" s="3" t="s">
        <v>106</v>
      </c>
      <c r="N22" s="3" t="s">
        <v>107</v>
      </c>
      <c r="O22" s="5">
        <v>226876.0284348</v>
      </c>
      <c r="P22" s="6" t="str">
        <f t="shared" si="2"/>
        <v>Ferrous Metals</v>
      </c>
    </row>
    <row r="23">
      <c r="A23" s="3" t="s">
        <v>152</v>
      </c>
      <c r="B23" s="4">
        <v>500245.0</v>
      </c>
      <c r="C23" s="3" t="s">
        <v>153</v>
      </c>
      <c r="D23" s="3" t="s">
        <v>154</v>
      </c>
      <c r="E23" s="3" t="s">
        <v>155</v>
      </c>
      <c r="F23" s="3" t="s">
        <v>19</v>
      </c>
      <c r="G23" s="3" t="s">
        <v>20</v>
      </c>
      <c r="H23" s="3">
        <v>5.0</v>
      </c>
      <c r="I23" s="3" t="s">
        <v>156</v>
      </c>
      <c r="J23" s="3" t="s">
        <v>22</v>
      </c>
      <c r="K23" s="3" t="s">
        <v>23</v>
      </c>
      <c r="L23" s="3" t="s">
        <v>65</v>
      </c>
      <c r="M23" s="3" t="s">
        <v>106</v>
      </c>
      <c r="N23" s="3" t="s">
        <v>157</v>
      </c>
      <c r="O23" s="5">
        <v>10117.3197487</v>
      </c>
      <c r="P23" s="6" t="str">
        <f t="shared" si="2"/>
        <v>Ferrous Metals</v>
      </c>
    </row>
    <row r="24">
      <c r="A24" s="3" t="s">
        <v>158</v>
      </c>
      <c r="B24" s="4">
        <v>500260.0</v>
      </c>
      <c r="C24" s="3" t="s">
        <v>159</v>
      </c>
      <c r="D24" s="3" t="s">
        <v>160</v>
      </c>
      <c r="E24" s="3" t="s">
        <v>159</v>
      </c>
      <c r="F24" s="3" t="s">
        <v>19</v>
      </c>
      <c r="G24" s="3" t="s">
        <v>20</v>
      </c>
      <c r="H24" s="3">
        <v>1.0</v>
      </c>
      <c r="I24" s="3" t="s">
        <v>161</v>
      </c>
      <c r="J24" s="3" t="s">
        <v>22</v>
      </c>
      <c r="K24" s="3" t="s">
        <v>23</v>
      </c>
      <c r="L24" s="3" t="s">
        <v>162</v>
      </c>
      <c r="M24" s="3" t="s">
        <v>163</v>
      </c>
      <c r="N24" s="3" t="s">
        <v>163</v>
      </c>
      <c r="O24" s="5">
        <v>19426.9092031</v>
      </c>
      <c r="P24" s="6" t="str">
        <f t="shared" si="2"/>
        <v>Cement &amp; Cement Products</v>
      </c>
    </row>
    <row r="25">
      <c r="A25" s="3" t="s">
        <v>164</v>
      </c>
      <c r="B25" s="4">
        <v>500295.0</v>
      </c>
      <c r="C25" s="3" t="s">
        <v>165</v>
      </c>
      <c r="D25" s="3" t="s">
        <v>166</v>
      </c>
      <c r="E25" s="3" t="s">
        <v>165</v>
      </c>
      <c r="F25" s="3" t="s">
        <v>19</v>
      </c>
      <c r="G25" s="3" t="s">
        <v>20</v>
      </c>
      <c r="H25" s="3">
        <v>1.0</v>
      </c>
      <c r="I25" s="3" t="s">
        <v>167</v>
      </c>
      <c r="J25" s="3" t="s">
        <v>22</v>
      </c>
      <c r="K25" s="3" t="s">
        <v>23</v>
      </c>
      <c r="L25" s="3" t="s">
        <v>65</v>
      </c>
      <c r="M25" s="3" t="s">
        <v>168</v>
      </c>
      <c r="N25" s="3" t="s">
        <v>168</v>
      </c>
      <c r="O25" s="5">
        <v>167004.8104</v>
      </c>
      <c r="P25" s="6" t="str">
        <f t="shared" si="2"/>
        <v>Diversified Metals</v>
      </c>
    </row>
    <row r="26" hidden="1">
      <c r="A26" s="3" t="s">
        <v>169</v>
      </c>
      <c r="B26" s="4">
        <v>500052.0</v>
      </c>
      <c r="C26" s="3" t="s">
        <v>170</v>
      </c>
      <c r="D26" s="3" t="s">
        <v>171</v>
      </c>
      <c r="E26" s="3" t="s">
        <v>172</v>
      </c>
      <c r="F26" s="3" t="s">
        <v>19</v>
      </c>
      <c r="G26" s="3" t="s">
        <v>112</v>
      </c>
      <c r="H26" s="3">
        <v>1.0</v>
      </c>
      <c r="I26" s="3" t="s">
        <v>169</v>
      </c>
      <c r="J26" s="3" t="s">
        <v>22</v>
      </c>
      <c r="K26" s="3" t="s">
        <v>23</v>
      </c>
      <c r="L26" s="3" t="s">
        <v>24</v>
      </c>
      <c r="M26" s="3" t="s">
        <v>25</v>
      </c>
      <c r="N26" s="3" t="s">
        <v>26</v>
      </c>
      <c r="O26" s="5">
        <v>3350.93544</v>
      </c>
      <c r="P26" s="6" t="str">
        <f t="shared" si="2"/>
        <v>Specialty Chemicals</v>
      </c>
    </row>
    <row r="27" hidden="1">
      <c r="A27" s="3" t="s">
        <v>173</v>
      </c>
      <c r="B27" s="4">
        <v>500058.0</v>
      </c>
      <c r="C27" s="3" t="s">
        <v>174</v>
      </c>
      <c r="D27" s="3" t="s">
        <v>175</v>
      </c>
      <c r="E27" s="3" t="s">
        <v>176</v>
      </c>
      <c r="F27" s="3" t="s">
        <v>19</v>
      </c>
      <c r="G27" s="3" t="s">
        <v>72</v>
      </c>
      <c r="H27" s="3">
        <v>10.0</v>
      </c>
      <c r="I27" s="3" t="s">
        <v>173</v>
      </c>
      <c r="J27" s="3" t="s">
        <v>22</v>
      </c>
      <c r="K27" s="3" t="s">
        <v>23</v>
      </c>
      <c r="L27" s="3" t="s">
        <v>65</v>
      </c>
      <c r="M27" s="3" t="s">
        <v>106</v>
      </c>
      <c r="N27" s="3" t="s">
        <v>177</v>
      </c>
      <c r="O27" s="5">
        <v>152.31356</v>
      </c>
      <c r="P27" s="6" t="str">
        <f t="shared" si="2"/>
        <v>Ferrous Metals</v>
      </c>
    </row>
    <row r="28" hidden="1">
      <c r="A28" s="3" t="s">
        <v>178</v>
      </c>
      <c r="B28" s="4">
        <v>500059.0</v>
      </c>
      <c r="C28" s="3" t="s">
        <v>179</v>
      </c>
      <c r="D28" s="3" t="s">
        <v>180</v>
      </c>
      <c r="E28" s="3" t="s">
        <v>181</v>
      </c>
      <c r="F28" s="3" t="s">
        <v>19</v>
      </c>
      <c r="G28" s="3" t="s">
        <v>86</v>
      </c>
      <c r="H28" s="3">
        <v>10.0</v>
      </c>
      <c r="I28" s="3" t="s">
        <v>178</v>
      </c>
      <c r="J28" s="3" t="s">
        <v>22</v>
      </c>
      <c r="K28" s="3" t="s">
        <v>58</v>
      </c>
      <c r="L28" s="3" t="s">
        <v>182</v>
      </c>
      <c r="M28" s="3" t="s">
        <v>183</v>
      </c>
      <c r="N28" s="3" t="s">
        <v>184</v>
      </c>
      <c r="O28" s="5">
        <v>49.065088</v>
      </c>
      <c r="P28" s="6" t="str">
        <f t="shared" si="2"/>
        <v>Media</v>
      </c>
    </row>
    <row r="29" hidden="1">
      <c r="A29" s="3" t="s">
        <v>185</v>
      </c>
      <c r="B29" s="4">
        <v>500060.0</v>
      </c>
      <c r="C29" s="3" t="s">
        <v>186</v>
      </c>
      <c r="D29" s="3" t="s">
        <v>187</v>
      </c>
      <c r="E29" s="3" t="s">
        <v>188</v>
      </c>
      <c r="F29" s="3" t="s">
        <v>19</v>
      </c>
      <c r="G29" s="3" t="s">
        <v>112</v>
      </c>
      <c r="H29" s="3">
        <v>10.0</v>
      </c>
      <c r="I29" s="3" t="s">
        <v>185</v>
      </c>
      <c r="J29" s="3" t="s">
        <v>22</v>
      </c>
      <c r="K29" s="3" t="s">
        <v>189</v>
      </c>
      <c r="L29" s="3" t="s">
        <v>189</v>
      </c>
      <c r="M29" s="3" t="s">
        <v>190</v>
      </c>
      <c r="N29" s="3" t="s">
        <v>190</v>
      </c>
      <c r="O29" s="5">
        <v>743.271322</v>
      </c>
      <c r="P29" s="6" t="str">
        <f t="shared" si="2"/>
        <v>Telecom - Equipment &amp; Accessories</v>
      </c>
    </row>
    <row r="30">
      <c r="A30" s="3" t="s">
        <v>191</v>
      </c>
      <c r="B30" s="4">
        <v>500300.0</v>
      </c>
      <c r="C30" s="3" t="s">
        <v>192</v>
      </c>
      <c r="D30" s="3" t="s">
        <v>193</v>
      </c>
      <c r="E30" s="3" t="s">
        <v>194</v>
      </c>
      <c r="F30" s="3" t="s">
        <v>19</v>
      </c>
      <c r="G30" s="3" t="s">
        <v>20</v>
      </c>
      <c r="H30" s="3">
        <v>2.0</v>
      </c>
      <c r="I30" s="3" t="s">
        <v>195</v>
      </c>
      <c r="J30" s="3" t="s">
        <v>22</v>
      </c>
      <c r="K30" s="3" t="s">
        <v>23</v>
      </c>
      <c r="L30" s="3" t="s">
        <v>162</v>
      </c>
      <c r="M30" s="3" t="s">
        <v>163</v>
      </c>
      <c r="N30" s="3" t="s">
        <v>163</v>
      </c>
      <c r="O30" s="5">
        <v>185584.3107632</v>
      </c>
      <c r="P30" s="6" t="str">
        <f t="shared" si="2"/>
        <v>Cement &amp; Cement Products</v>
      </c>
    </row>
    <row r="31" hidden="1">
      <c r="A31" s="3" t="s">
        <v>196</v>
      </c>
      <c r="B31" s="4">
        <v>500068.0</v>
      </c>
      <c r="C31" s="3" t="s">
        <v>197</v>
      </c>
      <c r="D31" s="3" t="s">
        <v>198</v>
      </c>
      <c r="E31" s="3" t="s">
        <v>199</v>
      </c>
      <c r="F31" s="3" t="s">
        <v>19</v>
      </c>
      <c r="G31" s="3" t="s">
        <v>112</v>
      </c>
      <c r="H31" s="3">
        <v>10.0</v>
      </c>
      <c r="I31" s="3" t="s">
        <v>196</v>
      </c>
      <c r="J31" s="3" t="s">
        <v>22</v>
      </c>
      <c r="K31" s="3" t="s">
        <v>97</v>
      </c>
      <c r="L31" s="3" t="s">
        <v>98</v>
      </c>
      <c r="M31" s="3" t="s">
        <v>99</v>
      </c>
      <c r="N31" s="3" t="s">
        <v>100</v>
      </c>
      <c r="O31" s="5">
        <v>2264.7317606</v>
      </c>
      <c r="P31" s="6" t="str">
        <f t="shared" si="2"/>
        <v>Industrial Products</v>
      </c>
    </row>
    <row r="32" hidden="1">
      <c r="A32" s="3" t="s">
        <v>200</v>
      </c>
      <c r="B32" s="4">
        <v>500069.0</v>
      </c>
      <c r="C32" s="3" t="s">
        <v>201</v>
      </c>
      <c r="D32" s="3" t="s">
        <v>202</v>
      </c>
      <c r="E32" s="3" t="s">
        <v>203</v>
      </c>
      <c r="F32" s="3" t="s">
        <v>19</v>
      </c>
      <c r="G32" s="3" t="s">
        <v>44</v>
      </c>
      <c r="H32" s="3">
        <v>10.0</v>
      </c>
      <c r="I32" s="3" t="s">
        <v>200</v>
      </c>
      <c r="J32" s="3" t="s">
        <v>22</v>
      </c>
      <c r="K32" s="3" t="s">
        <v>204</v>
      </c>
      <c r="L32" s="3" t="s">
        <v>204</v>
      </c>
      <c r="M32" s="3" t="s">
        <v>205</v>
      </c>
      <c r="N32" s="3" t="s">
        <v>206</v>
      </c>
      <c r="O32" s="5">
        <v>398.15</v>
      </c>
      <c r="P32" s="6" t="str">
        <f t="shared" si="2"/>
        <v>Capital Markets</v>
      </c>
    </row>
    <row r="33" hidden="1">
      <c r="A33" s="3" t="s">
        <v>207</v>
      </c>
      <c r="B33" s="4">
        <v>500074.0</v>
      </c>
      <c r="C33" s="3" t="s">
        <v>208</v>
      </c>
      <c r="D33" s="3" t="s">
        <v>209</v>
      </c>
      <c r="E33" s="3" t="s">
        <v>210</v>
      </c>
      <c r="F33" s="3" t="s">
        <v>19</v>
      </c>
      <c r="G33" s="3" t="s">
        <v>112</v>
      </c>
      <c r="H33" s="3">
        <v>10.0</v>
      </c>
      <c r="I33" s="3" t="s">
        <v>207</v>
      </c>
      <c r="J33" s="3" t="s">
        <v>22</v>
      </c>
      <c r="K33" s="3" t="s">
        <v>58</v>
      </c>
      <c r="L33" s="3" t="s">
        <v>211</v>
      </c>
      <c r="M33" s="3" t="s">
        <v>211</v>
      </c>
      <c r="N33" s="3" t="s">
        <v>212</v>
      </c>
      <c r="O33" s="5">
        <v>599.380551</v>
      </c>
      <c r="P33" s="6" t="str">
        <f t="shared" si="2"/>
        <v>Consumer Durables</v>
      </c>
    </row>
    <row r="34" hidden="1">
      <c r="A34" s="3" t="s">
        <v>213</v>
      </c>
      <c r="B34" s="4">
        <v>500078.0</v>
      </c>
      <c r="C34" s="3" t="s">
        <v>214</v>
      </c>
      <c r="D34" s="3" t="s">
        <v>215</v>
      </c>
      <c r="E34" s="3" t="s">
        <v>216</v>
      </c>
      <c r="F34" s="3" t="s">
        <v>19</v>
      </c>
      <c r="G34" s="3" t="s">
        <v>112</v>
      </c>
      <c r="H34" s="3">
        <v>5.0</v>
      </c>
      <c r="I34" s="3" t="s">
        <v>213</v>
      </c>
      <c r="J34" s="3" t="s">
        <v>22</v>
      </c>
      <c r="K34" s="3" t="s">
        <v>23</v>
      </c>
      <c r="L34" s="3" t="s">
        <v>24</v>
      </c>
      <c r="M34" s="3" t="s">
        <v>25</v>
      </c>
      <c r="N34" s="3" t="s">
        <v>26</v>
      </c>
      <c r="O34" s="5">
        <v>1467.3363078</v>
      </c>
      <c r="P34" s="6" t="str">
        <f t="shared" si="2"/>
        <v>Specialty Chemicals</v>
      </c>
    </row>
    <row r="35" hidden="1">
      <c r="A35" s="3" t="s">
        <v>217</v>
      </c>
      <c r="B35" s="4">
        <v>500083.0</v>
      </c>
      <c r="C35" s="3" t="s">
        <v>218</v>
      </c>
      <c r="D35" s="3" t="s">
        <v>219</v>
      </c>
      <c r="E35" s="3" t="s">
        <v>220</v>
      </c>
      <c r="F35" s="3" t="s">
        <v>19</v>
      </c>
      <c r="G35" s="3" t="s">
        <v>112</v>
      </c>
      <c r="H35" s="3">
        <v>1.0</v>
      </c>
      <c r="I35" s="3" t="s">
        <v>217</v>
      </c>
      <c r="J35" s="3" t="s">
        <v>22</v>
      </c>
      <c r="K35" s="3" t="s">
        <v>97</v>
      </c>
      <c r="L35" s="3" t="s">
        <v>98</v>
      </c>
      <c r="M35" s="3" t="s">
        <v>100</v>
      </c>
      <c r="N35" s="3" t="s">
        <v>221</v>
      </c>
      <c r="O35" s="5">
        <v>172.1775324</v>
      </c>
      <c r="P35" s="6" t="str">
        <f t="shared" si="2"/>
        <v>Industrial Products</v>
      </c>
    </row>
    <row r="36">
      <c r="A36" s="3" t="s">
        <v>222</v>
      </c>
      <c r="B36" s="4">
        <v>500331.0</v>
      </c>
      <c r="C36" s="3" t="s">
        <v>223</v>
      </c>
      <c r="D36" s="3" t="s">
        <v>224</v>
      </c>
      <c r="E36" s="3" t="s">
        <v>225</v>
      </c>
      <c r="F36" s="3" t="s">
        <v>19</v>
      </c>
      <c r="G36" s="3" t="s">
        <v>20</v>
      </c>
      <c r="H36" s="3">
        <v>1.0</v>
      </c>
      <c r="I36" s="3" t="s">
        <v>226</v>
      </c>
      <c r="J36" s="3" t="s">
        <v>22</v>
      </c>
      <c r="K36" s="3" t="s">
        <v>23</v>
      </c>
      <c r="L36" s="3" t="s">
        <v>24</v>
      </c>
      <c r="M36" s="3" t="s">
        <v>25</v>
      </c>
      <c r="N36" s="3" t="s">
        <v>26</v>
      </c>
      <c r="O36" s="5">
        <v>160664.6293066</v>
      </c>
      <c r="P36" s="6" t="str">
        <f t="shared" si="2"/>
        <v>Specialty Chemicals</v>
      </c>
    </row>
    <row r="37">
      <c r="A37" s="3" t="s">
        <v>90</v>
      </c>
      <c r="B37" s="4">
        <v>500335.0</v>
      </c>
      <c r="C37" s="3" t="s">
        <v>227</v>
      </c>
      <c r="D37" s="3" t="s">
        <v>228</v>
      </c>
      <c r="E37" s="3" t="s">
        <v>229</v>
      </c>
      <c r="F37" s="3" t="s">
        <v>19</v>
      </c>
      <c r="G37" s="3" t="s">
        <v>20</v>
      </c>
      <c r="H37" s="3">
        <v>10.0</v>
      </c>
      <c r="I37" s="3" t="s">
        <v>230</v>
      </c>
      <c r="J37" s="3" t="s">
        <v>22</v>
      </c>
      <c r="K37" s="3" t="s">
        <v>23</v>
      </c>
      <c r="L37" s="3" t="s">
        <v>162</v>
      </c>
      <c r="M37" s="3" t="s">
        <v>163</v>
      </c>
      <c r="N37" s="3" t="s">
        <v>163</v>
      </c>
      <c r="O37" s="5">
        <v>12436.363016</v>
      </c>
      <c r="P37" s="6" t="str">
        <f t="shared" si="2"/>
        <v>Cement &amp; Cement Products</v>
      </c>
    </row>
    <row r="38">
      <c r="A38" s="3" t="s">
        <v>231</v>
      </c>
      <c r="B38" s="4">
        <v>500338.0</v>
      </c>
      <c r="C38" s="3" t="s">
        <v>232</v>
      </c>
      <c r="D38" s="3" t="s">
        <v>233</v>
      </c>
      <c r="E38" s="3" t="s">
        <v>234</v>
      </c>
      <c r="F38" s="3" t="s">
        <v>19</v>
      </c>
      <c r="G38" s="3" t="s">
        <v>20</v>
      </c>
      <c r="H38" s="3">
        <v>10.0</v>
      </c>
      <c r="I38" s="3" t="s">
        <v>235</v>
      </c>
      <c r="J38" s="3" t="s">
        <v>22</v>
      </c>
      <c r="K38" s="3" t="s">
        <v>23</v>
      </c>
      <c r="L38" s="3" t="s">
        <v>162</v>
      </c>
      <c r="M38" s="3" t="s">
        <v>163</v>
      </c>
      <c r="N38" s="3" t="s">
        <v>163</v>
      </c>
      <c r="O38" s="5">
        <v>8409.1280625</v>
      </c>
      <c r="P38" s="6" t="str">
        <f t="shared" si="2"/>
        <v>Cement &amp; Cement Products</v>
      </c>
    </row>
    <row r="39">
      <c r="A39" s="3" t="s">
        <v>236</v>
      </c>
      <c r="B39" s="4">
        <v>500339.0</v>
      </c>
      <c r="C39" s="3" t="s">
        <v>237</v>
      </c>
      <c r="D39" s="3" t="s">
        <v>238</v>
      </c>
      <c r="E39" s="3" t="s">
        <v>239</v>
      </c>
      <c r="F39" s="3" t="s">
        <v>19</v>
      </c>
      <c r="G39" s="3" t="s">
        <v>20</v>
      </c>
      <c r="H39" s="3">
        <v>2.0</v>
      </c>
      <c r="I39" s="3" t="s">
        <v>240</v>
      </c>
      <c r="J39" s="3" t="s">
        <v>22</v>
      </c>
      <c r="K39" s="3" t="s">
        <v>23</v>
      </c>
      <c r="L39" s="3" t="s">
        <v>24</v>
      </c>
      <c r="M39" s="3" t="s">
        <v>25</v>
      </c>
      <c r="N39" s="3" t="s">
        <v>241</v>
      </c>
      <c r="O39" s="5">
        <v>5479.8563501</v>
      </c>
      <c r="P39" s="6" t="str">
        <f t="shared" si="2"/>
        <v>Chemicals &amp; Petrochemicals</v>
      </c>
    </row>
    <row r="40" hidden="1">
      <c r="A40" s="3" t="s">
        <v>242</v>
      </c>
      <c r="B40" s="4">
        <v>500089.0</v>
      </c>
      <c r="C40" s="3" t="s">
        <v>243</v>
      </c>
      <c r="D40" s="3" t="s">
        <v>244</v>
      </c>
      <c r="E40" s="3" t="s">
        <v>245</v>
      </c>
      <c r="F40" s="3" t="s">
        <v>19</v>
      </c>
      <c r="G40" s="3" t="s">
        <v>112</v>
      </c>
      <c r="H40" s="3">
        <v>10.0</v>
      </c>
      <c r="I40" s="3" t="s">
        <v>242</v>
      </c>
      <c r="J40" s="3" t="s">
        <v>22</v>
      </c>
      <c r="K40" s="3" t="s">
        <v>23</v>
      </c>
      <c r="L40" s="3" t="s">
        <v>24</v>
      </c>
      <c r="M40" s="3" t="s">
        <v>25</v>
      </c>
      <c r="N40" s="3" t="s">
        <v>246</v>
      </c>
      <c r="O40" s="5">
        <v>482.003836</v>
      </c>
      <c r="P40" s="6" t="str">
        <f t="shared" si="2"/>
        <v>Chemicals &amp; Petrochemicals</v>
      </c>
    </row>
    <row r="41">
      <c r="A41" s="3" t="s">
        <v>247</v>
      </c>
      <c r="B41" s="4">
        <v>500355.0</v>
      </c>
      <c r="C41" s="3" t="s">
        <v>248</v>
      </c>
      <c r="D41" s="3" t="s">
        <v>249</v>
      </c>
      <c r="E41" s="3" t="s">
        <v>250</v>
      </c>
      <c r="F41" s="3" t="s">
        <v>19</v>
      </c>
      <c r="G41" s="3" t="s">
        <v>20</v>
      </c>
      <c r="H41" s="3">
        <v>1.0</v>
      </c>
      <c r="I41" s="3" t="s">
        <v>251</v>
      </c>
      <c r="J41" s="3" t="s">
        <v>22</v>
      </c>
      <c r="K41" s="3" t="s">
        <v>23</v>
      </c>
      <c r="L41" s="3" t="s">
        <v>24</v>
      </c>
      <c r="M41" s="3" t="s">
        <v>91</v>
      </c>
      <c r="N41" s="3" t="s">
        <v>252</v>
      </c>
      <c r="O41" s="5">
        <v>6410.5104746</v>
      </c>
      <c r="P41" s="6" t="str">
        <f t="shared" si="2"/>
        <v>Fertilizers &amp; Agrochemicals</v>
      </c>
    </row>
    <row r="42">
      <c r="A42" s="3" t="s">
        <v>253</v>
      </c>
      <c r="B42" s="4">
        <v>500380.0</v>
      </c>
      <c r="C42" s="3" t="s">
        <v>254</v>
      </c>
      <c r="D42" s="3" t="s">
        <v>255</v>
      </c>
      <c r="E42" s="3" t="s">
        <v>256</v>
      </c>
      <c r="F42" s="3" t="s">
        <v>19</v>
      </c>
      <c r="G42" s="3" t="s">
        <v>20</v>
      </c>
      <c r="H42" s="3">
        <v>5.0</v>
      </c>
      <c r="I42" s="3" t="s">
        <v>257</v>
      </c>
      <c r="J42" s="3" t="s">
        <v>22</v>
      </c>
      <c r="K42" s="3" t="s">
        <v>23</v>
      </c>
      <c r="L42" s="3" t="s">
        <v>162</v>
      </c>
      <c r="M42" s="3" t="s">
        <v>163</v>
      </c>
      <c r="N42" s="3" t="s">
        <v>163</v>
      </c>
      <c r="O42" s="5">
        <v>10326.646741</v>
      </c>
      <c r="P42" s="6" t="str">
        <f t="shared" si="2"/>
        <v>Cement &amp; Cement Products</v>
      </c>
    </row>
    <row r="43">
      <c r="A43" s="3" t="s">
        <v>258</v>
      </c>
      <c r="B43" s="4">
        <v>500387.0</v>
      </c>
      <c r="C43" s="3" t="s">
        <v>259</v>
      </c>
      <c r="D43" s="3" t="s">
        <v>260</v>
      </c>
      <c r="E43" s="3" t="s">
        <v>261</v>
      </c>
      <c r="F43" s="3" t="s">
        <v>19</v>
      </c>
      <c r="G43" s="3" t="s">
        <v>20</v>
      </c>
      <c r="H43" s="3">
        <v>10.0</v>
      </c>
      <c r="I43" s="3" t="s">
        <v>262</v>
      </c>
      <c r="J43" s="3" t="s">
        <v>22</v>
      </c>
      <c r="K43" s="3" t="s">
        <v>23</v>
      </c>
      <c r="L43" s="3" t="s">
        <v>162</v>
      </c>
      <c r="M43" s="3" t="s">
        <v>163</v>
      </c>
      <c r="N43" s="3" t="s">
        <v>163</v>
      </c>
      <c r="O43" s="5">
        <v>97575.0602819</v>
      </c>
      <c r="P43" s="6" t="str">
        <f t="shared" si="2"/>
        <v>Cement &amp; Cement Products</v>
      </c>
    </row>
    <row r="44" hidden="1">
      <c r="A44" s="3" t="s">
        <v>263</v>
      </c>
      <c r="B44" s="4">
        <v>500097.0</v>
      </c>
      <c r="C44" s="3" t="s">
        <v>264</v>
      </c>
      <c r="D44" s="3" t="s">
        <v>265</v>
      </c>
      <c r="E44" s="3" t="s">
        <v>264</v>
      </c>
      <c r="F44" s="3" t="s">
        <v>19</v>
      </c>
      <c r="G44" s="3" t="s">
        <v>112</v>
      </c>
      <c r="H44" s="3">
        <v>2.0</v>
      </c>
      <c r="I44" s="3" t="s">
        <v>263</v>
      </c>
      <c r="J44" s="3" t="s">
        <v>22</v>
      </c>
      <c r="K44" s="3" t="s">
        <v>145</v>
      </c>
      <c r="L44" s="3" t="s">
        <v>145</v>
      </c>
      <c r="M44" s="3" t="s">
        <v>146</v>
      </c>
      <c r="N44" s="3" t="s">
        <v>147</v>
      </c>
      <c r="O44" s="5">
        <v>3327.3449337</v>
      </c>
      <c r="P44" s="6" t="str">
        <f t="shared" si="2"/>
        <v>Agricultural Food &amp; other Products</v>
      </c>
    </row>
    <row r="45">
      <c r="A45" s="3" t="s">
        <v>266</v>
      </c>
      <c r="B45" s="4">
        <v>500405.0</v>
      </c>
      <c r="C45" s="3" t="s">
        <v>267</v>
      </c>
      <c r="D45" s="3" t="s">
        <v>268</v>
      </c>
      <c r="E45" s="3" t="s">
        <v>269</v>
      </c>
      <c r="F45" s="3" t="s">
        <v>19</v>
      </c>
      <c r="G45" s="3" t="s">
        <v>20</v>
      </c>
      <c r="H45" s="3">
        <v>2.0</v>
      </c>
      <c r="I45" s="3" t="s">
        <v>270</v>
      </c>
      <c r="J45" s="3" t="s">
        <v>22</v>
      </c>
      <c r="K45" s="3" t="s">
        <v>23</v>
      </c>
      <c r="L45" s="3" t="s">
        <v>24</v>
      </c>
      <c r="M45" s="3" t="s">
        <v>25</v>
      </c>
      <c r="N45" s="3" t="s">
        <v>241</v>
      </c>
      <c r="O45" s="5">
        <v>14581.9601804</v>
      </c>
      <c r="P45" s="6" t="str">
        <f t="shared" si="2"/>
        <v>Chemicals &amp; Petrochemicals</v>
      </c>
    </row>
    <row r="46">
      <c r="A46" s="3" t="s">
        <v>271</v>
      </c>
      <c r="B46" s="4">
        <v>500410.0</v>
      </c>
      <c r="C46" s="3" t="s">
        <v>272</v>
      </c>
      <c r="D46" s="3" t="s">
        <v>273</v>
      </c>
      <c r="E46" s="3" t="s">
        <v>274</v>
      </c>
      <c r="F46" s="3" t="s">
        <v>19</v>
      </c>
      <c r="G46" s="3" t="s">
        <v>20</v>
      </c>
      <c r="H46" s="3">
        <v>10.0</v>
      </c>
      <c r="I46" s="3" t="s">
        <v>275</v>
      </c>
      <c r="J46" s="3" t="s">
        <v>22</v>
      </c>
      <c r="K46" s="3" t="s">
        <v>23</v>
      </c>
      <c r="L46" s="3" t="s">
        <v>162</v>
      </c>
      <c r="M46" s="3" t="s">
        <v>163</v>
      </c>
      <c r="N46" s="3" t="s">
        <v>163</v>
      </c>
      <c r="O46" s="5">
        <v>49602.7464877</v>
      </c>
      <c r="P46" s="6" t="str">
        <f t="shared" si="2"/>
        <v>Cement &amp; Cement Products</v>
      </c>
    </row>
    <row r="47">
      <c r="A47" s="3" t="s">
        <v>276</v>
      </c>
      <c r="B47" s="4">
        <v>500425.0</v>
      </c>
      <c r="C47" s="3" t="s">
        <v>277</v>
      </c>
      <c r="D47" s="3" t="s">
        <v>278</v>
      </c>
      <c r="E47" s="3" t="s">
        <v>279</v>
      </c>
      <c r="F47" s="3" t="s">
        <v>19</v>
      </c>
      <c r="G47" s="3" t="s">
        <v>20</v>
      </c>
      <c r="H47" s="3">
        <v>2.0</v>
      </c>
      <c r="I47" s="3" t="s">
        <v>280</v>
      </c>
      <c r="J47" s="3" t="s">
        <v>22</v>
      </c>
      <c r="K47" s="3" t="s">
        <v>23</v>
      </c>
      <c r="L47" s="3" t="s">
        <v>162</v>
      </c>
      <c r="M47" s="3" t="s">
        <v>163</v>
      </c>
      <c r="N47" s="3" t="s">
        <v>163</v>
      </c>
      <c r="O47" s="5">
        <v>163950.6630596</v>
      </c>
      <c r="P47" s="6" t="str">
        <f t="shared" si="2"/>
        <v>Cement &amp; Cement Products</v>
      </c>
    </row>
    <row r="48">
      <c r="A48" s="3" t="s">
        <v>281</v>
      </c>
      <c r="B48" s="4">
        <v>500440.0</v>
      </c>
      <c r="C48" s="3" t="s">
        <v>282</v>
      </c>
      <c r="D48" s="3" t="s">
        <v>283</v>
      </c>
      <c r="E48" s="3" t="s">
        <v>284</v>
      </c>
      <c r="F48" s="3" t="s">
        <v>19</v>
      </c>
      <c r="G48" s="3" t="s">
        <v>20</v>
      </c>
      <c r="H48" s="3">
        <v>1.0</v>
      </c>
      <c r="I48" s="3" t="s">
        <v>285</v>
      </c>
      <c r="J48" s="3" t="s">
        <v>22</v>
      </c>
      <c r="K48" s="3" t="s">
        <v>23</v>
      </c>
      <c r="L48" s="3" t="s">
        <v>65</v>
      </c>
      <c r="M48" s="3" t="s">
        <v>66</v>
      </c>
      <c r="N48" s="3" t="s">
        <v>286</v>
      </c>
      <c r="O48" s="5">
        <v>154049.6516</v>
      </c>
      <c r="P48" s="6" t="str">
        <f t="shared" si="2"/>
        <v>Non - Ferrous Metals</v>
      </c>
    </row>
    <row r="49" hidden="1">
      <c r="A49" s="3" t="s">
        <v>287</v>
      </c>
      <c r="B49" s="4">
        <v>500108.0</v>
      </c>
      <c r="C49" s="3" t="s">
        <v>288</v>
      </c>
      <c r="D49" s="3" t="s">
        <v>289</v>
      </c>
      <c r="E49" s="3" t="s">
        <v>290</v>
      </c>
      <c r="F49" s="3" t="s">
        <v>19</v>
      </c>
      <c r="G49" s="3" t="s">
        <v>112</v>
      </c>
      <c r="H49" s="3">
        <v>10.0</v>
      </c>
      <c r="I49" s="3" t="s">
        <v>287</v>
      </c>
      <c r="J49" s="3" t="s">
        <v>22</v>
      </c>
      <c r="K49" s="3" t="s">
        <v>189</v>
      </c>
      <c r="L49" s="3" t="s">
        <v>189</v>
      </c>
      <c r="M49" s="3" t="s">
        <v>291</v>
      </c>
      <c r="N49" s="3" t="s">
        <v>292</v>
      </c>
      <c r="O49" s="5">
        <v>2609.0793259</v>
      </c>
      <c r="P49" s="6" t="str">
        <f t="shared" si="2"/>
        <v>Telecom - Services</v>
      </c>
    </row>
    <row r="50">
      <c r="A50" s="3" t="s">
        <v>293</v>
      </c>
      <c r="B50" s="4">
        <v>500470.0</v>
      </c>
      <c r="C50" s="3" t="s">
        <v>294</v>
      </c>
      <c r="D50" s="3" t="s">
        <v>295</v>
      </c>
      <c r="E50" s="3" t="s">
        <v>296</v>
      </c>
      <c r="F50" s="3" t="s">
        <v>19</v>
      </c>
      <c r="G50" s="3" t="s">
        <v>20</v>
      </c>
      <c r="H50" s="3">
        <v>1.0</v>
      </c>
      <c r="I50" s="3" t="s">
        <v>297</v>
      </c>
      <c r="J50" s="3" t="s">
        <v>22</v>
      </c>
      <c r="K50" s="3" t="s">
        <v>23</v>
      </c>
      <c r="L50" s="3" t="s">
        <v>65</v>
      </c>
      <c r="M50" s="3" t="s">
        <v>106</v>
      </c>
      <c r="N50" s="3" t="s">
        <v>107</v>
      </c>
      <c r="O50" s="5">
        <v>218922.9473199</v>
      </c>
      <c r="P50" s="6" t="str">
        <f t="shared" si="2"/>
        <v>Ferrous Metals</v>
      </c>
    </row>
    <row r="51">
      <c r="A51" s="3" t="s">
        <v>298</v>
      </c>
      <c r="B51" s="4">
        <v>500645.0</v>
      </c>
      <c r="C51" s="3" t="s">
        <v>299</v>
      </c>
      <c r="D51" s="3" t="s">
        <v>300</v>
      </c>
      <c r="E51" s="3" t="s">
        <v>301</v>
      </c>
      <c r="F51" s="3" t="s">
        <v>19</v>
      </c>
      <c r="G51" s="3" t="s">
        <v>20</v>
      </c>
      <c r="H51" s="3">
        <v>10.0</v>
      </c>
      <c r="I51" s="3" t="s">
        <v>302</v>
      </c>
      <c r="J51" s="3" t="s">
        <v>22</v>
      </c>
      <c r="K51" s="3" t="s">
        <v>23</v>
      </c>
      <c r="L51" s="3" t="s">
        <v>24</v>
      </c>
      <c r="M51" s="3" t="s">
        <v>25</v>
      </c>
      <c r="N51" s="3" t="s">
        <v>52</v>
      </c>
      <c r="O51" s="5">
        <v>9250.273796</v>
      </c>
      <c r="P51" s="6" t="str">
        <f t="shared" si="2"/>
        <v>Chemicals &amp; Petrochemicals</v>
      </c>
    </row>
    <row r="52">
      <c r="A52" s="3" t="s">
        <v>303</v>
      </c>
      <c r="B52" s="4">
        <v>500670.0</v>
      </c>
      <c r="C52" s="3" t="s">
        <v>304</v>
      </c>
      <c r="D52" s="3" t="s">
        <v>305</v>
      </c>
      <c r="E52" s="3" t="s">
        <v>306</v>
      </c>
      <c r="F52" s="3" t="s">
        <v>19</v>
      </c>
      <c r="G52" s="3" t="s">
        <v>20</v>
      </c>
      <c r="H52" s="3">
        <v>10.0</v>
      </c>
      <c r="I52" s="3" t="s">
        <v>307</v>
      </c>
      <c r="J52" s="3" t="s">
        <v>22</v>
      </c>
      <c r="K52" s="3" t="s">
        <v>23</v>
      </c>
      <c r="L52" s="3" t="s">
        <v>24</v>
      </c>
      <c r="M52" s="3" t="s">
        <v>25</v>
      </c>
      <c r="N52" s="3" t="s">
        <v>52</v>
      </c>
      <c r="O52" s="5">
        <v>10422.8353914</v>
      </c>
      <c r="P52" s="6" t="str">
        <f t="shared" si="2"/>
        <v>Chemicals &amp; Petrochemicals</v>
      </c>
    </row>
    <row r="53">
      <c r="A53" s="3" t="s">
        <v>105</v>
      </c>
      <c r="B53" s="4">
        <v>500690.0</v>
      </c>
      <c r="C53" s="3" t="s">
        <v>308</v>
      </c>
      <c r="D53" s="3" t="s">
        <v>309</v>
      </c>
      <c r="E53" s="3" t="s">
        <v>310</v>
      </c>
      <c r="F53" s="3" t="s">
        <v>19</v>
      </c>
      <c r="G53" s="3" t="s">
        <v>20</v>
      </c>
      <c r="H53" s="3">
        <v>2.0</v>
      </c>
      <c r="I53" s="3" t="s">
        <v>311</v>
      </c>
      <c r="J53" s="3" t="s">
        <v>22</v>
      </c>
      <c r="K53" s="3" t="s">
        <v>23</v>
      </c>
      <c r="L53" s="3" t="s">
        <v>24</v>
      </c>
      <c r="M53" s="3" t="s">
        <v>91</v>
      </c>
      <c r="N53" s="3" t="s">
        <v>92</v>
      </c>
      <c r="O53" s="5">
        <v>9641.7987149</v>
      </c>
      <c r="P53" s="6" t="str">
        <f t="shared" si="2"/>
        <v>Fertilizers &amp; Agrochemicals</v>
      </c>
    </row>
    <row r="54">
      <c r="A54" s="3" t="s">
        <v>312</v>
      </c>
      <c r="B54" s="4">
        <v>500770.0</v>
      </c>
      <c r="C54" s="3" t="s">
        <v>313</v>
      </c>
      <c r="D54" s="3" t="s">
        <v>314</v>
      </c>
      <c r="E54" s="3" t="s">
        <v>315</v>
      </c>
      <c r="F54" s="3" t="s">
        <v>19</v>
      </c>
      <c r="G54" s="3" t="s">
        <v>20</v>
      </c>
      <c r="H54" s="3">
        <v>10.0</v>
      </c>
      <c r="I54" s="3" t="s">
        <v>316</v>
      </c>
      <c r="J54" s="3" t="s">
        <v>22</v>
      </c>
      <c r="K54" s="3" t="s">
        <v>23</v>
      </c>
      <c r="L54" s="3" t="s">
        <v>24</v>
      </c>
      <c r="M54" s="3" t="s">
        <v>25</v>
      </c>
      <c r="N54" s="3" t="s">
        <v>52</v>
      </c>
      <c r="O54" s="5">
        <v>28065.3649345</v>
      </c>
      <c r="P54" s="6" t="str">
        <f t="shared" si="2"/>
        <v>Chemicals &amp; Petrochemicals</v>
      </c>
    </row>
    <row r="55">
      <c r="A55" s="3" t="s">
        <v>317</v>
      </c>
      <c r="B55" s="4">
        <v>502937.0</v>
      </c>
      <c r="C55" s="3" t="s">
        <v>318</v>
      </c>
      <c r="D55" s="3" t="s">
        <v>319</v>
      </c>
      <c r="E55" s="3" t="s">
        <v>320</v>
      </c>
      <c r="F55" s="3" t="s">
        <v>19</v>
      </c>
      <c r="G55" s="3" t="s">
        <v>20</v>
      </c>
      <c r="H55" s="3">
        <v>10.0</v>
      </c>
      <c r="I55" s="3" t="s">
        <v>321</v>
      </c>
      <c r="J55" s="3" t="s">
        <v>22</v>
      </c>
      <c r="K55" s="3" t="s">
        <v>23</v>
      </c>
      <c r="L55" s="3" t="s">
        <v>162</v>
      </c>
      <c r="M55" s="3" t="s">
        <v>163</v>
      </c>
      <c r="N55" s="3" t="s">
        <v>163</v>
      </c>
      <c r="O55" s="5">
        <v>6479.7648587</v>
      </c>
      <c r="P55" s="6" t="str">
        <f t="shared" si="2"/>
        <v>Cement &amp; Cement Products</v>
      </c>
    </row>
    <row r="56" hidden="1">
      <c r="A56" s="3" t="s">
        <v>322</v>
      </c>
      <c r="B56" s="4">
        <v>500117.0</v>
      </c>
      <c r="C56" s="3" t="s">
        <v>323</v>
      </c>
      <c r="D56" s="3" t="s">
        <v>324</v>
      </c>
      <c r="E56" s="3" t="s">
        <v>325</v>
      </c>
      <c r="F56" s="3" t="s">
        <v>19</v>
      </c>
      <c r="G56" s="3" t="s">
        <v>112</v>
      </c>
      <c r="H56" s="3">
        <v>2.0</v>
      </c>
      <c r="I56" s="3" t="s">
        <v>322</v>
      </c>
      <c r="J56" s="3" t="s">
        <v>22</v>
      </c>
      <c r="K56" s="3" t="s">
        <v>23</v>
      </c>
      <c r="L56" s="3" t="s">
        <v>24</v>
      </c>
      <c r="M56" s="3" t="s">
        <v>25</v>
      </c>
      <c r="N56" s="3" t="s">
        <v>241</v>
      </c>
      <c r="O56" s="5">
        <v>1628.9859863</v>
      </c>
      <c r="P56" s="6" t="str">
        <f t="shared" si="2"/>
        <v>Chemicals &amp; Petrochemicals</v>
      </c>
    </row>
    <row r="57" hidden="1">
      <c r="A57" s="3" t="s">
        <v>326</v>
      </c>
      <c r="B57" s="4">
        <v>500119.0</v>
      </c>
      <c r="C57" s="3" t="s">
        <v>327</v>
      </c>
      <c r="D57" s="3" t="s">
        <v>328</v>
      </c>
      <c r="E57" s="3" t="s">
        <v>329</v>
      </c>
      <c r="F57" s="3" t="s">
        <v>19</v>
      </c>
      <c r="G57" s="3" t="s">
        <v>20</v>
      </c>
      <c r="H57" s="3">
        <v>10.0</v>
      </c>
      <c r="I57" s="3" t="s">
        <v>326</v>
      </c>
      <c r="J57" s="3" t="s">
        <v>22</v>
      </c>
      <c r="K57" s="3" t="s">
        <v>145</v>
      </c>
      <c r="L57" s="3" t="s">
        <v>145</v>
      </c>
      <c r="M57" s="3" t="s">
        <v>146</v>
      </c>
      <c r="N57" s="3" t="s">
        <v>147</v>
      </c>
      <c r="O57" s="5">
        <v>1467.149887</v>
      </c>
      <c r="P57" s="6" t="str">
        <f t="shared" si="2"/>
        <v>Agricultural Food &amp; other Products</v>
      </c>
    </row>
    <row r="58" hidden="1">
      <c r="A58" s="3" t="s">
        <v>330</v>
      </c>
      <c r="B58" s="4">
        <v>500120.0</v>
      </c>
      <c r="C58" s="3" t="s">
        <v>331</v>
      </c>
      <c r="D58" s="3" t="s">
        <v>332</v>
      </c>
      <c r="E58" s="3" t="s">
        <v>333</v>
      </c>
      <c r="F58" s="3" t="s">
        <v>19</v>
      </c>
      <c r="G58" s="3" t="s">
        <v>112</v>
      </c>
      <c r="H58" s="3">
        <v>10.0</v>
      </c>
      <c r="I58" s="3" t="s">
        <v>330</v>
      </c>
      <c r="J58" s="3" t="s">
        <v>22</v>
      </c>
      <c r="K58" s="3" t="s">
        <v>23</v>
      </c>
      <c r="L58" s="3" t="s">
        <v>24</v>
      </c>
      <c r="M58" s="3" t="s">
        <v>25</v>
      </c>
      <c r="N58" s="3" t="s">
        <v>26</v>
      </c>
      <c r="O58" s="5">
        <v>630.8043323</v>
      </c>
      <c r="P58" s="6" t="str">
        <f t="shared" si="2"/>
        <v>Specialty Chemicals</v>
      </c>
    </row>
    <row r="59">
      <c r="A59" s="3" t="s">
        <v>113</v>
      </c>
      <c r="B59" s="4">
        <v>503806.0</v>
      </c>
      <c r="C59" s="3" t="s">
        <v>334</v>
      </c>
      <c r="D59" s="3" t="s">
        <v>335</v>
      </c>
      <c r="E59" s="3" t="s">
        <v>336</v>
      </c>
      <c r="F59" s="3" t="s">
        <v>19</v>
      </c>
      <c r="G59" s="3" t="s">
        <v>20</v>
      </c>
      <c r="H59" s="3">
        <v>10.0</v>
      </c>
      <c r="I59" s="3" t="s">
        <v>337</v>
      </c>
      <c r="J59" s="3" t="s">
        <v>22</v>
      </c>
      <c r="K59" s="3" t="s">
        <v>23</v>
      </c>
      <c r="L59" s="3" t="s">
        <v>24</v>
      </c>
      <c r="M59" s="3" t="s">
        <v>25</v>
      </c>
      <c r="N59" s="3" t="s">
        <v>26</v>
      </c>
      <c r="O59" s="5">
        <v>70046.3666717</v>
      </c>
      <c r="P59" s="6" t="str">
        <f t="shared" si="2"/>
        <v>Specialty Chemicals</v>
      </c>
    </row>
    <row r="60">
      <c r="A60" s="3" t="s">
        <v>338</v>
      </c>
      <c r="B60" s="4">
        <v>504614.0</v>
      </c>
      <c r="C60" s="3" t="s">
        <v>339</v>
      </c>
      <c r="D60" s="3" t="s">
        <v>340</v>
      </c>
      <c r="E60" s="3" t="s">
        <v>341</v>
      </c>
      <c r="F60" s="3" t="s">
        <v>19</v>
      </c>
      <c r="G60" s="3" t="s">
        <v>112</v>
      </c>
      <c r="H60" s="3">
        <v>1.0</v>
      </c>
      <c r="I60" s="3" t="s">
        <v>342</v>
      </c>
      <c r="J60" s="3" t="s">
        <v>22</v>
      </c>
      <c r="K60" s="3" t="s">
        <v>23</v>
      </c>
      <c r="L60" s="3" t="s">
        <v>65</v>
      </c>
      <c r="M60" s="3" t="s">
        <v>106</v>
      </c>
      <c r="N60" s="3" t="s">
        <v>107</v>
      </c>
      <c r="O60" s="5">
        <v>8215.1258182</v>
      </c>
      <c r="P60" s="6" t="str">
        <f t="shared" si="2"/>
        <v>Ferrous Metals</v>
      </c>
    </row>
    <row r="61">
      <c r="A61" s="3" t="s">
        <v>118</v>
      </c>
      <c r="B61" s="4">
        <v>506285.0</v>
      </c>
      <c r="C61" s="3" t="s">
        <v>343</v>
      </c>
      <c r="D61" s="3" t="s">
        <v>344</v>
      </c>
      <c r="E61" s="3" t="s">
        <v>345</v>
      </c>
      <c r="F61" s="3" t="s">
        <v>19</v>
      </c>
      <c r="G61" s="3" t="s">
        <v>20</v>
      </c>
      <c r="H61" s="3">
        <v>10.0</v>
      </c>
      <c r="I61" s="3" t="s">
        <v>346</v>
      </c>
      <c r="J61" s="3" t="s">
        <v>22</v>
      </c>
      <c r="K61" s="3" t="s">
        <v>23</v>
      </c>
      <c r="L61" s="3" t="s">
        <v>24</v>
      </c>
      <c r="M61" s="3" t="s">
        <v>91</v>
      </c>
      <c r="N61" s="3" t="s">
        <v>252</v>
      </c>
      <c r="O61" s="5">
        <v>29861.818264</v>
      </c>
      <c r="P61" s="6" t="str">
        <f t="shared" si="2"/>
        <v>Fertilizers &amp; Agrochemicals</v>
      </c>
    </row>
    <row r="62">
      <c r="A62" s="3" t="s">
        <v>347</v>
      </c>
      <c r="B62" s="4">
        <v>506395.0</v>
      </c>
      <c r="C62" s="3" t="s">
        <v>348</v>
      </c>
      <c r="D62" s="3" t="s">
        <v>349</v>
      </c>
      <c r="E62" s="3" t="s">
        <v>350</v>
      </c>
      <c r="F62" s="3" t="s">
        <v>19</v>
      </c>
      <c r="G62" s="3" t="s">
        <v>20</v>
      </c>
      <c r="H62" s="3">
        <v>1.0</v>
      </c>
      <c r="I62" s="3" t="s">
        <v>351</v>
      </c>
      <c r="J62" s="3" t="s">
        <v>22</v>
      </c>
      <c r="K62" s="3" t="s">
        <v>23</v>
      </c>
      <c r="L62" s="3" t="s">
        <v>24</v>
      </c>
      <c r="M62" s="3" t="s">
        <v>91</v>
      </c>
      <c r="N62" s="3" t="s">
        <v>92</v>
      </c>
      <c r="O62" s="5">
        <v>46785.0156</v>
      </c>
      <c r="P62" s="6" t="str">
        <f t="shared" si="2"/>
        <v>Fertilizers &amp; Agrochemicals</v>
      </c>
    </row>
    <row r="63">
      <c r="A63" s="3" t="s">
        <v>352</v>
      </c>
      <c r="B63" s="4">
        <v>506401.0</v>
      </c>
      <c r="C63" s="3" t="s">
        <v>353</v>
      </c>
      <c r="D63" s="3" t="s">
        <v>354</v>
      </c>
      <c r="E63" s="3" t="s">
        <v>355</v>
      </c>
      <c r="F63" s="3" t="s">
        <v>19</v>
      </c>
      <c r="G63" s="3" t="s">
        <v>20</v>
      </c>
      <c r="H63" s="3">
        <v>2.0</v>
      </c>
      <c r="I63" s="3" t="s">
        <v>356</v>
      </c>
      <c r="J63" s="3" t="s">
        <v>22</v>
      </c>
      <c r="K63" s="3" t="s">
        <v>23</v>
      </c>
      <c r="L63" s="3" t="s">
        <v>24</v>
      </c>
      <c r="M63" s="3" t="s">
        <v>25</v>
      </c>
      <c r="N63" s="3" t="s">
        <v>26</v>
      </c>
      <c r="O63" s="5">
        <v>34850.1416458</v>
      </c>
      <c r="P63" s="6" t="str">
        <f t="shared" si="2"/>
        <v>Specialty Chemicals</v>
      </c>
    </row>
    <row r="64">
      <c r="A64" s="3" t="s">
        <v>357</v>
      </c>
      <c r="B64" s="4">
        <v>506590.0</v>
      </c>
      <c r="C64" s="3" t="s">
        <v>358</v>
      </c>
      <c r="D64" s="3" t="s">
        <v>359</v>
      </c>
      <c r="E64" s="3" t="s">
        <v>360</v>
      </c>
      <c r="F64" s="3" t="s">
        <v>19</v>
      </c>
      <c r="G64" s="3" t="s">
        <v>20</v>
      </c>
      <c r="H64" s="3">
        <v>1.0</v>
      </c>
      <c r="I64" s="3" t="s">
        <v>361</v>
      </c>
      <c r="J64" s="3" t="s">
        <v>22</v>
      </c>
      <c r="K64" s="3" t="s">
        <v>23</v>
      </c>
      <c r="L64" s="3" t="s">
        <v>24</v>
      </c>
      <c r="M64" s="3" t="s">
        <v>25</v>
      </c>
      <c r="N64" s="3" t="s">
        <v>362</v>
      </c>
      <c r="O64" s="5">
        <v>9562.010375</v>
      </c>
      <c r="P64" s="6" t="str">
        <f t="shared" si="2"/>
        <v>Chemicals &amp; Petrochemicals</v>
      </c>
    </row>
    <row r="65">
      <c r="A65" s="3" t="s">
        <v>363</v>
      </c>
      <c r="B65" s="4">
        <v>506655.0</v>
      </c>
      <c r="C65" s="3" t="s">
        <v>364</v>
      </c>
      <c r="D65" s="3" t="s">
        <v>365</v>
      </c>
      <c r="E65" s="3" t="s">
        <v>366</v>
      </c>
      <c r="F65" s="3" t="s">
        <v>19</v>
      </c>
      <c r="G65" s="3" t="s">
        <v>20</v>
      </c>
      <c r="H65" s="3">
        <v>2.0</v>
      </c>
      <c r="I65" s="3" t="s">
        <v>367</v>
      </c>
      <c r="J65" s="3" t="s">
        <v>22</v>
      </c>
      <c r="K65" s="3" t="s">
        <v>23</v>
      </c>
      <c r="L65" s="3" t="s">
        <v>24</v>
      </c>
      <c r="M65" s="3" t="s">
        <v>25</v>
      </c>
      <c r="N65" s="3" t="s">
        <v>368</v>
      </c>
      <c r="O65" s="5">
        <v>6554.2739888</v>
      </c>
      <c r="P65" s="6" t="str">
        <f t="shared" si="2"/>
        <v>Chemicals &amp; Petrochemicals</v>
      </c>
    </row>
    <row r="66" hidden="1">
      <c r="A66" s="3" t="s">
        <v>369</v>
      </c>
      <c r="B66" s="4">
        <v>500136.0</v>
      </c>
      <c r="C66" s="3" t="s">
        <v>370</v>
      </c>
      <c r="D66" s="3" t="s">
        <v>371</v>
      </c>
      <c r="E66" s="3" t="s">
        <v>372</v>
      </c>
      <c r="F66" s="3" t="s">
        <v>19</v>
      </c>
      <c r="G66" s="3" t="s">
        <v>112</v>
      </c>
      <c r="H66" s="3">
        <v>5.0</v>
      </c>
      <c r="I66" s="3" t="s">
        <v>369</v>
      </c>
      <c r="J66" s="3" t="s">
        <v>22</v>
      </c>
      <c r="K66" s="3" t="s">
        <v>97</v>
      </c>
      <c r="L66" s="3" t="s">
        <v>98</v>
      </c>
      <c r="M66" s="3" t="s">
        <v>100</v>
      </c>
      <c r="N66" s="3" t="s">
        <v>373</v>
      </c>
      <c r="O66" s="5">
        <v>1165.0372244</v>
      </c>
      <c r="P66" s="6" t="str">
        <f t="shared" si="2"/>
        <v>Industrial Products</v>
      </c>
    </row>
    <row r="67" hidden="1">
      <c r="A67" s="3" t="s">
        <v>374</v>
      </c>
      <c r="B67" s="4">
        <v>500142.0</v>
      </c>
      <c r="C67" s="3" t="s">
        <v>375</v>
      </c>
      <c r="D67" s="3" t="s">
        <v>376</v>
      </c>
      <c r="E67" s="3" t="s">
        <v>377</v>
      </c>
      <c r="F67" s="3" t="s">
        <v>19</v>
      </c>
      <c r="G67" s="3" t="s">
        <v>44</v>
      </c>
      <c r="H67" s="3">
        <v>10.0</v>
      </c>
      <c r="I67" s="3" t="s">
        <v>374</v>
      </c>
      <c r="J67" s="3" t="s">
        <v>22</v>
      </c>
      <c r="K67" s="3" t="s">
        <v>204</v>
      </c>
      <c r="L67" s="3" t="s">
        <v>204</v>
      </c>
      <c r="M67" s="3" t="s">
        <v>378</v>
      </c>
      <c r="N67" s="3" t="s">
        <v>379</v>
      </c>
      <c r="O67" s="5">
        <v>9.5187829</v>
      </c>
      <c r="P67" s="6" t="str">
        <f t="shared" si="2"/>
        <v>Non Banking Financial Company (NBFC)</v>
      </c>
    </row>
    <row r="68" hidden="1">
      <c r="A68" s="3" t="s">
        <v>380</v>
      </c>
      <c r="B68" s="4">
        <v>500143.0</v>
      </c>
      <c r="C68" s="3" t="s">
        <v>381</v>
      </c>
      <c r="D68" s="3" t="s">
        <v>382</v>
      </c>
      <c r="E68" s="3" t="s">
        <v>383</v>
      </c>
      <c r="F68" s="3" t="s">
        <v>19</v>
      </c>
      <c r="G68" s="3" t="s">
        <v>44</v>
      </c>
      <c r="H68" s="3">
        <v>10.0</v>
      </c>
      <c r="I68" s="3" t="s">
        <v>380</v>
      </c>
      <c r="J68" s="3" t="s">
        <v>22</v>
      </c>
      <c r="K68" s="3" t="s">
        <v>204</v>
      </c>
      <c r="L68" s="3" t="s">
        <v>204</v>
      </c>
      <c r="M68" s="3" t="s">
        <v>378</v>
      </c>
      <c r="N68" s="3" t="s">
        <v>384</v>
      </c>
      <c r="O68" s="5">
        <v>69.377216</v>
      </c>
      <c r="P68" s="6" t="str">
        <f t="shared" si="2"/>
        <v>Finance</v>
      </c>
    </row>
    <row r="69">
      <c r="A69" s="3" t="s">
        <v>385</v>
      </c>
      <c r="B69" s="4">
        <v>506767.0</v>
      </c>
      <c r="C69" s="3" t="s">
        <v>386</v>
      </c>
      <c r="D69" s="3" t="s">
        <v>387</v>
      </c>
      <c r="E69" s="3" t="s">
        <v>388</v>
      </c>
      <c r="F69" s="3" t="s">
        <v>19</v>
      </c>
      <c r="G69" s="3" t="s">
        <v>20</v>
      </c>
      <c r="H69" s="3">
        <v>2.0</v>
      </c>
      <c r="I69" s="3" t="s">
        <v>389</v>
      </c>
      <c r="J69" s="3" t="s">
        <v>22</v>
      </c>
      <c r="K69" s="3" t="s">
        <v>23</v>
      </c>
      <c r="L69" s="3" t="s">
        <v>24</v>
      </c>
      <c r="M69" s="3" t="s">
        <v>25</v>
      </c>
      <c r="N69" s="3" t="s">
        <v>26</v>
      </c>
      <c r="O69" s="5">
        <v>10847.0977069</v>
      </c>
      <c r="P69" s="6" t="str">
        <f t="shared" si="2"/>
        <v>Specialty Chemicals</v>
      </c>
    </row>
    <row r="70" hidden="1">
      <c r="A70" s="3" t="s">
        <v>390</v>
      </c>
      <c r="B70" s="4">
        <v>500147.0</v>
      </c>
      <c r="C70" s="3" t="s">
        <v>391</v>
      </c>
      <c r="D70" s="3" t="s">
        <v>392</v>
      </c>
      <c r="E70" s="3" t="s">
        <v>393</v>
      </c>
      <c r="F70" s="3" t="s">
        <v>19</v>
      </c>
      <c r="G70" s="3" t="s">
        <v>112</v>
      </c>
      <c r="H70" s="3">
        <v>10.0</v>
      </c>
      <c r="I70" s="3" t="s">
        <v>390</v>
      </c>
      <c r="J70" s="3" t="s">
        <v>22</v>
      </c>
      <c r="K70" s="3" t="s">
        <v>97</v>
      </c>
      <c r="L70" s="3" t="s">
        <v>98</v>
      </c>
      <c r="M70" s="3" t="s">
        <v>99</v>
      </c>
      <c r="N70" s="3" t="s">
        <v>100</v>
      </c>
      <c r="O70" s="5">
        <v>2961.774</v>
      </c>
      <c r="P70" s="6" t="str">
        <f t="shared" si="2"/>
        <v>Industrial Products</v>
      </c>
    </row>
    <row r="71" hidden="1">
      <c r="A71" s="3" t="s">
        <v>394</v>
      </c>
      <c r="B71" s="4">
        <v>500148.0</v>
      </c>
      <c r="C71" s="3" t="s">
        <v>395</v>
      </c>
      <c r="D71" s="3" t="s">
        <v>396</v>
      </c>
      <c r="E71" s="3" t="s">
        <v>397</v>
      </c>
      <c r="F71" s="3" t="s">
        <v>19</v>
      </c>
      <c r="G71" s="3" t="s">
        <v>20</v>
      </c>
      <c r="H71" s="3">
        <v>10.0</v>
      </c>
      <c r="I71" s="3" t="s">
        <v>394</v>
      </c>
      <c r="J71" s="3" t="s">
        <v>22</v>
      </c>
      <c r="K71" s="3" t="s">
        <v>97</v>
      </c>
      <c r="L71" s="3" t="s">
        <v>98</v>
      </c>
      <c r="M71" s="3" t="s">
        <v>100</v>
      </c>
      <c r="N71" s="3" t="s">
        <v>373</v>
      </c>
      <c r="O71" s="5">
        <v>3941.8503751</v>
      </c>
      <c r="P71" s="6" t="str">
        <f t="shared" si="2"/>
        <v>Industrial Products</v>
      </c>
    </row>
    <row r="72" hidden="1">
      <c r="A72" s="3" t="s">
        <v>398</v>
      </c>
      <c r="B72" s="4">
        <v>500150.0</v>
      </c>
      <c r="C72" s="3" t="s">
        <v>399</v>
      </c>
      <c r="D72" s="3" t="s">
        <v>400</v>
      </c>
      <c r="E72" s="3" t="s">
        <v>401</v>
      </c>
      <c r="F72" s="3" t="s">
        <v>19</v>
      </c>
      <c r="G72" s="3" t="s">
        <v>112</v>
      </c>
      <c r="H72" s="3">
        <v>10.0</v>
      </c>
      <c r="I72" s="3" t="s">
        <v>398</v>
      </c>
      <c r="J72" s="3" t="s">
        <v>22</v>
      </c>
      <c r="K72" s="3" t="s">
        <v>23</v>
      </c>
      <c r="L72" s="3" t="s">
        <v>24</v>
      </c>
      <c r="M72" s="3" t="s">
        <v>25</v>
      </c>
      <c r="N72" s="3" t="s">
        <v>26</v>
      </c>
      <c r="O72" s="5">
        <v>2755.81281</v>
      </c>
      <c r="P72" s="6" t="str">
        <f t="shared" si="2"/>
        <v>Specialty Chemicals</v>
      </c>
    </row>
    <row r="73" hidden="1">
      <c r="A73" s="3" t="s">
        <v>402</v>
      </c>
      <c r="B73" s="4">
        <v>500151.0</v>
      </c>
      <c r="C73" s="3" t="s">
        <v>403</v>
      </c>
      <c r="D73" s="3" t="s">
        <v>404</v>
      </c>
      <c r="E73" s="3" t="s">
        <v>405</v>
      </c>
      <c r="F73" s="3" t="s">
        <v>19</v>
      </c>
      <c r="G73" s="3" t="s">
        <v>57</v>
      </c>
      <c r="H73" s="3">
        <v>10.0</v>
      </c>
      <c r="I73" s="3" t="s">
        <v>402</v>
      </c>
      <c r="J73" s="3" t="s">
        <v>22</v>
      </c>
      <c r="K73" s="3" t="s">
        <v>58</v>
      </c>
      <c r="L73" s="3" t="s">
        <v>59</v>
      </c>
      <c r="M73" s="3" t="s">
        <v>59</v>
      </c>
      <c r="N73" s="3" t="s">
        <v>60</v>
      </c>
      <c r="O73" s="5">
        <v>78.2467041</v>
      </c>
      <c r="P73" s="6" t="str">
        <f t="shared" si="2"/>
        <v>Residential, Commercial Projects</v>
      </c>
    </row>
    <row r="74" hidden="1">
      <c r="A74" s="3" t="s">
        <v>406</v>
      </c>
      <c r="B74" s="4">
        <v>500153.0</v>
      </c>
      <c r="C74" s="3" t="s">
        <v>407</v>
      </c>
      <c r="D74" s="3" t="s">
        <v>408</v>
      </c>
      <c r="E74" s="3" t="s">
        <v>409</v>
      </c>
      <c r="F74" s="3" t="s">
        <v>19</v>
      </c>
      <c r="G74" s="3" t="s">
        <v>112</v>
      </c>
      <c r="H74" s="3">
        <v>1.0</v>
      </c>
      <c r="I74" s="3" t="s">
        <v>406</v>
      </c>
      <c r="J74" s="3" t="s">
        <v>22</v>
      </c>
      <c r="K74" s="3" t="s">
        <v>410</v>
      </c>
      <c r="L74" s="3" t="s">
        <v>411</v>
      </c>
      <c r="M74" s="3" t="s">
        <v>412</v>
      </c>
      <c r="N74" s="3" t="s">
        <v>413</v>
      </c>
      <c r="O74" s="5">
        <v>1072.2844072</v>
      </c>
      <c r="P74" s="6" t="str">
        <f t="shared" si="2"/>
        <v>Oil</v>
      </c>
    </row>
    <row r="75">
      <c r="A75" s="3" t="s">
        <v>414</v>
      </c>
      <c r="B75" s="4">
        <v>507717.0</v>
      </c>
      <c r="C75" s="3" t="s">
        <v>415</v>
      </c>
      <c r="D75" s="3" t="s">
        <v>416</v>
      </c>
      <c r="E75" s="3" t="s">
        <v>417</v>
      </c>
      <c r="F75" s="3" t="s">
        <v>19</v>
      </c>
      <c r="G75" s="3" t="s">
        <v>112</v>
      </c>
      <c r="H75" s="3">
        <v>2.0</v>
      </c>
      <c r="I75" s="3" t="s">
        <v>418</v>
      </c>
      <c r="J75" s="3" t="s">
        <v>22</v>
      </c>
      <c r="K75" s="3" t="s">
        <v>23</v>
      </c>
      <c r="L75" s="3" t="s">
        <v>24</v>
      </c>
      <c r="M75" s="3" t="s">
        <v>91</v>
      </c>
      <c r="N75" s="3" t="s">
        <v>252</v>
      </c>
      <c r="O75" s="5">
        <v>7617.5087748</v>
      </c>
      <c r="P75" s="6" t="str">
        <f t="shared" si="2"/>
        <v>Fertilizers &amp; Agrochemicals</v>
      </c>
    </row>
    <row r="76" hidden="1">
      <c r="A76" s="3" t="s">
        <v>419</v>
      </c>
      <c r="B76" s="4">
        <v>500160.0</v>
      </c>
      <c r="C76" s="3" t="s">
        <v>420</v>
      </c>
      <c r="D76" s="3" t="s">
        <v>421</v>
      </c>
      <c r="E76" s="3" t="s">
        <v>422</v>
      </c>
      <c r="F76" s="3" t="s">
        <v>19</v>
      </c>
      <c r="G76" s="3" t="s">
        <v>86</v>
      </c>
      <c r="H76" s="3">
        <v>10.0</v>
      </c>
      <c r="I76" s="3" t="s">
        <v>419</v>
      </c>
      <c r="J76" s="3" t="s">
        <v>22</v>
      </c>
      <c r="K76" s="3" t="s">
        <v>189</v>
      </c>
      <c r="L76" s="3" t="s">
        <v>189</v>
      </c>
      <c r="M76" s="3" t="s">
        <v>291</v>
      </c>
      <c r="N76" s="3" t="s">
        <v>423</v>
      </c>
      <c r="O76" s="5">
        <v>212.844698</v>
      </c>
      <c r="P76" s="6" t="str">
        <f t="shared" si="2"/>
        <v>Telecom - Services</v>
      </c>
    </row>
    <row r="77">
      <c r="A77" s="3" t="s">
        <v>424</v>
      </c>
      <c r="B77" s="4">
        <v>512070.0</v>
      </c>
      <c r="C77" s="3" t="s">
        <v>425</v>
      </c>
      <c r="D77" s="3" t="s">
        <v>426</v>
      </c>
      <c r="E77" s="3" t="s">
        <v>425</v>
      </c>
      <c r="F77" s="3" t="s">
        <v>19</v>
      </c>
      <c r="G77" s="3" t="s">
        <v>20</v>
      </c>
      <c r="H77" s="3">
        <v>2.0</v>
      </c>
      <c r="I77" s="3" t="s">
        <v>427</v>
      </c>
      <c r="J77" s="3" t="s">
        <v>22</v>
      </c>
      <c r="K77" s="3" t="s">
        <v>23</v>
      </c>
      <c r="L77" s="3" t="s">
        <v>24</v>
      </c>
      <c r="M77" s="3" t="s">
        <v>91</v>
      </c>
      <c r="N77" s="3" t="s">
        <v>252</v>
      </c>
      <c r="O77" s="5">
        <v>42755.0366801</v>
      </c>
      <c r="P77" s="6" t="str">
        <f t="shared" si="2"/>
        <v>Fertilizers &amp; Agrochemicals</v>
      </c>
    </row>
    <row r="78">
      <c r="A78" s="3" t="s">
        <v>428</v>
      </c>
      <c r="B78" s="4">
        <v>512455.0</v>
      </c>
      <c r="C78" s="3" t="s">
        <v>429</v>
      </c>
      <c r="D78" s="3" t="s">
        <v>430</v>
      </c>
      <c r="E78" s="3" t="s">
        <v>431</v>
      </c>
      <c r="F78" s="3" t="s">
        <v>19</v>
      </c>
      <c r="G78" s="3" t="s">
        <v>20</v>
      </c>
      <c r="H78" s="3">
        <v>1.0</v>
      </c>
      <c r="I78" s="3" t="s">
        <v>432</v>
      </c>
      <c r="J78" s="3" t="s">
        <v>22</v>
      </c>
      <c r="K78" s="3" t="s">
        <v>23</v>
      </c>
      <c r="L78" s="3" t="s">
        <v>65</v>
      </c>
      <c r="M78" s="3" t="s">
        <v>106</v>
      </c>
      <c r="N78" s="3" t="s">
        <v>177</v>
      </c>
      <c r="O78" s="5">
        <v>37084.1208369</v>
      </c>
      <c r="P78" s="6" t="str">
        <f t="shared" si="2"/>
        <v>Ferrous Metals</v>
      </c>
    </row>
    <row r="79">
      <c r="A79" s="3" t="s">
        <v>433</v>
      </c>
      <c r="B79" s="4">
        <v>512599.0</v>
      </c>
      <c r="C79" s="3" t="s">
        <v>434</v>
      </c>
      <c r="D79" s="3" t="s">
        <v>435</v>
      </c>
      <c r="E79" s="3" t="s">
        <v>436</v>
      </c>
      <c r="F79" s="3" t="s">
        <v>19</v>
      </c>
      <c r="G79" s="3" t="s">
        <v>20</v>
      </c>
      <c r="H79" s="3">
        <v>1.0</v>
      </c>
      <c r="I79" s="3" t="s">
        <v>437</v>
      </c>
      <c r="J79" s="3" t="s">
        <v>22</v>
      </c>
      <c r="K79" s="3" t="s">
        <v>23</v>
      </c>
      <c r="L79" s="3" t="s">
        <v>65</v>
      </c>
      <c r="M79" s="3" t="s">
        <v>438</v>
      </c>
      <c r="N79" s="3" t="s">
        <v>439</v>
      </c>
      <c r="O79" s="5">
        <v>359010.1251547</v>
      </c>
      <c r="P79" s="6" t="str">
        <f t="shared" si="2"/>
        <v>Metals &amp; Minerals Trading</v>
      </c>
    </row>
    <row r="80" hidden="1">
      <c r="A80" s="3" t="s">
        <v>440</v>
      </c>
      <c r="B80" s="4">
        <v>500166.0</v>
      </c>
      <c r="C80" s="3" t="s">
        <v>441</v>
      </c>
      <c r="D80" s="3" t="s">
        <v>442</v>
      </c>
      <c r="E80" s="3" t="s">
        <v>443</v>
      </c>
      <c r="F80" s="3" t="s">
        <v>19</v>
      </c>
      <c r="G80" s="3" t="s">
        <v>44</v>
      </c>
      <c r="H80" s="3">
        <v>10.0</v>
      </c>
      <c r="I80" s="3" t="s">
        <v>440</v>
      </c>
      <c r="J80" s="3" t="s">
        <v>22</v>
      </c>
      <c r="K80" s="3" t="s">
        <v>145</v>
      </c>
      <c r="L80" s="3" t="s">
        <v>145</v>
      </c>
      <c r="M80" s="3" t="s">
        <v>146</v>
      </c>
      <c r="N80" s="3" t="s">
        <v>444</v>
      </c>
      <c r="O80" s="5">
        <v>433.9046295</v>
      </c>
      <c r="P80" s="6" t="str">
        <f t="shared" si="2"/>
        <v>Agricultural Food &amp; other Products</v>
      </c>
    </row>
    <row r="81" hidden="1">
      <c r="A81" s="3" t="s">
        <v>445</v>
      </c>
      <c r="B81" s="4">
        <v>500168.0</v>
      </c>
      <c r="C81" s="3" t="s">
        <v>446</v>
      </c>
      <c r="D81" s="3" t="s">
        <v>447</v>
      </c>
      <c r="E81" s="3" t="s">
        <v>448</v>
      </c>
      <c r="F81" s="3" t="s">
        <v>19</v>
      </c>
      <c r="G81" s="3" t="s">
        <v>112</v>
      </c>
      <c r="H81" s="3">
        <v>10.0</v>
      </c>
      <c r="I81" s="3" t="s">
        <v>445</v>
      </c>
      <c r="J81" s="3" t="s">
        <v>22</v>
      </c>
      <c r="K81" s="3" t="s">
        <v>58</v>
      </c>
      <c r="L81" s="3" t="s">
        <v>133</v>
      </c>
      <c r="M81" s="3" t="s">
        <v>134</v>
      </c>
      <c r="N81" s="3" t="s">
        <v>449</v>
      </c>
      <c r="O81" s="5">
        <v>2790.3203493</v>
      </c>
      <c r="P81" s="6" t="str">
        <f t="shared" si="2"/>
        <v>Auto Components</v>
      </c>
    </row>
    <row r="82" hidden="1">
      <c r="A82" s="3" t="s">
        <v>450</v>
      </c>
      <c r="B82" s="4">
        <v>500170.0</v>
      </c>
      <c r="C82" s="3" t="s">
        <v>451</v>
      </c>
      <c r="D82" s="3" t="s">
        <v>452</v>
      </c>
      <c r="E82" s="3" t="s">
        <v>453</v>
      </c>
      <c r="F82" s="3" t="s">
        <v>19</v>
      </c>
      <c r="G82" s="3" t="s">
        <v>72</v>
      </c>
      <c r="H82" s="3">
        <v>10.0</v>
      </c>
      <c r="I82" s="3" t="s">
        <v>450</v>
      </c>
      <c r="J82" s="3" t="s">
        <v>22</v>
      </c>
      <c r="K82" s="3" t="s">
        <v>58</v>
      </c>
      <c r="L82" s="3" t="s">
        <v>80</v>
      </c>
      <c r="M82" s="3" t="s">
        <v>81</v>
      </c>
      <c r="N82" s="3" t="s">
        <v>82</v>
      </c>
      <c r="O82" s="5">
        <v>56.8926462</v>
      </c>
      <c r="P82" s="6" t="str">
        <f t="shared" si="2"/>
        <v>Textiles &amp; Apparels</v>
      </c>
    </row>
    <row r="83">
      <c r="A83" s="3" t="s">
        <v>123</v>
      </c>
      <c r="B83" s="4">
        <v>513599.0</v>
      </c>
      <c r="C83" s="3" t="s">
        <v>454</v>
      </c>
      <c r="D83" s="3" t="s">
        <v>455</v>
      </c>
      <c r="E83" s="3" t="s">
        <v>456</v>
      </c>
      <c r="F83" s="3" t="s">
        <v>19</v>
      </c>
      <c r="G83" s="3" t="s">
        <v>20</v>
      </c>
      <c r="H83" s="3">
        <v>5.0</v>
      </c>
      <c r="I83" s="3" t="s">
        <v>457</v>
      </c>
      <c r="J83" s="3" t="s">
        <v>22</v>
      </c>
      <c r="K83" s="3" t="s">
        <v>23</v>
      </c>
      <c r="L83" s="3" t="s">
        <v>65</v>
      </c>
      <c r="M83" s="3" t="s">
        <v>66</v>
      </c>
      <c r="N83" s="3" t="s">
        <v>458</v>
      </c>
      <c r="O83" s="5">
        <v>30957.7770639</v>
      </c>
      <c r="P83" s="6" t="str">
        <f t="shared" si="2"/>
        <v>Non - Ferrous Metals</v>
      </c>
    </row>
    <row r="84" hidden="1">
      <c r="A84" s="3" t="s">
        <v>459</v>
      </c>
      <c r="B84" s="4">
        <v>500173.0</v>
      </c>
      <c r="C84" s="3" t="s">
        <v>460</v>
      </c>
      <c r="D84" s="3" t="s">
        <v>461</v>
      </c>
      <c r="E84" s="3" t="s">
        <v>462</v>
      </c>
      <c r="F84" s="3" t="s">
        <v>19</v>
      </c>
      <c r="G84" s="3" t="s">
        <v>112</v>
      </c>
      <c r="H84" s="3">
        <v>1.0</v>
      </c>
      <c r="I84" s="3" t="s">
        <v>459</v>
      </c>
      <c r="J84" s="3" t="s">
        <v>22</v>
      </c>
      <c r="K84" s="3" t="s">
        <v>204</v>
      </c>
      <c r="L84" s="3" t="s">
        <v>204</v>
      </c>
      <c r="M84" s="3" t="s">
        <v>378</v>
      </c>
      <c r="N84" s="3" t="s">
        <v>463</v>
      </c>
      <c r="O84" s="5">
        <v>850.2036283</v>
      </c>
      <c r="P84" s="6" t="str">
        <f t="shared" si="2"/>
        <v>Finance</v>
      </c>
    </row>
    <row r="85" hidden="1">
      <c r="A85" s="3" t="s">
        <v>464</v>
      </c>
      <c r="B85" s="4">
        <v>500174.0</v>
      </c>
      <c r="C85" s="3" t="s">
        <v>465</v>
      </c>
      <c r="D85" s="3" t="s">
        <v>466</v>
      </c>
      <c r="E85" s="3" t="s">
        <v>467</v>
      </c>
      <c r="F85" s="3" t="s">
        <v>19</v>
      </c>
      <c r="G85" s="3" t="s">
        <v>86</v>
      </c>
      <c r="H85" s="3">
        <v>10.0</v>
      </c>
      <c r="I85" s="3" t="s">
        <v>464</v>
      </c>
      <c r="J85" s="3" t="s">
        <v>22</v>
      </c>
      <c r="K85" s="3" t="s">
        <v>204</v>
      </c>
      <c r="L85" s="3" t="s">
        <v>204</v>
      </c>
      <c r="M85" s="3" t="s">
        <v>378</v>
      </c>
      <c r="N85" s="3" t="s">
        <v>468</v>
      </c>
      <c r="O85" s="5">
        <v>21.8999479</v>
      </c>
      <c r="P85" s="6" t="str">
        <f t="shared" si="2"/>
        <v>Finance</v>
      </c>
    </row>
    <row r="86" hidden="1">
      <c r="A86" s="3" t="s">
        <v>469</v>
      </c>
      <c r="B86" s="4">
        <v>500179.0</v>
      </c>
      <c r="C86" s="3" t="s">
        <v>470</v>
      </c>
      <c r="D86" s="3" t="s">
        <v>471</v>
      </c>
      <c r="E86" s="3" t="s">
        <v>472</v>
      </c>
      <c r="F86" s="3" t="s">
        <v>19</v>
      </c>
      <c r="G86" s="3" t="s">
        <v>86</v>
      </c>
      <c r="H86" s="3">
        <v>2.0</v>
      </c>
      <c r="I86" s="3" t="s">
        <v>469</v>
      </c>
      <c r="J86" s="3" t="s">
        <v>22</v>
      </c>
      <c r="K86" s="3" t="s">
        <v>473</v>
      </c>
      <c r="L86" s="3" t="s">
        <v>473</v>
      </c>
      <c r="M86" s="3" t="s">
        <v>474</v>
      </c>
      <c r="N86" s="3" t="s">
        <v>475</v>
      </c>
      <c r="O86" s="5">
        <v>558.3457363</v>
      </c>
      <c r="P86" s="6" t="str">
        <f t="shared" si="2"/>
        <v>IT - Hardware</v>
      </c>
    </row>
    <row r="87">
      <c r="A87" s="3" t="s">
        <v>476</v>
      </c>
      <c r="B87" s="4">
        <v>523457.0</v>
      </c>
      <c r="C87" s="3" t="s">
        <v>477</v>
      </c>
      <c r="D87" s="3" t="s">
        <v>478</v>
      </c>
      <c r="E87" s="3" t="s">
        <v>477</v>
      </c>
      <c r="F87" s="3" t="s">
        <v>19</v>
      </c>
      <c r="G87" s="3" t="s">
        <v>20</v>
      </c>
      <c r="H87" s="3">
        <v>10.0</v>
      </c>
      <c r="I87" s="3" t="s">
        <v>479</v>
      </c>
      <c r="J87" s="3" t="s">
        <v>22</v>
      </c>
      <c r="K87" s="3" t="s">
        <v>23</v>
      </c>
      <c r="L87" s="3" t="s">
        <v>24</v>
      </c>
      <c r="M87" s="3" t="s">
        <v>25</v>
      </c>
      <c r="N87" s="3" t="s">
        <v>480</v>
      </c>
      <c r="O87" s="5">
        <v>71319.62935</v>
      </c>
      <c r="P87" s="6" t="str">
        <f t="shared" si="2"/>
        <v>Chemicals &amp; Petrochemicals</v>
      </c>
    </row>
    <row r="88">
      <c r="A88" s="3" t="s">
        <v>481</v>
      </c>
      <c r="B88" s="4">
        <v>523630.0</v>
      </c>
      <c r="C88" s="3" t="s">
        <v>482</v>
      </c>
      <c r="D88" s="3" t="s">
        <v>483</v>
      </c>
      <c r="E88" s="3" t="s">
        <v>484</v>
      </c>
      <c r="F88" s="3" t="s">
        <v>19</v>
      </c>
      <c r="G88" s="3" t="s">
        <v>20</v>
      </c>
      <c r="H88" s="3">
        <v>10.0</v>
      </c>
      <c r="I88" s="3" t="s">
        <v>485</v>
      </c>
      <c r="J88" s="3" t="s">
        <v>22</v>
      </c>
      <c r="K88" s="3" t="s">
        <v>23</v>
      </c>
      <c r="L88" s="3" t="s">
        <v>24</v>
      </c>
      <c r="M88" s="3" t="s">
        <v>91</v>
      </c>
      <c r="N88" s="3" t="s">
        <v>92</v>
      </c>
      <c r="O88" s="5">
        <v>6450.9499192</v>
      </c>
      <c r="P88" s="6" t="str">
        <f t="shared" si="2"/>
        <v>Fertilizers &amp; Agrochemicals</v>
      </c>
    </row>
    <row r="89">
      <c r="A89" s="3" t="s">
        <v>486</v>
      </c>
      <c r="B89" s="4">
        <v>523642.0</v>
      </c>
      <c r="C89" s="3" t="s">
        <v>487</v>
      </c>
      <c r="D89" s="3" t="s">
        <v>488</v>
      </c>
      <c r="E89" s="3" t="s">
        <v>489</v>
      </c>
      <c r="F89" s="3" t="s">
        <v>19</v>
      </c>
      <c r="G89" s="3" t="s">
        <v>20</v>
      </c>
      <c r="H89" s="3">
        <v>1.0</v>
      </c>
      <c r="I89" s="3" t="s">
        <v>490</v>
      </c>
      <c r="J89" s="3" t="s">
        <v>22</v>
      </c>
      <c r="K89" s="3" t="s">
        <v>23</v>
      </c>
      <c r="L89" s="3" t="s">
        <v>24</v>
      </c>
      <c r="M89" s="3" t="s">
        <v>91</v>
      </c>
      <c r="N89" s="3" t="s">
        <v>252</v>
      </c>
      <c r="O89" s="5">
        <v>57115.9531</v>
      </c>
      <c r="P89" s="6" t="str">
        <f t="shared" si="2"/>
        <v>Fertilizers &amp; Agrochemicals</v>
      </c>
    </row>
    <row r="90">
      <c r="A90" s="3" t="s">
        <v>128</v>
      </c>
      <c r="B90" s="4">
        <v>524200.0</v>
      </c>
      <c r="C90" s="3" t="s">
        <v>491</v>
      </c>
      <c r="D90" s="3" t="s">
        <v>492</v>
      </c>
      <c r="E90" s="3" t="s">
        <v>493</v>
      </c>
      <c r="F90" s="3" t="s">
        <v>19</v>
      </c>
      <c r="G90" s="3" t="s">
        <v>20</v>
      </c>
      <c r="H90" s="3">
        <v>1.0</v>
      </c>
      <c r="I90" s="3" t="s">
        <v>494</v>
      </c>
      <c r="J90" s="3" t="s">
        <v>22</v>
      </c>
      <c r="K90" s="3" t="s">
        <v>23</v>
      </c>
      <c r="L90" s="3" t="s">
        <v>24</v>
      </c>
      <c r="M90" s="3" t="s">
        <v>25</v>
      </c>
      <c r="N90" s="3" t="s">
        <v>26</v>
      </c>
      <c r="O90" s="5">
        <v>19960.4883023</v>
      </c>
      <c r="P90" s="6" t="str">
        <f t="shared" si="2"/>
        <v>Specialty Chemicals</v>
      </c>
    </row>
    <row r="91">
      <c r="A91" s="3" t="s">
        <v>495</v>
      </c>
      <c r="B91" s="4">
        <v>524208.0</v>
      </c>
      <c r="C91" s="3" t="s">
        <v>496</v>
      </c>
      <c r="D91" s="3" t="s">
        <v>497</v>
      </c>
      <c r="E91" s="3" t="s">
        <v>498</v>
      </c>
      <c r="F91" s="3" t="s">
        <v>19</v>
      </c>
      <c r="G91" s="3" t="s">
        <v>20</v>
      </c>
      <c r="H91" s="3">
        <v>5.0</v>
      </c>
      <c r="I91" s="3" t="s">
        <v>499</v>
      </c>
      <c r="J91" s="3" t="s">
        <v>22</v>
      </c>
      <c r="K91" s="3" t="s">
        <v>23</v>
      </c>
      <c r="L91" s="3" t="s">
        <v>24</v>
      </c>
      <c r="M91" s="3" t="s">
        <v>25</v>
      </c>
      <c r="N91" s="3" t="s">
        <v>26</v>
      </c>
      <c r="O91" s="5">
        <v>25079.7734183</v>
      </c>
      <c r="P91" s="6" t="str">
        <f t="shared" si="2"/>
        <v>Specialty Chemicals</v>
      </c>
    </row>
    <row r="92" hidden="1">
      <c r="A92" s="3" t="s">
        <v>500</v>
      </c>
      <c r="B92" s="4">
        <v>500186.0</v>
      </c>
      <c r="C92" s="3" t="s">
        <v>501</v>
      </c>
      <c r="D92" s="3" t="s">
        <v>502</v>
      </c>
      <c r="E92" s="3" t="s">
        <v>503</v>
      </c>
      <c r="F92" s="3" t="s">
        <v>19</v>
      </c>
      <c r="G92" s="3" t="s">
        <v>20</v>
      </c>
      <c r="H92" s="3">
        <v>10.0</v>
      </c>
      <c r="I92" s="3" t="s">
        <v>500</v>
      </c>
      <c r="J92" s="3" t="s">
        <v>22</v>
      </c>
      <c r="K92" s="3" t="s">
        <v>410</v>
      </c>
      <c r="L92" s="3" t="s">
        <v>411</v>
      </c>
      <c r="M92" s="3" t="s">
        <v>412</v>
      </c>
      <c r="N92" s="3" t="s">
        <v>504</v>
      </c>
      <c r="O92" s="5">
        <v>2764.1672001</v>
      </c>
      <c r="P92" s="6" t="str">
        <f t="shared" si="2"/>
        <v>Oil</v>
      </c>
    </row>
    <row r="93" hidden="1">
      <c r="A93" s="3" t="s">
        <v>505</v>
      </c>
      <c r="B93" s="4">
        <v>500187.0</v>
      </c>
      <c r="C93" s="3" t="s">
        <v>506</v>
      </c>
      <c r="D93" s="3" t="s">
        <v>507</v>
      </c>
      <c r="E93" s="3" t="s">
        <v>508</v>
      </c>
      <c r="F93" s="3" t="s">
        <v>19</v>
      </c>
      <c r="G93" s="3" t="s">
        <v>20</v>
      </c>
      <c r="H93" s="3">
        <v>2.0</v>
      </c>
      <c r="I93" s="3" t="s">
        <v>505</v>
      </c>
      <c r="J93" s="3" t="s">
        <v>22</v>
      </c>
      <c r="K93" s="3" t="s">
        <v>97</v>
      </c>
      <c r="L93" s="3" t="s">
        <v>98</v>
      </c>
      <c r="M93" s="3" t="s">
        <v>100</v>
      </c>
      <c r="N93" s="3" t="s">
        <v>373</v>
      </c>
      <c r="O93" s="5">
        <v>4603.1791201</v>
      </c>
      <c r="P93" s="6" t="str">
        <f t="shared" si="2"/>
        <v>Industrial Products</v>
      </c>
    </row>
    <row r="94">
      <c r="A94" s="3" t="s">
        <v>139</v>
      </c>
      <c r="B94" s="4">
        <v>524230.0</v>
      </c>
      <c r="C94" s="3" t="s">
        <v>509</v>
      </c>
      <c r="D94" s="3" t="s">
        <v>510</v>
      </c>
      <c r="E94" s="3" t="s">
        <v>511</v>
      </c>
      <c r="F94" s="3" t="s">
        <v>19</v>
      </c>
      <c r="G94" s="3" t="s">
        <v>20</v>
      </c>
      <c r="H94" s="3">
        <v>10.0</v>
      </c>
      <c r="I94" s="3" t="s">
        <v>512</v>
      </c>
      <c r="J94" s="3" t="s">
        <v>22</v>
      </c>
      <c r="K94" s="3" t="s">
        <v>23</v>
      </c>
      <c r="L94" s="3" t="s">
        <v>24</v>
      </c>
      <c r="M94" s="3" t="s">
        <v>91</v>
      </c>
      <c r="N94" s="3" t="s">
        <v>92</v>
      </c>
      <c r="O94" s="5">
        <v>10912.3369288</v>
      </c>
      <c r="P94" s="6" t="str">
        <f t="shared" si="2"/>
        <v>Fertilizers &amp; Agrochemicals</v>
      </c>
    </row>
    <row r="95" hidden="1">
      <c r="A95" s="3" t="s">
        <v>513</v>
      </c>
      <c r="B95" s="4">
        <v>500189.0</v>
      </c>
      <c r="C95" s="3" t="s">
        <v>514</v>
      </c>
      <c r="D95" s="3" t="s">
        <v>515</v>
      </c>
      <c r="E95" s="3" t="s">
        <v>516</v>
      </c>
      <c r="F95" s="3" t="s">
        <v>19</v>
      </c>
      <c r="G95" s="3" t="s">
        <v>112</v>
      </c>
      <c r="H95" s="3">
        <v>10.0</v>
      </c>
      <c r="I95" s="3" t="s">
        <v>513</v>
      </c>
      <c r="J95" s="3" t="s">
        <v>22</v>
      </c>
      <c r="K95" s="3" t="s">
        <v>204</v>
      </c>
      <c r="L95" s="3" t="s">
        <v>204</v>
      </c>
      <c r="M95" s="3" t="s">
        <v>378</v>
      </c>
      <c r="N95" s="3" t="s">
        <v>468</v>
      </c>
      <c r="O95" s="5">
        <v>330.2849</v>
      </c>
      <c r="P95" s="6" t="str">
        <f t="shared" si="2"/>
        <v>Finance</v>
      </c>
    </row>
    <row r="96">
      <c r="A96" s="3" t="s">
        <v>517</v>
      </c>
      <c r="B96" s="4">
        <v>526371.0</v>
      </c>
      <c r="C96" s="3" t="s">
        <v>518</v>
      </c>
      <c r="D96" s="3" t="s">
        <v>519</v>
      </c>
      <c r="E96" s="3" t="s">
        <v>520</v>
      </c>
      <c r="F96" s="3" t="s">
        <v>19</v>
      </c>
      <c r="G96" s="3" t="s">
        <v>20</v>
      </c>
      <c r="H96" s="3">
        <v>1.0</v>
      </c>
      <c r="I96" s="3" t="s">
        <v>521</v>
      </c>
      <c r="J96" s="3" t="s">
        <v>22</v>
      </c>
      <c r="K96" s="3" t="s">
        <v>23</v>
      </c>
      <c r="L96" s="3" t="s">
        <v>65</v>
      </c>
      <c r="M96" s="3" t="s">
        <v>522</v>
      </c>
      <c r="N96" s="3" t="s">
        <v>523</v>
      </c>
      <c r="O96" s="5">
        <v>72872.9153091</v>
      </c>
      <c r="P96" s="6" t="str">
        <f t="shared" si="2"/>
        <v>Minerals &amp; Mining</v>
      </c>
    </row>
    <row r="97" hidden="1">
      <c r="A97" s="3" t="s">
        <v>524</v>
      </c>
      <c r="B97" s="4">
        <v>500192.0</v>
      </c>
      <c r="C97" s="3" t="s">
        <v>525</v>
      </c>
      <c r="D97" s="3" t="s">
        <v>526</v>
      </c>
      <c r="E97" s="3" t="s">
        <v>527</v>
      </c>
      <c r="F97" s="3" t="s">
        <v>19</v>
      </c>
      <c r="G97" s="3" t="s">
        <v>44</v>
      </c>
      <c r="H97" s="3">
        <v>10.0</v>
      </c>
      <c r="I97" s="3" t="s">
        <v>524</v>
      </c>
      <c r="J97" s="3" t="s">
        <v>22</v>
      </c>
      <c r="K97" s="3" t="s">
        <v>58</v>
      </c>
      <c r="L97" s="3" t="s">
        <v>80</v>
      </c>
      <c r="M97" s="3" t="s">
        <v>81</v>
      </c>
      <c r="N97" s="3" t="s">
        <v>82</v>
      </c>
      <c r="O97" s="5">
        <v>23.2789795</v>
      </c>
      <c r="P97" s="6" t="str">
        <f t="shared" si="2"/>
        <v>Textiles &amp; Apparels</v>
      </c>
    </row>
    <row r="98" hidden="1">
      <c r="A98" s="3" t="s">
        <v>528</v>
      </c>
      <c r="B98" s="4">
        <v>500193.0</v>
      </c>
      <c r="C98" s="3" t="s">
        <v>529</v>
      </c>
      <c r="D98" s="3" t="s">
        <v>530</v>
      </c>
      <c r="E98" s="3" t="s">
        <v>531</v>
      </c>
      <c r="F98" s="3" t="s">
        <v>19</v>
      </c>
      <c r="G98" s="3" t="s">
        <v>86</v>
      </c>
      <c r="H98" s="3">
        <v>2.0</v>
      </c>
      <c r="I98" s="3" t="s">
        <v>528</v>
      </c>
      <c r="J98" s="3" t="s">
        <v>22</v>
      </c>
      <c r="K98" s="3" t="s">
        <v>58</v>
      </c>
      <c r="L98" s="3" t="s">
        <v>73</v>
      </c>
      <c r="M98" s="3" t="s">
        <v>74</v>
      </c>
      <c r="N98" s="3" t="s">
        <v>75</v>
      </c>
      <c r="O98" s="5">
        <v>1637.535519</v>
      </c>
      <c r="P98" s="6" t="str">
        <f t="shared" si="2"/>
        <v>Leisure Services</v>
      </c>
    </row>
    <row r="99" hidden="1">
      <c r="A99" s="3" t="s">
        <v>532</v>
      </c>
      <c r="B99" s="4">
        <v>500199.0</v>
      </c>
      <c r="C99" s="3" t="s">
        <v>533</v>
      </c>
      <c r="D99" s="3" t="s">
        <v>534</v>
      </c>
      <c r="E99" s="3" t="s">
        <v>535</v>
      </c>
      <c r="F99" s="3" t="s">
        <v>19</v>
      </c>
      <c r="G99" s="3" t="s">
        <v>112</v>
      </c>
      <c r="H99" s="3">
        <v>10.0</v>
      </c>
      <c r="I99" s="3" t="s">
        <v>532</v>
      </c>
      <c r="J99" s="3" t="s">
        <v>22</v>
      </c>
      <c r="K99" s="3" t="s">
        <v>23</v>
      </c>
      <c r="L99" s="3" t="s">
        <v>24</v>
      </c>
      <c r="M99" s="3" t="s">
        <v>25</v>
      </c>
      <c r="N99" s="3" t="s">
        <v>52</v>
      </c>
      <c r="O99" s="5">
        <v>1957.692425</v>
      </c>
      <c r="P99" s="6" t="str">
        <f t="shared" si="2"/>
        <v>Chemicals &amp; Petrochemicals</v>
      </c>
    </row>
    <row r="100" hidden="1">
      <c r="A100" s="3" t="s">
        <v>536</v>
      </c>
      <c r="B100" s="4">
        <v>500201.0</v>
      </c>
      <c r="C100" s="3" t="s">
        <v>537</v>
      </c>
      <c r="D100" s="3" t="s">
        <v>538</v>
      </c>
      <c r="E100" s="3" t="s">
        <v>539</v>
      </c>
      <c r="F100" s="3" t="s">
        <v>19</v>
      </c>
      <c r="G100" s="3" t="s">
        <v>112</v>
      </c>
      <c r="H100" s="3">
        <v>10.0</v>
      </c>
      <c r="I100" s="3" t="s">
        <v>536</v>
      </c>
      <c r="J100" s="3" t="s">
        <v>22</v>
      </c>
      <c r="K100" s="3" t="s">
        <v>23</v>
      </c>
      <c r="L100" s="3" t="s">
        <v>24</v>
      </c>
      <c r="M100" s="3" t="s">
        <v>25</v>
      </c>
      <c r="N100" s="3" t="s">
        <v>52</v>
      </c>
      <c r="O100" s="5">
        <v>2709.6550429</v>
      </c>
      <c r="P100" s="6" t="str">
        <f t="shared" si="2"/>
        <v>Chemicals &amp; Petrochemicals</v>
      </c>
    </row>
    <row r="101" hidden="1">
      <c r="A101" s="3" t="s">
        <v>540</v>
      </c>
      <c r="B101" s="4">
        <v>500202.0</v>
      </c>
      <c r="C101" s="3" t="s">
        <v>541</v>
      </c>
      <c r="D101" s="3" t="s">
        <v>542</v>
      </c>
      <c r="E101" s="3" t="s">
        <v>543</v>
      </c>
      <c r="F101" s="3" t="s">
        <v>19</v>
      </c>
      <c r="G101" s="3" t="s">
        <v>44</v>
      </c>
      <c r="H101" s="3">
        <v>10.0</v>
      </c>
      <c r="I101" s="3" t="s">
        <v>540</v>
      </c>
      <c r="J101" s="3" t="s">
        <v>22</v>
      </c>
      <c r="K101" s="3" t="s">
        <v>204</v>
      </c>
      <c r="L101" s="3" t="s">
        <v>204</v>
      </c>
      <c r="M101" s="3" t="s">
        <v>378</v>
      </c>
      <c r="N101" s="3" t="s">
        <v>379</v>
      </c>
      <c r="O101" s="5">
        <v>1.0</v>
      </c>
      <c r="P101" s="6" t="str">
        <f t="shared" si="2"/>
        <v>Non Banking Financial Company (NBFC)</v>
      </c>
    </row>
    <row r="102" hidden="1">
      <c r="A102" s="3" t="s">
        <v>544</v>
      </c>
      <c r="B102" s="4">
        <v>500206.0</v>
      </c>
      <c r="C102" s="3" t="s">
        <v>545</v>
      </c>
      <c r="D102" s="3" t="s">
        <v>546</v>
      </c>
      <c r="E102" s="3" t="s">
        <v>545</v>
      </c>
      <c r="F102" s="3" t="s">
        <v>19</v>
      </c>
      <c r="G102" s="3" t="s">
        <v>72</v>
      </c>
      <c r="H102" s="3">
        <v>10.0</v>
      </c>
      <c r="I102" s="3" t="s">
        <v>544</v>
      </c>
      <c r="J102" s="3" t="s">
        <v>22</v>
      </c>
      <c r="K102" s="3" t="s">
        <v>204</v>
      </c>
      <c r="L102" s="3" t="s">
        <v>204</v>
      </c>
      <c r="M102" s="3" t="s">
        <v>378</v>
      </c>
      <c r="N102" s="3" t="s">
        <v>379</v>
      </c>
      <c r="O102" s="5">
        <v>24.220998</v>
      </c>
      <c r="P102" s="6" t="str">
        <f t="shared" si="2"/>
        <v>Non Banking Financial Company (NBFC)</v>
      </c>
    </row>
    <row r="103" hidden="1">
      <c r="A103" s="3" t="s">
        <v>547</v>
      </c>
      <c r="B103" s="4">
        <v>500207.0</v>
      </c>
      <c r="C103" s="3" t="s">
        <v>548</v>
      </c>
      <c r="D103" s="3" t="s">
        <v>549</v>
      </c>
      <c r="E103" s="3" t="s">
        <v>550</v>
      </c>
      <c r="F103" s="3" t="s">
        <v>19</v>
      </c>
      <c r="G103" s="3" t="s">
        <v>112</v>
      </c>
      <c r="H103" s="3">
        <v>10.0</v>
      </c>
      <c r="I103" s="3" t="s">
        <v>547</v>
      </c>
      <c r="J103" s="3" t="s">
        <v>22</v>
      </c>
      <c r="K103" s="3" t="s">
        <v>58</v>
      </c>
      <c r="L103" s="3" t="s">
        <v>80</v>
      </c>
      <c r="M103" s="3" t="s">
        <v>81</v>
      </c>
      <c r="N103" s="3" t="s">
        <v>82</v>
      </c>
      <c r="O103" s="5">
        <v>1129.6639993</v>
      </c>
      <c r="P103" s="6" t="str">
        <f t="shared" si="2"/>
        <v>Textiles &amp; Apparels</v>
      </c>
    </row>
    <row r="104">
      <c r="A104" s="3" t="s">
        <v>551</v>
      </c>
      <c r="B104" s="4">
        <v>530001.0</v>
      </c>
      <c r="C104" s="3" t="s">
        <v>552</v>
      </c>
      <c r="D104" s="3" t="s">
        <v>553</v>
      </c>
      <c r="E104" s="3" t="s">
        <v>554</v>
      </c>
      <c r="F104" s="3" t="s">
        <v>19</v>
      </c>
      <c r="G104" s="3" t="s">
        <v>20</v>
      </c>
      <c r="H104" s="3">
        <v>10.0</v>
      </c>
      <c r="I104" s="3" t="s">
        <v>555</v>
      </c>
      <c r="J104" s="3" t="s">
        <v>22</v>
      </c>
      <c r="K104" s="3" t="s">
        <v>23</v>
      </c>
      <c r="L104" s="3" t="s">
        <v>24</v>
      </c>
      <c r="M104" s="3" t="s">
        <v>25</v>
      </c>
      <c r="N104" s="3" t="s">
        <v>52</v>
      </c>
      <c r="O104" s="5">
        <v>5765.309352</v>
      </c>
      <c r="P104" s="6" t="str">
        <f t="shared" si="2"/>
        <v>Chemicals &amp; Petrochemicals</v>
      </c>
    </row>
    <row r="105">
      <c r="A105" s="3" t="s">
        <v>556</v>
      </c>
      <c r="B105" s="4">
        <v>530005.0</v>
      </c>
      <c r="C105" s="3" t="s">
        <v>557</v>
      </c>
      <c r="D105" s="3" t="s">
        <v>558</v>
      </c>
      <c r="E105" s="3" t="s">
        <v>559</v>
      </c>
      <c r="F105" s="3" t="s">
        <v>19</v>
      </c>
      <c r="G105" s="3" t="s">
        <v>20</v>
      </c>
      <c r="H105" s="3">
        <v>10.0</v>
      </c>
      <c r="I105" s="3" t="s">
        <v>560</v>
      </c>
      <c r="J105" s="3" t="s">
        <v>22</v>
      </c>
      <c r="K105" s="3" t="s">
        <v>23</v>
      </c>
      <c r="L105" s="3" t="s">
        <v>162</v>
      </c>
      <c r="M105" s="3" t="s">
        <v>163</v>
      </c>
      <c r="N105" s="3" t="s">
        <v>163</v>
      </c>
      <c r="O105" s="5">
        <v>9083.1853165</v>
      </c>
      <c r="P105" s="6" t="str">
        <f t="shared" si="2"/>
        <v>Cement &amp; Cement Products</v>
      </c>
    </row>
    <row r="106" hidden="1">
      <c r="A106" s="3" t="s">
        <v>561</v>
      </c>
      <c r="B106" s="4">
        <v>500213.0</v>
      </c>
      <c r="C106" s="3" t="s">
        <v>562</v>
      </c>
      <c r="D106" s="3" t="s">
        <v>563</v>
      </c>
      <c r="E106" s="3" t="s">
        <v>564</v>
      </c>
      <c r="F106" s="3" t="s">
        <v>19</v>
      </c>
      <c r="G106" s="3" t="s">
        <v>44</v>
      </c>
      <c r="H106" s="3">
        <v>10.0</v>
      </c>
      <c r="I106" s="3" t="s">
        <v>561</v>
      </c>
      <c r="J106" s="3" t="s">
        <v>22</v>
      </c>
      <c r="K106" s="3" t="s">
        <v>58</v>
      </c>
      <c r="L106" s="3" t="s">
        <v>73</v>
      </c>
      <c r="M106" s="3" t="s">
        <v>74</v>
      </c>
      <c r="N106" s="3" t="s">
        <v>565</v>
      </c>
      <c r="O106" s="5">
        <v>491.1113214</v>
      </c>
      <c r="P106" s="6" t="str">
        <f t="shared" si="2"/>
        <v>Leisure Services</v>
      </c>
    </row>
    <row r="107">
      <c r="A107" s="3" t="s">
        <v>566</v>
      </c>
      <c r="B107" s="4">
        <v>530117.0</v>
      </c>
      <c r="C107" s="3" t="s">
        <v>567</v>
      </c>
      <c r="D107" s="3" t="s">
        <v>568</v>
      </c>
      <c r="E107" s="3" t="s">
        <v>569</v>
      </c>
      <c r="F107" s="3" t="s">
        <v>19</v>
      </c>
      <c r="G107" s="3" t="s">
        <v>20</v>
      </c>
      <c r="H107" s="3">
        <v>10.0</v>
      </c>
      <c r="I107" s="3" t="s">
        <v>570</v>
      </c>
      <c r="J107" s="3" t="s">
        <v>22</v>
      </c>
      <c r="K107" s="3" t="s">
        <v>23</v>
      </c>
      <c r="L107" s="3" t="s">
        <v>24</v>
      </c>
      <c r="M107" s="3" t="s">
        <v>25</v>
      </c>
      <c r="N107" s="3" t="s">
        <v>26</v>
      </c>
      <c r="O107" s="5">
        <v>5909.5059493</v>
      </c>
      <c r="P107" s="6" t="str">
        <f t="shared" si="2"/>
        <v>Specialty Chemicals</v>
      </c>
    </row>
    <row r="108" hidden="1">
      <c r="A108" s="3" t="s">
        <v>571</v>
      </c>
      <c r="B108" s="4">
        <v>500215.0</v>
      </c>
      <c r="C108" s="3" t="s">
        <v>572</v>
      </c>
      <c r="D108" s="3" t="s">
        <v>573</v>
      </c>
      <c r="E108" s="3" t="s">
        <v>574</v>
      </c>
      <c r="F108" s="3" t="s">
        <v>19</v>
      </c>
      <c r="G108" s="3" t="s">
        <v>112</v>
      </c>
      <c r="H108" s="3">
        <v>10.0</v>
      </c>
      <c r="I108" s="3" t="s">
        <v>571</v>
      </c>
      <c r="J108" s="3" t="s">
        <v>22</v>
      </c>
      <c r="K108" s="3" t="s">
        <v>145</v>
      </c>
      <c r="L108" s="3" t="s">
        <v>145</v>
      </c>
      <c r="M108" s="3" t="s">
        <v>146</v>
      </c>
      <c r="N108" s="3" t="s">
        <v>575</v>
      </c>
      <c r="O108" s="5">
        <v>1899.6543579</v>
      </c>
      <c r="P108" s="6" t="str">
        <f t="shared" si="2"/>
        <v>Agricultural Food &amp; other Products</v>
      </c>
    </row>
    <row r="109" hidden="1">
      <c r="A109" s="3" t="s">
        <v>576</v>
      </c>
      <c r="B109" s="4">
        <v>500219.0</v>
      </c>
      <c r="C109" s="3" t="s">
        <v>577</v>
      </c>
      <c r="D109" s="3" t="s">
        <v>578</v>
      </c>
      <c r="E109" s="3" t="s">
        <v>579</v>
      </c>
      <c r="F109" s="3" t="s">
        <v>19</v>
      </c>
      <c r="G109" s="3" t="s">
        <v>20</v>
      </c>
      <c r="H109" s="3">
        <v>2.0</v>
      </c>
      <c r="I109" s="3" t="s">
        <v>576</v>
      </c>
      <c r="J109" s="3" t="s">
        <v>22</v>
      </c>
      <c r="K109" s="3" t="s">
        <v>97</v>
      </c>
      <c r="L109" s="3" t="s">
        <v>98</v>
      </c>
      <c r="M109" s="3" t="s">
        <v>100</v>
      </c>
      <c r="N109" s="3" t="s">
        <v>580</v>
      </c>
      <c r="O109" s="5">
        <v>4995.9455792</v>
      </c>
      <c r="P109" s="6" t="str">
        <f t="shared" si="2"/>
        <v>Industrial Products</v>
      </c>
    </row>
    <row r="110" hidden="1">
      <c r="A110" s="3" t="s">
        <v>581</v>
      </c>
      <c r="B110" s="4">
        <v>500220.0</v>
      </c>
      <c r="C110" s="3" t="s">
        <v>582</v>
      </c>
      <c r="D110" s="3" t="s">
        <v>583</v>
      </c>
      <c r="E110" s="3" t="s">
        <v>584</v>
      </c>
      <c r="F110" s="3" t="s">
        <v>19</v>
      </c>
      <c r="G110" s="3" t="s">
        <v>72</v>
      </c>
      <c r="H110" s="3">
        <v>10.0</v>
      </c>
      <c r="I110" s="3" t="s">
        <v>581</v>
      </c>
      <c r="J110" s="3" t="s">
        <v>22</v>
      </c>
      <c r="K110" s="3" t="s">
        <v>58</v>
      </c>
      <c r="L110" s="3" t="s">
        <v>80</v>
      </c>
      <c r="M110" s="3" t="s">
        <v>81</v>
      </c>
      <c r="N110" s="3" t="s">
        <v>82</v>
      </c>
      <c r="O110" s="5">
        <v>108.048427</v>
      </c>
      <c r="P110" s="6" t="str">
        <f t="shared" si="2"/>
        <v>Textiles &amp; Apparels</v>
      </c>
    </row>
    <row r="111" hidden="1">
      <c r="A111" s="3" t="s">
        <v>585</v>
      </c>
      <c r="B111" s="4">
        <v>500227.0</v>
      </c>
      <c r="C111" s="3" t="s">
        <v>586</v>
      </c>
      <c r="D111" s="3" t="s">
        <v>587</v>
      </c>
      <c r="E111" s="3" t="s">
        <v>588</v>
      </c>
      <c r="F111" s="3" t="s">
        <v>19</v>
      </c>
      <c r="G111" s="3" t="s">
        <v>112</v>
      </c>
      <c r="H111" s="3">
        <v>10.0</v>
      </c>
      <c r="I111" s="3" t="s">
        <v>585</v>
      </c>
      <c r="J111" s="3" t="s">
        <v>22</v>
      </c>
      <c r="K111" s="3" t="s">
        <v>97</v>
      </c>
      <c r="L111" s="3" t="s">
        <v>98</v>
      </c>
      <c r="M111" s="3" t="s">
        <v>100</v>
      </c>
      <c r="N111" s="3" t="s">
        <v>373</v>
      </c>
      <c r="O111" s="5">
        <v>3204.822712</v>
      </c>
      <c r="P111" s="6" t="str">
        <f t="shared" si="2"/>
        <v>Industrial Products</v>
      </c>
    </row>
    <row r="112">
      <c r="A112" s="3" t="s">
        <v>151</v>
      </c>
      <c r="B112" s="4">
        <v>530999.0</v>
      </c>
      <c r="C112" s="3" t="s">
        <v>589</v>
      </c>
      <c r="D112" s="3" t="s">
        <v>590</v>
      </c>
      <c r="E112" s="3" t="s">
        <v>591</v>
      </c>
      <c r="F112" s="3" t="s">
        <v>19</v>
      </c>
      <c r="G112" s="3" t="s">
        <v>20</v>
      </c>
      <c r="H112" s="3">
        <v>2.0</v>
      </c>
      <c r="I112" s="3" t="s">
        <v>592</v>
      </c>
      <c r="J112" s="3" t="s">
        <v>22</v>
      </c>
      <c r="K112" s="3" t="s">
        <v>23</v>
      </c>
      <c r="L112" s="3" t="s">
        <v>24</v>
      </c>
      <c r="M112" s="3" t="s">
        <v>25</v>
      </c>
      <c r="N112" s="3" t="s">
        <v>26</v>
      </c>
      <c r="O112" s="5">
        <v>7530.9573951</v>
      </c>
      <c r="P112" s="6" t="str">
        <f t="shared" si="2"/>
        <v>Specialty Chemicals</v>
      </c>
    </row>
    <row r="113" hidden="1">
      <c r="A113" s="3" t="s">
        <v>593</v>
      </c>
      <c r="B113" s="4">
        <v>500231.0</v>
      </c>
      <c r="C113" s="3" t="s">
        <v>594</v>
      </c>
      <c r="D113" s="3" t="s">
        <v>595</v>
      </c>
      <c r="E113" s="3" t="s">
        <v>596</v>
      </c>
      <c r="F113" s="3" t="s">
        <v>19</v>
      </c>
      <c r="G113" s="3" t="s">
        <v>112</v>
      </c>
      <c r="H113" s="3">
        <v>5.0</v>
      </c>
      <c r="I113" s="3" t="s">
        <v>593</v>
      </c>
      <c r="J113" s="3" t="s">
        <v>22</v>
      </c>
      <c r="K113" s="3" t="s">
        <v>145</v>
      </c>
      <c r="L113" s="3" t="s">
        <v>145</v>
      </c>
      <c r="M113" s="3" t="s">
        <v>597</v>
      </c>
      <c r="N113" s="3" t="s">
        <v>598</v>
      </c>
      <c r="O113" s="5">
        <v>240.4445532</v>
      </c>
      <c r="P113" s="6" t="str">
        <f t="shared" si="2"/>
        <v>Food Products</v>
      </c>
    </row>
    <row r="114">
      <c r="A114" s="3" t="s">
        <v>599</v>
      </c>
      <c r="B114" s="4">
        <v>532162.0</v>
      </c>
      <c r="C114" s="3" t="s">
        <v>600</v>
      </c>
      <c r="D114" s="3" t="s">
        <v>601</v>
      </c>
      <c r="E114" s="3" t="s">
        <v>602</v>
      </c>
      <c r="F114" s="3" t="s">
        <v>19</v>
      </c>
      <c r="G114" s="3" t="s">
        <v>20</v>
      </c>
      <c r="H114" s="3">
        <v>10.0</v>
      </c>
      <c r="I114" s="3" t="s">
        <v>603</v>
      </c>
      <c r="J114" s="3" t="s">
        <v>22</v>
      </c>
      <c r="K114" s="3" t="s">
        <v>23</v>
      </c>
      <c r="L114" s="3" t="s">
        <v>32</v>
      </c>
      <c r="M114" s="3" t="s">
        <v>33</v>
      </c>
      <c r="N114" s="3" t="s">
        <v>34</v>
      </c>
      <c r="O114" s="5">
        <v>10463.4165447</v>
      </c>
      <c r="P114" s="6" t="str">
        <f t="shared" si="2"/>
        <v>Paper, Forest &amp; Jute Products</v>
      </c>
    </row>
    <row r="115" hidden="1">
      <c r="A115" s="3" t="s">
        <v>604</v>
      </c>
      <c r="B115" s="4">
        <v>500234.0</v>
      </c>
      <c r="C115" s="3" t="s">
        <v>605</v>
      </c>
      <c r="D115" s="3" t="s">
        <v>606</v>
      </c>
      <c r="E115" s="3" t="s">
        <v>607</v>
      </c>
      <c r="F115" s="3" t="s">
        <v>19</v>
      </c>
      <c r="G115" s="3" t="s">
        <v>112</v>
      </c>
      <c r="H115" s="3">
        <v>10.0</v>
      </c>
      <c r="I115" s="3" t="s">
        <v>604</v>
      </c>
      <c r="J115" s="3" t="s">
        <v>22</v>
      </c>
      <c r="K115" s="3" t="s">
        <v>23</v>
      </c>
      <c r="L115" s="3" t="s">
        <v>162</v>
      </c>
      <c r="M115" s="3" t="s">
        <v>163</v>
      </c>
      <c r="N115" s="3" t="s">
        <v>163</v>
      </c>
      <c r="O115" s="5">
        <v>180.5796842</v>
      </c>
      <c r="P115" s="6" t="str">
        <f t="shared" si="2"/>
        <v>Cement &amp; Cement Products</v>
      </c>
    </row>
    <row r="116" hidden="1">
      <c r="A116" s="3" t="s">
        <v>608</v>
      </c>
      <c r="B116" s="4">
        <v>500235.0</v>
      </c>
      <c r="C116" s="3" t="s">
        <v>609</v>
      </c>
      <c r="D116" s="3" t="s">
        <v>610</v>
      </c>
      <c r="E116" s="3" t="s">
        <v>611</v>
      </c>
      <c r="F116" s="3" t="s">
        <v>19</v>
      </c>
      <c r="G116" s="3" t="s">
        <v>112</v>
      </c>
      <c r="H116" s="3">
        <v>5.0</v>
      </c>
      <c r="I116" s="3" t="s">
        <v>608</v>
      </c>
      <c r="J116" s="3" t="s">
        <v>22</v>
      </c>
      <c r="K116" s="3" t="s">
        <v>97</v>
      </c>
      <c r="L116" s="3" t="s">
        <v>98</v>
      </c>
      <c r="M116" s="3" t="s">
        <v>100</v>
      </c>
      <c r="N116" s="3" t="s">
        <v>612</v>
      </c>
      <c r="O116" s="5">
        <v>4187.626182</v>
      </c>
      <c r="P116" s="6" t="str">
        <f t="shared" si="2"/>
        <v>Industrial Products</v>
      </c>
    </row>
    <row r="117">
      <c r="A117" s="3" t="s">
        <v>613</v>
      </c>
      <c r="B117" s="4">
        <v>532181.0</v>
      </c>
      <c r="C117" s="3" t="s">
        <v>614</v>
      </c>
      <c r="D117" s="3" t="s">
        <v>615</v>
      </c>
      <c r="E117" s="3" t="s">
        <v>616</v>
      </c>
      <c r="F117" s="3" t="s">
        <v>19</v>
      </c>
      <c r="G117" s="3" t="s">
        <v>20</v>
      </c>
      <c r="H117" s="3">
        <v>2.0</v>
      </c>
      <c r="I117" s="3" t="s">
        <v>617</v>
      </c>
      <c r="J117" s="3" t="s">
        <v>22</v>
      </c>
      <c r="K117" s="3" t="s">
        <v>23</v>
      </c>
      <c r="L117" s="3" t="s">
        <v>65</v>
      </c>
      <c r="M117" s="3" t="s">
        <v>522</v>
      </c>
      <c r="N117" s="3" t="s">
        <v>523</v>
      </c>
      <c r="O117" s="5">
        <v>12342.3183</v>
      </c>
      <c r="P117" s="6" t="str">
        <f t="shared" si="2"/>
        <v>Minerals &amp; Mining</v>
      </c>
    </row>
    <row r="118">
      <c r="A118" s="3" t="s">
        <v>618</v>
      </c>
      <c r="B118" s="4">
        <v>532234.0</v>
      </c>
      <c r="C118" s="3" t="s">
        <v>619</v>
      </c>
      <c r="D118" s="3" t="s">
        <v>620</v>
      </c>
      <c r="E118" s="3" t="s">
        <v>621</v>
      </c>
      <c r="F118" s="3" t="s">
        <v>19</v>
      </c>
      <c r="G118" s="3" t="s">
        <v>20</v>
      </c>
      <c r="H118" s="3">
        <v>5.0</v>
      </c>
      <c r="I118" s="3" t="s">
        <v>622</v>
      </c>
      <c r="J118" s="3" t="s">
        <v>22</v>
      </c>
      <c r="K118" s="3" t="s">
        <v>23</v>
      </c>
      <c r="L118" s="3" t="s">
        <v>65</v>
      </c>
      <c r="M118" s="3" t="s">
        <v>66</v>
      </c>
      <c r="N118" s="3" t="s">
        <v>286</v>
      </c>
      <c r="O118" s="5">
        <v>34650.8035137</v>
      </c>
      <c r="P118" s="6" t="str">
        <f t="shared" si="2"/>
        <v>Non - Ferrous Metals</v>
      </c>
    </row>
    <row r="119" hidden="1">
      <c r="A119" s="3" t="s">
        <v>623</v>
      </c>
      <c r="B119" s="4">
        <v>500239.0</v>
      </c>
      <c r="C119" s="3" t="s">
        <v>624</v>
      </c>
      <c r="D119" s="3" t="s">
        <v>625</v>
      </c>
      <c r="E119" s="3" t="s">
        <v>626</v>
      </c>
      <c r="F119" s="3" t="s">
        <v>19</v>
      </c>
      <c r="G119" s="3" t="s">
        <v>44</v>
      </c>
      <c r="H119" s="3">
        <v>10.0</v>
      </c>
      <c r="I119" s="3" t="s">
        <v>623</v>
      </c>
      <c r="J119" s="3" t="s">
        <v>22</v>
      </c>
      <c r="K119" s="3" t="s">
        <v>58</v>
      </c>
      <c r="L119" s="3" t="s">
        <v>80</v>
      </c>
      <c r="M119" s="3" t="s">
        <v>81</v>
      </c>
      <c r="N119" s="3" t="s">
        <v>82</v>
      </c>
      <c r="O119" s="5">
        <v>69.5915696</v>
      </c>
      <c r="P119" s="6" t="str">
        <f t="shared" si="2"/>
        <v>Textiles &amp; Apparels</v>
      </c>
    </row>
    <row r="120" hidden="1">
      <c r="A120" s="3" t="s">
        <v>627</v>
      </c>
      <c r="B120" s="4">
        <v>500240.0</v>
      </c>
      <c r="C120" s="3" t="s">
        <v>628</v>
      </c>
      <c r="D120" s="3" t="s">
        <v>629</v>
      </c>
      <c r="E120" s="3" t="s">
        <v>630</v>
      </c>
      <c r="F120" s="3" t="s">
        <v>19</v>
      </c>
      <c r="G120" s="3" t="s">
        <v>44</v>
      </c>
      <c r="H120" s="3">
        <v>10.0</v>
      </c>
      <c r="I120" s="3" t="s">
        <v>627</v>
      </c>
      <c r="J120" s="3" t="s">
        <v>22</v>
      </c>
      <c r="K120" s="3" t="s">
        <v>58</v>
      </c>
      <c r="L120" s="3" t="s">
        <v>133</v>
      </c>
      <c r="M120" s="3" t="s">
        <v>134</v>
      </c>
      <c r="N120" s="3" t="s">
        <v>135</v>
      </c>
      <c r="O120" s="5">
        <v>473.2025278</v>
      </c>
      <c r="P120" s="6" t="str">
        <f t="shared" si="2"/>
        <v>Auto Components &amp; Equipments</v>
      </c>
    </row>
    <row r="121">
      <c r="A121" s="3" t="s">
        <v>631</v>
      </c>
      <c r="B121" s="4">
        <v>532286.0</v>
      </c>
      <c r="C121" s="3" t="s">
        <v>632</v>
      </c>
      <c r="D121" s="3" t="s">
        <v>633</v>
      </c>
      <c r="E121" s="3" t="s">
        <v>634</v>
      </c>
      <c r="F121" s="3" t="s">
        <v>19</v>
      </c>
      <c r="G121" s="3" t="s">
        <v>20</v>
      </c>
      <c r="H121" s="3">
        <v>1.0</v>
      </c>
      <c r="I121" s="3" t="s">
        <v>635</v>
      </c>
      <c r="J121" s="3" t="s">
        <v>22</v>
      </c>
      <c r="K121" s="3" t="s">
        <v>23</v>
      </c>
      <c r="L121" s="3" t="s">
        <v>65</v>
      </c>
      <c r="M121" s="3" t="s">
        <v>106</v>
      </c>
      <c r="N121" s="3" t="s">
        <v>107</v>
      </c>
      <c r="O121" s="5">
        <v>104134.0040424</v>
      </c>
      <c r="P121" s="6" t="str">
        <f t="shared" si="2"/>
        <v>Ferrous Metals</v>
      </c>
    </row>
    <row r="122">
      <c r="A122" s="3" t="s">
        <v>636</v>
      </c>
      <c r="B122" s="4">
        <v>532504.0</v>
      </c>
      <c r="C122" s="3" t="s">
        <v>637</v>
      </c>
      <c r="D122" s="3" t="s">
        <v>638</v>
      </c>
      <c r="E122" s="3" t="s">
        <v>639</v>
      </c>
      <c r="F122" s="3" t="s">
        <v>19</v>
      </c>
      <c r="G122" s="3" t="s">
        <v>20</v>
      </c>
      <c r="H122" s="3">
        <v>2.0</v>
      </c>
      <c r="I122" s="3" t="s">
        <v>640</v>
      </c>
      <c r="J122" s="3" t="s">
        <v>22</v>
      </c>
      <c r="K122" s="3" t="s">
        <v>23</v>
      </c>
      <c r="L122" s="3" t="s">
        <v>24</v>
      </c>
      <c r="M122" s="3" t="s">
        <v>25</v>
      </c>
      <c r="N122" s="3" t="s">
        <v>26</v>
      </c>
      <c r="O122" s="5">
        <v>17712.8035111</v>
      </c>
      <c r="P122" s="6" t="str">
        <f t="shared" si="2"/>
        <v>Specialty Chemicals</v>
      </c>
    </row>
    <row r="123">
      <c r="A123" s="3" t="s">
        <v>156</v>
      </c>
      <c r="B123" s="4">
        <v>532508.0</v>
      </c>
      <c r="C123" s="3" t="s">
        <v>641</v>
      </c>
      <c r="D123" s="3" t="s">
        <v>642</v>
      </c>
      <c r="E123" s="3" t="s">
        <v>643</v>
      </c>
      <c r="F123" s="3" t="s">
        <v>19</v>
      </c>
      <c r="G123" s="3" t="s">
        <v>20</v>
      </c>
      <c r="H123" s="3">
        <v>2.0</v>
      </c>
      <c r="I123" s="3" t="s">
        <v>644</v>
      </c>
      <c r="J123" s="3" t="s">
        <v>22</v>
      </c>
      <c r="K123" s="3" t="s">
        <v>23</v>
      </c>
      <c r="L123" s="3" t="s">
        <v>65</v>
      </c>
      <c r="M123" s="3" t="s">
        <v>106</v>
      </c>
      <c r="N123" s="3" t="s">
        <v>107</v>
      </c>
      <c r="O123" s="5">
        <v>67886.099659</v>
      </c>
      <c r="P123" s="6" t="str">
        <f t="shared" si="2"/>
        <v>Ferrous Metals</v>
      </c>
    </row>
    <row r="124" hidden="1">
      <c r="A124" s="3" t="s">
        <v>645</v>
      </c>
      <c r="B124" s="4">
        <v>500246.0</v>
      </c>
      <c r="C124" s="3" t="s">
        <v>646</v>
      </c>
      <c r="D124" s="3" t="s">
        <v>647</v>
      </c>
      <c r="E124" s="3" t="s">
        <v>648</v>
      </c>
      <c r="F124" s="3" t="s">
        <v>19</v>
      </c>
      <c r="G124" s="3" t="s">
        <v>72</v>
      </c>
      <c r="H124" s="3">
        <v>10.0</v>
      </c>
      <c r="I124" s="3" t="s">
        <v>645</v>
      </c>
      <c r="J124" s="3" t="s">
        <v>22</v>
      </c>
      <c r="K124" s="3" t="s">
        <v>97</v>
      </c>
      <c r="L124" s="3" t="s">
        <v>98</v>
      </c>
      <c r="M124" s="3" t="s">
        <v>99</v>
      </c>
      <c r="N124" s="3" t="s">
        <v>100</v>
      </c>
      <c r="O124" s="5">
        <v>88.6182</v>
      </c>
      <c r="P124" s="6" t="str">
        <f t="shared" si="2"/>
        <v>Industrial Products</v>
      </c>
    </row>
    <row r="125">
      <c r="A125" s="3" t="s">
        <v>649</v>
      </c>
      <c r="B125" s="4">
        <v>532538.0</v>
      </c>
      <c r="C125" s="3" t="s">
        <v>650</v>
      </c>
      <c r="D125" s="3" t="s">
        <v>651</v>
      </c>
      <c r="E125" s="3" t="s">
        <v>652</v>
      </c>
      <c r="F125" s="3" t="s">
        <v>19</v>
      </c>
      <c r="G125" s="3" t="s">
        <v>20</v>
      </c>
      <c r="H125" s="3">
        <v>10.0</v>
      </c>
      <c r="I125" s="3" t="s">
        <v>653</v>
      </c>
      <c r="J125" s="3" t="s">
        <v>22</v>
      </c>
      <c r="K125" s="3" t="s">
        <v>23</v>
      </c>
      <c r="L125" s="3" t="s">
        <v>162</v>
      </c>
      <c r="M125" s="3" t="s">
        <v>163</v>
      </c>
      <c r="N125" s="3" t="s">
        <v>163</v>
      </c>
      <c r="O125" s="5">
        <v>333409.2820698</v>
      </c>
      <c r="P125" s="6" t="str">
        <f t="shared" si="2"/>
        <v>Cement &amp; Cement Products</v>
      </c>
    </row>
    <row r="126" hidden="1">
      <c r="A126" s="3" t="s">
        <v>654</v>
      </c>
      <c r="B126" s="4">
        <v>500248.0</v>
      </c>
      <c r="C126" s="3" t="s">
        <v>655</v>
      </c>
      <c r="D126" s="3" t="s">
        <v>656</v>
      </c>
      <c r="E126" s="3" t="s">
        <v>657</v>
      </c>
      <c r="F126" s="3" t="s">
        <v>19</v>
      </c>
      <c r="G126" s="3" t="s">
        <v>72</v>
      </c>
      <c r="H126" s="3">
        <v>10.0</v>
      </c>
      <c r="I126" s="3" t="s">
        <v>654</v>
      </c>
      <c r="J126" s="3" t="s">
        <v>22</v>
      </c>
      <c r="K126" s="3" t="s">
        <v>97</v>
      </c>
      <c r="L126" s="3" t="s">
        <v>98</v>
      </c>
      <c r="M126" s="3" t="s">
        <v>100</v>
      </c>
      <c r="N126" s="3" t="s">
        <v>580</v>
      </c>
      <c r="O126" s="5">
        <v>3.0580392</v>
      </c>
      <c r="P126" s="6" t="str">
        <f t="shared" si="2"/>
        <v>Industrial Products</v>
      </c>
    </row>
    <row r="127">
      <c r="A127" s="3" t="s">
        <v>658</v>
      </c>
      <c r="B127" s="4">
        <v>532644.0</v>
      </c>
      <c r="C127" s="3" t="s">
        <v>659</v>
      </c>
      <c r="D127" s="3" t="s">
        <v>660</v>
      </c>
      <c r="E127" s="3" t="s">
        <v>661</v>
      </c>
      <c r="F127" s="3" t="s">
        <v>19</v>
      </c>
      <c r="G127" s="3" t="s">
        <v>20</v>
      </c>
      <c r="H127" s="3">
        <v>10.0</v>
      </c>
      <c r="I127" s="3" t="s">
        <v>662</v>
      </c>
      <c r="J127" s="3" t="s">
        <v>22</v>
      </c>
      <c r="K127" s="3" t="s">
        <v>23</v>
      </c>
      <c r="L127" s="3" t="s">
        <v>162</v>
      </c>
      <c r="M127" s="3" t="s">
        <v>163</v>
      </c>
      <c r="N127" s="3" t="s">
        <v>163</v>
      </c>
      <c r="O127" s="5">
        <v>32902.2928019</v>
      </c>
      <c r="P127" s="6" t="str">
        <f t="shared" si="2"/>
        <v>Cement &amp; Cement Products</v>
      </c>
    </row>
    <row r="128" hidden="1">
      <c r="A128" s="3" t="s">
        <v>663</v>
      </c>
      <c r="B128" s="4">
        <v>500250.0</v>
      </c>
      <c r="C128" s="3" t="s">
        <v>664</v>
      </c>
      <c r="D128" s="3" t="s">
        <v>665</v>
      </c>
      <c r="E128" s="3" t="s">
        <v>666</v>
      </c>
      <c r="F128" s="3" t="s">
        <v>19</v>
      </c>
      <c r="G128" s="3" t="s">
        <v>20</v>
      </c>
      <c r="H128" s="3">
        <v>10.0</v>
      </c>
      <c r="I128" s="3" t="s">
        <v>663</v>
      </c>
      <c r="J128" s="3" t="s">
        <v>22</v>
      </c>
      <c r="K128" s="3" t="s">
        <v>58</v>
      </c>
      <c r="L128" s="3" t="s">
        <v>133</v>
      </c>
      <c r="M128" s="3" t="s">
        <v>134</v>
      </c>
      <c r="N128" s="3" t="s">
        <v>135</v>
      </c>
      <c r="O128" s="5">
        <v>4479.2910104</v>
      </c>
      <c r="P128" s="6" t="str">
        <f t="shared" si="2"/>
        <v>Auto Components &amp; Equipments</v>
      </c>
    </row>
    <row r="129">
      <c r="A129" s="3" t="s">
        <v>667</v>
      </c>
      <c r="B129" s="4">
        <v>532725.0</v>
      </c>
      <c r="C129" s="3" t="s">
        <v>668</v>
      </c>
      <c r="D129" s="3" t="s">
        <v>669</v>
      </c>
      <c r="E129" s="3" t="s">
        <v>670</v>
      </c>
      <c r="F129" s="3" t="s">
        <v>19</v>
      </c>
      <c r="G129" s="3" t="s">
        <v>20</v>
      </c>
      <c r="H129" s="3">
        <v>2.0</v>
      </c>
      <c r="I129" s="3" t="s">
        <v>671</v>
      </c>
      <c r="J129" s="3" t="s">
        <v>22</v>
      </c>
      <c r="K129" s="3" t="s">
        <v>23</v>
      </c>
      <c r="L129" s="3" t="s">
        <v>24</v>
      </c>
      <c r="M129" s="3" t="s">
        <v>25</v>
      </c>
      <c r="N129" s="3" t="s">
        <v>672</v>
      </c>
      <c r="O129" s="5">
        <v>97569.4340828</v>
      </c>
      <c r="P129" s="6" t="str">
        <f t="shared" si="2"/>
        <v>Chemicals &amp; Petrochemicals</v>
      </c>
    </row>
    <row r="130">
      <c r="A130" s="3" t="s">
        <v>673</v>
      </c>
      <c r="B130" s="4">
        <v>532976.0</v>
      </c>
      <c r="C130" s="3" t="s">
        <v>674</v>
      </c>
      <c r="D130" s="3" t="s">
        <v>675</v>
      </c>
      <c r="E130" s="3" t="s">
        <v>676</v>
      </c>
      <c r="F130" s="3" t="s">
        <v>19</v>
      </c>
      <c r="G130" s="3" t="s">
        <v>86</v>
      </c>
      <c r="H130" s="3">
        <v>10.0</v>
      </c>
      <c r="I130" s="3" t="s">
        <v>677</v>
      </c>
      <c r="J130" s="3" t="s">
        <v>22</v>
      </c>
      <c r="K130" s="3" t="s">
        <v>23</v>
      </c>
      <c r="L130" s="3" t="s">
        <v>65</v>
      </c>
      <c r="M130" s="3" t="s">
        <v>106</v>
      </c>
      <c r="N130" s="3" t="s">
        <v>107</v>
      </c>
      <c r="O130" s="5">
        <v>15943.5374</v>
      </c>
      <c r="P130" s="6" t="str">
        <f t="shared" si="2"/>
        <v>Ferrous Metals</v>
      </c>
    </row>
    <row r="131">
      <c r="A131" s="3" t="s">
        <v>678</v>
      </c>
      <c r="B131" s="4">
        <v>533282.0</v>
      </c>
      <c r="C131" s="3" t="s">
        <v>679</v>
      </c>
      <c r="D131" s="3" t="s">
        <v>680</v>
      </c>
      <c r="E131" s="3" t="s">
        <v>681</v>
      </c>
      <c r="F131" s="3" t="s">
        <v>19</v>
      </c>
      <c r="G131" s="3" t="s">
        <v>20</v>
      </c>
      <c r="H131" s="3">
        <v>2.0</v>
      </c>
      <c r="I131" s="3" t="s">
        <v>682</v>
      </c>
      <c r="J131" s="3" t="s">
        <v>22</v>
      </c>
      <c r="K131" s="3" t="s">
        <v>23</v>
      </c>
      <c r="L131" s="3" t="s">
        <v>65</v>
      </c>
      <c r="M131" s="3" t="s">
        <v>522</v>
      </c>
      <c r="N131" s="3" t="s">
        <v>523</v>
      </c>
      <c r="O131" s="5">
        <v>10029.4767503</v>
      </c>
      <c r="P131" s="6" t="str">
        <f t="shared" si="2"/>
        <v>Minerals &amp; Mining</v>
      </c>
    </row>
    <row r="132">
      <c r="A132" s="3" t="s">
        <v>683</v>
      </c>
      <c r="B132" s="4">
        <v>533286.0</v>
      </c>
      <c r="C132" s="3" t="s">
        <v>684</v>
      </c>
      <c r="D132" s="3" t="s">
        <v>685</v>
      </c>
      <c r="E132" s="3" t="s">
        <v>686</v>
      </c>
      <c r="F132" s="3" t="s">
        <v>19</v>
      </c>
      <c r="G132" s="3" t="s">
        <v>20</v>
      </c>
      <c r="H132" s="3">
        <v>10.0</v>
      </c>
      <c r="I132" s="3" t="s">
        <v>687</v>
      </c>
      <c r="J132" s="3" t="s">
        <v>22</v>
      </c>
      <c r="K132" s="3" t="s">
        <v>23</v>
      </c>
      <c r="L132" s="3" t="s">
        <v>65</v>
      </c>
      <c r="M132" s="3" t="s">
        <v>522</v>
      </c>
      <c r="N132" s="3" t="s">
        <v>523</v>
      </c>
      <c r="O132" s="5">
        <v>10842.89895</v>
      </c>
      <c r="P132" s="6" t="str">
        <f t="shared" si="2"/>
        <v>Minerals &amp; Mining</v>
      </c>
    </row>
    <row r="133" hidden="1">
      <c r="A133" s="3" t="s">
        <v>688</v>
      </c>
      <c r="B133" s="4">
        <v>500259.0</v>
      </c>
      <c r="C133" s="3" t="s">
        <v>689</v>
      </c>
      <c r="D133" s="3" t="s">
        <v>690</v>
      </c>
      <c r="E133" s="3" t="s">
        <v>691</v>
      </c>
      <c r="F133" s="3" t="s">
        <v>19</v>
      </c>
      <c r="G133" s="3" t="s">
        <v>112</v>
      </c>
      <c r="H133" s="3">
        <v>10.0</v>
      </c>
      <c r="I133" s="3" t="s">
        <v>688</v>
      </c>
      <c r="J133" s="3" t="s">
        <v>22</v>
      </c>
      <c r="K133" s="3" t="s">
        <v>45</v>
      </c>
      <c r="L133" s="3" t="s">
        <v>45</v>
      </c>
      <c r="M133" s="3" t="s">
        <v>46</v>
      </c>
      <c r="N133" s="3" t="s">
        <v>47</v>
      </c>
      <c r="O133" s="5">
        <v>386.2096809</v>
      </c>
      <c r="P133" s="6" t="str">
        <f t="shared" si="2"/>
        <v>Pharmaceuticals</v>
      </c>
    </row>
    <row r="134">
      <c r="A134" s="3" t="s">
        <v>161</v>
      </c>
      <c r="B134" s="4">
        <v>535754.0</v>
      </c>
      <c r="C134" s="3" t="s">
        <v>692</v>
      </c>
      <c r="D134" s="3" t="s">
        <v>693</v>
      </c>
      <c r="E134" s="3" t="s">
        <v>694</v>
      </c>
      <c r="F134" s="3" t="s">
        <v>19</v>
      </c>
      <c r="G134" s="3" t="s">
        <v>20</v>
      </c>
      <c r="H134" s="3">
        <v>1.0</v>
      </c>
      <c r="I134" s="3" t="s">
        <v>695</v>
      </c>
      <c r="J134" s="3" t="s">
        <v>22</v>
      </c>
      <c r="K134" s="3" t="s">
        <v>23</v>
      </c>
      <c r="L134" s="3" t="s">
        <v>162</v>
      </c>
      <c r="M134" s="3" t="s">
        <v>163</v>
      </c>
      <c r="N134" s="3" t="s">
        <v>163</v>
      </c>
      <c r="O134" s="5">
        <v>5628.2410938</v>
      </c>
      <c r="P134" s="6" t="str">
        <f t="shared" si="2"/>
        <v>Cement &amp; Cement Products</v>
      </c>
    </row>
    <row r="135" hidden="1">
      <c r="A135" s="3" t="s">
        <v>696</v>
      </c>
      <c r="B135" s="4">
        <v>500262.0</v>
      </c>
      <c r="C135" s="3" t="s">
        <v>697</v>
      </c>
      <c r="D135" s="3" t="s">
        <v>698</v>
      </c>
      <c r="E135" s="3" t="s">
        <v>699</v>
      </c>
      <c r="F135" s="3" t="s">
        <v>19</v>
      </c>
      <c r="G135" s="3" t="s">
        <v>112</v>
      </c>
      <c r="H135" s="3">
        <v>5.0</v>
      </c>
      <c r="I135" s="3" t="s">
        <v>696</v>
      </c>
      <c r="J135" s="3" t="s">
        <v>22</v>
      </c>
      <c r="K135" s="3" t="s">
        <v>204</v>
      </c>
      <c r="L135" s="3" t="s">
        <v>204</v>
      </c>
      <c r="M135" s="3" t="s">
        <v>378</v>
      </c>
      <c r="N135" s="3" t="s">
        <v>379</v>
      </c>
      <c r="O135" s="5">
        <v>33.992023</v>
      </c>
      <c r="P135" s="6" t="str">
        <f t="shared" si="2"/>
        <v>Non Banking Financial Company (NBFC)</v>
      </c>
    </row>
    <row r="136" hidden="1">
      <c r="A136" s="3" t="s">
        <v>700</v>
      </c>
      <c r="B136" s="4">
        <v>500264.0</v>
      </c>
      <c r="C136" s="3" t="s">
        <v>701</v>
      </c>
      <c r="D136" s="3" t="s">
        <v>702</v>
      </c>
      <c r="E136" s="3" t="s">
        <v>703</v>
      </c>
      <c r="F136" s="3" t="s">
        <v>19</v>
      </c>
      <c r="G136" s="3" t="s">
        <v>44</v>
      </c>
      <c r="H136" s="3">
        <v>2.0</v>
      </c>
      <c r="I136" s="3" t="s">
        <v>700</v>
      </c>
      <c r="J136" s="3" t="s">
        <v>22</v>
      </c>
      <c r="K136" s="3" t="s">
        <v>58</v>
      </c>
      <c r="L136" s="3" t="s">
        <v>80</v>
      </c>
      <c r="M136" s="3" t="s">
        <v>81</v>
      </c>
      <c r="N136" s="3" t="s">
        <v>82</v>
      </c>
      <c r="O136" s="5">
        <v>1467.4442165</v>
      </c>
      <c r="P136" s="6" t="str">
        <f t="shared" si="2"/>
        <v>Textiles &amp; Apparels</v>
      </c>
    </row>
    <row r="137">
      <c r="A137" s="3" t="s">
        <v>704</v>
      </c>
      <c r="B137" s="4">
        <v>540575.0</v>
      </c>
      <c r="C137" s="3" t="s">
        <v>705</v>
      </c>
      <c r="D137" s="3" t="s">
        <v>706</v>
      </c>
      <c r="E137" s="3" t="s">
        <v>707</v>
      </c>
      <c r="F137" s="3" t="s">
        <v>19</v>
      </c>
      <c r="G137" s="3" t="s">
        <v>20</v>
      </c>
      <c r="H137" s="3">
        <v>1.0</v>
      </c>
      <c r="I137" s="3" t="s">
        <v>708</v>
      </c>
      <c r="J137" s="3" t="s">
        <v>22</v>
      </c>
      <c r="K137" s="3" t="s">
        <v>23</v>
      </c>
      <c r="L137" s="3" t="s">
        <v>162</v>
      </c>
      <c r="M137" s="3" t="s">
        <v>163</v>
      </c>
      <c r="N137" s="3" t="s">
        <v>163</v>
      </c>
      <c r="O137" s="5">
        <v>8484.3305221</v>
      </c>
      <c r="P137" s="6" t="str">
        <f t="shared" si="2"/>
        <v>Cement &amp; Cement Products</v>
      </c>
    </row>
    <row r="138">
      <c r="A138" s="3" t="s">
        <v>709</v>
      </c>
      <c r="B138" s="4">
        <v>540680.0</v>
      </c>
      <c r="C138" s="3" t="s">
        <v>710</v>
      </c>
      <c r="D138" s="3" t="s">
        <v>711</v>
      </c>
      <c r="E138" s="3" t="s">
        <v>712</v>
      </c>
      <c r="F138" s="3" t="s">
        <v>19</v>
      </c>
      <c r="G138" s="3" t="s">
        <v>20</v>
      </c>
      <c r="H138" s="3">
        <v>10.0</v>
      </c>
      <c r="I138" s="3" t="s">
        <v>713</v>
      </c>
      <c r="J138" s="3" t="s">
        <v>22</v>
      </c>
      <c r="K138" s="3" t="s">
        <v>23</v>
      </c>
      <c r="L138" s="3" t="s">
        <v>65</v>
      </c>
      <c r="M138" s="3" t="s">
        <v>106</v>
      </c>
      <c r="N138" s="3" t="s">
        <v>177</v>
      </c>
      <c r="O138" s="5">
        <v>28274.2179473</v>
      </c>
      <c r="P138" s="6" t="str">
        <f t="shared" si="2"/>
        <v>Ferrous Metals</v>
      </c>
    </row>
    <row r="139">
      <c r="A139" s="3" t="s">
        <v>714</v>
      </c>
      <c r="B139" s="4">
        <v>540935.0</v>
      </c>
      <c r="C139" s="3" t="s">
        <v>715</v>
      </c>
      <c r="D139" s="3" t="s">
        <v>716</v>
      </c>
      <c r="E139" s="3" t="s">
        <v>717</v>
      </c>
      <c r="F139" s="3" t="s">
        <v>19</v>
      </c>
      <c r="G139" s="3" t="s">
        <v>20</v>
      </c>
      <c r="H139" s="3">
        <v>10.0</v>
      </c>
      <c r="I139" s="3" t="s">
        <v>718</v>
      </c>
      <c r="J139" s="3" t="s">
        <v>22</v>
      </c>
      <c r="K139" s="3" t="s">
        <v>23</v>
      </c>
      <c r="L139" s="3" t="s">
        <v>24</v>
      </c>
      <c r="M139" s="3" t="s">
        <v>25</v>
      </c>
      <c r="N139" s="3" t="s">
        <v>26</v>
      </c>
      <c r="O139" s="5">
        <v>9710.292766</v>
      </c>
      <c r="P139" s="6" t="str">
        <f t="shared" si="2"/>
        <v>Specialty Chemicals</v>
      </c>
    </row>
    <row r="140" hidden="1">
      <c r="A140" s="3" t="s">
        <v>719</v>
      </c>
      <c r="B140" s="4">
        <v>500268.0</v>
      </c>
      <c r="C140" s="3" t="s">
        <v>720</v>
      </c>
      <c r="D140" s="3" t="s">
        <v>721</v>
      </c>
      <c r="E140" s="3" t="s">
        <v>722</v>
      </c>
      <c r="F140" s="3" t="s">
        <v>19</v>
      </c>
      <c r="G140" s="3" t="s">
        <v>112</v>
      </c>
      <c r="H140" s="3">
        <v>5.0</v>
      </c>
      <c r="I140" s="3" t="s">
        <v>719</v>
      </c>
      <c r="J140" s="3" t="s">
        <v>22</v>
      </c>
      <c r="K140" s="3" t="s">
        <v>23</v>
      </c>
      <c r="L140" s="3" t="s">
        <v>24</v>
      </c>
      <c r="M140" s="3" t="s">
        <v>25</v>
      </c>
      <c r="N140" s="3" t="s">
        <v>241</v>
      </c>
      <c r="O140" s="5">
        <v>1594.511745</v>
      </c>
      <c r="P140" s="6" t="str">
        <f t="shared" si="2"/>
        <v>Chemicals &amp; Petrochemicals</v>
      </c>
    </row>
    <row r="141" hidden="1">
      <c r="A141" s="3" t="s">
        <v>723</v>
      </c>
      <c r="B141" s="4">
        <v>500270.0</v>
      </c>
      <c r="C141" s="3" t="s">
        <v>724</v>
      </c>
      <c r="D141" s="3" t="s">
        <v>725</v>
      </c>
      <c r="E141" s="3" t="s">
        <v>726</v>
      </c>
      <c r="F141" s="3" t="s">
        <v>19</v>
      </c>
      <c r="G141" s="3" t="s">
        <v>44</v>
      </c>
      <c r="H141" s="3">
        <v>10.0</v>
      </c>
      <c r="I141" s="3" t="s">
        <v>723</v>
      </c>
      <c r="J141" s="3" t="s">
        <v>22</v>
      </c>
      <c r="K141" s="3" t="s">
        <v>58</v>
      </c>
      <c r="L141" s="3" t="s">
        <v>80</v>
      </c>
      <c r="M141" s="3" t="s">
        <v>81</v>
      </c>
      <c r="N141" s="3" t="s">
        <v>82</v>
      </c>
      <c r="O141" s="5">
        <v>370.578285</v>
      </c>
      <c r="P141" s="6" t="str">
        <f t="shared" si="2"/>
        <v>Textiles &amp; Apparels</v>
      </c>
    </row>
    <row r="142">
      <c r="A142" s="3" t="s">
        <v>727</v>
      </c>
      <c r="B142" s="4">
        <v>541557.0</v>
      </c>
      <c r="C142" s="3" t="s">
        <v>728</v>
      </c>
      <c r="D142" s="3" t="s">
        <v>729</v>
      </c>
      <c r="E142" s="3" t="s">
        <v>730</v>
      </c>
      <c r="F142" s="3" t="s">
        <v>19</v>
      </c>
      <c r="G142" s="3" t="s">
        <v>20</v>
      </c>
      <c r="H142" s="3">
        <v>5.0</v>
      </c>
      <c r="I142" s="3" t="s">
        <v>731</v>
      </c>
      <c r="J142" s="3" t="s">
        <v>22</v>
      </c>
      <c r="K142" s="3" t="s">
        <v>23</v>
      </c>
      <c r="L142" s="3" t="s">
        <v>24</v>
      </c>
      <c r="M142" s="3" t="s">
        <v>25</v>
      </c>
      <c r="N142" s="3" t="s">
        <v>26</v>
      </c>
      <c r="O142" s="5">
        <v>15214.072311</v>
      </c>
      <c r="P142" s="6" t="str">
        <f t="shared" si="2"/>
        <v>Specialty Chemicals</v>
      </c>
    </row>
    <row r="143" hidden="1">
      <c r="A143" s="3" t="s">
        <v>732</v>
      </c>
      <c r="B143" s="4">
        <v>500277.0</v>
      </c>
      <c r="C143" s="3" t="s">
        <v>733</v>
      </c>
      <c r="D143" s="3" t="s">
        <v>734</v>
      </c>
      <c r="E143" s="3" t="s">
        <v>735</v>
      </c>
      <c r="F143" s="3" t="s">
        <v>19</v>
      </c>
      <c r="G143" s="3" t="s">
        <v>72</v>
      </c>
      <c r="H143" s="3">
        <v>10.0</v>
      </c>
      <c r="I143" s="3" t="s">
        <v>732</v>
      </c>
      <c r="J143" s="3" t="s">
        <v>22</v>
      </c>
      <c r="K143" s="3" t="s">
        <v>58</v>
      </c>
      <c r="L143" s="3" t="s">
        <v>80</v>
      </c>
      <c r="M143" s="3" t="s">
        <v>81</v>
      </c>
      <c r="N143" s="3" t="s">
        <v>82</v>
      </c>
      <c r="O143" s="5">
        <v>15.8687477</v>
      </c>
      <c r="P143" s="6" t="str">
        <f t="shared" si="2"/>
        <v>Textiles &amp; Apparels</v>
      </c>
    </row>
    <row r="144" hidden="1">
      <c r="A144" s="3" t="s">
        <v>736</v>
      </c>
      <c r="B144" s="4">
        <v>500279.0</v>
      </c>
      <c r="C144" s="3" t="s">
        <v>737</v>
      </c>
      <c r="D144" s="3" t="s">
        <v>738</v>
      </c>
      <c r="E144" s="3" t="s">
        <v>739</v>
      </c>
      <c r="F144" s="3" t="s">
        <v>19</v>
      </c>
      <c r="G144" s="3" t="s">
        <v>112</v>
      </c>
      <c r="H144" s="3">
        <v>1.0</v>
      </c>
      <c r="I144" s="3" t="s">
        <v>736</v>
      </c>
      <c r="J144" s="3" t="s">
        <v>22</v>
      </c>
      <c r="K144" s="3" t="s">
        <v>58</v>
      </c>
      <c r="L144" s="3" t="s">
        <v>211</v>
      </c>
      <c r="M144" s="3" t="s">
        <v>211</v>
      </c>
      <c r="N144" s="3" t="s">
        <v>212</v>
      </c>
      <c r="O144" s="5">
        <v>472.9634247</v>
      </c>
      <c r="P144" s="6" t="str">
        <f t="shared" si="2"/>
        <v>Consumer Durables</v>
      </c>
    </row>
    <row r="145" hidden="1">
      <c r="A145" s="3" t="s">
        <v>740</v>
      </c>
      <c r="B145" s="4">
        <v>500280.0</v>
      </c>
      <c r="C145" s="3" t="s">
        <v>741</v>
      </c>
      <c r="D145" s="3" t="s">
        <v>742</v>
      </c>
      <c r="E145" s="3" t="s">
        <v>743</v>
      </c>
      <c r="F145" s="3" t="s">
        <v>19</v>
      </c>
      <c r="G145" s="3" t="s">
        <v>112</v>
      </c>
      <c r="H145" s="3">
        <v>10.0</v>
      </c>
      <c r="I145" s="3" t="s">
        <v>740</v>
      </c>
      <c r="J145" s="3" t="s">
        <v>22</v>
      </c>
      <c r="K145" s="3" t="s">
        <v>58</v>
      </c>
      <c r="L145" s="3" t="s">
        <v>80</v>
      </c>
      <c r="M145" s="3" t="s">
        <v>81</v>
      </c>
      <c r="N145" s="3" t="s">
        <v>82</v>
      </c>
      <c r="O145" s="5">
        <v>1305.8940257</v>
      </c>
      <c r="P145" s="6" t="str">
        <f t="shared" si="2"/>
        <v>Textiles &amp; Apparels</v>
      </c>
    </row>
    <row r="146" hidden="1">
      <c r="A146" s="3" t="s">
        <v>744</v>
      </c>
      <c r="B146" s="4">
        <v>500282.0</v>
      </c>
      <c r="C146" s="3" t="s">
        <v>745</v>
      </c>
      <c r="D146" s="3" t="s">
        <v>746</v>
      </c>
      <c r="E146" s="3" t="s">
        <v>747</v>
      </c>
      <c r="F146" s="3" t="s">
        <v>19</v>
      </c>
      <c r="G146" s="3" t="s">
        <v>86</v>
      </c>
      <c r="H146" s="3">
        <v>10.0</v>
      </c>
      <c r="I146" s="3" t="s">
        <v>744</v>
      </c>
      <c r="J146" s="3" t="s">
        <v>22</v>
      </c>
      <c r="K146" s="3" t="s">
        <v>58</v>
      </c>
      <c r="L146" s="3" t="s">
        <v>80</v>
      </c>
      <c r="M146" s="3" t="s">
        <v>81</v>
      </c>
      <c r="N146" s="3" t="s">
        <v>82</v>
      </c>
      <c r="O146" s="5">
        <v>230.6238963</v>
      </c>
      <c r="P146" s="6" t="str">
        <f t="shared" si="2"/>
        <v>Textiles &amp; Apparels</v>
      </c>
    </row>
    <row r="147" hidden="1">
      <c r="A147" s="3" t="s">
        <v>748</v>
      </c>
      <c r="B147" s="4">
        <v>500284.0</v>
      </c>
      <c r="C147" s="3" t="s">
        <v>749</v>
      </c>
      <c r="D147" s="3" t="s">
        <v>750</v>
      </c>
      <c r="E147" s="3" t="s">
        <v>751</v>
      </c>
      <c r="F147" s="3" t="s">
        <v>19</v>
      </c>
      <c r="G147" s="3" t="s">
        <v>86</v>
      </c>
      <c r="H147" s="3">
        <v>10.0</v>
      </c>
      <c r="I147" s="3" t="s">
        <v>748</v>
      </c>
      <c r="J147" s="3" t="s">
        <v>22</v>
      </c>
      <c r="K147" s="3" t="s">
        <v>23</v>
      </c>
      <c r="L147" s="3" t="s">
        <v>24</v>
      </c>
      <c r="M147" s="3" t="s">
        <v>25</v>
      </c>
      <c r="N147" s="3" t="s">
        <v>52</v>
      </c>
      <c r="O147" s="5">
        <v>323.0883503</v>
      </c>
      <c r="P147" s="6" t="str">
        <f t="shared" si="2"/>
        <v>Chemicals &amp; Petrochemicals</v>
      </c>
    </row>
    <row r="148">
      <c r="A148" s="3" t="s">
        <v>752</v>
      </c>
      <c r="B148" s="4">
        <v>542216.0</v>
      </c>
      <c r="C148" s="3" t="s">
        <v>753</v>
      </c>
      <c r="D148" s="3" t="s">
        <v>754</v>
      </c>
      <c r="E148" s="3" t="s">
        <v>755</v>
      </c>
      <c r="F148" s="3" t="s">
        <v>19</v>
      </c>
      <c r="G148" s="3" t="s">
        <v>20</v>
      </c>
      <c r="H148" s="3">
        <v>2.0</v>
      </c>
      <c r="I148" s="3" t="s">
        <v>756</v>
      </c>
      <c r="J148" s="3" t="s">
        <v>22</v>
      </c>
      <c r="K148" s="3" t="s">
        <v>23</v>
      </c>
      <c r="L148" s="3" t="s">
        <v>162</v>
      </c>
      <c r="M148" s="3" t="s">
        <v>163</v>
      </c>
      <c r="N148" s="3" t="s">
        <v>163</v>
      </c>
      <c r="O148" s="5">
        <v>33671.61468</v>
      </c>
      <c r="P148" s="6" t="str">
        <f t="shared" si="2"/>
        <v>Cement &amp; Cement Products</v>
      </c>
    </row>
    <row r="149" hidden="1">
      <c r="A149" s="3" t="s">
        <v>757</v>
      </c>
      <c r="B149" s="4">
        <v>500288.0</v>
      </c>
      <c r="C149" s="3" t="s">
        <v>758</v>
      </c>
      <c r="D149" s="3" t="s">
        <v>759</v>
      </c>
      <c r="E149" s="3" t="s">
        <v>760</v>
      </c>
      <c r="F149" s="3" t="s">
        <v>19</v>
      </c>
      <c r="G149" s="3" t="s">
        <v>20</v>
      </c>
      <c r="H149" s="3">
        <v>2.0</v>
      </c>
      <c r="I149" s="3" t="s">
        <v>757</v>
      </c>
      <c r="J149" s="3" t="s">
        <v>22</v>
      </c>
      <c r="K149" s="3" t="s">
        <v>45</v>
      </c>
      <c r="L149" s="3" t="s">
        <v>45</v>
      </c>
      <c r="M149" s="3" t="s">
        <v>46</v>
      </c>
      <c r="N149" s="3" t="s">
        <v>47</v>
      </c>
      <c r="O149" s="5">
        <v>2783.9991693</v>
      </c>
      <c r="P149" s="6" t="str">
        <f t="shared" si="2"/>
        <v>Pharmaceuticals</v>
      </c>
    </row>
    <row r="150">
      <c r="A150" s="3" t="s">
        <v>761</v>
      </c>
      <c r="B150" s="4">
        <v>542812.0</v>
      </c>
      <c r="C150" s="3" t="s">
        <v>762</v>
      </c>
      <c r="D150" s="3" t="s">
        <v>763</v>
      </c>
      <c r="E150" s="3" t="s">
        <v>764</v>
      </c>
      <c r="F150" s="3" t="s">
        <v>19</v>
      </c>
      <c r="G150" s="3" t="s">
        <v>20</v>
      </c>
      <c r="H150" s="3">
        <v>1.0</v>
      </c>
      <c r="I150" s="3" t="s">
        <v>765</v>
      </c>
      <c r="J150" s="3" t="s">
        <v>22</v>
      </c>
      <c r="K150" s="3" t="s">
        <v>23</v>
      </c>
      <c r="L150" s="3" t="s">
        <v>24</v>
      </c>
      <c r="M150" s="3" t="s">
        <v>25</v>
      </c>
      <c r="N150" s="3" t="s">
        <v>26</v>
      </c>
      <c r="O150" s="5">
        <v>34763.008325</v>
      </c>
      <c r="P150" s="6" t="str">
        <f t="shared" si="2"/>
        <v>Specialty Chemicals</v>
      </c>
    </row>
    <row r="151" hidden="1">
      <c r="A151" s="3" t="s">
        <v>766</v>
      </c>
      <c r="B151" s="4">
        <v>500292.0</v>
      </c>
      <c r="C151" s="3" t="s">
        <v>767</v>
      </c>
      <c r="D151" s="3" t="s">
        <v>768</v>
      </c>
      <c r="E151" s="3" t="s">
        <v>769</v>
      </c>
      <c r="F151" s="3" t="s">
        <v>19</v>
      </c>
      <c r="G151" s="3" t="s">
        <v>20</v>
      </c>
      <c r="H151" s="3">
        <v>10.0</v>
      </c>
      <c r="I151" s="3" t="s">
        <v>766</v>
      </c>
      <c r="J151" s="3" t="s">
        <v>22</v>
      </c>
      <c r="K151" s="3" t="s">
        <v>23</v>
      </c>
      <c r="L151" s="3" t="s">
        <v>162</v>
      </c>
      <c r="M151" s="3" t="s">
        <v>163</v>
      </c>
      <c r="N151" s="3" t="s">
        <v>163</v>
      </c>
      <c r="O151" s="5">
        <v>4969.7585286</v>
      </c>
      <c r="P151" s="6" t="str">
        <f t="shared" si="2"/>
        <v>Cement &amp; Cement Products</v>
      </c>
    </row>
    <row r="152">
      <c r="A152" s="3" t="s">
        <v>770</v>
      </c>
      <c r="B152" s="4">
        <v>542920.0</v>
      </c>
      <c r="C152" s="3" t="s">
        <v>771</v>
      </c>
      <c r="D152" s="3" t="s">
        <v>772</v>
      </c>
      <c r="E152" s="3" t="s">
        <v>773</v>
      </c>
      <c r="F152" s="3" t="s">
        <v>19</v>
      </c>
      <c r="G152" s="3" t="s">
        <v>20</v>
      </c>
      <c r="H152" s="3">
        <v>10.0</v>
      </c>
      <c r="I152" s="3" t="s">
        <v>774</v>
      </c>
      <c r="J152" s="3" t="s">
        <v>22</v>
      </c>
      <c r="K152" s="3" t="s">
        <v>23</v>
      </c>
      <c r="L152" s="3" t="s">
        <v>24</v>
      </c>
      <c r="M152" s="3" t="s">
        <v>91</v>
      </c>
      <c r="N152" s="3" t="s">
        <v>252</v>
      </c>
      <c r="O152" s="5">
        <v>25477.8588954</v>
      </c>
      <c r="P152" s="6" t="str">
        <f t="shared" si="2"/>
        <v>Fertilizers &amp; Agrochemicals</v>
      </c>
    </row>
    <row r="153">
      <c r="A153" s="3" t="s">
        <v>167</v>
      </c>
      <c r="B153" s="4">
        <v>543271.0</v>
      </c>
      <c r="C153" s="3" t="s">
        <v>775</v>
      </c>
      <c r="D153" s="3" t="s">
        <v>776</v>
      </c>
      <c r="E153" s="3" t="s">
        <v>777</v>
      </c>
      <c r="F153" s="3" t="s">
        <v>19</v>
      </c>
      <c r="G153" s="3" t="s">
        <v>20</v>
      </c>
      <c r="H153" s="3">
        <v>1.0</v>
      </c>
      <c r="I153" s="3" t="s">
        <v>778</v>
      </c>
      <c r="J153" s="3" t="s">
        <v>22</v>
      </c>
      <c r="K153" s="3" t="s">
        <v>23</v>
      </c>
      <c r="L153" s="3" t="s">
        <v>24</v>
      </c>
      <c r="M153" s="3" t="s">
        <v>25</v>
      </c>
      <c r="N153" s="3" t="s">
        <v>26</v>
      </c>
      <c r="O153" s="5">
        <v>8025.7700088</v>
      </c>
      <c r="P153" s="6" t="str">
        <f t="shared" si="2"/>
        <v>Specialty Chemicals</v>
      </c>
    </row>
    <row r="154" hidden="1">
      <c r="A154" s="3" t="s">
        <v>779</v>
      </c>
      <c r="B154" s="4">
        <v>500296.0</v>
      </c>
      <c r="C154" s="3" t="s">
        <v>780</v>
      </c>
      <c r="D154" s="3" t="s">
        <v>781</v>
      </c>
      <c r="E154" s="3" t="s">
        <v>782</v>
      </c>
      <c r="F154" s="3" t="s">
        <v>19</v>
      </c>
      <c r="G154" s="3" t="s">
        <v>112</v>
      </c>
      <c r="H154" s="3">
        <v>5.0</v>
      </c>
      <c r="I154" s="3" t="s">
        <v>779</v>
      </c>
      <c r="J154" s="3" t="s">
        <v>22</v>
      </c>
      <c r="K154" s="3" t="s">
        <v>58</v>
      </c>
      <c r="L154" s="3" t="s">
        <v>80</v>
      </c>
      <c r="M154" s="3" t="s">
        <v>81</v>
      </c>
      <c r="N154" s="3" t="s">
        <v>82</v>
      </c>
      <c r="O154" s="5">
        <v>1123.3087838</v>
      </c>
      <c r="P154" s="6" t="str">
        <f t="shared" si="2"/>
        <v>Textiles &amp; Apparels</v>
      </c>
    </row>
    <row r="155" hidden="1">
      <c r="A155" s="3" t="s">
        <v>783</v>
      </c>
      <c r="B155" s="4">
        <v>500298.0</v>
      </c>
      <c r="C155" s="3" t="s">
        <v>784</v>
      </c>
      <c r="D155" s="3" t="s">
        <v>785</v>
      </c>
      <c r="E155" s="3" t="s">
        <v>786</v>
      </c>
      <c r="F155" s="3" t="s">
        <v>19</v>
      </c>
      <c r="G155" s="3" t="s">
        <v>44</v>
      </c>
      <c r="H155" s="3">
        <v>10.0</v>
      </c>
      <c r="I155" s="3" t="s">
        <v>783</v>
      </c>
      <c r="J155" s="3" t="s">
        <v>22</v>
      </c>
      <c r="K155" s="3" t="s">
        <v>23</v>
      </c>
      <c r="L155" s="3" t="s">
        <v>24</v>
      </c>
      <c r="M155" s="3" t="s">
        <v>25</v>
      </c>
      <c r="N155" s="3" t="s">
        <v>52</v>
      </c>
      <c r="O155" s="5">
        <v>626.593123</v>
      </c>
      <c r="P155" s="6" t="str">
        <f t="shared" si="2"/>
        <v>Chemicals &amp; Petrochemicals</v>
      </c>
    </row>
    <row r="156">
      <c r="A156" s="3" t="s">
        <v>195</v>
      </c>
      <c r="B156" s="4">
        <v>543275.0</v>
      </c>
      <c r="C156" s="3" t="s">
        <v>787</v>
      </c>
      <c r="D156" s="3" t="s">
        <v>788</v>
      </c>
      <c r="E156" s="3" t="s">
        <v>789</v>
      </c>
      <c r="F156" s="3" t="s">
        <v>19</v>
      </c>
      <c r="G156" s="3" t="s">
        <v>20</v>
      </c>
      <c r="H156" s="3">
        <v>10.0</v>
      </c>
      <c r="I156" s="3" t="s">
        <v>790</v>
      </c>
      <c r="J156" s="3" t="s">
        <v>22</v>
      </c>
      <c r="K156" s="3" t="s">
        <v>23</v>
      </c>
      <c r="L156" s="3" t="s">
        <v>24</v>
      </c>
      <c r="M156" s="3" t="s">
        <v>25</v>
      </c>
      <c r="N156" s="3" t="s">
        <v>26</v>
      </c>
      <c r="O156" s="5">
        <v>8353.7267146</v>
      </c>
      <c r="P156" s="6" t="str">
        <f t="shared" si="2"/>
        <v>Specialty Chemicals</v>
      </c>
    </row>
    <row r="157">
      <c r="A157" s="3" t="s">
        <v>791</v>
      </c>
      <c r="B157" s="4">
        <v>543277.0</v>
      </c>
      <c r="C157" s="3" t="s">
        <v>792</v>
      </c>
      <c r="D157" s="3" t="s">
        <v>793</v>
      </c>
      <c r="E157" s="3" t="s">
        <v>794</v>
      </c>
      <c r="F157" s="3" t="s">
        <v>19</v>
      </c>
      <c r="G157" s="3" t="s">
        <v>20</v>
      </c>
      <c r="H157" s="3">
        <v>2.0</v>
      </c>
      <c r="I157" s="3" t="s">
        <v>795</v>
      </c>
      <c r="J157" s="3" t="s">
        <v>22</v>
      </c>
      <c r="K157" s="3" t="s">
        <v>23</v>
      </c>
      <c r="L157" s="3" t="s">
        <v>24</v>
      </c>
      <c r="M157" s="3" t="s">
        <v>25</v>
      </c>
      <c r="N157" s="3" t="s">
        <v>26</v>
      </c>
      <c r="O157" s="5">
        <v>7027.6646091</v>
      </c>
      <c r="P157" s="6" t="str">
        <f t="shared" si="2"/>
        <v>Specialty Chemicals</v>
      </c>
    </row>
    <row r="158" hidden="1">
      <c r="A158" s="3" t="s">
        <v>796</v>
      </c>
      <c r="B158" s="4">
        <v>500304.0</v>
      </c>
      <c r="C158" s="3" t="s">
        <v>797</v>
      </c>
      <c r="D158" s="3" t="s">
        <v>798</v>
      </c>
      <c r="E158" s="3" t="s">
        <v>799</v>
      </c>
      <c r="F158" s="3" t="s">
        <v>19</v>
      </c>
      <c r="G158" s="3" t="s">
        <v>20</v>
      </c>
      <c r="H158" s="3">
        <v>2.0</v>
      </c>
      <c r="I158" s="3" t="s">
        <v>796</v>
      </c>
      <c r="J158" s="3" t="s">
        <v>22</v>
      </c>
      <c r="K158" s="3" t="s">
        <v>58</v>
      </c>
      <c r="L158" s="3" t="s">
        <v>73</v>
      </c>
      <c r="M158" s="3" t="s">
        <v>800</v>
      </c>
      <c r="N158" s="3" t="s">
        <v>801</v>
      </c>
      <c r="O158" s="5">
        <v>1478.9162625</v>
      </c>
      <c r="P158" s="6" t="str">
        <f t="shared" si="2"/>
        <v>Other Consumer Services</v>
      </c>
    </row>
    <row r="159" hidden="1">
      <c r="A159" s="3" t="s">
        <v>802</v>
      </c>
      <c r="B159" s="4">
        <v>500306.0</v>
      </c>
      <c r="C159" s="3" t="s">
        <v>803</v>
      </c>
      <c r="D159" s="3" t="s">
        <v>804</v>
      </c>
      <c r="E159" s="3" t="s">
        <v>805</v>
      </c>
      <c r="F159" s="3" t="s">
        <v>19</v>
      </c>
      <c r="G159" s="3" t="s">
        <v>44</v>
      </c>
      <c r="H159" s="3">
        <v>1.0</v>
      </c>
      <c r="I159" s="3" t="s">
        <v>802</v>
      </c>
      <c r="J159" s="3" t="s">
        <v>22</v>
      </c>
      <c r="K159" s="3" t="s">
        <v>97</v>
      </c>
      <c r="L159" s="3" t="s">
        <v>98</v>
      </c>
      <c r="M159" s="3" t="s">
        <v>806</v>
      </c>
      <c r="N159" s="3" t="s">
        <v>806</v>
      </c>
      <c r="O159" s="5">
        <v>913.5599271</v>
      </c>
      <c r="P159" s="6" t="str">
        <f t="shared" si="2"/>
        <v>Aerospace &amp; Defense</v>
      </c>
    </row>
    <row r="160">
      <c r="A160" s="3" t="s">
        <v>807</v>
      </c>
      <c r="B160" s="4">
        <v>543318.0</v>
      </c>
      <c r="C160" s="3" t="s">
        <v>808</v>
      </c>
      <c r="D160" s="3" t="s">
        <v>809</v>
      </c>
      <c r="E160" s="3" t="s">
        <v>810</v>
      </c>
      <c r="F160" s="3" t="s">
        <v>19</v>
      </c>
      <c r="G160" s="3" t="s">
        <v>20</v>
      </c>
      <c r="H160" s="3">
        <v>1.0</v>
      </c>
      <c r="I160" s="3" t="s">
        <v>811</v>
      </c>
      <c r="J160" s="3" t="s">
        <v>22</v>
      </c>
      <c r="K160" s="3" t="s">
        <v>23</v>
      </c>
      <c r="L160" s="3" t="s">
        <v>24</v>
      </c>
      <c r="M160" s="3" t="s">
        <v>25</v>
      </c>
      <c r="N160" s="3" t="s">
        <v>26</v>
      </c>
      <c r="O160" s="5">
        <v>15510.50384</v>
      </c>
      <c r="P160" s="6" t="str">
        <f t="shared" si="2"/>
        <v>Specialty Chemicals</v>
      </c>
    </row>
    <row r="161">
      <c r="A161" s="3" t="s">
        <v>812</v>
      </c>
      <c r="B161" s="4">
        <v>543332.0</v>
      </c>
      <c r="C161" s="3" t="s">
        <v>813</v>
      </c>
      <c r="D161" s="3" t="s">
        <v>814</v>
      </c>
      <c r="E161" s="3" t="s">
        <v>815</v>
      </c>
      <c r="F161" s="3" t="s">
        <v>19</v>
      </c>
      <c r="G161" s="3" t="s">
        <v>20</v>
      </c>
      <c r="H161" s="3">
        <v>10.0</v>
      </c>
      <c r="I161" s="3" t="s">
        <v>816</v>
      </c>
      <c r="J161" s="3" t="s">
        <v>22</v>
      </c>
      <c r="K161" s="3" t="s">
        <v>23</v>
      </c>
      <c r="L161" s="3" t="s">
        <v>24</v>
      </c>
      <c r="M161" s="3" t="s">
        <v>25</v>
      </c>
      <c r="N161" s="3" t="s">
        <v>26</v>
      </c>
      <c r="O161" s="5">
        <v>5841.3537354</v>
      </c>
      <c r="P161" s="6" t="str">
        <f t="shared" si="2"/>
        <v>Specialty Chemicals</v>
      </c>
    </row>
    <row r="162" hidden="1">
      <c r="A162" s="3" t="s">
        <v>817</v>
      </c>
      <c r="B162" s="4">
        <v>500313.0</v>
      </c>
      <c r="C162" s="3" t="s">
        <v>818</v>
      </c>
      <c r="D162" s="3" t="s">
        <v>819</v>
      </c>
      <c r="E162" s="3" t="s">
        <v>820</v>
      </c>
      <c r="F162" s="3" t="s">
        <v>19</v>
      </c>
      <c r="G162" s="3" t="s">
        <v>86</v>
      </c>
      <c r="H162" s="3">
        <v>10.0</v>
      </c>
      <c r="I162" s="3" t="s">
        <v>817</v>
      </c>
      <c r="J162" s="3" t="s">
        <v>22</v>
      </c>
      <c r="K162" s="3" t="s">
        <v>410</v>
      </c>
      <c r="L162" s="3" t="s">
        <v>411</v>
      </c>
      <c r="M162" s="3" t="s">
        <v>412</v>
      </c>
      <c r="N162" s="3" t="s">
        <v>821</v>
      </c>
      <c r="O162" s="5">
        <v>166.366236</v>
      </c>
      <c r="P162" s="6" t="str">
        <f t="shared" si="2"/>
        <v>Oil</v>
      </c>
    </row>
    <row r="163" hidden="1">
      <c r="A163" s="3" t="s">
        <v>822</v>
      </c>
      <c r="B163" s="4">
        <v>500314.0</v>
      </c>
      <c r="C163" s="3" t="s">
        <v>823</v>
      </c>
      <c r="D163" s="3" t="s">
        <v>824</v>
      </c>
      <c r="E163" s="3" t="s">
        <v>825</v>
      </c>
      <c r="F163" s="3" t="s">
        <v>19</v>
      </c>
      <c r="G163" s="3" t="s">
        <v>112</v>
      </c>
      <c r="H163" s="3">
        <v>1.0</v>
      </c>
      <c r="I163" s="3" t="s">
        <v>822</v>
      </c>
      <c r="J163" s="3" t="s">
        <v>22</v>
      </c>
      <c r="K163" s="3" t="s">
        <v>58</v>
      </c>
      <c r="L163" s="3" t="s">
        <v>73</v>
      </c>
      <c r="M163" s="3" t="s">
        <v>74</v>
      </c>
      <c r="N163" s="3" t="s">
        <v>75</v>
      </c>
      <c r="O163" s="5">
        <v>2435.158854</v>
      </c>
      <c r="P163" s="6" t="str">
        <f t="shared" si="2"/>
        <v>Leisure Services</v>
      </c>
    </row>
    <row r="164">
      <c r="A164" s="3" t="s">
        <v>826</v>
      </c>
      <c r="B164" s="4">
        <v>543334.0</v>
      </c>
      <c r="C164" s="3" t="s">
        <v>827</v>
      </c>
      <c r="D164" s="3" t="s">
        <v>828</v>
      </c>
      <c r="E164" s="3" t="s">
        <v>829</v>
      </c>
      <c r="F164" s="3" t="s">
        <v>19</v>
      </c>
      <c r="G164" s="3" t="s">
        <v>20</v>
      </c>
      <c r="H164" s="3">
        <v>10.0</v>
      </c>
      <c r="I164" s="3" t="s">
        <v>830</v>
      </c>
      <c r="J164" s="3" t="s">
        <v>22</v>
      </c>
      <c r="K164" s="3" t="s">
        <v>23</v>
      </c>
      <c r="L164" s="3" t="s">
        <v>162</v>
      </c>
      <c r="M164" s="3" t="s">
        <v>163</v>
      </c>
      <c r="N164" s="3" t="s">
        <v>163</v>
      </c>
      <c r="O164" s="5">
        <v>12549.4559204</v>
      </c>
      <c r="P164" s="6" t="str">
        <f t="shared" si="2"/>
        <v>Cement &amp; Cement Products</v>
      </c>
    </row>
    <row r="165" hidden="1">
      <c r="A165" s="3" t="s">
        <v>831</v>
      </c>
      <c r="B165" s="4">
        <v>500319.0</v>
      </c>
      <c r="C165" s="3" t="s">
        <v>832</v>
      </c>
      <c r="D165" s="3" t="s">
        <v>833</v>
      </c>
      <c r="E165" s="3" t="s">
        <v>834</v>
      </c>
      <c r="F165" s="3" t="s">
        <v>19</v>
      </c>
      <c r="G165" s="3" t="s">
        <v>44</v>
      </c>
      <c r="H165" s="3">
        <v>10.0</v>
      </c>
      <c r="I165" s="3" t="s">
        <v>831</v>
      </c>
      <c r="J165" s="3" t="s">
        <v>22</v>
      </c>
      <c r="K165" s="3" t="s">
        <v>145</v>
      </c>
      <c r="L165" s="3" t="s">
        <v>145</v>
      </c>
      <c r="M165" s="3" t="s">
        <v>146</v>
      </c>
      <c r="N165" s="3" t="s">
        <v>147</v>
      </c>
      <c r="O165" s="5">
        <v>192.1819054</v>
      </c>
      <c r="P165" s="6" t="str">
        <f t="shared" si="2"/>
        <v>Agricultural Food &amp; other Products</v>
      </c>
    </row>
    <row r="166" hidden="1">
      <c r="A166" s="3" t="s">
        <v>835</v>
      </c>
      <c r="B166" s="4">
        <v>500322.0</v>
      </c>
      <c r="C166" s="3" t="s">
        <v>836</v>
      </c>
      <c r="D166" s="3" t="s">
        <v>837</v>
      </c>
      <c r="E166" s="3" t="s">
        <v>838</v>
      </c>
      <c r="F166" s="3" t="s">
        <v>19</v>
      </c>
      <c r="G166" s="3" t="s">
        <v>72</v>
      </c>
      <c r="H166" s="3">
        <v>10.0</v>
      </c>
      <c r="I166" s="3" t="s">
        <v>835</v>
      </c>
      <c r="J166" s="3" t="s">
        <v>22</v>
      </c>
      <c r="K166" s="3" t="s">
        <v>23</v>
      </c>
      <c r="L166" s="3" t="s">
        <v>162</v>
      </c>
      <c r="M166" s="3" t="s">
        <v>163</v>
      </c>
      <c r="N166" s="3" t="s">
        <v>163</v>
      </c>
      <c r="O166" s="5">
        <v>187.5976605</v>
      </c>
      <c r="P166" s="6" t="str">
        <f t="shared" si="2"/>
        <v>Cement &amp; Cement Products</v>
      </c>
    </row>
    <row r="167">
      <c r="A167" s="3" t="s">
        <v>839</v>
      </c>
      <c r="B167" s="4">
        <v>543336.0</v>
      </c>
      <c r="C167" s="3" t="s">
        <v>840</v>
      </c>
      <c r="D167" s="3" t="s">
        <v>841</v>
      </c>
      <c r="E167" s="3" t="s">
        <v>842</v>
      </c>
      <c r="F167" s="3" t="s">
        <v>19</v>
      </c>
      <c r="G167" s="3" t="s">
        <v>20</v>
      </c>
      <c r="H167" s="3">
        <v>5.0</v>
      </c>
      <c r="I167" s="3" t="s">
        <v>843</v>
      </c>
      <c r="J167" s="3" t="s">
        <v>22</v>
      </c>
      <c r="K167" s="3" t="s">
        <v>23</v>
      </c>
      <c r="L167" s="3" t="s">
        <v>24</v>
      </c>
      <c r="M167" s="3" t="s">
        <v>25</v>
      </c>
      <c r="N167" s="3" t="s">
        <v>52</v>
      </c>
      <c r="O167" s="5">
        <v>8667.4527395</v>
      </c>
      <c r="P167" s="6" t="str">
        <f t="shared" si="2"/>
        <v>Chemicals &amp; Petrochemicals</v>
      </c>
    </row>
    <row r="168" hidden="1">
      <c r="A168" s="3" t="s">
        <v>844</v>
      </c>
      <c r="B168" s="4">
        <v>500327.0</v>
      </c>
      <c r="C168" s="3" t="s">
        <v>845</v>
      </c>
      <c r="D168" s="3" t="s">
        <v>846</v>
      </c>
      <c r="E168" s="3" t="s">
        <v>847</v>
      </c>
      <c r="F168" s="3" t="s">
        <v>19</v>
      </c>
      <c r="G168" s="3" t="s">
        <v>112</v>
      </c>
      <c r="H168" s="3">
        <v>1.0</v>
      </c>
      <c r="I168" s="3" t="s">
        <v>844</v>
      </c>
      <c r="J168" s="3" t="s">
        <v>22</v>
      </c>
      <c r="K168" s="3" t="s">
        <v>58</v>
      </c>
      <c r="L168" s="3" t="s">
        <v>211</v>
      </c>
      <c r="M168" s="3" t="s">
        <v>211</v>
      </c>
      <c r="N168" s="3" t="s">
        <v>848</v>
      </c>
      <c r="O168" s="5">
        <v>286.483736</v>
      </c>
      <c r="P168" s="6" t="str">
        <f t="shared" si="2"/>
        <v>Consumer Durables</v>
      </c>
    </row>
    <row r="169">
      <c r="A169" s="3" t="s">
        <v>849</v>
      </c>
      <c r="B169" s="4">
        <v>543530.0</v>
      </c>
      <c r="C169" s="3" t="s">
        <v>850</v>
      </c>
      <c r="D169" s="3" t="s">
        <v>851</v>
      </c>
      <c r="E169" s="3" t="s">
        <v>852</v>
      </c>
      <c r="F169" s="3" t="s">
        <v>19</v>
      </c>
      <c r="G169" s="3" t="s">
        <v>20</v>
      </c>
      <c r="H169" s="3">
        <v>10.0</v>
      </c>
      <c r="I169" s="3" t="s">
        <v>853</v>
      </c>
      <c r="J169" s="3" t="s">
        <v>22</v>
      </c>
      <c r="K169" s="3" t="s">
        <v>23</v>
      </c>
      <c r="L169" s="3" t="s">
        <v>24</v>
      </c>
      <c r="M169" s="3" t="s">
        <v>91</v>
      </c>
      <c r="N169" s="3" t="s">
        <v>92</v>
      </c>
      <c r="O169" s="5">
        <v>6855.6370681</v>
      </c>
      <c r="P169" s="6" t="str">
        <f t="shared" si="2"/>
        <v>Fertilizers &amp; Agrochemicals</v>
      </c>
    </row>
    <row r="170">
      <c r="A170" s="3" t="s">
        <v>226</v>
      </c>
      <c r="B170" s="4">
        <v>543534.0</v>
      </c>
      <c r="C170" s="3" t="s">
        <v>854</v>
      </c>
      <c r="D170" s="3" t="s">
        <v>855</v>
      </c>
      <c r="E170" s="3" t="s">
        <v>856</v>
      </c>
      <c r="F170" s="3" t="s">
        <v>19</v>
      </c>
      <c r="G170" s="3" t="s">
        <v>20</v>
      </c>
      <c r="H170" s="3">
        <v>10.0</v>
      </c>
      <c r="I170" s="3" t="s">
        <v>857</v>
      </c>
      <c r="J170" s="3" t="s">
        <v>22</v>
      </c>
      <c r="K170" s="3" t="s">
        <v>23</v>
      </c>
      <c r="L170" s="3" t="s">
        <v>24</v>
      </c>
      <c r="M170" s="3" t="s">
        <v>25</v>
      </c>
      <c r="N170" s="3" t="s">
        <v>26</v>
      </c>
      <c r="O170" s="5">
        <v>12012.096733</v>
      </c>
      <c r="P170" s="6" t="str">
        <f t="shared" si="2"/>
        <v>Specialty Chemicals</v>
      </c>
    </row>
    <row r="171" hidden="1">
      <c r="A171" s="3" t="s">
        <v>858</v>
      </c>
      <c r="B171" s="4">
        <v>500333.0</v>
      </c>
      <c r="C171" s="3" t="s">
        <v>859</v>
      </c>
      <c r="D171" s="3" t="s">
        <v>860</v>
      </c>
      <c r="E171" s="3" t="s">
        <v>861</v>
      </c>
      <c r="F171" s="3" t="s">
        <v>19</v>
      </c>
      <c r="G171" s="3" t="s">
        <v>112</v>
      </c>
      <c r="H171" s="3">
        <v>10.0</v>
      </c>
      <c r="I171" s="3" t="s">
        <v>858</v>
      </c>
      <c r="J171" s="3" t="s">
        <v>22</v>
      </c>
      <c r="K171" s="3" t="s">
        <v>97</v>
      </c>
      <c r="L171" s="3" t="s">
        <v>98</v>
      </c>
      <c r="M171" s="3" t="s">
        <v>100</v>
      </c>
      <c r="N171" s="3" t="s">
        <v>862</v>
      </c>
      <c r="O171" s="5">
        <v>1925.5748325</v>
      </c>
      <c r="P171" s="6" t="str">
        <f t="shared" si="2"/>
        <v>Industrial Products</v>
      </c>
    </row>
    <row r="172">
      <c r="A172" s="3" t="s">
        <v>230</v>
      </c>
      <c r="B172" s="4">
        <v>543657.0</v>
      </c>
      <c r="C172" s="3" t="s">
        <v>863</v>
      </c>
      <c r="D172" s="3" t="s">
        <v>864</v>
      </c>
      <c r="E172" s="3" t="s">
        <v>865</v>
      </c>
      <c r="F172" s="3" t="s">
        <v>19</v>
      </c>
      <c r="G172" s="3" t="s">
        <v>20</v>
      </c>
      <c r="H172" s="3">
        <v>2.0</v>
      </c>
      <c r="I172" s="3" t="s">
        <v>866</v>
      </c>
      <c r="J172" s="3" t="s">
        <v>22</v>
      </c>
      <c r="K172" s="3" t="s">
        <v>23</v>
      </c>
      <c r="L172" s="3" t="s">
        <v>24</v>
      </c>
      <c r="M172" s="3" t="s">
        <v>25</v>
      </c>
      <c r="N172" s="3" t="s">
        <v>26</v>
      </c>
      <c r="O172" s="5">
        <v>8831.7498014</v>
      </c>
      <c r="P172" s="6" t="str">
        <f t="shared" si="2"/>
        <v>Specialty Chemicals</v>
      </c>
    </row>
    <row r="173">
      <c r="A173" s="3" t="s">
        <v>867</v>
      </c>
      <c r="B173" s="4">
        <v>590024.0</v>
      </c>
      <c r="C173" s="3" t="s">
        <v>868</v>
      </c>
      <c r="D173" s="3" t="s">
        <v>869</v>
      </c>
      <c r="E173" s="3" t="s">
        <v>870</v>
      </c>
      <c r="F173" s="3" t="s">
        <v>19</v>
      </c>
      <c r="G173" s="3" t="s">
        <v>112</v>
      </c>
      <c r="H173" s="3">
        <v>10.0</v>
      </c>
      <c r="I173" s="3" t="s">
        <v>871</v>
      </c>
      <c r="J173" s="3" t="s">
        <v>22</v>
      </c>
      <c r="K173" s="3" t="s">
        <v>23</v>
      </c>
      <c r="L173" s="3" t="s">
        <v>24</v>
      </c>
      <c r="M173" s="3" t="s">
        <v>91</v>
      </c>
      <c r="N173" s="3" t="s">
        <v>92</v>
      </c>
      <c r="O173" s="5">
        <v>63971.6712892</v>
      </c>
      <c r="P173" s="6" t="str">
        <f t="shared" si="2"/>
        <v>Fertilizers &amp; Agrochemicals</v>
      </c>
    </row>
    <row r="174" hidden="1">
      <c r="A174" s="3" t="s">
        <v>872</v>
      </c>
      <c r="B174" s="4">
        <v>500337.0</v>
      </c>
      <c r="C174" s="3" t="s">
        <v>873</v>
      </c>
      <c r="D174" s="3" t="s">
        <v>874</v>
      </c>
      <c r="E174" s="3" t="s">
        <v>875</v>
      </c>
      <c r="F174" s="3" t="s">
        <v>19</v>
      </c>
      <c r="G174" s="3" t="s">
        <v>112</v>
      </c>
      <c r="H174" s="3">
        <v>5.0</v>
      </c>
      <c r="I174" s="3" t="s">
        <v>872</v>
      </c>
      <c r="J174" s="3" t="s">
        <v>22</v>
      </c>
      <c r="K174" s="3" t="s">
        <v>204</v>
      </c>
      <c r="L174" s="3" t="s">
        <v>204</v>
      </c>
      <c r="M174" s="3" t="s">
        <v>378</v>
      </c>
      <c r="N174" s="3" t="s">
        <v>468</v>
      </c>
      <c r="O174" s="5">
        <v>720.6656243</v>
      </c>
      <c r="P174" s="6" t="str">
        <f t="shared" si="2"/>
        <v>Finance</v>
      </c>
    </row>
    <row r="175">
      <c r="A175" s="3" t="s">
        <v>235</v>
      </c>
      <c r="B175" s="4">
        <v>500008.0</v>
      </c>
      <c r="C175" s="3" t="s">
        <v>876</v>
      </c>
      <c r="D175" s="3" t="s">
        <v>877</v>
      </c>
      <c r="E175" s="3" t="s">
        <v>878</v>
      </c>
      <c r="F175" s="3" t="s">
        <v>19</v>
      </c>
      <c r="G175" s="3" t="s">
        <v>20</v>
      </c>
      <c r="H175" s="3">
        <v>1.0</v>
      </c>
      <c r="I175" s="3" t="s">
        <v>35</v>
      </c>
      <c r="J175" s="3" t="s">
        <v>22</v>
      </c>
      <c r="K175" s="3" t="s">
        <v>58</v>
      </c>
      <c r="L175" s="3" t="s">
        <v>133</v>
      </c>
      <c r="M175" s="3" t="s">
        <v>134</v>
      </c>
      <c r="N175" s="3" t="s">
        <v>135</v>
      </c>
      <c r="O175" s="5">
        <v>30439.86</v>
      </c>
      <c r="P175" s="6" t="str">
        <f t="shared" si="2"/>
        <v>Auto Components &amp; Equipments</v>
      </c>
    </row>
    <row r="176">
      <c r="A176" s="3" t="s">
        <v>240</v>
      </c>
      <c r="B176" s="4">
        <v>500031.0</v>
      </c>
      <c r="C176" s="3" t="s">
        <v>879</v>
      </c>
      <c r="D176" s="3" t="s">
        <v>880</v>
      </c>
      <c r="E176" s="3" t="s">
        <v>881</v>
      </c>
      <c r="F176" s="3" t="s">
        <v>19</v>
      </c>
      <c r="G176" s="3" t="s">
        <v>20</v>
      </c>
      <c r="H176" s="3">
        <v>2.0</v>
      </c>
      <c r="I176" s="3" t="s">
        <v>101</v>
      </c>
      <c r="J176" s="3" t="s">
        <v>22</v>
      </c>
      <c r="K176" s="3" t="s">
        <v>58</v>
      </c>
      <c r="L176" s="3" t="s">
        <v>211</v>
      </c>
      <c r="M176" s="3" t="s">
        <v>211</v>
      </c>
      <c r="N176" s="3" t="s">
        <v>882</v>
      </c>
      <c r="O176" s="5">
        <v>12345.7018792</v>
      </c>
      <c r="P176" s="6" t="str">
        <f t="shared" si="2"/>
        <v>Consumer Durables</v>
      </c>
    </row>
    <row r="177" hidden="1">
      <c r="A177" s="3" t="s">
        <v>883</v>
      </c>
      <c r="B177" s="4">
        <v>500342.0</v>
      </c>
      <c r="C177" s="3" t="s">
        <v>884</v>
      </c>
      <c r="D177" s="3" t="s">
        <v>885</v>
      </c>
      <c r="E177" s="3" t="s">
        <v>886</v>
      </c>
      <c r="F177" s="3" t="s">
        <v>19</v>
      </c>
      <c r="G177" s="3" t="s">
        <v>112</v>
      </c>
      <c r="H177" s="3">
        <v>10.0</v>
      </c>
      <c r="I177" s="3" t="s">
        <v>883</v>
      </c>
      <c r="J177" s="3" t="s">
        <v>22</v>
      </c>
      <c r="K177" s="3" t="s">
        <v>145</v>
      </c>
      <c r="L177" s="3" t="s">
        <v>145</v>
      </c>
      <c r="M177" s="3" t="s">
        <v>146</v>
      </c>
      <c r="N177" s="3" t="s">
        <v>147</v>
      </c>
      <c r="O177" s="5">
        <v>71.3396302</v>
      </c>
      <c r="P177" s="6" t="str">
        <f t="shared" si="2"/>
        <v>Agricultural Food &amp; other Products</v>
      </c>
    </row>
    <row r="178" hidden="1">
      <c r="A178" s="3" t="s">
        <v>887</v>
      </c>
      <c r="B178" s="4">
        <v>500343.0</v>
      </c>
      <c r="C178" s="3" t="s">
        <v>888</v>
      </c>
      <c r="D178" s="3" t="s">
        <v>889</v>
      </c>
      <c r="E178" s="3" t="s">
        <v>890</v>
      </c>
      <c r="F178" s="3" t="s">
        <v>19</v>
      </c>
      <c r="G178" s="3" t="s">
        <v>112</v>
      </c>
      <c r="H178" s="3">
        <v>2.0</v>
      </c>
      <c r="I178" s="3" t="s">
        <v>887</v>
      </c>
      <c r="J178" s="3" t="s">
        <v>22</v>
      </c>
      <c r="K178" s="3" t="s">
        <v>58</v>
      </c>
      <c r="L178" s="3" t="s">
        <v>59</v>
      </c>
      <c r="M178" s="3" t="s">
        <v>59</v>
      </c>
      <c r="N178" s="3" t="s">
        <v>60</v>
      </c>
      <c r="O178" s="5">
        <v>167.0724637</v>
      </c>
      <c r="P178" s="6" t="str">
        <f t="shared" si="2"/>
        <v>Residential, Commercial Projects</v>
      </c>
    </row>
    <row r="179" hidden="1">
      <c r="A179" s="3" t="s">
        <v>891</v>
      </c>
      <c r="B179" s="4">
        <v>500346.0</v>
      </c>
      <c r="C179" s="3" t="s">
        <v>892</v>
      </c>
      <c r="D179" s="3" t="s">
        <v>893</v>
      </c>
      <c r="E179" s="3" t="s">
        <v>894</v>
      </c>
      <c r="F179" s="3" t="s">
        <v>19</v>
      </c>
      <c r="G179" s="3" t="s">
        <v>112</v>
      </c>
      <c r="H179" s="3">
        <v>10.0</v>
      </c>
      <c r="I179" s="3" t="s">
        <v>891</v>
      </c>
      <c r="J179" s="3" t="s">
        <v>22</v>
      </c>
      <c r="K179" s="3" t="s">
        <v>189</v>
      </c>
      <c r="L179" s="3" t="s">
        <v>189</v>
      </c>
      <c r="M179" s="3" t="s">
        <v>190</v>
      </c>
      <c r="N179" s="3" t="s">
        <v>190</v>
      </c>
      <c r="O179" s="5">
        <v>86.4365054</v>
      </c>
      <c r="P179" s="6" t="str">
        <f t="shared" si="2"/>
        <v>Telecom - Equipment &amp; Accessories</v>
      </c>
    </row>
    <row r="180" hidden="1">
      <c r="A180" s="3" t="s">
        <v>895</v>
      </c>
      <c r="B180" s="4">
        <v>500350.0</v>
      </c>
      <c r="C180" s="3" t="s">
        <v>896</v>
      </c>
      <c r="D180" s="3" t="s">
        <v>897</v>
      </c>
      <c r="E180" s="3" t="s">
        <v>898</v>
      </c>
      <c r="F180" s="3" t="s">
        <v>19</v>
      </c>
      <c r="G180" s="3" t="s">
        <v>112</v>
      </c>
      <c r="H180" s="3">
        <v>10.0</v>
      </c>
      <c r="I180" s="3" t="s">
        <v>895</v>
      </c>
      <c r="J180" s="3" t="s">
        <v>22</v>
      </c>
      <c r="K180" s="3" t="s">
        <v>58</v>
      </c>
      <c r="L180" s="3" t="s">
        <v>80</v>
      </c>
      <c r="M180" s="3" t="s">
        <v>81</v>
      </c>
      <c r="N180" s="3" t="s">
        <v>82</v>
      </c>
      <c r="O180" s="5">
        <v>1000.0039064</v>
      </c>
      <c r="P180" s="6" t="str">
        <f t="shared" si="2"/>
        <v>Textiles &amp; Apparels</v>
      </c>
    </row>
    <row r="181" hidden="1">
      <c r="A181" s="3" t="s">
        <v>899</v>
      </c>
      <c r="B181" s="4">
        <v>500354.0</v>
      </c>
      <c r="C181" s="3" t="s">
        <v>900</v>
      </c>
      <c r="D181" s="3" t="s">
        <v>901</v>
      </c>
      <c r="E181" s="3" t="s">
        <v>902</v>
      </c>
      <c r="F181" s="3" t="s">
        <v>19</v>
      </c>
      <c r="G181" s="3" t="s">
        <v>112</v>
      </c>
      <c r="H181" s="3">
        <v>10.0</v>
      </c>
      <c r="I181" s="3" t="s">
        <v>899</v>
      </c>
      <c r="J181" s="3" t="s">
        <v>22</v>
      </c>
      <c r="K181" s="3" t="s">
        <v>145</v>
      </c>
      <c r="L181" s="3" t="s">
        <v>145</v>
      </c>
      <c r="M181" s="3" t="s">
        <v>146</v>
      </c>
      <c r="N181" s="3" t="s">
        <v>147</v>
      </c>
      <c r="O181" s="5">
        <v>253.5742831</v>
      </c>
      <c r="P181" s="6" t="str">
        <f t="shared" si="2"/>
        <v>Agricultural Food &amp; other Products</v>
      </c>
    </row>
    <row r="182">
      <c r="A182" s="3" t="s">
        <v>251</v>
      </c>
      <c r="B182" s="4">
        <v>500033.0</v>
      </c>
      <c r="C182" s="3" t="s">
        <v>903</v>
      </c>
      <c r="D182" s="3" t="s">
        <v>904</v>
      </c>
      <c r="E182" s="3" t="s">
        <v>905</v>
      </c>
      <c r="F182" s="3" t="s">
        <v>19</v>
      </c>
      <c r="G182" s="3" t="s">
        <v>20</v>
      </c>
      <c r="H182" s="3">
        <v>10.0</v>
      </c>
      <c r="I182" s="3" t="s">
        <v>114</v>
      </c>
      <c r="J182" s="3" t="s">
        <v>22</v>
      </c>
      <c r="K182" s="3" t="s">
        <v>58</v>
      </c>
      <c r="L182" s="3" t="s">
        <v>133</v>
      </c>
      <c r="M182" s="3" t="s">
        <v>906</v>
      </c>
      <c r="N182" s="3" t="s">
        <v>907</v>
      </c>
      <c r="O182" s="5">
        <v>12127.8567955</v>
      </c>
      <c r="P182" s="6" t="str">
        <f t="shared" si="2"/>
        <v>Automobiles</v>
      </c>
    </row>
    <row r="183" hidden="1">
      <c r="A183" s="3" t="s">
        <v>908</v>
      </c>
      <c r="B183" s="4">
        <v>500356.0</v>
      </c>
      <c r="C183" s="3" t="s">
        <v>909</v>
      </c>
      <c r="D183" s="3" t="s">
        <v>910</v>
      </c>
      <c r="E183" s="3" t="s">
        <v>911</v>
      </c>
      <c r="F183" s="3" t="s">
        <v>19</v>
      </c>
      <c r="G183" s="3" t="s">
        <v>112</v>
      </c>
      <c r="H183" s="3">
        <v>10.0</v>
      </c>
      <c r="I183" s="3" t="s">
        <v>908</v>
      </c>
      <c r="J183" s="3" t="s">
        <v>22</v>
      </c>
      <c r="K183" s="3" t="s">
        <v>23</v>
      </c>
      <c r="L183" s="3" t="s">
        <v>32</v>
      </c>
      <c r="M183" s="3" t="s">
        <v>33</v>
      </c>
      <c r="N183" s="3" t="s">
        <v>34</v>
      </c>
      <c r="O183" s="5">
        <v>302.4145925</v>
      </c>
      <c r="P183" s="6" t="str">
        <f t="shared" si="2"/>
        <v>Paper, Forest &amp; Jute Products</v>
      </c>
    </row>
    <row r="184" hidden="1">
      <c r="A184" s="3" t="s">
        <v>912</v>
      </c>
      <c r="B184" s="4">
        <v>500357.0</v>
      </c>
      <c r="C184" s="3" t="s">
        <v>913</v>
      </c>
      <c r="D184" s="3" t="s">
        <v>914</v>
      </c>
      <c r="E184" s="3" t="s">
        <v>915</v>
      </c>
      <c r="F184" s="3" t="s">
        <v>19</v>
      </c>
      <c r="G184" s="3" t="s">
        <v>72</v>
      </c>
      <c r="H184" s="3">
        <v>10.0</v>
      </c>
      <c r="I184" s="3" t="s">
        <v>912</v>
      </c>
      <c r="J184" s="3" t="s">
        <v>22</v>
      </c>
      <c r="K184" s="3" t="s">
        <v>23</v>
      </c>
      <c r="L184" s="3" t="s">
        <v>32</v>
      </c>
      <c r="M184" s="3" t="s">
        <v>33</v>
      </c>
      <c r="N184" s="3" t="s">
        <v>34</v>
      </c>
      <c r="O184" s="5">
        <v>16.165072</v>
      </c>
      <c r="P184" s="6" t="str">
        <f t="shared" si="2"/>
        <v>Paper, Forest &amp; Jute Products</v>
      </c>
    </row>
    <row r="185" hidden="1">
      <c r="A185" s="3" t="s">
        <v>916</v>
      </c>
      <c r="B185" s="4">
        <v>500360.0</v>
      </c>
      <c r="C185" s="3" t="s">
        <v>917</v>
      </c>
      <c r="D185" s="3" t="s">
        <v>918</v>
      </c>
      <c r="E185" s="3" t="s">
        <v>919</v>
      </c>
      <c r="F185" s="3" t="s">
        <v>19</v>
      </c>
      <c r="G185" s="3" t="s">
        <v>44</v>
      </c>
      <c r="H185" s="3">
        <v>10.0</v>
      </c>
      <c r="I185" s="3" t="s">
        <v>916</v>
      </c>
      <c r="J185" s="3" t="s">
        <v>22</v>
      </c>
      <c r="K185" s="3" t="s">
        <v>97</v>
      </c>
      <c r="L185" s="3" t="s">
        <v>98</v>
      </c>
      <c r="M185" s="3" t="s">
        <v>99</v>
      </c>
      <c r="N185" s="3" t="s">
        <v>100</v>
      </c>
      <c r="O185" s="5">
        <v>61.342716</v>
      </c>
      <c r="P185" s="6" t="str">
        <f t="shared" si="2"/>
        <v>Industrial Products</v>
      </c>
    </row>
    <row r="186" hidden="1">
      <c r="A186" s="3" t="s">
        <v>920</v>
      </c>
      <c r="B186" s="4">
        <v>500365.0</v>
      </c>
      <c r="C186" s="3" t="s">
        <v>921</v>
      </c>
      <c r="D186" s="3" t="s">
        <v>922</v>
      </c>
      <c r="E186" s="3" t="s">
        <v>923</v>
      </c>
      <c r="F186" s="3" t="s">
        <v>19</v>
      </c>
      <c r="G186" s="3" t="s">
        <v>112</v>
      </c>
      <c r="H186" s="3">
        <v>6.0</v>
      </c>
      <c r="I186" s="3" t="s">
        <v>920</v>
      </c>
      <c r="J186" s="3" t="s">
        <v>22</v>
      </c>
      <c r="K186" s="3" t="s">
        <v>97</v>
      </c>
      <c r="L186" s="3" t="s">
        <v>98</v>
      </c>
      <c r="M186" s="3" t="s">
        <v>100</v>
      </c>
      <c r="N186" s="3" t="s">
        <v>612</v>
      </c>
      <c r="O186" s="5">
        <v>2188.208</v>
      </c>
      <c r="P186" s="6" t="str">
        <f t="shared" si="2"/>
        <v>Industrial Products</v>
      </c>
    </row>
    <row r="187" hidden="1">
      <c r="A187" s="3" t="s">
        <v>924</v>
      </c>
      <c r="B187" s="4">
        <v>500367.0</v>
      </c>
      <c r="C187" s="3" t="s">
        <v>925</v>
      </c>
      <c r="D187" s="3" t="s">
        <v>926</v>
      </c>
      <c r="E187" s="3" t="s">
        <v>927</v>
      </c>
      <c r="F187" s="3" t="s">
        <v>19</v>
      </c>
      <c r="G187" s="3" t="s">
        <v>44</v>
      </c>
      <c r="H187" s="3">
        <v>5.0</v>
      </c>
      <c r="I187" s="3" t="s">
        <v>924</v>
      </c>
      <c r="J187" s="3" t="s">
        <v>22</v>
      </c>
      <c r="K187" s="3" t="s">
        <v>58</v>
      </c>
      <c r="L187" s="3" t="s">
        <v>133</v>
      </c>
      <c r="M187" s="3" t="s">
        <v>134</v>
      </c>
      <c r="N187" s="3" t="s">
        <v>449</v>
      </c>
      <c r="O187" s="5">
        <v>488.0789758</v>
      </c>
      <c r="P187" s="6" t="str">
        <f t="shared" si="2"/>
        <v>Auto Components</v>
      </c>
    </row>
    <row r="188">
      <c r="A188" s="3" t="s">
        <v>928</v>
      </c>
      <c r="B188" s="4">
        <v>500043.0</v>
      </c>
      <c r="C188" s="3" t="s">
        <v>929</v>
      </c>
      <c r="D188" s="3" t="s">
        <v>930</v>
      </c>
      <c r="E188" s="3" t="s">
        <v>931</v>
      </c>
      <c r="F188" s="3" t="s">
        <v>19</v>
      </c>
      <c r="G188" s="3" t="s">
        <v>20</v>
      </c>
      <c r="H188" s="3">
        <v>5.0</v>
      </c>
      <c r="I188" s="3" t="s">
        <v>152</v>
      </c>
      <c r="J188" s="3" t="s">
        <v>22</v>
      </c>
      <c r="K188" s="3" t="s">
        <v>58</v>
      </c>
      <c r="L188" s="3" t="s">
        <v>211</v>
      </c>
      <c r="M188" s="3" t="s">
        <v>211</v>
      </c>
      <c r="N188" s="3" t="s">
        <v>932</v>
      </c>
      <c r="O188" s="5">
        <v>19505.2741675</v>
      </c>
      <c r="P188" s="6" t="str">
        <f t="shared" si="2"/>
        <v>Consumer Durables</v>
      </c>
    </row>
    <row r="189">
      <c r="A189" s="3" t="s">
        <v>933</v>
      </c>
      <c r="B189" s="4">
        <v>500067.0</v>
      </c>
      <c r="C189" s="3" t="s">
        <v>934</v>
      </c>
      <c r="D189" s="3" t="s">
        <v>935</v>
      </c>
      <c r="E189" s="3" t="s">
        <v>936</v>
      </c>
      <c r="F189" s="3" t="s">
        <v>19</v>
      </c>
      <c r="G189" s="3" t="s">
        <v>20</v>
      </c>
      <c r="H189" s="3">
        <v>2.0</v>
      </c>
      <c r="I189" s="3" t="s">
        <v>191</v>
      </c>
      <c r="J189" s="3" t="s">
        <v>22</v>
      </c>
      <c r="K189" s="3" t="s">
        <v>58</v>
      </c>
      <c r="L189" s="3" t="s">
        <v>211</v>
      </c>
      <c r="M189" s="3" t="s">
        <v>211</v>
      </c>
      <c r="N189" s="3" t="s">
        <v>882</v>
      </c>
      <c r="O189" s="5">
        <v>33373.7188851</v>
      </c>
      <c r="P189" s="6" t="str">
        <f t="shared" si="2"/>
        <v>Consumer Durables</v>
      </c>
    </row>
    <row r="190">
      <c r="A190" s="3" t="s">
        <v>937</v>
      </c>
      <c r="B190" s="4">
        <v>500086.0</v>
      </c>
      <c r="C190" s="3" t="s">
        <v>938</v>
      </c>
      <c r="D190" s="3" t="s">
        <v>939</v>
      </c>
      <c r="E190" s="3" t="s">
        <v>940</v>
      </c>
      <c r="F190" s="3" t="s">
        <v>19</v>
      </c>
      <c r="G190" s="3" t="s">
        <v>20</v>
      </c>
      <c r="H190" s="3">
        <v>1.0</v>
      </c>
      <c r="I190" s="3" t="s">
        <v>231</v>
      </c>
      <c r="J190" s="3" t="s">
        <v>22</v>
      </c>
      <c r="K190" s="3" t="s">
        <v>58</v>
      </c>
      <c r="L190" s="3" t="s">
        <v>133</v>
      </c>
      <c r="M190" s="3" t="s">
        <v>134</v>
      </c>
      <c r="N190" s="3" t="s">
        <v>135</v>
      </c>
      <c r="O190" s="5">
        <v>47358.90824</v>
      </c>
      <c r="P190" s="6" t="str">
        <f t="shared" si="2"/>
        <v>Auto Components &amp; Equipments</v>
      </c>
    </row>
    <row r="191">
      <c r="A191" s="3" t="s">
        <v>257</v>
      </c>
      <c r="B191" s="4">
        <v>500101.0</v>
      </c>
      <c r="C191" s="3" t="s">
        <v>941</v>
      </c>
      <c r="D191" s="3" t="s">
        <v>942</v>
      </c>
      <c r="E191" s="3" t="s">
        <v>943</v>
      </c>
      <c r="F191" s="3" t="s">
        <v>19</v>
      </c>
      <c r="G191" s="3" t="s">
        <v>20</v>
      </c>
      <c r="H191" s="3">
        <v>10.0</v>
      </c>
      <c r="I191" s="3" t="s">
        <v>266</v>
      </c>
      <c r="J191" s="3" t="s">
        <v>22</v>
      </c>
      <c r="K191" s="3" t="s">
        <v>58</v>
      </c>
      <c r="L191" s="3" t="s">
        <v>80</v>
      </c>
      <c r="M191" s="3" t="s">
        <v>81</v>
      </c>
      <c r="N191" s="3" t="s">
        <v>944</v>
      </c>
      <c r="O191" s="5">
        <v>9657.3265518</v>
      </c>
      <c r="P191" s="6" t="str">
        <f t="shared" si="2"/>
        <v>Textiles &amp; Apparels</v>
      </c>
    </row>
    <row r="192">
      <c r="A192" s="3" t="s">
        <v>262</v>
      </c>
      <c r="B192" s="4">
        <v>500114.0</v>
      </c>
      <c r="C192" s="3" t="s">
        <v>945</v>
      </c>
      <c r="D192" s="3" t="s">
        <v>946</v>
      </c>
      <c r="E192" s="3" t="s">
        <v>945</v>
      </c>
      <c r="F192" s="3" t="s">
        <v>19</v>
      </c>
      <c r="G192" s="3" t="s">
        <v>20</v>
      </c>
      <c r="H192" s="3">
        <v>1.0</v>
      </c>
      <c r="I192" s="3" t="s">
        <v>312</v>
      </c>
      <c r="J192" s="3" t="s">
        <v>22</v>
      </c>
      <c r="K192" s="3" t="s">
        <v>58</v>
      </c>
      <c r="L192" s="3" t="s">
        <v>211</v>
      </c>
      <c r="M192" s="3" t="s">
        <v>211</v>
      </c>
      <c r="N192" s="3" t="s">
        <v>947</v>
      </c>
      <c r="O192" s="5">
        <v>299311.7872042</v>
      </c>
      <c r="P192" s="6" t="str">
        <f t="shared" si="2"/>
        <v>Consumer Durables</v>
      </c>
    </row>
    <row r="193" hidden="1">
      <c r="A193" s="3" t="s">
        <v>948</v>
      </c>
      <c r="B193" s="4">
        <v>500388.0</v>
      </c>
      <c r="C193" s="3" t="s">
        <v>949</v>
      </c>
      <c r="D193" s="3" t="s">
        <v>950</v>
      </c>
      <c r="E193" s="3" t="s">
        <v>951</v>
      </c>
      <c r="F193" s="3" t="s">
        <v>19</v>
      </c>
      <c r="G193" s="3" t="s">
        <v>72</v>
      </c>
      <c r="H193" s="3">
        <v>10.0</v>
      </c>
      <c r="I193" s="3" t="s">
        <v>948</v>
      </c>
      <c r="J193" s="3" t="s">
        <v>22</v>
      </c>
      <c r="K193" s="3" t="s">
        <v>23</v>
      </c>
      <c r="L193" s="3" t="s">
        <v>32</v>
      </c>
      <c r="M193" s="3" t="s">
        <v>33</v>
      </c>
      <c r="N193" s="3" t="s">
        <v>34</v>
      </c>
      <c r="O193" s="5">
        <v>57.2913464</v>
      </c>
      <c r="P193" s="6" t="str">
        <f t="shared" si="2"/>
        <v>Paper, Forest &amp; Jute Products</v>
      </c>
    </row>
    <row r="194">
      <c r="A194" s="3" t="s">
        <v>952</v>
      </c>
      <c r="B194" s="4">
        <v>500165.0</v>
      </c>
      <c r="C194" s="3" t="s">
        <v>953</v>
      </c>
      <c r="D194" s="3" t="s">
        <v>954</v>
      </c>
      <c r="E194" s="3" t="s">
        <v>955</v>
      </c>
      <c r="F194" s="3" t="s">
        <v>19</v>
      </c>
      <c r="G194" s="3" t="s">
        <v>20</v>
      </c>
      <c r="H194" s="3">
        <v>1.0</v>
      </c>
      <c r="I194" s="3" t="s">
        <v>433</v>
      </c>
      <c r="J194" s="3" t="s">
        <v>22</v>
      </c>
      <c r="K194" s="3" t="s">
        <v>58</v>
      </c>
      <c r="L194" s="3" t="s">
        <v>211</v>
      </c>
      <c r="M194" s="3" t="s">
        <v>211</v>
      </c>
      <c r="N194" s="3" t="s">
        <v>956</v>
      </c>
      <c r="O194" s="5">
        <v>22040.5397068</v>
      </c>
      <c r="P194" s="6" t="str">
        <f t="shared" si="2"/>
        <v>Consumer Durables</v>
      </c>
    </row>
    <row r="195">
      <c r="A195" s="3" t="s">
        <v>957</v>
      </c>
      <c r="B195" s="4">
        <v>500182.0</v>
      </c>
      <c r="C195" s="3" t="s">
        <v>958</v>
      </c>
      <c r="D195" s="3" t="s">
        <v>959</v>
      </c>
      <c r="E195" s="3" t="s">
        <v>960</v>
      </c>
      <c r="F195" s="3" t="s">
        <v>19</v>
      </c>
      <c r="G195" s="3" t="s">
        <v>20</v>
      </c>
      <c r="H195" s="3">
        <v>2.0</v>
      </c>
      <c r="I195" s="3" t="s">
        <v>481</v>
      </c>
      <c r="J195" s="3" t="s">
        <v>22</v>
      </c>
      <c r="K195" s="3" t="s">
        <v>58</v>
      </c>
      <c r="L195" s="3" t="s">
        <v>133</v>
      </c>
      <c r="M195" s="3" t="s">
        <v>906</v>
      </c>
      <c r="N195" s="3" t="s">
        <v>961</v>
      </c>
      <c r="O195" s="5">
        <v>111268.8683994</v>
      </c>
      <c r="P195" s="6" t="str">
        <f t="shared" si="2"/>
        <v>Automobiles</v>
      </c>
    </row>
    <row r="196" hidden="1">
      <c r="A196" s="3" t="s">
        <v>962</v>
      </c>
      <c r="B196" s="4">
        <v>500402.0</v>
      </c>
      <c r="C196" s="3" t="s">
        <v>963</v>
      </c>
      <c r="D196" s="3" t="s">
        <v>964</v>
      </c>
      <c r="E196" s="3" t="s">
        <v>963</v>
      </c>
      <c r="F196" s="3" t="s">
        <v>19</v>
      </c>
      <c r="G196" s="3" t="s">
        <v>112</v>
      </c>
      <c r="H196" s="3">
        <v>2.0</v>
      </c>
      <c r="I196" s="3" t="s">
        <v>962</v>
      </c>
      <c r="J196" s="3" t="s">
        <v>22</v>
      </c>
      <c r="K196" s="3" t="s">
        <v>97</v>
      </c>
      <c r="L196" s="3" t="s">
        <v>965</v>
      </c>
      <c r="M196" s="3" t="s">
        <v>965</v>
      </c>
      <c r="N196" s="3" t="s">
        <v>966</v>
      </c>
      <c r="O196" s="5">
        <v>1040.7469787</v>
      </c>
      <c r="P196" s="6" t="str">
        <f t="shared" si="2"/>
        <v>Civil Construction</v>
      </c>
    </row>
    <row r="197">
      <c r="A197" s="3" t="s">
        <v>967</v>
      </c>
      <c r="B197" s="4">
        <v>500233.0</v>
      </c>
      <c r="C197" s="3" t="s">
        <v>968</v>
      </c>
      <c r="D197" s="3" t="s">
        <v>969</v>
      </c>
      <c r="E197" s="3" t="s">
        <v>970</v>
      </c>
      <c r="F197" s="3" t="s">
        <v>19</v>
      </c>
      <c r="G197" s="3" t="s">
        <v>20</v>
      </c>
      <c r="H197" s="3">
        <v>1.0</v>
      </c>
      <c r="I197" s="3" t="s">
        <v>599</v>
      </c>
      <c r="J197" s="3" t="s">
        <v>22</v>
      </c>
      <c r="K197" s="3" t="s">
        <v>58</v>
      </c>
      <c r="L197" s="3" t="s">
        <v>211</v>
      </c>
      <c r="M197" s="3" t="s">
        <v>211</v>
      </c>
      <c r="N197" s="3" t="s">
        <v>971</v>
      </c>
      <c r="O197" s="5">
        <v>22166.6645526</v>
      </c>
      <c r="P197" s="6" t="str">
        <f t="shared" si="2"/>
        <v>Consumer Durables</v>
      </c>
    </row>
    <row r="198" hidden="1">
      <c r="A198" s="3" t="s">
        <v>972</v>
      </c>
      <c r="B198" s="4">
        <v>500404.0</v>
      </c>
      <c r="C198" s="3" t="s">
        <v>973</v>
      </c>
      <c r="D198" s="3" t="s">
        <v>974</v>
      </c>
      <c r="E198" s="3" t="s">
        <v>975</v>
      </c>
      <c r="F198" s="3" t="s">
        <v>19</v>
      </c>
      <c r="G198" s="3" t="s">
        <v>20</v>
      </c>
      <c r="H198" s="3">
        <v>10.0</v>
      </c>
      <c r="I198" s="3" t="s">
        <v>972</v>
      </c>
      <c r="J198" s="3" t="s">
        <v>22</v>
      </c>
      <c r="K198" s="3" t="s">
        <v>23</v>
      </c>
      <c r="L198" s="3" t="s">
        <v>65</v>
      </c>
      <c r="M198" s="3" t="s">
        <v>106</v>
      </c>
      <c r="N198" s="3" t="s">
        <v>107</v>
      </c>
      <c r="O198" s="5">
        <v>4012.8027525</v>
      </c>
      <c r="P198" s="6" t="str">
        <f t="shared" si="2"/>
        <v>Ferrous Metals</v>
      </c>
    </row>
    <row r="199">
      <c r="A199" s="3" t="s">
        <v>270</v>
      </c>
      <c r="B199" s="4">
        <v>500238.0</v>
      </c>
      <c r="C199" s="3" t="s">
        <v>976</v>
      </c>
      <c r="D199" s="3" t="s">
        <v>977</v>
      </c>
      <c r="E199" s="3" t="s">
        <v>978</v>
      </c>
      <c r="F199" s="3" t="s">
        <v>19</v>
      </c>
      <c r="G199" s="3" t="s">
        <v>20</v>
      </c>
      <c r="H199" s="3">
        <v>10.0</v>
      </c>
      <c r="I199" s="3" t="s">
        <v>618</v>
      </c>
      <c r="J199" s="3" t="s">
        <v>22</v>
      </c>
      <c r="K199" s="3" t="s">
        <v>58</v>
      </c>
      <c r="L199" s="3" t="s">
        <v>211</v>
      </c>
      <c r="M199" s="3" t="s">
        <v>211</v>
      </c>
      <c r="N199" s="3" t="s">
        <v>882</v>
      </c>
      <c r="O199" s="5">
        <v>25054.1582912</v>
      </c>
      <c r="P199" s="6" t="str">
        <f t="shared" si="2"/>
        <v>Consumer Durables</v>
      </c>
    </row>
    <row r="200" hidden="1">
      <c r="A200" s="3" t="s">
        <v>979</v>
      </c>
      <c r="B200" s="4">
        <v>500407.0</v>
      </c>
      <c r="C200" s="3" t="s">
        <v>980</v>
      </c>
      <c r="D200" s="3" t="s">
        <v>981</v>
      </c>
      <c r="E200" s="3" t="s">
        <v>982</v>
      </c>
      <c r="F200" s="3" t="s">
        <v>19</v>
      </c>
      <c r="G200" s="3" t="s">
        <v>112</v>
      </c>
      <c r="H200" s="3">
        <v>10.0</v>
      </c>
      <c r="I200" s="3" t="s">
        <v>979</v>
      </c>
      <c r="J200" s="3" t="s">
        <v>22</v>
      </c>
      <c r="K200" s="3" t="s">
        <v>97</v>
      </c>
      <c r="L200" s="3" t="s">
        <v>98</v>
      </c>
      <c r="M200" s="3" t="s">
        <v>100</v>
      </c>
      <c r="N200" s="3" t="s">
        <v>983</v>
      </c>
      <c r="O200" s="5">
        <v>3444.294656</v>
      </c>
      <c r="P200" s="6" t="str">
        <f t="shared" si="2"/>
        <v>Industrial Products</v>
      </c>
    </row>
    <row r="201">
      <c r="A201" s="3" t="s">
        <v>984</v>
      </c>
      <c r="B201" s="4">
        <v>500251.0</v>
      </c>
      <c r="C201" s="3" t="s">
        <v>985</v>
      </c>
      <c r="D201" s="3" t="s">
        <v>986</v>
      </c>
      <c r="E201" s="3" t="s">
        <v>987</v>
      </c>
      <c r="F201" s="3" t="s">
        <v>19</v>
      </c>
      <c r="G201" s="3" t="s">
        <v>20</v>
      </c>
      <c r="H201" s="3">
        <v>1.0</v>
      </c>
      <c r="I201" s="3" t="s">
        <v>667</v>
      </c>
      <c r="J201" s="3" t="s">
        <v>22</v>
      </c>
      <c r="K201" s="3" t="s">
        <v>58</v>
      </c>
      <c r="L201" s="3" t="s">
        <v>73</v>
      </c>
      <c r="M201" s="3" t="s">
        <v>988</v>
      </c>
      <c r="N201" s="3" t="s">
        <v>989</v>
      </c>
      <c r="O201" s="5">
        <v>195097.95776</v>
      </c>
      <c r="P201" s="6" t="str">
        <f t="shared" si="2"/>
        <v>Retailing</v>
      </c>
    </row>
    <row r="202">
      <c r="A202" s="3" t="s">
        <v>275</v>
      </c>
      <c r="B202" s="4">
        <v>500290.0</v>
      </c>
      <c r="C202" s="3" t="s">
        <v>990</v>
      </c>
      <c r="D202" s="3" t="s">
        <v>991</v>
      </c>
      <c r="E202" s="3" t="s">
        <v>992</v>
      </c>
      <c r="F202" s="3" t="s">
        <v>19</v>
      </c>
      <c r="G202" s="3" t="s">
        <v>20</v>
      </c>
      <c r="H202" s="3">
        <v>10.0</v>
      </c>
      <c r="I202" s="3" t="s">
        <v>761</v>
      </c>
      <c r="J202" s="3" t="s">
        <v>22</v>
      </c>
      <c r="K202" s="3" t="s">
        <v>58</v>
      </c>
      <c r="L202" s="3" t="s">
        <v>133</v>
      </c>
      <c r="M202" s="3" t="s">
        <v>134</v>
      </c>
      <c r="N202" s="3" t="s">
        <v>449</v>
      </c>
      <c r="O202" s="5">
        <v>54283.89266</v>
      </c>
      <c r="P202" s="6" t="str">
        <f t="shared" si="2"/>
        <v>Auto Components</v>
      </c>
    </row>
    <row r="203">
      <c r="A203" s="3" t="s">
        <v>993</v>
      </c>
      <c r="B203" s="4">
        <v>500330.0</v>
      </c>
      <c r="C203" s="3" t="s">
        <v>994</v>
      </c>
      <c r="D203" s="3" t="s">
        <v>995</v>
      </c>
      <c r="E203" s="3" t="s">
        <v>996</v>
      </c>
      <c r="F203" s="3" t="s">
        <v>19</v>
      </c>
      <c r="G203" s="3" t="s">
        <v>20</v>
      </c>
      <c r="H203" s="3">
        <v>10.0</v>
      </c>
      <c r="I203" s="3" t="s">
        <v>849</v>
      </c>
      <c r="J203" s="3" t="s">
        <v>22</v>
      </c>
      <c r="K203" s="3" t="s">
        <v>58</v>
      </c>
      <c r="L203" s="3" t="s">
        <v>80</v>
      </c>
      <c r="M203" s="3" t="s">
        <v>81</v>
      </c>
      <c r="N203" s="3" t="s">
        <v>944</v>
      </c>
      <c r="O203" s="5">
        <v>18726.8483616</v>
      </c>
      <c r="P203" s="6" t="str">
        <f t="shared" si="2"/>
        <v>Textiles &amp; Apparels</v>
      </c>
    </row>
    <row r="204" hidden="1">
      <c r="A204" s="3" t="s">
        <v>997</v>
      </c>
      <c r="B204" s="4">
        <v>500412.0</v>
      </c>
      <c r="C204" s="3" t="s">
        <v>998</v>
      </c>
      <c r="D204" s="3" t="s">
        <v>999</v>
      </c>
      <c r="E204" s="3" t="s">
        <v>1000</v>
      </c>
      <c r="F204" s="3" t="s">
        <v>19</v>
      </c>
      <c r="G204" s="3" t="s">
        <v>20</v>
      </c>
      <c r="H204" s="3">
        <v>1.0</v>
      </c>
      <c r="I204" s="3" t="s">
        <v>997</v>
      </c>
      <c r="J204" s="3" t="s">
        <v>22</v>
      </c>
      <c r="K204" s="3" t="s">
        <v>23</v>
      </c>
      <c r="L204" s="3" t="s">
        <v>24</v>
      </c>
      <c r="M204" s="3" t="s">
        <v>25</v>
      </c>
      <c r="N204" s="3" t="s">
        <v>52</v>
      </c>
      <c r="O204" s="5">
        <v>3194.627382</v>
      </c>
      <c r="P204" s="6" t="str">
        <f t="shared" si="2"/>
        <v>Chemicals &amp; Petrochemicals</v>
      </c>
    </row>
    <row r="205">
      <c r="A205" s="3" t="s">
        <v>1001</v>
      </c>
      <c r="B205" s="4">
        <v>500403.0</v>
      </c>
      <c r="C205" s="3" t="s">
        <v>1002</v>
      </c>
      <c r="D205" s="3" t="s">
        <v>1003</v>
      </c>
      <c r="E205" s="3" t="s">
        <v>1004</v>
      </c>
      <c r="F205" s="3" t="s">
        <v>19</v>
      </c>
      <c r="G205" s="3" t="s">
        <v>20</v>
      </c>
      <c r="H205" s="3">
        <v>1.0</v>
      </c>
      <c r="I205" s="3" t="s">
        <v>967</v>
      </c>
      <c r="J205" s="3" t="s">
        <v>22</v>
      </c>
      <c r="K205" s="3" t="s">
        <v>58</v>
      </c>
      <c r="L205" s="3" t="s">
        <v>133</v>
      </c>
      <c r="M205" s="3" t="s">
        <v>134</v>
      </c>
      <c r="N205" s="3" t="s">
        <v>135</v>
      </c>
      <c r="O205" s="5">
        <v>29497.6949865</v>
      </c>
      <c r="P205" s="6" t="str">
        <f t="shared" si="2"/>
        <v>Auto Components &amp; Equipments</v>
      </c>
    </row>
    <row r="206" hidden="1">
      <c r="A206" s="3" t="s">
        <v>1005</v>
      </c>
      <c r="B206" s="4">
        <v>500414.0</v>
      </c>
      <c r="C206" s="3" t="s">
        <v>1006</v>
      </c>
      <c r="D206" s="3" t="s">
        <v>1007</v>
      </c>
      <c r="E206" s="3" t="s">
        <v>1008</v>
      </c>
      <c r="F206" s="3" t="s">
        <v>19</v>
      </c>
      <c r="G206" s="3" t="s">
        <v>112</v>
      </c>
      <c r="H206" s="3">
        <v>1.0</v>
      </c>
      <c r="I206" s="3" t="s">
        <v>1005</v>
      </c>
      <c r="J206" s="3" t="s">
        <v>22</v>
      </c>
      <c r="K206" s="3" t="s">
        <v>58</v>
      </c>
      <c r="L206" s="3" t="s">
        <v>211</v>
      </c>
      <c r="M206" s="3" t="s">
        <v>211</v>
      </c>
      <c r="N206" s="3" t="s">
        <v>947</v>
      </c>
      <c r="O206" s="5">
        <v>1546.619028</v>
      </c>
      <c r="P206" s="6" t="str">
        <f t="shared" si="2"/>
        <v>Consumer Durables</v>
      </c>
    </row>
    <row r="207" hidden="1">
      <c r="A207" s="3" t="s">
        <v>1009</v>
      </c>
      <c r="B207" s="4">
        <v>500418.0</v>
      </c>
      <c r="C207" s="3" t="s">
        <v>1010</v>
      </c>
      <c r="D207" s="3" t="s">
        <v>1011</v>
      </c>
      <c r="E207" s="3" t="s">
        <v>1012</v>
      </c>
      <c r="F207" s="3" t="s">
        <v>19</v>
      </c>
      <c r="G207" s="3" t="s">
        <v>112</v>
      </c>
      <c r="H207" s="3">
        <v>10.0</v>
      </c>
      <c r="I207" s="3" t="s">
        <v>1009</v>
      </c>
      <c r="J207" s="3" t="s">
        <v>22</v>
      </c>
      <c r="K207" s="3" t="s">
        <v>58</v>
      </c>
      <c r="L207" s="3" t="s">
        <v>211</v>
      </c>
      <c r="M207" s="3" t="s">
        <v>211</v>
      </c>
      <c r="N207" s="3" t="s">
        <v>848</v>
      </c>
      <c r="O207" s="5">
        <v>116.5895558</v>
      </c>
      <c r="P207" s="6" t="str">
        <f t="shared" si="2"/>
        <v>Consumer Durables</v>
      </c>
    </row>
    <row r="208">
      <c r="A208" s="3" t="s">
        <v>1013</v>
      </c>
      <c r="B208" s="4">
        <v>500413.0</v>
      </c>
      <c r="C208" s="3" t="s">
        <v>1014</v>
      </c>
      <c r="D208" s="3" t="s">
        <v>1015</v>
      </c>
      <c r="E208" s="3" t="s">
        <v>1016</v>
      </c>
      <c r="F208" s="3" t="s">
        <v>19</v>
      </c>
      <c r="G208" s="3" t="s">
        <v>112</v>
      </c>
      <c r="H208" s="3">
        <v>1.0</v>
      </c>
      <c r="I208" s="3" t="s">
        <v>1001</v>
      </c>
      <c r="J208" s="3" t="s">
        <v>22</v>
      </c>
      <c r="K208" s="3" t="s">
        <v>58</v>
      </c>
      <c r="L208" s="3" t="s">
        <v>73</v>
      </c>
      <c r="M208" s="3" t="s">
        <v>74</v>
      </c>
      <c r="N208" s="3" t="s">
        <v>565</v>
      </c>
      <c r="O208" s="5">
        <v>11483.4526253</v>
      </c>
      <c r="P208" s="6" t="str">
        <f t="shared" si="2"/>
        <v>Leisure Services</v>
      </c>
    </row>
    <row r="209" hidden="1">
      <c r="A209" s="3" t="s">
        <v>1017</v>
      </c>
      <c r="B209" s="4">
        <v>500421.0</v>
      </c>
      <c r="C209" s="3" t="s">
        <v>1018</v>
      </c>
      <c r="D209" s="3" t="s">
        <v>1019</v>
      </c>
      <c r="E209" s="3" t="s">
        <v>1020</v>
      </c>
      <c r="F209" s="3" t="s">
        <v>19</v>
      </c>
      <c r="G209" s="3" t="s">
        <v>72</v>
      </c>
      <c r="H209" s="3">
        <v>1.0</v>
      </c>
      <c r="I209" s="3" t="s">
        <v>1017</v>
      </c>
      <c r="J209" s="3" t="s">
        <v>22</v>
      </c>
      <c r="K209" s="3" t="s">
        <v>97</v>
      </c>
      <c r="L209" s="3" t="s">
        <v>98</v>
      </c>
      <c r="M209" s="3" t="s">
        <v>100</v>
      </c>
      <c r="N209" s="3" t="s">
        <v>373</v>
      </c>
      <c r="O209" s="5">
        <v>75.81787</v>
      </c>
      <c r="P209" s="6" t="str">
        <f t="shared" si="2"/>
        <v>Industrial Products</v>
      </c>
    </row>
    <row r="210" hidden="1">
      <c r="A210" s="3" t="s">
        <v>1021</v>
      </c>
      <c r="B210" s="4">
        <v>500422.0</v>
      </c>
      <c r="C210" s="3" t="s">
        <v>1022</v>
      </c>
      <c r="D210" s="3" t="s">
        <v>1023</v>
      </c>
      <c r="E210" s="3" t="s">
        <v>1024</v>
      </c>
      <c r="F210" s="3" t="s">
        <v>19</v>
      </c>
      <c r="G210" s="3" t="s">
        <v>72</v>
      </c>
      <c r="H210" s="3">
        <v>10.0</v>
      </c>
      <c r="I210" s="3" t="s">
        <v>1021</v>
      </c>
      <c r="J210" s="3" t="s">
        <v>22</v>
      </c>
      <c r="K210" s="3" t="s">
        <v>45</v>
      </c>
      <c r="L210" s="3" t="s">
        <v>45</v>
      </c>
      <c r="M210" s="3" t="s">
        <v>46</v>
      </c>
      <c r="N210" s="3" t="s">
        <v>47</v>
      </c>
      <c r="O210" s="5">
        <v>47.6274217</v>
      </c>
      <c r="P210" s="6" t="str">
        <f t="shared" si="2"/>
        <v>Pharmaceuticals</v>
      </c>
    </row>
    <row r="211">
      <c r="A211" s="3" t="s">
        <v>280</v>
      </c>
      <c r="B211" s="4">
        <v>500493.0</v>
      </c>
      <c r="C211" s="3" t="s">
        <v>1025</v>
      </c>
      <c r="D211" s="3" t="s">
        <v>1026</v>
      </c>
      <c r="E211" s="3" t="s">
        <v>1027</v>
      </c>
      <c r="F211" s="3" t="s">
        <v>19</v>
      </c>
      <c r="G211" s="3" t="s">
        <v>20</v>
      </c>
      <c r="H211" s="3">
        <v>2.0</v>
      </c>
      <c r="I211" s="3" t="s">
        <v>1028</v>
      </c>
      <c r="J211" s="3" t="s">
        <v>22</v>
      </c>
      <c r="K211" s="3" t="s">
        <v>58</v>
      </c>
      <c r="L211" s="3" t="s">
        <v>133</v>
      </c>
      <c r="M211" s="3" t="s">
        <v>134</v>
      </c>
      <c r="N211" s="3" t="s">
        <v>135</v>
      </c>
      <c r="O211" s="5">
        <v>77237.4241058</v>
      </c>
      <c r="P211" s="6" t="str">
        <f t="shared" si="2"/>
        <v>Auto Components &amp; Equipments</v>
      </c>
    </row>
    <row r="212" hidden="1">
      <c r="A212" s="3" t="s">
        <v>1029</v>
      </c>
      <c r="B212" s="4">
        <v>500426.0</v>
      </c>
      <c r="C212" s="3" t="s">
        <v>1030</v>
      </c>
      <c r="D212" s="3" t="s">
        <v>1031</v>
      </c>
      <c r="E212" s="3" t="s">
        <v>1030</v>
      </c>
      <c r="F212" s="3" t="s">
        <v>19</v>
      </c>
      <c r="G212" s="3" t="s">
        <v>72</v>
      </c>
      <c r="H212" s="3">
        <v>1.0</v>
      </c>
      <c r="I212" s="3" t="s">
        <v>1029</v>
      </c>
      <c r="J212" s="3" t="s">
        <v>22</v>
      </c>
      <c r="K212" s="3" t="s">
        <v>58</v>
      </c>
      <c r="L212" s="3" t="s">
        <v>59</v>
      </c>
      <c r="M212" s="3" t="s">
        <v>59</v>
      </c>
      <c r="N212" s="3" t="s">
        <v>60</v>
      </c>
      <c r="O212" s="5">
        <v>14.0606368</v>
      </c>
      <c r="P212" s="6" t="str">
        <f t="shared" si="2"/>
        <v>Residential, Commercial Projects</v>
      </c>
    </row>
    <row r="213" hidden="1">
      <c r="A213" s="3" t="s">
        <v>1032</v>
      </c>
      <c r="B213" s="4">
        <v>500429.0</v>
      </c>
      <c r="C213" s="3" t="s">
        <v>1033</v>
      </c>
      <c r="D213" s="3" t="s">
        <v>1034</v>
      </c>
      <c r="E213" s="3" t="s">
        <v>1035</v>
      </c>
      <c r="F213" s="3" t="s">
        <v>19</v>
      </c>
      <c r="G213" s="3" t="s">
        <v>112</v>
      </c>
      <c r="H213" s="3">
        <v>2.0</v>
      </c>
      <c r="I213" s="3" t="s">
        <v>1032</v>
      </c>
      <c r="J213" s="3" t="s">
        <v>22</v>
      </c>
      <c r="K213" s="3" t="s">
        <v>23</v>
      </c>
      <c r="L213" s="3" t="s">
        <v>24</v>
      </c>
      <c r="M213" s="3" t="s">
        <v>25</v>
      </c>
      <c r="N213" s="3" t="s">
        <v>1036</v>
      </c>
      <c r="O213" s="5">
        <v>1140.3761685</v>
      </c>
      <c r="P213" s="6" t="str">
        <f t="shared" si="2"/>
        <v>Chemicals &amp; Petrochemicals</v>
      </c>
    </row>
    <row r="214" hidden="1">
      <c r="A214" s="3" t="s">
        <v>1037</v>
      </c>
      <c r="B214" s="4">
        <v>500439.0</v>
      </c>
      <c r="C214" s="3" t="s">
        <v>1038</v>
      </c>
      <c r="D214" s="3" t="s">
        <v>1039</v>
      </c>
      <c r="E214" s="3" t="s">
        <v>1040</v>
      </c>
      <c r="F214" s="3" t="s">
        <v>19</v>
      </c>
      <c r="G214" s="3" t="s">
        <v>112</v>
      </c>
      <c r="H214" s="3">
        <v>10.0</v>
      </c>
      <c r="I214" s="3" t="s">
        <v>1037</v>
      </c>
      <c r="J214" s="3" t="s">
        <v>22</v>
      </c>
      <c r="K214" s="3" t="s">
        <v>204</v>
      </c>
      <c r="L214" s="3" t="s">
        <v>204</v>
      </c>
      <c r="M214" s="3" t="s">
        <v>378</v>
      </c>
      <c r="N214" s="3" t="s">
        <v>379</v>
      </c>
      <c r="O214" s="5">
        <v>1369.776469</v>
      </c>
      <c r="P214" s="6" t="str">
        <f t="shared" si="2"/>
        <v>Non Banking Financial Company (NBFC)</v>
      </c>
    </row>
    <row r="215">
      <c r="A215" s="3" t="s">
        <v>285</v>
      </c>
      <c r="B215" s="4">
        <v>500520.0</v>
      </c>
      <c r="C215" s="3" t="s">
        <v>1041</v>
      </c>
      <c r="D215" s="3" t="s">
        <v>1042</v>
      </c>
      <c r="E215" s="3" t="s">
        <v>1043</v>
      </c>
      <c r="F215" s="3" t="s">
        <v>19</v>
      </c>
      <c r="G215" s="3" t="s">
        <v>20</v>
      </c>
      <c r="H215" s="3">
        <v>5.0</v>
      </c>
      <c r="I215" s="3" t="s">
        <v>1044</v>
      </c>
      <c r="J215" s="3" t="s">
        <v>22</v>
      </c>
      <c r="K215" s="3" t="s">
        <v>58</v>
      </c>
      <c r="L215" s="3" t="s">
        <v>133</v>
      </c>
      <c r="M215" s="3" t="s">
        <v>906</v>
      </c>
      <c r="N215" s="3" t="s">
        <v>907</v>
      </c>
      <c r="O215" s="5">
        <v>344478.9275</v>
      </c>
      <c r="P215" s="6" t="str">
        <f t="shared" si="2"/>
        <v>Automobiles</v>
      </c>
    </row>
    <row r="216" hidden="1">
      <c r="A216" s="3" t="s">
        <v>1045</v>
      </c>
      <c r="B216" s="4">
        <v>500444.0</v>
      </c>
      <c r="C216" s="3" t="s">
        <v>1046</v>
      </c>
      <c r="D216" s="3" t="s">
        <v>1047</v>
      </c>
      <c r="E216" s="3" t="s">
        <v>1048</v>
      </c>
      <c r="F216" s="3" t="s">
        <v>19</v>
      </c>
      <c r="G216" s="3" t="s">
        <v>20</v>
      </c>
      <c r="H216" s="3">
        <v>2.0</v>
      </c>
      <c r="I216" s="3" t="s">
        <v>1045</v>
      </c>
      <c r="J216" s="3" t="s">
        <v>22</v>
      </c>
      <c r="K216" s="3" t="s">
        <v>23</v>
      </c>
      <c r="L216" s="3" t="s">
        <v>32</v>
      </c>
      <c r="M216" s="3" t="s">
        <v>33</v>
      </c>
      <c r="N216" s="3" t="s">
        <v>34</v>
      </c>
      <c r="O216" s="5">
        <v>4671.3953011</v>
      </c>
      <c r="P216" s="6" t="str">
        <f t="shared" si="2"/>
        <v>Paper, Forest &amp; Jute Products</v>
      </c>
    </row>
    <row r="217" hidden="1">
      <c r="A217" s="3" t="s">
        <v>1049</v>
      </c>
      <c r="B217" s="4">
        <v>500449.0</v>
      </c>
      <c r="C217" s="3" t="s">
        <v>1050</v>
      </c>
      <c r="D217" s="3" t="s">
        <v>1051</v>
      </c>
      <c r="E217" s="3" t="s">
        <v>1052</v>
      </c>
      <c r="F217" s="3" t="s">
        <v>19</v>
      </c>
      <c r="G217" s="3" t="s">
        <v>112</v>
      </c>
      <c r="H217" s="3">
        <v>10.0</v>
      </c>
      <c r="I217" s="3" t="s">
        <v>1049</v>
      </c>
      <c r="J217" s="3" t="s">
        <v>22</v>
      </c>
      <c r="K217" s="3" t="s">
        <v>23</v>
      </c>
      <c r="L217" s="3" t="s">
        <v>24</v>
      </c>
      <c r="M217" s="3" t="s">
        <v>25</v>
      </c>
      <c r="N217" s="3" t="s">
        <v>52</v>
      </c>
      <c r="O217" s="5">
        <v>299.832214</v>
      </c>
      <c r="P217" s="6" t="str">
        <f t="shared" si="2"/>
        <v>Chemicals &amp; Petrochemicals</v>
      </c>
    </row>
    <row r="218" hidden="1">
      <c r="A218" s="3" t="s">
        <v>1053</v>
      </c>
      <c r="B218" s="4">
        <v>500450.0</v>
      </c>
      <c r="C218" s="3" t="s">
        <v>1054</v>
      </c>
      <c r="D218" s="3" t="s">
        <v>1055</v>
      </c>
      <c r="E218" s="3" t="s">
        <v>1056</v>
      </c>
      <c r="F218" s="3" t="s">
        <v>19</v>
      </c>
      <c r="G218" s="3" t="s">
        <v>44</v>
      </c>
      <c r="H218" s="3">
        <v>10.0</v>
      </c>
      <c r="I218" s="3" t="s">
        <v>1053</v>
      </c>
      <c r="J218" s="3" t="s">
        <v>22</v>
      </c>
      <c r="K218" s="3" t="s">
        <v>204</v>
      </c>
      <c r="L218" s="3" t="s">
        <v>204</v>
      </c>
      <c r="M218" s="3" t="s">
        <v>378</v>
      </c>
      <c r="N218" s="3" t="s">
        <v>468</v>
      </c>
      <c r="O218" s="5">
        <v>34.2682478</v>
      </c>
      <c r="P218" s="6" t="str">
        <f t="shared" si="2"/>
        <v>Finance</v>
      </c>
    </row>
    <row r="219" hidden="1">
      <c r="A219" s="3" t="s">
        <v>1057</v>
      </c>
      <c r="B219" s="4">
        <v>500456.0</v>
      </c>
      <c r="C219" s="3" t="s">
        <v>1058</v>
      </c>
      <c r="D219" s="3" t="s">
        <v>1059</v>
      </c>
      <c r="E219" s="3" t="s">
        <v>1060</v>
      </c>
      <c r="F219" s="3" t="s">
        <v>19</v>
      </c>
      <c r="G219" s="3" t="s">
        <v>112</v>
      </c>
      <c r="H219" s="3">
        <v>10.0</v>
      </c>
      <c r="I219" s="3" t="s">
        <v>1057</v>
      </c>
      <c r="J219" s="3" t="s">
        <v>22</v>
      </c>
      <c r="K219" s="3" t="s">
        <v>23</v>
      </c>
      <c r="L219" s="3" t="s">
        <v>24</v>
      </c>
      <c r="M219" s="3" t="s">
        <v>25</v>
      </c>
      <c r="N219" s="3" t="s">
        <v>241</v>
      </c>
      <c r="O219" s="5">
        <v>334.6518862</v>
      </c>
      <c r="P219" s="6" t="str">
        <f t="shared" si="2"/>
        <v>Chemicals &amp; Petrochemicals</v>
      </c>
    </row>
    <row r="220" hidden="1">
      <c r="A220" s="3" t="s">
        <v>1061</v>
      </c>
      <c r="B220" s="4">
        <v>500458.0</v>
      </c>
      <c r="C220" s="3" t="s">
        <v>1062</v>
      </c>
      <c r="D220" s="3" t="s">
        <v>1063</v>
      </c>
      <c r="E220" s="3" t="s">
        <v>1064</v>
      </c>
      <c r="F220" s="3" t="s">
        <v>19</v>
      </c>
      <c r="G220" s="3" t="s">
        <v>44</v>
      </c>
      <c r="H220" s="3">
        <v>10.0</v>
      </c>
      <c r="I220" s="3" t="s">
        <v>1061</v>
      </c>
      <c r="J220" s="3" t="s">
        <v>22</v>
      </c>
      <c r="K220" s="3" t="s">
        <v>145</v>
      </c>
      <c r="L220" s="3" t="s">
        <v>145</v>
      </c>
      <c r="M220" s="3" t="s">
        <v>597</v>
      </c>
      <c r="N220" s="3" t="s">
        <v>1065</v>
      </c>
      <c r="O220" s="5">
        <v>9.4342938</v>
      </c>
      <c r="P220" s="6" t="str">
        <f t="shared" si="2"/>
        <v>Food Products</v>
      </c>
    </row>
    <row r="221">
      <c r="A221" s="3" t="s">
        <v>1066</v>
      </c>
      <c r="B221" s="4">
        <v>500530.0</v>
      </c>
      <c r="C221" s="3" t="s">
        <v>1067</v>
      </c>
      <c r="D221" s="3" t="s">
        <v>1068</v>
      </c>
      <c r="E221" s="3" t="s">
        <v>1069</v>
      </c>
      <c r="F221" s="3" t="s">
        <v>19</v>
      </c>
      <c r="G221" s="3" t="s">
        <v>20</v>
      </c>
      <c r="H221" s="3">
        <v>10.0</v>
      </c>
      <c r="I221" s="3" t="s">
        <v>1070</v>
      </c>
      <c r="J221" s="3" t="s">
        <v>22</v>
      </c>
      <c r="K221" s="3" t="s">
        <v>58</v>
      </c>
      <c r="L221" s="3" t="s">
        <v>133</v>
      </c>
      <c r="M221" s="3" t="s">
        <v>134</v>
      </c>
      <c r="N221" s="3" t="s">
        <v>135</v>
      </c>
      <c r="O221" s="5">
        <v>102678.412501</v>
      </c>
      <c r="P221" s="6" t="str">
        <f t="shared" si="2"/>
        <v>Auto Components &amp; Equipments</v>
      </c>
    </row>
    <row r="222" hidden="1">
      <c r="A222" s="3" t="s">
        <v>1071</v>
      </c>
      <c r="B222" s="4">
        <v>500460.0</v>
      </c>
      <c r="C222" s="3" t="s">
        <v>1072</v>
      </c>
      <c r="D222" s="3" t="s">
        <v>1073</v>
      </c>
      <c r="E222" s="3" t="s">
        <v>1074</v>
      </c>
      <c r="F222" s="3" t="s">
        <v>19</v>
      </c>
      <c r="G222" s="3" t="s">
        <v>112</v>
      </c>
      <c r="H222" s="3">
        <v>10.0</v>
      </c>
      <c r="I222" s="3" t="s">
        <v>1071</v>
      </c>
      <c r="J222" s="3" t="s">
        <v>22</v>
      </c>
      <c r="K222" s="3" t="s">
        <v>23</v>
      </c>
      <c r="L222" s="3" t="s">
        <v>65</v>
      </c>
      <c r="M222" s="3" t="s">
        <v>106</v>
      </c>
      <c r="N222" s="3" t="s">
        <v>107</v>
      </c>
      <c r="O222" s="5">
        <v>2399.93858</v>
      </c>
      <c r="P222" s="6" t="str">
        <f t="shared" si="2"/>
        <v>Ferrous Metals</v>
      </c>
    </row>
    <row r="223">
      <c r="A223" s="3" t="s">
        <v>1075</v>
      </c>
      <c r="B223" s="4">
        <v>500570.0</v>
      </c>
      <c r="C223" s="3" t="s">
        <v>1076</v>
      </c>
      <c r="D223" s="3" t="s">
        <v>1077</v>
      </c>
      <c r="E223" s="3" t="s">
        <v>1078</v>
      </c>
      <c r="F223" s="3" t="s">
        <v>19</v>
      </c>
      <c r="G223" s="3" t="s">
        <v>20</v>
      </c>
      <c r="H223" s="3">
        <v>2.0</v>
      </c>
      <c r="I223" s="3" t="s">
        <v>1079</v>
      </c>
      <c r="J223" s="3" t="s">
        <v>22</v>
      </c>
      <c r="K223" s="3" t="s">
        <v>58</v>
      </c>
      <c r="L223" s="3" t="s">
        <v>133</v>
      </c>
      <c r="M223" s="3" t="s">
        <v>906</v>
      </c>
      <c r="N223" s="3" t="s">
        <v>907</v>
      </c>
      <c r="O223" s="5">
        <v>353838.74982</v>
      </c>
      <c r="P223" s="6" t="str">
        <f t="shared" si="2"/>
        <v>Automobiles</v>
      </c>
    </row>
    <row r="224" hidden="1">
      <c r="A224" s="3" t="s">
        <v>1080</v>
      </c>
      <c r="B224" s="4">
        <v>500464.0</v>
      </c>
      <c r="C224" s="3" t="s">
        <v>1081</v>
      </c>
      <c r="D224" s="3" t="s">
        <v>1082</v>
      </c>
      <c r="E224" s="3" t="s">
        <v>1083</v>
      </c>
      <c r="F224" s="3" t="s">
        <v>19</v>
      </c>
      <c r="G224" s="3" t="s">
        <v>112</v>
      </c>
      <c r="H224" s="3">
        <v>10.0</v>
      </c>
      <c r="I224" s="3" t="s">
        <v>1080</v>
      </c>
      <c r="J224" s="3" t="s">
        <v>22</v>
      </c>
      <c r="K224" s="3" t="s">
        <v>58</v>
      </c>
      <c r="L224" s="3" t="s">
        <v>133</v>
      </c>
      <c r="M224" s="3" t="s">
        <v>134</v>
      </c>
      <c r="N224" s="3" t="s">
        <v>135</v>
      </c>
      <c r="O224" s="5">
        <v>386.2774792</v>
      </c>
      <c r="P224" s="6" t="str">
        <f t="shared" si="2"/>
        <v>Auto Components &amp; Equipments</v>
      </c>
    </row>
    <row r="225" hidden="1">
      <c r="A225" s="3" t="s">
        <v>1084</v>
      </c>
      <c r="B225" s="4">
        <v>500467.0</v>
      </c>
      <c r="C225" s="3" t="s">
        <v>1085</v>
      </c>
      <c r="D225" s="3" t="s">
        <v>1086</v>
      </c>
      <c r="E225" s="3" t="s">
        <v>1087</v>
      </c>
      <c r="F225" s="3" t="s">
        <v>19</v>
      </c>
      <c r="G225" s="3" t="s">
        <v>112</v>
      </c>
      <c r="H225" s="3">
        <v>10.0</v>
      </c>
      <c r="I225" s="3" t="s">
        <v>1084</v>
      </c>
      <c r="J225" s="3" t="s">
        <v>22</v>
      </c>
      <c r="K225" s="3" t="s">
        <v>97</v>
      </c>
      <c r="L225" s="3" t="s">
        <v>98</v>
      </c>
      <c r="M225" s="3" t="s">
        <v>100</v>
      </c>
      <c r="N225" s="3" t="s">
        <v>862</v>
      </c>
      <c r="O225" s="5">
        <v>389.6686038</v>
      </c>
      <c r="P225" s="6" t="str">
        <f t="shared" si="2"/>
        <v>Industrial Products</v>
      </c>
    </row>
    <row r="226">
      <c r="A226" s="3" t="s">
        <v>1088</v>
      </c>
      <c r="B226" s="4">
        <v>500575.0</v>
      </c>
      <c r="C226" s="3" t="s">
        <v>1089</v>
      </c>
      <c r="D226" s="3" t="s">
        <v>1090</v>
      </c>
      <c r="E226" s="3" t="s">
        <v>1091</v>
      </c>
      <c r="F226" s="3" t="s">
        <v>19</v>
      </c>
      <c r="G226" s="3" t="s">
        <v>20</v>
      </c>
      <c r="H226" s="3">
        <v>1.0</v>
      </c>
      <c r="I226" s="3" t="s">
        <v>1092</v>
      </c>
      <c r="J226" s="3" t="s">
        <v>22</v>
      </c>
      <c r="K226" s="3" t="s">
        <v>58</v>
      </c>
      <c r="L226" s="3" t="s">
        <v>211</v>
      </c>
      <c r="M226" s="3" t="s">
        <v>211</v>
      </c>
      <c r="N226" s="3" t="s">
        <v>882</v>
      </c>
      <c r="O226" s="5">
        <v>49662.3153914</v>
      </c>
      <c r="P226" s="6" t="str">
        <f t="shared" si="2"/>
        <v>Consumer Durables</v>
      </c>
    </row>
    <row r="227">
      <c r="A227" s="3" t="s">
        <v>297</v>
      </c>
      <c r="B227" s="4">
        <v>500710.0</v>
      </c>
      <c r="C227" s="3" t="s">
        <v>1093</v>
      </c>
      <c r="D227" s="3" t="s">
        <v>1094</v>
      </c>
      <c r="E227" s="3" t="s">
        <v>1093</v>
      </c>
      <c r="F227" s="3" t="s">
        <v>19</v>
      </c>
      <c r="G227" s="3" t="s">
        <v>20</v>
      </c>
      <c r="H227" s="3">
        <v>10.0</v>
      </c>
      <c r="I227" s="3" t="s">
        <v>1095</v>
      </c>
      <c r="J227" s="3" t="s">
        <v>22</v>
      </c>
      <c r="K227" s="3" t="s">
        <v>58</v>
      </c>
      <c r="L227" s="3" t="s">
        <v>211</v>
      </c>
      <c r="M227" s="3" t="s">
        <v>211</v>
      </c>
      <c r="N227" s="3" t="s">
        <v>956</v>
      </c>
      <c r="O227" s="5">
        <v>12958.51392</v>
      </c>
      <c r="P227" s="6" t="str">
        <f t="shared" si="2"/>
        <v>Consumer Durables</v>
      </c>
    </row>
    <row r="228">
      <c r="A228" s="3" t="s">
        <v>1096</v>
      </c>
      <c r="B228" s="4">
        <v>500820.0</v>
      </c>
      <c r="C228" s="3" t="s">
        <v>1097</v>
      </c>
      <c r="D228" s="3" t="s">
        <v>1098</v>
      </c>
      <c r="E228" s="3" t="s">
        <v>1099</v>
      </c>
      <c r="F228" s="3" t="s">
        <v>19</v>
      </c>
      <c r="G228" s="3" t="s">
        <v>20</v>
      </c>
      <c r="H228" s="3">
        <v>1.0</v>
      </c>
      <c r="I228" s="3" t="s">
        <v>1100</v>
      </c>
      <c r="J228" s="3" t="s">
        <v>22</v>
      </c>
      <c r="K228" s="3" t="s">
        <v>58</v>
      </c>
      <c r="L228" s="3" t="s">
        <v>211</v>
      </c>
      <c r="M228" s="3" t="s">
        <v>211</v>
      </c>
      <c r="N228" s="3" t="s">
        <v>956</v>
      </c>
      <c r="O228" s="5">
        <v>281218.3796746</v>
      </c>
      <c r="P228" s="6" t="str">
        <f t="shared" si="2"/>
        <v>Consumer Durables</v>
      </c>
    </row>
    <row r="229">
      <c r="A229" s="3" t="s">
        <v>1101</v>
      </c>
      <c r="B229" s="4">
        <v>500840.0</v>
      </c>
      <c r="C229" s="3" t="s">
        <v>1102</v>
      </c>
      <c r="D229" s="3" t="s">
        <v>1103</v>
      </c>
      <c r="E229" s="3" t="s">
        <v>1104</v>
      </c>
      <c r="F229" s="3" t="s">
        <v>19</v>
      </c>
      <c r="G229" s="3" t="s">
        <v>20</v>
      </c>
      <c r="H229" s="3">
        <v>2.0</v>
      </c>
      <c r="I229" s="3" t="s">
        <v>1105</v>
      </c>
      <c r="J229" s="3" t="s">
        <v>22</v>
      </c>
      <c r="K229" s="3" t="s">
        <v>58</v>
      </c>
      <c r="L229" s="3" t="s">
        <v>73</v>
      </c>
      <c r="M229" s="3" t="s">
        <v>74</v>
      </c>
      <c r="N229" s="3" t="s">
        <v>75</v>
      </c>
      <c r="O229" s="5">
        <v>26721.5865527</v>
      </c>
      <c r="P229" s="6" t="str">
        <f t="shared" si="2"/>
        <v>Leisure Services</v>
      </c>
    </row>
    <row r="230">
      <c r="A230" s="3" t="s">
        <v>1106</v>
      </c>
      <c r="B230" s="4">
        <v>500850.0</v>
      </c>
      <c r="C230" s="3" t="s">
        <v>1107</v>
      </c>
      <c r="D230" s="3" t="s">
        <v>1108</v>
      </c>
      <c r="E230" s="3" t="s">
        <v>1109</v>
      </c>
      <c r="F230" s="3" t="s">
        <v>19</v>
      </c>
      <c r="G230" s="3" t="s">
        <v>20</v>
      </c>
      <c r="H230" s="3">
        <v>1.0</v>
      </c>
      <c r="I230" s="3" t="s">
        <v>1110</v>
      </c>
      <c r="J230" s="3" t="s">
        <v>22</v>
      </c>
      <c r="K230" s="3" t="s">
        <v>58</v>
      </c>
      <c r="L230" s="3" t="s">
        <v>73</v>
      </c>
      <c r="M230" s="3" t="s">
        <v>74</v>
      </c>
      <c r="N230" s="3" t="s">
        <v>75</v>
      </c>
      <c r="O230" s="5">
        <v>87553.3615</v>
      </c>
      <c r="P230" s="6" t="str">
        <f t="shared" si="2"/>
        <v>Leisure Services</v>
      </c>
    </row>
    <row r="231">
      <c r="A231" s="3" t="s">
        <v>1111</v>
      </c>
      <c r="B231" s="4">
        <v>500877.0</v>
      </c>
      <c r="C231" s="3" t="s">
        <v>1112</v>
      </c>
      <c r="D231" s="3" t="s">
        <v>1113</v>
      </c>
      <c r="E231" s="3" t="s">
        <v>1114</v>
      </c>
      <c r="F231" s="3" t="s">
        <v>19</v>
      </c>
      <c r="G231" s="3" t="s">
        <v>20</v>
      </c>
      <c r="H231" s="3">
        <v>1.0</v>
      </c>
      <c r="I231" s="3" t="s">
        <v>1115</v>
      </c>
      <c r="J231" s="3" t="s">
        <v>22</v>
      </c>
      <c r="K231" s="3" t="s">
        <v>58</v>
      </c>
      <c r="L231" s="3" t="s">
        <v>133</v>
      </c>
      <c r="M231" s="3" t="s">
        <v>134</v>
      </c>
      <c r="N231" s="3" t="s">
        <v>449</v>
      </c>
      <c r="O231" s="5">
        <v>33602.84109</v>
      </c>
      <c r="P231" s="6" t="str">
        <f t="shared" si="2"/>
        <v>Auto Components</v>
      </c>
    </row>
    <row r="232">
      <c r="A232" s="3" t="s">
        <v>1116</v>
      </c>
      <c r="B232" s="4">
        <v>500878.0</v>
      </c>
      <c r="C232" s="3" t="s">
        <v>1117</v>
      </c>
      <c r="D232" s="3" t="s">
        <v>1118</v>
      </c>
      <c r="E232" s="3" t="s">
        <v>1119</v>
      </c>
      <c r="F232" s="3" t="s">
        <v>19</v>
      </c>
      <c r="G232" s="3" t="s">
        <v>20</v>
      </c>
      <c r="H232" s="3">
        <v>10.0</v>
      </c>
      <c r="I232" s="3" t="s">
        <v>1120</v>
      </c>
      <c r="J232" s="3" t="s">
        <v>22</v>
      </c>
      <c r="K232" s="3" t="s">
        <v>58</v>
      </c>
      <c r="L232" s="3" t="s">
        <v>133</v>
      </c>
      <c r="M232" s="3" t="s">
        <v>134</v>
      </c>
      <c r="N232" s="3" t="s">
        <v>449</v>
      </c>
      <c r="O232" s="5">
        <v>10954.1800178</v>
      </c>
      <c r="P232" s="6" t="str">
        <f t="shared" si="2"/>
        <v>Auto Components</v>
      </c>
    </row>
    <row r="233">
      <c r="A233" s="3" t="s">
        <v>1121</v>
      </c>
      <c r="B233" s="4">
        <v>502355.0</v>
      </c>
      <c r="C233" s="3" t="s">
        <v>1122</v>
      </c>
      <c r="D233" s="3" t="s">
        <v>1123</v>
      </c>
      <c r="E233" s="3" t="s">
        <v>1124</v>
      </c>
      <c r="F233" s="3" t="s">
        <v>19</v>
      </c>
      <c r="G233" s="3" t="s">
        <v>20</v>
      </c>
      <c r="H233" s="3">
        <v>2.0</v>
      </c>
      <c r="I233" s="3" t="s">
        <v>1125</v>
      </c>
      <c r="J233" s="3" t="s">
        <v>22</v>
      </c>
      <c r="K233" s="3" t="s">
        <v>58</v>
      </c>
      <c r="L233" s="3" t="s">
        <v>133</v>
      </c>
      <c r="M233" s="3" t="s">
        <v>134</v>
      </c>
      <c r="N233" s="3" t="s">
        <v>449</v>
      </c>
      <c r="O233" s="5">
        <v>61800.9963305</v>
      </c>
      <c r="P233" s="6" t="str">
        <f t="shared" si="2"/>
        <v>Auto Components</v>
      </c>
    </row>
    <row r="234">
      <c r="A234" s="3" t="s">
        <v>1028</v>
      </c>
      <c r="B234" s="4">
        <v>502986.0</v>
      </c>
      <c r="C234" s="3" t="s">
        <v>1126</v>
      </c>
      <c r="D234" s="3" t="s">
        <v>1127</v>
      </c>
      <c r="E234" s="3" t="s">
        <v>1128</v>
      </c>
      <c r="F234" s="3" t="s">
        <v>19</v>
      </c>
      <c r="G234" s="3" t="s">
        <v>20</v>
      </c>
      <c r="H234" s="3">
        <v>2.0</v>
      </c>
      <c r="I234" s="3" t="s">
        <v>1129</v>
      </c>
      <c r="J234" s="3" t="s">
        <v>22</v>
      </c>
      <c r="K234" s="3" t="s">
        <v>58</v>
      </c>
      <c r="L234" s="3" t="s">
        <v>80</v>
      </c>
      <c r="M234" s="3" t="s">
        <v>81</v>
      </c>
      <c r="N234" s="3" t="s">
        <v>82</v>
      </c>
      <c r="O234" s="5">
        <v>13770.3571357</v>
      </c>
      <c r="P234" s="6" t="str">
        <f t="shared" si="2"/>
        <v>Textiles &amp; Apparels</v>
      </c>
    </row>
    <row r="235">
      <c r="A235" s="3" t="s">
        <v>1130</v>
      </c>
      <c r="B235" s="4">
        <v>503100.0</v>
      </c>
      <c r="C235" s="3" t="s">
        <v>1131</v>
      </c>
      <c r="D235" s="3" t="s">
        <v>1132</v>
      </c>
      <c r="E235" s="3" t="s">
        <v>1133</v>
      </c>
      <c r="F235" s="3" t="s">
        <v>19</v>
      </c>
      <c r="G235" s="3" t="s">
        <v>20</v>
      </c>
      <c r="H235" s="3">
        <v>2.0</v>
      </c>
      <c r="I235" s="3" t="s">
        <v>1134</v>
      </c>
      <c r="J235" s="3" t="s">
        <v>22</v>
      </c>
      <c r="K235" s="3" t="s">
        <v>58</v>
      </c>
      <c r="L235" s="3" t="s">
        <v>59</v>
      </c>
      <c r="M235" s="3" t="s">
        <v>59</v>
      </c>
      <c r="N235" s="3" t="s">
        <v>60</v>
      </c>
      <c r="O235" s="5">
        <v>65691.4513275</v>
      </c>
      <c r="P235" s="6" t="str">
        <f t="shared" si="2"/>
        <v>Residential, Commercial Projects</v>
      </c>
    </row>
    <row r="236" hidden="1">
      <c r="A236" s="3" t="s">
        <v>1135</v>
      </c>
      <c r="B236" s="4">
        <v>500500.0</v>
      </c>
      <c r="C236" s="3" t="s">
        <v>1136</v>
      </c>
      <c r="D236" s="3" t="s">
        <v>1137</v>
      </c>
      <c r="E236" s="3" t="s">
        <v>1138</v>
      </c>
      <c r="F236" s="3" t="s">
        <v>19</v>
      </c>
      <c r="G236" s="3" t="s">
        <v>112</v>
      </c>
      <c r="H236" s="3">
        <v>5.0</v>
      </c>
      <c r="I236" s="3" t="s">
        <v>1135</v>
      </c>
      <c r="J236" s="3" t="s">
        <v>22</v>
      </c>
      <c r="K236" s="3" t="s">
        <v>58</v>
      </c>
      <c r="L236" s="3" t="s">
        <v>133</v>
      </c>
      <c r="M236" s="3" t="s">
        <v>906</v>
      </c>
      <c r="N236" s="3" t="s">
        <v>907</v>
      </c>
      <c r="O236" s="5">
        <v>685.7213853</v>
      </c>
      <c r="P236" s="6" t="str">
        <f t="shared" si="2"/>
        <v>Automobiles</v>
      </c>
    </row>
    <row r="237">
      <c r="A237" s="3" t="s">
        <v>1139</v>
      </c>
      <c r="B237" s="4">
        <v>504882.0</v>
      </c>
      <c r="C237" s="3" t="s">
        <v>1140</v>
      </c>
      <c r="D237" s="3" t="s">
        <v>1141</v>
      </c>
      <c r="E237" s="3" t="s">
        <v>1142</v>
      </c>
      <c r="F237" s="3" t="s">
        <v>19</v>
      </c>
      <c r="G237" s="3" t="s">
        <v>112</v>
      </c>
      <c r="H237" s="3">
        <v>10.0</v>
      </c>
      <c r="I237" s="3" t="s">
        <v>1143</v>
      </c>
      <c r="J237" s="3" t="s">
        <v>22</v>
      </c>
      <c r="K237" s="3" t="s">
        <v>58</v>
      </c>
      <c r="L237" s="3" t="s">
        <v>59</v>
      </c>
      <c r="M237" s="3" t="s">
        <v>59</v>
      </c>
      <c r="N237" s="3" t="s">
        <v>60</v>
      </c>
      <c r="O237" s="5">
        <v>9200.796717</v>
      </c>
      <c r="P237" s="6" t="str">
        <f t="shared" si="2"/>
        <v>Residential, Commercial Projects</v>
      </c>
    </row>
    <row r="238">
      <c r="A238" s="3" t="s">
        <v>1044</v>
      </c>
      <c r="B238" s="4">
        <v>505200.0</v>
      </c>
      <c r="C238" s="3" t="s">
        <v>1144</v>
      </c>
      <c r="D238" s="3" t="s">
        <v>1145</v>
      </c>
      <c r="E238" s="3" t="s">
        <v>1146</v>
      </c>
      <c r="F238" s="3" t="s">
        <v>19</v>
      </c>
      <c r="G238" s="3" t="s">
        <v>20</v>
      </c>
      <c r="H238" s="3">
        <v>1.0</v>
      </c>
      <c r="I238" s="3" t="s">
        <v>1147</v>
      </c>
      <c r="J238" s="3" t="s">
        <v>22</v>
      </c>
      <c r="K238" s="3" t="s">
        <v>58</v>
      </c>
      <c r="L238" s="3" t="s">
        <v>133</v>
      </c>
      <c r="M238" s="3" t="s">
        <v>906</v>
      </c>
      <c r="N238" s="3" t="s">
        <v>961</v>
      </c>
      <c r="O238" s="5">
        <v>129244.986</v>
      </c>
      <c r="P238" s="6" t="str">
        <f t="shared" si="2"/>
        <v>Automobiles</v>
      </c>
    </row>
    <row r="239">
      <c r="A239" s="3" t="s">
        <v>1070</v>
      </c>
      <c r="B239" s="4">
        <v>505509.0</v>
      </c>
      <c r="C239" s="3" t="s">
        <v>1148</v>
      </c>
      <c r="D239" s="3" t="s">
        <v>1149</v>
      </c>
      <c r="E239" s="3" t="s">
        <v>1150</v>
      </c>
      <c r="F239" s="3" t="s">
        <v>19</v>
      </c>
      <c r="G239" s="3" t="s">
        <v>112</v>
      </c>
      <c r="H239" s="3">
        <v>1.0</v>
      </c>
      <c r="I239" s="3" t="s">
        <v>1151</v>
      </c>
      <c r="J239" s="3" t="s">
        <v>22</v>
      </c>
      <c r="K239" s="3" t="s">
        <v>58</v>
      </c>
      <c r="L239" s="3" t="s">
        <v>211</v>
      </c>
      <c r="M239" s="3" t="s">
        <v>211</v>
      </c>
      <c r="N239" s="3" t="s">
        <v>1152</v>
      </c>
      <c r="O239" s="5">
        <v>9029.9818277</v>
      </c>
      <c r="P239" s="6" t="str">
        <f t="shared" si="2"/>
        <v>Consumer Durables</v>
      </c>
    </row>
    <row r="240" hidden="1">
      <c r="A240" s="3" t="s">
        <v>1153</v>
      </c>
      <c r="B240" s="4">
        <v>500540.0</v>
      </c>
      <c r="C240" s="3" t="s">
        <v>1154</v>
      </c>
      <c r="D240" s="3" t="s">
        <v>1155</v>
      </c>
      <c r="E240" s="3" t="s">
        <v>1156</v>
      </c>
      <c r="F240" s="3" t="s">
        <v>19</v>
      </c>
      <c r="G240" s="3" t="s">
        <v>86</v>
      </c>
      <c r="H240" s="3">
        <v>10.0</v>
      </c>
      <c r="I240" s="3" t="s">
        <v>1153</v>
      </c>
      <c r="J240" s="3" t="s">
        <v>22</v>
      </c>
      <c r="K240" s="3" t="s">
        <v>97</v>
      </c>
      <c r="L240" s="3" t="s">
        <v>98</v>
      </c>
      <c r="M240" s="3" t="s">
        <v>99</v>
      </c>
      <c r="N240" s="3" t="s">
        <v>100</v>
      </c>
      <c r="O240" s="5">
        <v>12.899962</v>
      </c>
      <c r="P240" s="6" t="str">
        <f t="shared" si="2"/>
        <v>Industrial Products</v>
      </c>
    </row>
    <row r="241">
      <c r="A241" s="3" t="s">
        <v>1157</v>
      </c>
      <c r="B241" s="4">
        <v>505533.0</v>
      </c>
      <c r="C241" s="3" t="s">
        <v>1158</v>
      </c>
      <c r="D241" s="3" t="s">
        <v>1159</v>
      </c>
      <c r="E241" s="3" t="s">
        <v>1160</v>
      </c>
      <c r="F241" s="3" t="s">
        <v>19</v>
      </c>
      <c r="G241" s="3" t="s">
        <v>20</v>
      </c>
      <c r="H241" s="3">
        <v>2.0</v>
      </c>
      <c r="I241" s="3" t="s">
        <v>1161</v>
      </c>
      <c r="J241" s="3" t="s">
        <v>22</v>
      </c>
      <c r="K241" s="3" t="s">
        <v>58</v>
      </c>
      <c r="L241" s="3" t="s">
        <v>73</v>
      </c>
      <c r="M241" s="3" t="s">
        <v>74</v>
      </c>
      <c r="N241" s="3" t="s">
        <v>1162</v>
      </c>
      <c r="O241" s="5">
        <v>13145.3114879</v>
      </c>
      <c r="P241" s="6" t="str">
        <f t="shared" si="2"/>
        <v>Leisure Services</v>
      </c>
    </row>
    <row r="242">
      <c r="A242" s="3" t="s">
        <v>1163</v>
      </c>
      <c r="B242" s="4">
        <v>505537.0</v>
      </c>
      <c r="C242" s="3" t="s">
        <v>1164</v>
      </c>
      <c r="D242" s="3" t="s">
        <v>1165</v>
      </c>
      <c r="E242" s="3" t="s">
        <v>1166</v>
      </c>
      <c r="F242" s="3" t="s">
        <v>19</v>
      </c>
      <c r="G242" s="3" t="s">
        <v>20</v>
      </c>
      <c r="H242" s="3">
        <v>1.0</v>
      </c>
      <c r="I242" s="3" t="s">
        <v>1167</v>
      </c>
      <c r="J242" s="3" t="s">
        <v>22</v>
      </c>
      <c r="K242" s="3" t="s">
        <v>58</v>
      </c>
      <c r="L242" s="3" t="s">
        <v>182</v>
      </c>
      <c r="M242" s="3" t="s">
        <v>1168</v>
      </c>
      <c r="N242" s="3" t="s">
        <v>1169</v>
      </c>
      <c r="O242" s="5">
        <v>14585.4505739</v>
      </c>
      <c r="P242" s="6" t="str">
        <f t="shared" si="2"/>
        <v>Entertainment</v>
      </c>
    </row>
    <row r="243">
      <c r="A243" s="3" t="s">
        <v>1079</v>
      </c>
      <c r="B243" s="4">
        <v>505714.0</v>
      </c>
      <c r="C243" s="3" t="s">
        <v>1170</v>
      </c>
      <c r="D243" s="3" t="s">
        <v>1171</v>
      </c>
      <c r="E243" s="3" t="s">
        <v>1172</v>
      </c>
      <c r="F243" s="3" t="s">
        <v>19</v>
      </c>
      <c r="G243" s="3" t="s">
        <v>20</v>
      </c>
      <c r="H243" s="3">
        <v>1.0</v>
      </c>
      <c r="I243" s="3" t="s">
        <v>1173</v>
      </c>
      <c r="J243" s="3" t="s">
        <v>22</v>
      </c>
      <c r="K243" s="3" t="s">
        <v>58</v>
      </c>
      <c r="L243" s="3" t="s">
        <v>133</v>
      </c>
      <c r="M243" s="3" t="s">
        <v>134</v>
      </c>
      <c r="N243" s="3" t="s">
        <v>135</v>
      </c>
      <c r="O243" s="5">
        <v>6924.1467525</v>
      </c>
      <c r="P243" s="6" t="str">
        <f t="shared" si="2"/>
        <v>Auto Components &amp; Equipments</v>
      </c>
    </row>
    <row r="244">
      <c r="A244" s="3" t="s">
        <v>1092</v>
      </c>
      <c r="B244" s="4">
        <v>505726.0</v>
      </c>
      <c r="C244" s="3" t="s">
        <v>1174</v>
      </c>
      <c r="D244" s="3" t="s">
        <v>1175</v>
      </c>
      <c r="E244" s="3" t="s">
        <v>1176</v>
      </c>
      <c r="F244" s="3" t="s">
        <v>19</v>
      </c>
      <c r="G244" s="3" t="s">
        <v>112</v>
      </c>
      <c r="H244" s="3">
        <v>10.0</v>
      </c>
      <c r="I244" s="3" t="s">
        <v>1177</v>
      </c>
      <c r="J244" s="3" t="s">
        <v>22</v>
      </c>
      <c r="K244" s="3" t="s">
        <v>58</v>
      </c>
      <c r="L244" s="3" t="s">
        <v>211</v>
      </c>
      <c r="M244" s="3" t="s">
        <v>211</v>
      </c>
      <c r="N244" s="3" t="s">
        <v>882</v>
      </c>
      <c r="O244" s="5">
        <v>6436.169856</v>
      </c>
      <c r="P244" s="6" t="str">
        <f t="shared" si="2"/>
        <v>Consumer Durables</v>
      </c>
    </row>
    <row r="245">
      <c r="A245" s="3" t="s">
        <v>1178</v>
      </c>
      <c r="B245" s="4">
        <v>505790.0</v>
      </c>
      <c r="C245" s="3" t="s">
        <v>1179</v>
      </c>
      <c r="D245" s="3" t="s">
        <v>1180</v>
      </c>
      <c r="E245" s="3" t="s">
        <v>1181</v>
      </c>
      <c r="F245" s="3" t="s">
        <v>19</v>
      </c>
      <c r="G245" s="3" t="s">
        <v>20</v>
      </c>
      <c r="H245" s="3">
        <v>2.0</v>
      </c>
      <c r="I245" s="3" t="s">
        <v>1182</v>
      </c>
      <c r="J245" s="3" t="s">
        <v>22</v>
      </c>
      <c r="K245" s="3" t="s">
        <v>58</v>
      </c>
      <c r="L245" s="3" t="s">
        <v>133</v>
      </c>
      <c r="M245" s="3" t="s">
        <v>134</v>
      </c>
      <c r="N245" s="3" t="s">
        <v>135</v>
      </c>
      <c r="O245" s="5">
        <v>74585.147911</v>
      </c>
      <c r="P245" s="6" t="str">
        <f t="shared" si="2"/>
        <v>Auto Components &amp; Equipments</v>
      </c>
    </row>
    <row r="246">
      <c r="A246" s="3" t="s">
        <v>302</v>
      </c>
      <c r="B246" s="4">
        <v>507880.0</v>
      </c>
      <c r="C246" s="3" t="s">
        <v>1183</v>
      </c>
      <c r="D246" s="3" t="s">
        <v>1184</v>
      </c>
      <c r="E246" s="3" t="s">
        <v>1185</v>
      </c>
      <c r="F246" s="3" t="s">
        <v>19</v>
      </c>
      <c r="G246" s="3" t="s">
        <v>20</v>
      </c>
      <c r="H246" s="3">
        <v>2.0</v>
      </c>
      <c r="I246" s="3" t="s">
        <v>1186</v>
      </c>
      <c r="J246" s="3" t="s">
        <v>22</v>
      </c>
      <c r="K246" s="3" t="s">
        <v>58</v>
      </c>
      <c r="L246" s="3" t="s">
        <v>211</v>
      </c>
      <c r="M246" s="3" t="s">
        <v>211</v>
      </c>
      <c r="N246" s="3" t="s">
        <v>848</v>
      </c>
      <c r="O246" s="5">
        <v>6789.5572844</v>
      </c>
      <c r="P246" s="6" t="str">
        <f t="shared" si="2"/>
        <v>Consumer Durables</v>
      </c>
    </row>
    <row r="247" hidden="1">
      <c r="A247" s="3" t="s">
        <v>1187</v>
      </c>
      <c r="B247" s="4">
        <v>500650.0</v>
      </c>
      <c r="C247" s="3" t="s">
        <v>1188</v>
      </c>
      <c r="D247" s="3" t="s">
        <v>1189</v>
      </c>
      <c r="E247" s="3" t="s">
        <v>1190</v>
      </c>
      <c r="F247" s="3" t="s">
        <v>19</v>
      </c>
      <c r="G247" s="3" t="s">
        <v>112</v>
      </c>
      <c r="H247" s="3">
        <v>5.0</v>
      </c>
      <c r="I247" s="3" t="s">
        <v>1187</v>
      </c>
      <c r="J247" s="3" t="s">
        <v>22</v>
      </c>
      <c r="K247" s="3" t="s">
        <v>23</v>
      </c>
      <c r="L247" s="3" t="s">
        <v>24</v>
      </c>
      <c r="M247" s="3" t="s">
        <v>25</v>
      </c>
      <c r="N247" s="3" t="s">
        <v>26</v>
      </c>
      <c r="O247" s="5">
        <v>1488.9108976</v>
      </c>
      <c r="P247" s="6" t="str">
        <f t="shared" si="2"/>
        <v>Specialty Chemicals</v>
      </c>
    </row>
    <row r="248">
      <c r="A248" s="3" t="s">
        <v>1191</v>
      </c>
      <c r="B248" s="4">
        <v>509480.0</v>
      </c>
      <c r="C248" s="3" t="s">
        <v>1192</v>
      </c>
      <c r="D248" s="3" t="s">
        <v>1193</v>
      </c>
      <c r="E248" s="3" t="s">
        <v>1194</v>
      </c>
      <c r="F248" s="3" t="s">
        <v>19</v>
      </c>
      <c r="G248" s="3" t="s">
        <v>20</v>
      </c>
      <c r="H248" s="3">
        <v>1.0</v>
      </c>
      <c r="I248" s="3" t="s">
        <v>1195</v>
      </c>
      <c r="J248" s="3" t="s">
        <v>22</v>
      </c>
      <c r="K248" s="3" t="s">
        <v>58</v>
      </c>
      <c r="L248" s="3" t="s">
        <v>211</v>
      </c>
      <c r="M248" s="3" t="s">
        <v>211</v>
      </c>
      <c r="N248" s="3" t="s">
        <v>956</v>
      </c>
      <c r="O248" s="5">
        <v>59933.1105107</v>
      </c>
      <c r="P248" s="6" t="str">
        <f t="shared" si="2"/>
        <v>Consumer Durables</v>
      </c>
    </row>
    <row r="249">
      <c r="A249" s="3" t="s">
        <v>1196</v>
      </c>
      <c r="B249" s="4">
        <v>509557.0</v>
      </c>
      <c r="C249" s="3" t="s">
        <v>1197</v>
      </c>
      <c r="D249" s="3" t="s">
        <v>1198</v>
      </c>
      <c r="E249" s="3" t="s">
        <v>1199</v>
      </c>
      <c r="F249" s="3" t="s">
        <v>19</v>
      </c>
      <c r="G249" s="3" t="s">
        <v>20</v>
      </c>
      <c r="H249" s="3">
        <v>10.0</v>
      </c>
      <c r="I249" s="3" t="s">
        <v>1200</v>
      </c>
      <c r="J249" s="3" t="s">
        <v>22</v>
      </c>
      <c r="K249" s="3" t="s">
        <v>58</v>
      </c>
      <c r="L249" s="3" t="s">
        <v>80</v>
      </c>
      <c r="M249" s="3" t="s">
        <v>81</v>
      </c>
      <c r="N249" s="3" t="s">
        <v>82</v>
      </c>
      <c r="O249" s="5">
        <v>7788.4157704</v>
      </c>
      <c r="P249" s="6" t="str">
        <f t="shared" si="2"/>
        <v>Textiles &amp; Apparels</v>
      </c>
    </row>
    <row r="250">
      <c r="A250" s="3" t="s">
        <v>307</v>
      </c>
      <c r="B250" s="4">
        <v>512179.0</v>
      </c>
      <c r="C250" s="3" t="s">
        <v>1201</v>
      </c>
      <c r="D250" s="3" t="s">
        <v>1202</v>
      </c>
      <c r="E250" s="3" t="s">
        <v>1203</v>
      </c>
      <c r="F250" s="3" t="s">
        <v>19</v>
      </c>
      <c r="G250" s="3" t="s">
        <v>20</v>
      </c>
      <c r="H250" s="3">
        <v>1.0</v>
      </c>
      <c r="I250" s="3" t="s">
        <v>1204</v>
      </c>
      <c r="J250" s="3" t="s">
        <v>22</v>
      </c>
      <c r="K250" s="3" t="s">
        <v>58</v>
      </c>
      <c r="L250" s="3" t="s">
        <v>59</v>
      </c>
      <c r="M250" s="3" t="s">
        <v>59</v>
      </c>
      <c r="N250" s="3" t="s">
        <v>60</v>
      </c>
      <c r="O250" s="5">
        <v>7942.152129</v>
      </c>
      <c r="P250" s="6" t="str">
        <f t="shared" si="2"/>
        <v>Residential, Commercial Projects</v>
      </c>
    </row>
    <row r="251" hidden="1">
      <c r="A251" s="3" t="s">
        <v>1205</v>
      </c>
      <c r="B251" s="4">
        <v>500672.0</v>
      </c>
      <c r="C251" s="3" t="s">
        <v>1206</v>
      </c>
      <c r="D251" s="3" t="s">
        <v>1207</v>
      </c>
      <c r="E251" s="3" t="s">
        <v>1208</v>
      </c>
      <c r="F251" s="3" t="s">
        <v>19</v>
      </c>
      <c r="G251" s="3" t="s">
        <v>112</v>
      </c>
      <c r="H251" s="3">
        <v>5.0</v>
      </c>
      <c r="I251" s="3" t="s">
        <v>1205</v>
      </c>
      <c r="J251" s="3" t="s">
        <v>22</v>
      </c>
      <c r="K251" s="3" t="s">
        <v>45</v>
      </c>
      <c r="L251" s="3" t="s">
        <v>45</v>
      </c>
      <c r="M251" s="3" t="s">
        <v>46</v>
      </c>
      <c r="N251" s="3" t="s">
        <v>47</v>
      </c>
      <c r="O251" s="5">
        <v>2721.2954917</v>
      </c>
      <c r="P251" s="6" t="str">
        <f t="shared" si="2"/>
        <v>Pharmaceuticals</v>
      </c>
    </row>
    <row r="252">
      <c r="A252" s="3" t="s">
        <v>1209</v>
      </c>
      <c r="B252" s="4">
        <v>514162.0</v>
      </c>
      <c r="C252" s="3" t="s">
        <v>1210</v>
      </c>
      <c r="D252" s="3" t="s">
        <v>1211</v>
      </c>
      <c r="E252" s="3" t="s">
        <v>1212</v>
      </c>
      <c r="F252" s="3" t="s">
        <v>19</v>
      </c>
      <c r="G252" s="3" t="s">
        <v>20</v>
      </c>
      <c r="H252" s="3">
        <v>1.0</v>
      </c>
      <c r="I252" s="3" t="s">
        <v>1213</v>
      </c>
      <c r="J252" s="3" t="s">
        <v>22</v>
      </c>
      <c r="K252" s="3" t="s">
        <v>58</v>
      </c>
      <c r="L252" s="3" t="s">
        <v>80</v>
      </c>
      <c r="M252" s="3" t="s">
        <v>81</v>
      </c>
      <c r="N252" s="3" t="s">
        <v>82</v>
      </c>
      <c r="O252" s="5">
        <v>14782.7</v>
      </c>
      <c r="P252" s="6" t="str">
        <f t="shared" si="2"/>
        <v>Textiles &amp; Apparels</v>
      </c>
    </row>
    <row r="253">
      <c r="A253" s="3" t="s">
        <v>1214</v>
      </c>
      <c r="B253" s="4">
        <v>515030.0</v>
      </c>
      <c r="C253" s="3" t="s">
        <v>1215</v>
      </c>
      <c r="D253" s="3" t="s">
        <v>1216</v>
      </c>
      <c r="E253" s="3" t="s">
        <v>1217</v>
      </c>
      <c r="F253" s="3" t="s">
        <v>19</v>
      </c>
      <c r="G253" s="3" t="s">
        <v>20</v>
      </c>
      <c r="H253" s="3">
        <v>1.0</v>
      </c>
      <c r="I253" s="3" t="s">
        <v>1218</v>
      </c>
      <c r="J253" s="3" t="s">
        <v>22</v>
      </c>
      <c r="K253" s="3" t="s">
        <v>58</v>
      </c>
      <c r="L253" s="3" t="s">
        <v>133</v>
      </c>
      <c r="M253" s="3" t="s">
        <v>134</v>
      </c>
      <c r="N253" s="3" t="s">
        <v>135</v>
      </c>
      <c r="O253" s="5">
        <v>16402.6722402</v>
      </c>
      <c r="P253" s="6" t="str">
        <f t="shared" si="2"/>
        <v>Auto Components &amp; Equipments</v>
      </c>
    </row>
    <row r="254">
      <c r="A254" s="3" t="s">
        <v>311</v>
      </c>
      <c r="B254" s="4">
        <v>515055.0</v>
      </c>
      <c r="C254" s="3" t="s">
        <v>1219</v>
      </c>
      <c r="D254" s="3" t="s">
        <v>1220</v>
      </c>
      <c r="E254" s="3" t="s">
        <v>1221</v>
      </c>
      <c r="F254" s="3" t="s">
        <v>19</v>
      </c>
      <c r="G254" s="3" t="s">
        <v>20</v>
      </c>
      <c r="H254" s="3">
        <v>2.0</v>
      </c>
      <c r="I254" s="3" t="s">
        <v>1222</v>
      </c>
      <c r="J254" s="3" t="s">
        <v>22</v>
      </c>
      <c r="K254" s="3" t="s">
        <v>58</v>
      </c>
      <c r="L254" s="3" t="s">
        <v>59</v>
      </c>
      <c r="M254" s="3" t="s">
        <v>59</v>
      </c>
      <c r="N254" s="3" t="s">
        <v>60</v>
      </c>
      <c r="O254" s="5">
        <v>16252.3753357</v>
      </c>
      <c r="P254" s="6" t="str">
        <f t="shared" si="2"/>
        <v>Residential, Commercial Projects</v>
      </c>
    </row>
    <row r="255">
      <c r="A255" s="3" t="s">
        <v>1223</v>
      </c>
      <c r="B255" s="4">
        <v>517271.0</v>
      </c>
      <c r="C255" s="3" t="s">
        <v>1224</v>
      </c>
      <c r="D255" s="3" t="s">
        <v>1225</v>
      </c>
      <c r="E255" s="3" t="s">
        <v>1226</v>
      </c>
      <c r="F255" s="3" t="s">
        <v>19</v>
      </c>
      <c r="G255" s="3" t="s">
        <v>20</v>
      </c>
      <c r="H255" s="3">
        <v>1.0</v>
      </c>
      <c r="I255" s="3" t="s">
        <v>1227</v>
      </c>
      <c r="J255" s="3" t="s">
        <v>22</v>
      </c>
      <c r="K255" s="3" t="s">
        <v>58</v>
      </c>
      <c r="L255" s="3" t="s">
        <v>133</v>
      </c>
      <c r="M255" s="3" t="s">
        <v>134</v>
      </c>
      <c r="N255" s="3" t="s">
        <v>135</v>
      </c>
      <c r="O255" s="5">
        <v>14406.1707887</v>
      </c>
      <c r="P255" s="6" t="str">
        <f t="shared" si="2"/>
        <v>Auto Components &amp; Equipments</v>
      </c>
    </row>
    <row r="256">
      <c r="A256" s="3" t="s">
        <v>1095</v>
      </c>
      <c r="B256" s="4">
        <v>517334.0</v>
      </c>
      <c r="C256" s="3" t="s">
        <v>1228</v>
      </c>
      <c r="D256" s="3" t="s">
        <v>1229</v>
      </c>
      <c r="E256" s="3" t="s">
        <v>1230</v>
      </c>
      <c r="F256" s="3" t="s">
        <v>19</v>
      </c>
      <c r="G256" s="3" t="s">
        <v>20</v>
      </c>
      <c r="H256" s="3">
        <v>1.0</v>
      </c>
      <c r="I256" s="3" t="s">
        <v>1231</v>
      </c>
      <c r="J256" s="3" t="s">
        <v>22</v>
      </c>
      <c r="K256" s="3" t="s">
        <v>58</v>
      </c>
      <c r="L256" s="3" t="s">
        <v>133</v>
      </c>
      <c r="M256" s="3" t="s">
        <v>134</v>
      </c>
      <c r="N256" s="3" t="s">
        <v>135</v>
      </c>
      <c r="O256" s="5">
        <v>139721.6862877</v>
      </c>
      <c r="P256" s="6" t="str">
        <f t="shared" si="2"/>
        <v>Auto Components &amp; Equipments</v>
      </c>
    </row>
    <row r="257" hidden="1">
      <c r="A257" s="3" t="s">
        <v>1232</v>
      </c>
      <c r="B257" s="4">
        <v>500730.0</v>
      </c>
      <c r="C257" s="3" t="s">
        <v>1233</v>
      </c>
      <c r="D257" s="3" t="s">
        <v>1234</v>
      </c>
      <c r="E257" s="3" t="s">
        <v>1235</v>
      </c>
      <c r="F257" s="3" t="s">
        <v>19</v>
      </c>
      <c r="G257" s="3" t="s">
        <v>20</v>
      </c>
      <c r="H257" s="3">
        <v>10.0</v>
      </c>
      <c r="I257" s="3" t="s">
        <v>1232</v>
      </c>
      <c r="J257" s="3" t="s">
        <v>22</v>
      </c>
      <c r="K257" s="3" t="s">
        <v>23</v>
      </c>
      <c r="L257" s="3" t="s">
        <v>24</v>
      </c>
      <c r="M257" s="3" t="s">
        <v>25</v>
      </c>
      <c r="N257" s="3" t="s">
        <v>26</v>
      </c>
      <c r="O257" s="5">
        <v>4745.3108715</v>
      </c>
      <c r="P257" s="6" t="str">
        <f t="shared" si="2"/>
        <v>Specialty Chemicals</v>
      </c>
    </row>
    <row r="258">
      <c r="A258" s="3" t="s">
        <v>316</v>
      </c>
      <c r="B258" s="4">
        <v>517354.0</v>
      </c>
      <c r="C258" s="3" t="s">
        <v>1236</v>
      </c>
      <c r="D258" s="3" t="s">
        <v>1237</v>
      </c>
      <c r="E258" s="3" t="s">
        <v>1238</v>
      </c>
      <c r="F258" s="3" t="s">
        <v>19</v>
      </c>
      <c r="G258" s="3" t="s">
        <v>20</v>
      </c>
      <c r="H258" s="3">
        <v>1.0</v>
      </c>
      <c r="I258" s="3" t="s">
        <v>1239</v>
      </c>
      <c r="J258" s="3" t="s">
        <v>22</v>
      </c>
      <c r="K258" s="3" t="s">
        <v>58</v>
      </c>
      <c r="L258" s="3" t="s">
        <v>211</v>
      </c>
      <c r="M258" s="3" t="s">
        <v>211</v>
      </c>
      <c r="N258" s="3" t="s">
        <v>212</v>
      </c>
      <c r="O258" s="5">
        <v>115308.3225226</v>
      </c>
      <c r="P258" s="6" t="str">
        <f t="shared" si="2"/>
        <v>Consumer Durables</v>
      </c>
    </row>
    <row r="259" hidden="1">
      <c r="A259" s="3" t="s">
        <v>1240</v>
      </c>
      <c r="B259" s="4">
        <v>500777.0</v>
      </c>
      <c r="C259" s="3" t="s">
        <v>1241</v>
      </c>
      <c r="D259" s="3" t="s">
        <v>1242</v>
      </c>
      <c r="E259" s="3" t="s">
        <v>1243</v>
      </c>
      <c r="F259" s="3" t="s">
        <v>19</v>
      </c>
      <c r="G259" s="3" t="s">
        <v>112</v>
      </c>
      <c r="H259" s="3">
        <v>10.0</v>
      </c>
      <c r="I259" s="3" t="s">
        <v>1240</v>
      </c>
      <c r="J259" s="3" t="s">
        <v>22</v>
      </c>
      <c r="K259" s="3" t="s">
        <v>23</v>
      </c>
      <c r="L259" s="3" t="s">
        <v>24</v>
      </c>
      <c r="M259" s="3" t="s">
        <v>25</v>
      </c>
      <c r="N259" s="3" t="s">
        <v>241</v>
      </c>
      <c r="O259" s="5">
        <v>846.2165472</v>
      </c>
      <c r="P259" s="6" t="str">
        <f t="shared" si="2"/>
        <v>Chemicals &amp; Petrochemicals</v>
      </c>
    </row>
    <row r="260" hidden="1">
      <c r="A260" s="3" t="s">
        <v>1244</v>
      </c>
      <c r="B260" s="4">
        <v>500780.0</v>
      </c>
      <c r="C260" s="3" t="s">
        <v>1245</v>
      </c>
      <c r="D260" s="3" t="s">
        <v>1246</v>
      </c>
      <c r="E260" s="3" t="s">
        <v>1247</v>
      </c>
      <c r="F260" s="3" t="s">
        <v>19</v>
      </c>
      <c r="G260" s="3" t="s">
        <v>112</v>
      </c>
      <c r="H260" s="3">
        <v>10.0</v>
      </c>
      <c r="I260" s="3" t="s">
        <v>1244</v>
      </c>
      <c r="J260" s="3" t="s">
        <v>22</v>
      </c>
      <c r="K260" s="3" t="s">
        <v>145</v>
      </c>
      <c r="L260" s="3" t="s">
        <v>145</v>
      </c>
      <c r="M260" s="3" t="s">
        <v>146</v>
      </c>
      <c r="N260" s="3" t="s">
        <v>147</v>
      </c>
      <c r="O260" s="5">
        <v>1183.504</v>
      </c>
      <c r="P260" s="6" t="str">
        <f t="shared" si="2"/>
        <v>Agricultural Food &amp; other Products</v>
      </c>
    </row>
    <row r="261">
      <c r="A261" s="3" t="s">
        <v>1248</v>
      </c>
      <c r="B261" s="4">
        <v>517385.0</v>
      </c>
      <c r="C261" s="3" t="s">
        <v>1249</v>
      </c>
      <c r="D261" s="3" t="s">
        <v>1250</v>
      </c>
      <c r="E261" s="3" t="s">
        <v>1249</v>
      </c>
      <c r="F261" s="3" t="s">
        <v>19</v>
      </c>
      <c r="G261" s="3" t="s">
        <v>20</v>
      </c>
      <c r="H261" s="3">
        <v>2.0</v>
      </c>
      <c r="I261" s="3" t="s">
        <v>1251</v>
      </c>
      <c r="J261" s="3" t="s">
        <v>22</v>
      </c>
      <c r="K261" s="3" t="s">
        <v>58</v>
      </c>
      <c r="L261" s="3" t="s">
        <v>211</v>
      </c>
      <c r="M261" s="3" t="s">
        <v>211</v>
      </c>
      <c r="N261" s="3" t="s">
        <v>882</v>
      </c>
      <c r="O261" s="5">
        <v>7870.8423422</v>
      </c>
      <c r="P261" s="6" t="str">
        <f t="shared" si="2"/>
        <v>Consumer Durables</v>
      </c>
    </row>
    <row r="262">
      <c r="A262" s="3" t="s">
        <v>1252</v>
      </c>
      <c r="B262" s="4">
        <v>517506.0</v>
      </c>
      <c r="C262" s="3" t="s">
        <v>1253</v>
      </c>
      <c r="D262" s="3" t="s">
        <v>1254</v>
      </c>
      <c r="E262" s="3" t="s">
        <v>1255</v>
      </c>
      <c r="F262" s="3" t="s">
        <v>19</v>
      </c>
      <c r="G262" s="3" t="s">
        <v>20</v>
      </c>
      <c r="H262" s="3">
        <v>1.0</v>
      </c>
      <c r="I262" s="3" t="s">
        <v>1256</v>
      </c>
      <c r="J262" s="3" t="s">
        <v>22</v>
      </c>
      <c r="K262" s="3" t="s">
        <v>58</v>
      </c>
      <c r="L262" s="3" t="s">
        <v>211</v>
      </c>
      <c r="M262" s="3" t="s">
        <v>211</v>
      </c>
      <c r="N262" s="3" t="s">
        <v>882</v>
      </c>
      <c r="O262" s="5">
        <v>10988.7418321</v>
      </c>
      <c r="P262" s="6" t="str">
        <f t="shared" si="2"/>
        <v>Consumer Durables</v>
      </c>
    </row>
    <row r="263">
      <c r="A263" s="3" t="s">
        <v>1100</v>
      </c>
      <c r="B263" s="4">
        <v>520057.0</v>
      </c>
      <c r="C263" s="3" t="s">
        <v>1257</v>
      </c>
      <c r="D263" s="3" t="s">
        <v>1258</v>
      </c>
      <c r="E263" s="3" t="s">
        <v>1259</v>
      </c>
      <c r="F263" s="3" t="s">
        <v>19</v>
      </c>
      <c r="G263" s="3" t="s">
        <v>112</v>
      </c>
      <c r="H263" s="3">
        <v>1.0</v>
      </c>
      <c r="I263" s="3" t="s">
        <v>1260</v>
      </c>
      <c r="J263" s="3" t="s">
        <v>22</v>
      </c>
      <c r="K263" s="3" t="s">
        <v>58</v>
      </c>
      <c r="L263" s="3" t="s">
        <v>133</v>
      </c>
      <c r="M263" s="3" t="s">
        <v>134</v>
      </c>
      <c r="N263" s="3" t="s">
        <v>135</v>
      </c>
      <c r="O263" s="5">
        <v>5342.2217485</v>
      </c>
      <c r="P263" s="6" t="str">
        <f t="shared" si="2"/>
        <v>Auto Components &amp; Equipments</v>
      </c>
    </row>
    <row r="264">
      <c r="A264" s="3" t="s">
        <v>1261</v>
      </c>
      <c r="B264" s="4">
        <v>521016.0</v>
      </c>
      <c r="C264" s="3" t="s">
        <v>1262</v>
      </c>
      <c r="D264" s="3" t="s">
        <v>1263</v>
      </c>
      <c r="E264" s="3" t="s">
        <v>1264</v>
      </c>
      <c r="F264" s="3" t="s">
        <v>19</v>
      </c>
      <c r="G264" s="3" t="s">
        <v>20</v>
      </c>
      <c r="H264" s="3">
        <v>2.0</v>
      </c>
      <c r="I264" s="3" t="s">
        <v>1265</v>
      </c>
      <c r="J264" s="3" t="s">
        <v>22</v>
      </c>
      <c r="K264" s="3" t="s">
        <v>58</v>
      </c>
      <c r="L264" s="3" t="s">
        <v>80</v>
      </c>
      <c r="M264" s="3" t="s">
        <v>81</v>
      </c>
      <c r="N264" s="3" t="s">
        <v>82</v>
      </c>
      <c r="O264" s="5">
        <v>7382.18115</v>
      </c>
      <c r="P264" s="6" t="str">
        <f t="shared" si="2"/>
        <v>Textiles &amp; Apparels</v>
      </c>
    </row>
    <row r="265">
      <c r="A265" s="3" t="s">
        <v>1266</v>
      </c>
      <c r="B265" s="4">
        <v>521064.0</v>
      </c>
      <c r="C265" s="3" t="s">
        <v>1267</v>
      </c>
      <c r="D265" s="3" t="s">
        <v>1268</v>
      </c>
      <c r="E265" s="3" t="s">
        <v>1269</v>
      </c>
      <c r="F265" s="3" t="s">
        <v>19</v>
      </c>
      <c r="G265" s="3" t="s">
        <v>20</v>
      </c>
      <c r="H265" s="3">
        <v>1.0</v>
      </c>
      <c r="I265" s="3" t="s">
        <v>1270</v>
      </c>
      <c r="J265" s="3" t="s">
        <v>22</v>
      </c>
      <c r="K265" s="3" t="s">
        <v>58</v>
      </c>
      <c r="L265" s="3" t="s">
        <v>80</v>
      </c>
      <c r="M265" s="3" t="s">
        <v>81</v>
      </c>
      <c r="N265" s="3" t="s">
        <v>82</v>
      </c>
      <c r="O265" s="5">
        <v>18945.7754471</v>
      </c>
      <c r="P265" s="6" t="str">
        <f t="shared" si="2"/>
        <v>Textiles &amp; Apparels</v>
      </c>
    </row>
    <row r="266">
      <c r="A266" s="3" t="s">
        <v>1105</v>
      </c>
      <c r="B266" s="4">
        <v>521070.0</v>
      </c>
      <c r="C266" s="3" t="s">
        <v>1271</v>
      </c>
      <c r="D266" s="3" t="s">
        <v>1272</v>
      </c>
      <c r="E266" s="3" t="s">
        <v>1273</v>
      </c>
      <c r="F266" s="3" t="s">
        <v>19</v>
      </c>
      <c r="G266" s="3" t="s">
        <v>20</v>
      </c>
      <c r="H266" s="3">
        <v>1.0</v>
      </c>
      <c r="I266" s="3" t="s">
        <v>1274</v>
      </c>
      <c r="J266" s="3" t="s">
        <v>22</v>
      </c>
      <c r="K266" s="3" t="s">
        <v>58</v>
      </c>
      <c r="L266" s="3" t="s">
        <v>80</v>
      </c>
      <c r="M266" s="3" t="s">
        <v>81</v>
      </c>
      <c r="N266" s="3" t="s">
        <v>82</v>
      </c>
      <c r="O266" s="5">
        <v>13645.6740807</v>
      </c>
      <c r="P266" s="6" t="str">
        <f t="shared" si="2"/>
        <v>Textiles &amp; Apparels</v>
      </c>
    </row>
    <row r="267">
      <c r="A267" s="3" t="s">
        <v>1110</v>
      </c>
      <c r="B267" s="4">
        <v>523025.0</v>
      </c>
      <c r="C267" s="3" t="s">
        <v>1275</v>
      </c>
      <c r="D267" s="3" t="s">
        <v>1276</v>
      </c>
      <c r="E267" s="3" t="s">
        <v>1277</v>
      </c>
      <c r="F267" s="3" t="s">
        <v>19</v>
      </c>
      <c r="G267" s="3" t="s">
        <v>20</v>
      </c>
      <c r="H267" s="3">
        <v>2.0</v>
      </c>
      <c r="I267" s="3" t="s">
        <v>1278</v>
      </c>
      <c r="J267" s="3" t="s">
        <v>22</v>
      </c>
      <c r="K267" s="3" t="s">
        <v>58</v>
      </c>
      <c r="L267" s="3" t="s">
        <v>211</v>
      </c>
      <c r="M267" s="3" t="s">
        <v>211</v>
      </c>
      <c r="N267" s="3" t="s">
        <v>848</v>
      </c>
      <c r="O267" s="5">
        <v>10201.4987062</v>
      </c>
      <c r="P267" s="6" t="str">
        <f t="shared" si="2"/>
        <v>Consumer Durables</v>
      </c>
    </row>
    <row r="268">
      <c r="A268" s="3" t="s">
        <v>1279</v>
      </c>
      <c r="B268" s="4">
        <v>523398.0</v>
      </c>
      <c r="C268" s="3" t="s">
        <v>1280</v>
      </c>
      <c r="D268" s="3" t="s">
        <v>1281</v>
      </c>
      <c r="E268" s="3" t="s">
        <v>1282</v>
      </c>
      <c r="F268" s="3" t="s">
        <v>19</v>
      </c>
      <c r="G268" s="3" t="s">
        <v>112</v>
      </c>
      <c r="H268" s="3">
        <v>10.0</v>
      </c>
      <c r="I268" s="3" t="s">
        <v>1283</v>
      </c>
      <c r="J268" s="3" t="s">
        <v>22</v>
      </c>
      <c r="K268" s="3" t="s">
        <v>58</v>
      </c>
      <c r="L268" s="3" t="s">
        <v>211</v>
      </c>
      <c r="M268" s="3" t="s">
        <v>211</v>
      </c>
      <c r="N268" s="3" t="s">
        <v>882</v>
      </c>
      <c r="O268" s="5">
        <v>5435.94645</v>
      </c>
      <c r="P268" s="6" t="str">
        <f t="shared" si="2"/>
        <v>Consumer Durables</v>
      </c>
    </row>
    <row r="269">
      <c r="A269" s="3" t="s">
        <v>1284</v>
      </c>
      <c r="B269" s="4">
        <v>526367.0</v>
      </c>
      <c r="C269" s="3" t="s">
        <v>1285</v>
      </c>
      <c r="D269" s="3" t="s">
        <v>1286</v>
      </c>
      <c r="E269" s="3" t="s">
        <v>1287</v>
      </c>
      <c r="F269" s="3" t="s">
        <v>19</v>
      </c>
      <c r="G269" s="3" t="s">
        <v>112</v>
      </c>
      <c r="H269" s="3">
        <v>10.0</v>
      </c>
      <c r="I269" s="3" t="s">
        <v>1288</v>
      </c>
      <c r="J269" s="3" t="s">
        <v>22</v>
      </c>
      <c r="K269" s="3" t="s">
        <v>58</v>
      </c>
      <c r="L269" s="3" t="s">
        <v>59</v>
      </c>
      <c r="M269" s="3" t="s">
        <v>59</v>
      </c>
      <c r="N269" s="3" t="s">
        <v>60</v>
      </c>
      <c r="O269" s="5">
        <v>8365.4619744</v>
      </c>
      <c r="P269" s="6" t="str">
        <f t="shared" si="2"/>
        <v>Residential, Commercial Projects</v>
      </c>
    </row>
    <row r="270">
      <c r="A270" s="3" t="s">
        <v>1115</v>
      </c>
      <c r="B270" s="4">
        <v>530007.0</v>
      </c>
      <c r="C270" s="3" t="s">
        <v>1289</v>
      </c>
      <c r="D270" s="3" t="s">
        <v>1290</v>
      </c>
      <c r="E270" s="3" t="s">
        <v>1291</v>
      </c>
      <c r="F270" s="3" t="s">
        <v>19</v>
      </c>
      <c r="G270" s="3" t="s">
        <v>20</v>
      </c>
      <c r="H270" s="3">
        <v>2.0</v>
      </c>
      <c r="I270" s="3" t="s">
        <v>1292</v>
      </c>
      <c r="J270" s="3" t="s">
        <v>22</v>
      </c>
      <c r="K270" s="3" t="s">
        <v>58</v>
      </c>
      <c r="L270" s="3" t="s">
        <v>133</v>
      </c>
      <c r="M270" s="3" t="s">
        <v>134</v>
      </c>
      <c r="N270" s="3" t="s">
        <v>449</v>
      </c>
      <c r="O270" s="5">
        <v>11388.0750924</v>
      </c>
      <c r="P270" s="6" t="str">
        <f t="shared" si="2"/>
        <v>Auto Components</v>
      </c>
    </row>
    <row r="271">
      <c r="A271" s="3" t="s">
        <v>1120</v>
      </c>
      <c r="B271" s="4">
        <v>530517.0</v>
      </c>
      <c r="C271" s="3" t="s">
        <v>1293</v>
      </c>
      <c r="D271" s="3" t="s">
        <v>1294</v>
      </c>
      <c r="E271" s="3" t="s">
        <v>1295</v>
      </c>
      <c r="F271" s="3" t="s">
        <v>19</v>
      </c>
      <c r="G271" s="3" t="s">
        <v>20</v>
      </c>
      <c r="H271" s="3">
        <v>1.0</v>
      </c>
      <c r="I271" s="3" t="s">
        <v>1296</v>
      </c>
      <c r="J271" s="3" t="s">
        <v>22</v>
      </c>
      <c r="K271" s="3" t="s">
        <v>58</v>
      </c>
      <c r="L271" s="3" t="s">
        <v>211</v>
      </c>
      <c r="M271" s="3" t="s">
        <v>211</v>
      </c>
      <c r="N271" s="3" t="s">
        <v>932</v>
      </c>
      <c r="O271" s="5">
        <v>20563.7776956</v>
      </c>
      <c r="P271" s="6" t="str">
        <f t="shared" si="2"/>
        <v>Consumer Durables</v>
      </c>
    </row>
    <row r="272" hidden="1">
      <c r="A272" s="3" t="s">
        <v>1297</v>
      </c>
      <c r="B272" s="4">
        <v>500890.0</v>
      </c>
      <c r="C272" s="3" t="s">
        <v>1298</v>
      </c>
      <c r="D272" s="3" t="s">
        <v>1299</v>
      </c>
      <c r="E272" s="3" t="s">
        <v>1300</v>
      </c>
      <c r="F272" s="3" t="s">
        <v>19</v>
      </c>
      <c r="G272" s="3" t="s">
        <v>86</v>
      </c>
      <c r="H272" s="3">
        <v>10.0</v>
      </c>
      <c r="I272" s="3" t="s">
        <v>1297</v>
      </c>
      <c r="J272" s="3" t="s">
        <v>22</v>
      </c>
      <c r="K272" s="3" t="s">
        <v>58</v>
      </c>
      <c r="L272" s="3" t="s">
        <v>133</v>
      </c>
      <c r="M272" s="3" t="s">
        <v>134</v>
      </c>
      <c r="N272" s="3" t="s">
        <v>449</v>
      </c>
      <c r="O272" s="5">
        <v>241.3512162</v>
      </c>
      <c r="P272" s="6" t="str">
        <f t="shared" si="2"/>
        <v>Auto Components</v>
      </c>
    </row>
    <row r="273">
      <c r="A273" s="3" t="s">
        <v>1301</v>
      </c>
      <c r="B273" s="4">
        <v>531500.0</v>
      </c>
      <c r="C273" s="3" t="s">
        <v>1302</v>
      </c>
      <c r="D273" s="3" t="s">
        <v>1303</v>
      </c>
      <c r="E273" s="3" t="s">
        <v>1304</v>
      </c>
      <c r="F273" s="3" t="s">
        <v>19</v>
      </c>
      <c r="G273" s="3" t="s">
        <v>20</v>
      </c>
      <c r="H273" s="3">
        <v>1.0</v>
      </c>
      <c r="I273" s="3" t="s">
        <v>1305</v>
      </c>
      <c r="J273" s="3" t="s">
        <v>22</v>
      </c>
      <c r="K273" s="3" t="s">
        <v>58</v>
      </c>
      <c r="L273" s="3" t="s">
        <v>211</v>
      </c>
      <c r="M273" s="3" t="s">
        <v>211</v>
      </c>
      <c r="N273" s="3" t="s">
        <v>947</v>
      </c>
      <c r="O273" s="5">
        <v>8403.6130991</v>
      </c>
      <c r="P273" s="6" t="str">
        <f t="shared" si="2"/>
        <v>Consumer Durables</v>
      </c>
    </row>
    <row r="274" hidden="1">
      <c r="A274" s="3" t="s">
        <v>1306</v>
      </c>
      <c r="B274" s="4">
        <v>501110.0</v>
      </c>
      <c r="C274" s="3" t="s">
        <v>1307</v>
      </c>
      <c r="D274" s="3" t="s">
        <v>1308</v>
      </c>
      <c r="E274" s="3" t="s">
        <v>1309</v>
      </c>
      <c r="F274" s="3" t="s">
        <v>19</v>
      </c>
      <c r="G274" s="3" t="s">
        <v>72</v>
      </c>
      <c r="H274" s="3">
        <v>10.0</v>
      </c>
      <c r="I274" s="3" t="s">
        <v>1306</v>
      </c>
      <c r="J274" s="3" t="s">
        <v>22</v>
      </c>
      <c r="K274" s="3" t="s">
        <v>204</v>
      </c>
      <c r="L274" s="3" t="s">
        <v>204</v>
      </c>
      <c r="M274" s="3" t="s">
        <v>378</v>
      </c>
      <c r="N274" s="3" t="s">
        <v>468</v>
      </c>
      <c r="O274" s="5">
        <v>1.0</v>
      </c>
      <c r="P274" s="6" t="str">
        <f t="shared" si="2"/>
        <v>Finance</v>
      </c>
    </row>
    <row r="275">
      <c r="A275" s="3" t="s">
        <v>1310</v>
      </c>
      <c r="B275" s="4">
        <v>531543.0</v>
      </c>
      <c r="C275" s="3" t="s">
        <v>1311</v>
      </c>
      <c r="D275" s="3" t="s">
        <v>1312</v>
      </c>
      <c r="E275" s="3" t="s">
        <v>1313</v>
      </c>
      <c r="F275" s="3" t="s">
        <v>19</v>
      </c>
      <c r="G275" s="3" t="s">
        <v>20</v>
      </c>
      <c r="H275" s="3">
        <v>1.0</v>
      </c>
      <c r="I275" s="3" t="s">
        <v>1314</v>
      </c>
      <c r="J275" s="3" t="s">
        <v>22</v>
      </c>
      <c r="K275" s="3" t="s">
        <v>58</v>
      </c>
      <c r="L275" s="3" t="s">
        <v>80</v>
      </c>
      <c r="M275" s="3" t="s">
        <v>81</v>
      </c>
      <c r="N275" s="3" t="s">
        <v>82</v>
      </c>
      <c r="O275" s="5">
        <v>6996.4384484</v>
      </c>
      <c r="P275" s="6" t="str">
        <f t="shared" si="2"/>
        <v>Textiles &amp; Apparels</v>
      </c>
    </row>
    <row r="276">
      <c r="A276" s="3" t="s">
        <v>1315</v>
      </c>
      <c r="B276" s="4">
        <v>532156.0</v>
      </c>
      <c r="C276" s="3" t="s">
        <v>1316</v>
      </c>
      <c r="D276" s="3" t="s">
        <v>1317</v>
      </c>
      <c r="E276" s="3" t="s">
        <v>1316</v>
      </c>
      <c r="F276" s="3" t="s">
        <v>19</v>
      </c>
      <c r="G276" s="3" t="s">
        <v>20</v>
      </c>
      <c r="H276" s="3">
        <v>2.0</v>
      </c>
      <c r="I276" s="3" t="s">
        <v>1318</v>
      </c>
      <c r="J276" s="3" t="s">
        <v>22</v>
      </c>
      <c r="K276" s="3" t="s">
        <v>58</v>
      </c>
      <c r="L276" s="3" t="s">
        <v>211</v>
      </c>
      <c r="M276" s="3" t="s">
        <v>211</v>
      </c>
      <c r="N276" s="3" t="s">
        <v>947</v>
      </c>
      <c r="O276" s="5">
        <v>5037.5397141</v>
      </c>
      <c r="P276" s="6" t="str">
        <f t="shared" si="2"/>
        <v>Consumer Durables</v>
      </c>
    </row>
    <row r="277" hidden="1">
      <c r="A277" s="3" t="s">
        <v>1319</v>
      </c>
      <c r="B277" s="4">
        <v>501148.0</v>
      </c>
      <c r="C277" s="3" t="s">
        <v>1320</v>
      </c>
      <c r="D277" s="3" t="s">
        <v>1321</v>
      </c>
      <c r="E277" s="3" t="s">
        <v>1322</v>
      </c>
      <c r="F277" s="3" t="s">
        <v>19</v>
      </c>
      <c r="G277" s="3" t="s">
        <v>72</v>
      </c>
      <c r="H277" s="3">
        <v>10.0</v>
      </c>
      <c r="I277" s="3" t="s">
        <v>1319</v>
      </c>
      <c r="J277" s="3" t="s">
        <v>22</v>
      </c>
      <c r="K277" s="3" t="s">
        <v>204</v>
      </c>
      <c r="L277" s="3" t="s">
        <v>204</v>
      </c>
      <c r="M277" s="3" t="s">
        <v>378</v>
      </c>
      <c r="N277" s="3" t="s">
        <v>384</v>
      </c>
      <c r="O277" s="5">
        <v>1.0</v>
      </c>
      <c r="P277" s="6" t="str">
        <f t="shared" si="2"/>
        <v>Finance</v>
      </c>
    </row>
    <row r="278" hidden="1">
      <c r="A278" s="3" t="s">
        <v>1323</v>
      </c>
      <c r="B278" s="4">
        <v>501150.0</v>
      </c>
      <c r="C278" s="3" t="s">
        <v>1324</v>
      </c>
      <c r="D278" s="3" t="s">
        <v>1325</v>
      </c>
      <c r="E278" s="3" t="s">
        <v>1326</v>
      </c>
      <c r="F278" s="3" t="s">
        <v>19</v>
      </c>
      <c r="G278" s="3" t="s">
        <v>112</v>
      </c>
      <c r="H278" s="3">
        <v>1.0</v>
      </c>
      <c r="I278" s="3" t="s">
        <v>1323</v>
      </c>
      <c r="J278" s="3" t="s">
        <v>22</v>
      </c>
      <c r="K278" s="3" t="s">
        <v>204</v>
      </c>
      <c r="L278" s="3" t="s">
        <v>204</v>
      </c>
      <c r="M278" s="3" t="s">
        <v>378</v>
      </c>
      <c r="N278" s="3" t="s">
        <v>468</v>
      </c>
      <c r="O278" s="5">
        <v>1577.72277</v>
      </c>
      <c r="P278" s="6" t="str">
        <f t="shared" si="2"/>
        <v>Finance</v>
      </c>
    </row>
    <row r="279" hidden="1">
      <c r="A279" s="3" t="s">
        <v>1327</v>
      </c>
      <c r="B279" s="4">
        <v>501242.0</v>
      </c>
      <c r="C279" s="3" t="s">
        <v>1328</v>
      </c>
      <c r="D279" s="3" t="s">
        <v>1329</v>
      </c>
      <c r="E279" s="3" t="s">
        <v>1330</v>
      </c>
      <c r="F279" s="3" t="s">
        <v>19</v>
      </c>
      <c r="G279" s="3" t="s">
        <v>86</v>
      </c>
      <c r="H279" s="3">
        <v>10.0</v>
      </c>
      <c r="I279" s="3" t="s">
        <v>1327</v>
      </c>
      <c r="J279" s="3" t="s">
        <v>22</v>
      </c>
      <c r="K279" s="3" t="s">
        <v>204</v>
      </c>
      <c r="L279" s="3" t="s">
        <v>204</v>
      </c>
      <c r="M279" s="3" t="s">
        <v>378</v>
      </c>
      <c r="N279" s="3" t="s">
        <v>379</v>
      </c>
      <c r="O279" s="5">
        <v>21.3523751</v>
      </c>
      <c r="P279" s="6" t="str">
        <f t="shared" si="2"/>
        <v>Non Banking Financial Company (NBFC)</v>
      </c>
    </row>
    <row r="280">
      <c r="A280" s="3" t="s">
        <v>1331</v>
      </c>
      <c r="B280" s="4">
        <v>532163.0</v>
      </c>
      <c r="C280" s="3" t="s">
        <v>1332</v>
      </c>
      <c r="D280" s="3" t="s">
        <v>1333</v>
      </c>
      <c r="E280" s="3" t="s">
        <v>1334</v>
      </c>
      <c r="F280" s="3" t="s">
        <v>19</v>
      </c>
      <c r="G280" s="3" t="s">
        <v>20</v>
      </c>
      <c r="H280" s="3">
        <v>1.0</v>
      </c>
      <c r="I280" s="3" t="s">
        <v>1335</v>
      </c>
      <c r="J280" s="3" t="s">
        <v>22</v>
      </c>
      <c r="K280" s="3" t="s">
        <v>58</v>
      </c>
      <c r="L280" s="3" t="s">
        <v>182</v>
      </c>
      <c r="M280" s="3" t="s">
        <v>1168</v>
      </c>
      <c r="N280" s="3" t="s">
        <v>1336</v>
      </c>
      <c r="O280" s="5">
        <v>10572.7907142</v>
      </c>
      <c r="P280" s="6" t="str">
        <f t="shared" si="2"/>
        <v>Entertainment</v>
      </c>
    </row>
    <row r="281" hidden="1">
      <c r="A281" s="3" t="s">
        <v>1337</v>
      </c>
      <c r="B281" s="4">
        <v>501270.0</v>
      </c>
      <c r="C281" s="3" t="s">
        <v>1338</v>
      </c>
      <c r="D281" s="3" t="s">
        <v>1339</v>
      </c>
      <c r="E281" s="3" t="s">
        <v>1340</v>
      </c>
      <c r="F281" s="3" t="s">
        <v>19</v>
      </c>
      <c r="G281" s="3" t="s">
        <v>72</v>
      </c>
      <c r="H281" s="3">
        <v>10.0</v>
      </c>
      <c r="I281" s="3" t="s">
        <v>1337</v>
      </c>
      <c r="J281" s="3" t="s">
        <v>22</v>
      </c>
      <c r="K281" s="3" t="s">
        <v>58</v>
      </c>
      <c r="L281" s="3" t="s">
        <v>59</v>
      </c>
      <c r="M281" s="3" t="s">
        <v>59</v>
      </c>
      <c r="N281" s="3" t="s">
        <v>60</v>
      </c>
      <c r="O281" s="5">
        <v>1.0</v>
      </c>
      <c r="P281" s="6" t="str">
        <f t="shared" si="2"/>
        <v>Residential, Commercial Projects</v>
      </c>
    </row>
    <row r="282" hidden="1">
      <c r="A282" s="3" t="s">
        <v>1341</v>
      </c>
      <c r="B282" s="4">
        <v>501295.0</v>
      </c>
      <c r="C282" s="3" t="s">
        <v>1342</v>
      </c>
      <c r="D282" s="3" t="s">
        <v>1343</v>
      </c>
      <c r="E282" s="3" t="s">
        <v>1344</v>
      </c>
      <c r="F282" s="3" t="s">
        <v>19</v>
      </c>
      <c r="G282" s="3" t="s">
        <v>112</v>
      </c>
      <c r="H282" s="3">
        <v>10.0</v>
      </c>
      <c r="I282" s="3" t="s">
        <v>1341</v>
      </c>
      <c r="J282" s="3" t="s">
        <v>22</v>
      </c>
      <c r="K282" s="3" t="s">
        <v>204</v>
      </c>
      <c r="L282" s="3" t="s">
        <v>204</v>
      </c>
      <c r="M282" s="3" t="s">
        <v>378</v>
      </c>
      <c r="N282" s="3" t="s">
        <v>379</v>
      </c>
      <c r="O282" s="5">
        <v>412.5342426</v>
      </c>
      <c r="P282" s="6" t="str">
        <f t="shared" si="2"/>
        <v>Non Banking Financial Company (NBFC)</v>
      </c>
    </row>
    <row r="283" hidden="1">
      <c r="A283" s="3" t="s">
        <v>1345</v>
      </c>
      <c r="B283" s="4">
        <v>501298.0</v>
      </c>
      <c r="C283" s="3" t="s">
        <v>1346</v>
      </c>
      <c r="D283" s="3" t="s">
        <v>1347</v>
      </c>
      <c r="E283" s="3" t="s">
        <v>1348</v>
      </c>
      <c r="F283" s="3" t="s">
        <v>19</v>
      </c>
      <c r="G283" s="3" t="s">
        <v>44</v>
      </c>
      <c r="H283" s="3">
        <v>10.0</v>
      </c>
      <c r="I283" s="3" t="s">
        <v>1345</v>
      </c>
      <c r="J283" s="3" t="s">
        <v>22</v>
      </c>
      <c r="K283" s="3" t="s">
        <v>204</v>
      </c>
      <c r="L283" s="3" t="s">
        <v>204</v>
      </c>
      <c r="M283" s="3" t="s">
        <v>378</v>
      </c>
      <c r="N283" s="3" t="s">
        <v>384</v>
      </c>
      <c r="O283" s="5">
        <v>1080.4925316</v>
      </c>
      <c r="P283" s="6" t="str">
        <f t="shared" si="2"/>
        <v>Finance</v>
      </c>
    </row>
    <row r="284">
      <c r="A284" s="3" t="s">
        <v>1349</v>
      </c>
      <c r="B284" s="4">
        <v>532189.0</v>
      </c>
      <c r="C284" s="3" t="s">
        <v>1350</v>
      </c>
      <c r="D284" s="3" t="s">
        <v>1351</v>
      </c>
      <c r="E284" s="3" t="s">
        <v>1352</v>
      </c>
      <c r="F284" s="3" t="s">
        <v>19</v>
      </c>
      <c r="G284" s="3" t="s">
        <v>112</v>
      </c>
      <c r="H284" s="3">
        <v>10.0</v>
      </c>
      <c r="I284" s="3" t="s">
        <v>1353</v>
      </c>
      <c r="J284" s="3" t="s">
        <v>22</v>
      </c>
      <c r="K284" s="3" t="s">
        <v>58</v>
      </c>
      <c r="L284" s="3" t="s">
        <v>73</v>
      </c>
      <c r="M284" s="3" t="s">
        <v>74</v>
      </c>
      <c r="N284" s="3" t="s">
        <v>75</v>
      </c>
      <c r="O284" s="5">
        <v>7555.9073886</v>
      </c>
      <c r="P284" s="6" t="str">
        <f t="shared" si="2"/>
        <v>Leisure Services</v>
      </c>
    </row>
    <row r="285" hidden="1">
      <c r="A285" s="3" t="s">
        <v>1354</v>
      </c>
      <c r="B285" s="4">
        <v>501311.0</v>
      </c>
      <c r="C285" s="3" t="s">
        <v>1355</v>
      </c>
      <c r="D285" s="3" t="s">
        <v>1356</v>
      </c>
      <c r="E285" s="3" t="s">
        <v>1357</v>
      </c>
      <c r="F285" s="3" t="s">
        <v>19</v>
      </c>
      <c r="G285" s="3" t="s">
        <v>44</v>
      </c>
      <c r="H285" s="3">
        <v>10.0</v>
      </c>
      <c r="I285" s="3" t="s">
        <v>1354</v>
      </c>
      <c r="J285" s="3" t="s">
        <v>22</v>
      </c>
      <c r="K285" s="3" t="s">
        <v>204</v>
      </c>
      <c r="L285" s="3" t="s">
        <v>204</v>
      </c>
      <c r="M285" s="3" t="s">
        <v>378</v>
      </c>
      <c r="N285" s="3" t="s">
        <v>379</v>
      </c>
      <c r="O285" s="5">
        <v>1.0</v>
      </c>
      <c r="P285" s="6" t="str">
        <f t="shared" si="2"/>
        <v>Non Banking Financial Company (NBFC)</v>
      </c>
    </row>
    <row r="286">
      <c r="A286" s="3" t="s">
        <v>1358</v>
      </c>
      <c r="B286" s="4">
        <v>532313.0</v>
      </c>
      <c r="C286" s="3" t="s">
        <v>1359</v>
      </c>
      <c r="D286" s="3" t="s">
        <v>1360</v>
      </c>
      <c r="E286" s="3" t="s">
        <v>1361</v>
      </c>
      <c r="F286" s="3" t="s">
        <v>19</v>
      </c>
      <c r="G286" s="3" t="s">
        <v>20</v>
      </c>
      <c r="H286" s="3">
        <v>10.0</v>
      </c>
      <c r="I286" s="3" t="s">
        <v>1362</v>
      </c>
      <c r="J286" s="3" t="s">
        <v>22</v>
      </c>
      <c r="K286" s="3" t="s">
        <v>58</v>
      </c>
      <c r="L286" s="3" t="s">
        <v>59</v>
      </c>
      <c r="M286" s="3" t="s">
        <v>59</v>
      </c>
      <c r="N286" s="3" t="s">
        <v>60</v>
      </c>
      <c r="O286" s="5">
        <v>9192.0212617</v>
      </c>
      <c r="P286" s="6" t="str">
        <f t="shared" si="2"/>
        <v>Residential, Commercial Projects</v>
      </c>
    </row>
    <row r="287">
      <c r="A287" s="3" t="s">
        <v>1363</v>
      </c>
      <c r="B287" s="4">
        <v>532343.0</v>
      </c>
      <c r="C287" s="3" t="s">
        <v>1364</v>
      </c>
      <c r="D287" s="3" t="s">
        <v>1365</v>
      </c>
      <c r="E287" s="3" t="s">
        <v>1366</v>
      </c>
      <c r="F287" s="3" t="s">
        <v>19</v>
      </c>
      <c r="G287" s="3" t="s">
        <v>20</v>
      </c>
      <c r="H287" s="3">
        <v>1.0</v>
      </c>
      <c r="I287" s="3" t="s">
        <v>1367</v>
      </c>
      <c r="J287" s="3" t="s">
        <v>22</v>
      </c>
      <c r="K287" s="3" t="s">
        <v>58</v>
      </c>
      <c r="L287" s="3" t="s">
        <v>133</v>
      </c>
      <c r="M287" s="3" t="s">
        <v>906</v>
      </c>
      <c r="N287" s="3" t="s">
        <v>961</v>
      </c>
      <c r="O287" s="5">
        <v>112804.2891327</v>
      </c>
      <c r="P287" s="6" t="str">
        <f t="shared" si="2"/>
        <v>Automobiles</v>
      </c>
    </row>
    <row r="288">
      <c r="A288" s="3" t="s">
        <v>1368</v>
      </c>
      <c r="B288" s="4">
        <v>532375.0</v>
      </c>
      <c r="C288" s="3" t="s">
        <v>1369</v>
      </c>
      <c r="D288" s="3" t="s">
        <v>1370</v>
      </c>
      <c r="E288" s="3" t="s">
        <v>1371</v>
      </c>
      <c r="F288" s="3" t="s">
        <v>19</v>
      </c>
      <c r="G288" s="3" t="s">
        <v>112</v>
      </c>
      <c r="H288" s="3">
        <v>1.0</v>
      </c>
      <c r="I288" s="3" t="s">
        <v>1372</v>
      </c>
      <c r="J288" s="3" t="s">
        <v>22</v>
      </c>
      <c r="K288" s="3" t="s">
        <v>58</v>
      </c>
      <c r="L288" s="3" t="s">
        <v>182</v>
      </c>
      <c r="M288" s="3" t="s">
        <v>1168</v>
      </c>
      <c r="N288" s="3" t="s">
        <v>1336</v>
      </c>
      <c r="O288" s="5">
        <v>5308.3718501</v>
      </c>
      <c r="P288" s="6" t="str">
        <f t="shared" si="2"/>
        <v>Entertainment</v>
      </c>
    </row>
    <row r="289">
      <c r="A289" s="3" t="s">
        <v>1373</v>
      </c>
      <c r="B289" s="4">
        <v>532439.0</v>
      </c>
      <c r="C289" s="3" t="s">
        <v>1374</v>
      </c>
      <c r="D289" s="3" t="s">
        <v>1375</v>
      </c>
      <c r="E289" s="3" t="s">
        <v>1376</v>
      </c>
      <c r="F289" s="3" t="s">
        <v>19</v>
      </c>
      <c r="G289" s="3" t="s">
        <v>20</v>
      </c>
      <c r="H289" s="3">
        <v>4.0</v>
      </c>
      <c r="I289" s="3" t="s">
        <v>1377</v>
      </c>
      <c r="J289" s="3" t="s">
        <v>22</v>
      </c>
      <c r="K289" s="3" t="s">
        <v>58</v>
      </c>
      <c r="L289" s="3" t="s">
        <v>133</v>
      </c>
      <c r="M289" s="3" t="s">
        <v>906</v>
      </c>
      <c r="N289" s="3" t="s">
        <v>907</v>
      </c>
      <c r="O289" s="5">
        <v>14360.6370289</v>
      </c>
      <c r="P289" s="6" t="str">
        <f t="shared" si="2"/>
        <v>Automobiles</v>
      </c>
    </row>
    <row r="290" hidden="1">
      <c r="A290" s="3" t="s">
        <v>1378</v>
      </c>
      <c r="B290" s="4">
        <v>501386.0</v>
      </c>
      <c r="C290" s="3" t="s">
        <v>1379</v>
      </c>
      <c r="D290" s="3" t="s">
        <v>1380</v>
      </c>
      <c r="E290" s="3" t="s">
        <v>1381</v>
      </c>
      <c r="F290" s="3" t="s">
        <v>19</v>
      </c>
      <c r="G290" s="3" t="s">
        <v>72</v>
      </c>
      <c r="H290" s="3">
        <v>10.0</v>
      </c>
      <c r="I290" s="3" t="s">
        <v>1378</v>
      </c>
      <c r="J290" s="3" t="s">
        <v>22</v>
      </c>
      <c r="K290" s="3" t="s">
        <v>204</v>
      </c>
      <c r="L290" s="3" t="s">
        <v>204</v>
      </c>
      <c r="M290" s="3" t="s">
        <v>378</v>
      </c>
      <c r="N290" s="3" t="s">
        <v>468</v>
      </c>
      <c r="O290" s="5">
        <v>1.0</v>
      </c>
      <c r="P290" s="6" t="str">
        <f t="shared" si="2"/>
        <v>Finance</v>
      </c>
    </row>
    <row r="291" hidden="1">
      <c r="A291" s="3" t="s">
        <v>1382</v>
      </c>
      <c r="B291" s="4">
        <v>501391.0</v>
      </c>
      <c r="C291" s="3" t="s">
        <v>1383</v>
      </c>
      <c r="D291" s="3" t="s">
        <v>1384</v>
      </c>
      <c r="E291" s="3" t="s">
        <v>1385</v>
      </c>
      <c r="F291" s="3" t="s">
        <v>19</v>
      </c>
      <c r="G291" s="3" t="s">
        <v>44</v>
      </c>
      <c r="H291" s="3">
        <v>10.0</v>
      </c>
      <c r="I291" s="3" t="s">
        <v>1382</v>
      </c>
      <c r="J291" s="3" t="s">
        <v>22</v>
      </c>
      <c r="K291" s="3" t="s">
        <v>97</v>
      </c>
      <c r="L291" s="3" t="s">
        <v>98</v>
      </c>
      <c r="M291" s="3" t="s">
        <v>100</v>
      </c>
      <c r="N291" s="3" t="s">
        <v>1386</v>
      </c>
      <c r="O291" s="5">
        <v>163.1235031</v>
      </c>
      <c r="P291" s="6" t="str">
        <f t="shared" si="2"/>
        <v>Industrial Products</v>
      </c>
    </row>
    <row r="292" hidden="1">
      <c r="A292" s="3" t="s">
        <v>1387</v>
      </c>
      <c r="B292" s="4">
        <v>501421.0</v>
      </c>
      <c r="C292" s="3" t="s">
        <v>1388</v>
      </c>
      <c r="D292" s="3" t="s">
        <v>1389</v>
      </c>
      <c r="E292" s="3" t="s">
        <v>1390</v>
      </c>
      <c r="F292" s="3" t="s">
        <v>19</v>
      </c>
      <c r="G292" s="3" t="s">
        <v>72</v>
      </c>
      <c r="H292" s="3">
        <v>10.0</v>
      </c>
      <c r="I292" s="3" t="s">
        <v>1387</v>
      </c>
      <c r="J292" s="3" t="s">
        <v>22</v>
      </c>
      <c r="K292" s="3" t="s">
        <v>473</v>
      </c>
      <c r="L292" s="3" t="s">
        <v>473</v>
      </c>
      <c r="M292" s="3" t="s">
        <v>1391</v>
      </c>
      <c r="N292" s="3" t="s">
        <v>1392</v>
      </c>
      <c r="O292" s="5">
        <v>1593.2726485</v>
      </c>
      <c r="P292" s="6" t="str">
        <f t="shared" si="2"/>
        <v>IT - Software</v>
      </c>
    </row>
    <row r="293" hidden="1">
      <c r="A293" s="3" t="s">
        <v>1393</v>
      </c>
      <c r="B293" s="4">
        <v>501423.0</v>
      </c>
      <c r="C293" s="3" t="s">
        <v>1394</v>
      </c>
      <c r="D293" s="3" t="s">
        <v>1395</v>
      </c>
      <c r="E293" s="3" t="s">
        <v>1396</v>
      </c>
      <c r="F293" s="3" t="s">
        <v>19</v>
      </c>
      <c r="G293" s="3" t="s">
        <v>112</v>
      </c>
      <c r="H293" s="3">
        <v>2.0</v>
      </c>
      <c r="I293" s="3" t="s">
        <v>1393</v>
      </c>
      <c r="J293" s="3" t="s">
        <v>22</v>
      </c>
      <c r="K293" s="3" t="s">
        <v>97</v>
      </c>
      <c r="L293" s="3" t="s">
        <v>98</v>
      </c>
      <c r="M293" s="3" t="s">
        <v>100</v>
      </c>
      <c r="N293" s="3" t="s">
        <v>580</v>
      </c>
      <c r="O293" s="5">
        <v>4008.3520744</v>
      </c>
      <c r="P293" s="6" t="str">
        <f t="shared" si="2"/>
        <v>Industrial Products</v>
      </c>
    </row>
    <row r="294">
      <c r="A294" s="3" t="s">
        <v>1397</v>
      </c>
      <c r="B294" s="4">
        <v>532443.0</v>
      </c>
      <c r="C294" s="3" t="s">
        <v>1398</v>
      </c>
      <c r="D294" s="3" t="s">
        <v>1399</v>
      </c>
      <c r="E294" s="3" t="s">
        <v>1400</v>
      </c>
      <c r="F294" s="3" t="s">
        <v>19</v>
      </c>
      <c r="G294" s="3" t="s">
        <v>20</v>
      </c>
      <c r="H294" s="3">
        <v>5.0</v>
      </c>
      <c r="I294" s="3" t="s">
        <v>1401</v>
      </c>
      <c r="J294" s="3" t="s">
        <v>22</v>
      </c>
      <c r="K294" s="3" t="s">
        <v>58</v>
      </c>
      <c r="L294" s="3" t="s">
        <v>211</v>
      </c>
      <c r="M294" s="3" t="s">
        <v>211</v>
      </c>
      <c r="N294" s="3" t="s">
        <v>1402</v>
      </c>
      <c r="O294" s="5">
        <v>11796.9912463</v>
      </c>
      <c r="P294" s="6" t="str">
        <f t="shared" si="2"/>
        <v>Consumer Durables</v>
      </c>
    </row>
    <row r="295">
      <c r="A295" s="3" t="s">
        <v>1403</v>
      </c>
      <c r="B295" s="4">
        <v>532500.0</v>
      </c>
      <c r="C295" s="3" t="s">
        <v>1404</v>
      </c>
      <c r="D295" s="3" t="s">
        <v>1405</v>
      </c>
      <c r="E295" s="3" t="s">
        <v>1406</v>
      </c>
      <c r="F295" s="3" t="s">
        <v>19</v>
      </c>
      <c r="G295" s="3" t="s">
        <v>20</v>
      </c>
      <c r="H295" s="3">
        <v>5.0</v>
      </c>
      <c r="I295" s="3" t="s">
        <v>1407</v>
      </c>
      <c r="J295" s="3" t="s">
        <v>22</v>
      </c>
      <c r="K295" s="3" t="s">
        <v>58</v>
      </c>
      <c r="L295" s="3" t="s">
        <v>133</v>
      </c>
      <c r="M295" s="3" t="s">
        <v>906</v>
      </c>
      <c r="N295" s="3" t="s">
        <v>907</v>
      </c>
      <c r="O295" s="5">
        <v>377000.6518192</v>
      </c>
      <c r="P295" s="6" t="str">
        <f t="shared" si="2"/>
        <v>Automobiles</v>
      </c>
    </row>
    <row r="296" hidden="1">
      <c r="A296" s="3" t="s">
        <v>1408</v>
      </c>
      <c r="B296" s="4">
        <v>501455.0</v>
      </c>
      <c r="C296" s="3" t="s">
        <v>1409</v>
      </c>
      <c r="D296" s="3" t="s">
        <v>1410</v>
      </c>
      <c r="E296" s="3" t="s">
        <v>1411</v>
      </c>
      <c r="F296" s="3" t="s">
        <v>19</v>
      </c>
      <c r="G296" s="3" t="s">
        <v>20</v>
      </c>
      <c r="H296" s="3">
        <v>2.0</v>
      </c>
      <c r="I296" s="3" t="s">
        <v>1408</v>
      </c>
      <c r="J296" s="3" t="s">
        <v>22</v>
      </c>
      <c r="K296" s="3" t="s">
        <v>97</v>
      </c>
      <c r="L296" s="3" t="s">
        <v>98</v>
      </c>
      <c r="M296" s="3" t="s">
        <v>100</v>
      </c>
      <c r="N296" s="3" t="s">
        <v>983</v>
      </c>
      <c r="O296" s="5">
        <v>3157.0898766</v>
      </c>
      <c r="P296" s="6" t="str">
        <f t="shared" si="2"/>
        <v>Industrial Products</v>
      </c>
    </row>
    <row r="297">
      <c r="A297" s="3" t="s">
        <v>1412</v>
      </c>
      <c r="B297" s="4">
        <v>532509.0</v>
      </c>
      <c r="C297" s="3" t="s">
        <v>1413</v>
      </c>
      <c r="D297" s="3" t="s">
        <v>1414</v>
      </c>
      <c r="E297" s="3" t="s">
        <v>1415</v>
      </c>
      <c r="F297" s="3" t="s">
        <v>19</v>
      </c>
      <c r="G297" s="3" t="s">
        <v>20</v>
      </c>
      <c r="H297" s="3">
        <v>1.0</v>
      </c>
      <c r="I297" s="3" t="s">
        <v>1416</v>
      </c>
      <c r="J297" s="3" t="s">
        <v>22</v>
      </c>
      <c r="K297" s="3" t="s">
        <v>58</v>
      </c>
      <c r="L297" s="3" t="s">
        <v>133</v>
      </c>
      <c r="M297" s="3" t="s">
        <v>134</v>
      </c>
      <c r="N297" s="3" t="s">
        <v>135</v>
      </c>
      <c r="O297" s="5">
        <v>7142.308525</v>
      </c>
      <c r="P297" s="6" t="str">
        <f t="shared" si="2"/>
        <v>Auto Components &amp; Equipments</v>
      </c>
    </row>
    <row r="298">
      <c r="A298" s="3" t="s">
        <v>1417</v>
      </c>
      <c r="B298" s="4">
        <v>532527.0</v>
      </c>
      <c r="C298" s="3" t="s">
        <v>1418</v>
      </c>
      <c r="D298" s="3" t="s">
        <v>1419</v>
      </c>
      <c r="E298" s="3" t="s">
        <v>1420</v>
      </c>
      <c r="F298" s="3" t="s">
        <v>19</v>
      </c>
      <c r="G298" s="3" t="s">
        <v>20</v>
      </c>
      <c r="H298" s="3">
        <v>2.0</v>
      </c>
      <c r="I298" s="3" t="s">
        <v>1421</v>
      </c>
      <c r="J298" s="3" t="s">
        <v>22</v>
      </c>
      <c r="K298" s="3" t="s">
        <v>58</v>
      </c>
      <c r="L298" s="3" t="s">
        <v>133</v>
      </c>
      <c r="M298" s="3" t="s">
        <v>134</v>
      </c>
      <c r="N298" s="3" t="s">
        <v>135</v>
      </c>
      <c r="O298" s="5">
        <v>16325.7593948</v>
      </c>
      <c r="P298" s="6" t="str">
        <f t="shared" si="2"/>
        <v>Auto Components &amp; Equipments</v>
      </c>
    </row>
    <row r="299">
      <c r="A299" s="3" t="s">
        <v>1422</v>
      </c>
      <c r="B299" s="4">
        <v>532539.0</v>
      </c>
      <c r="C299" s="3" t="s">
        <v>1423</v>
      </c>
      <c r="D299" s="3" t="s">
        <v>1424</v>
      </c>
      <c r="E299" s="3" t="s">
        <v>1425</v>
      </c>
      <c r="F299" s="3" t="s">
        <v>19</v>
      </c>
      <c r="G299" s="3" t="s">
        <v>20</v>
      </c>
      <c r="H299" s="3">
        <v>2.0</v>
      </c>
      <c r="I299" s="3" t="s">
        <v>1426</v>
      </c>
      <c r="J299" s="3" t="s">
        <v>22</v>
      </c>
      <c r="K299" s="3" t="s">
        <v>58</v>
      </c>
      <c r="L299" s="3" t="s">
        <v>133</v>
      </c>
      <c r="M299" s="3" t="s">
        <v>134</v>
      </c>
      <c r="N299" s="3" t="s">
        <v>135</v>
      </c>
      <c r="O299" s="5">
        <v>62701.56</v>
      </c>
      <c r="P299" s="6" t="str">
        <f t="shared" si="2"/>
        <v>Auto Components &amp; Equipments</v>
      </c>
    </row>
    <row r="300" hidden="1">
      <c r="A300" s="3" t="s">
        <v>1427</v>
      </c>
      <c r="B300" s="4">
        <v>501630.0</v>
      </c>
      <c r="C300" s="3" t="s">
        <v>1428</v>
      </c>
      <c r="D300" s="3" t="s">
        <v>1429</v>
      </c>
      <c r="E300" s="3" t="s">
        <v>1428</v>
      </c>
      <c r="F300" s="3" t="s">
        <v>19</v>
      </c>
      <c r="G300" s="3" t="s">
        <v>72</v>
      </c>
      <c r="H300" s="3">
        <v>10.0</v>
      </c>
      <c r="I300" s="3" t="s">
        <v>1427</v>
      </c>
      <c r="J300" s="3" t="s">
        <v>22</v>
      </c>
      <c r="K300" s="3" t="s">
        <v>97</v>
      </c>
      <c r="L300" s="3" t="s">
        <v>965</v>
      </c>
      <c r="M300" s="3" t="s">
        <v>965</v>
      </c>
      <c r="N300" s="3" t="s">
        <v>966</v>
      </c>
      <c r="O300" s="5">
        <v>2.287142</v>
      </c>
      <c r="P300" s="6" t="str">
        <f t="shared" si="2"/>
        <v>Civil Construction</v>
      </c>
    </row>
    <row r="301" hidden="1">
      <c r="A301" s="3" t="s">
        <v>1430</v>
      </c>
      <c r="B301" s="4">
        <v>501700.0</v>
      </c>
      <c r="C301" s="3" t="s">
        <v>1431</v>
      </c>
      <c r="D301" s="3" t="s">
        <v>1432</v>
      </c>
      <c r="E301" s="3" t="s">
        <v>1433</v>
      </c>
      <c r="F301" s="3" t="s">
        <v>19</v>
      </c>
      <c r="G301" s="3" t="s">
        <v>72</v>
      </c>
      <c r="H301" s="3">
        <v>1.0</v>
      </c>
      <c r="I301" s="3" t="s">
        <v>1430</v>
      </c>
      <c r="J301" s="3" t="s">
        <v>22</v>
      </c>
      <c r="K301" s="3" t="s">
        <v>204</v>
      </c>
      <c r="L301" s="3" t="s">
        <v>204</v>
      </c>
      <c r="M301" s="3" t="s">
        <v>378</v>
      </c>
      <c r="N301" s="3" t="s">
        <v>379</v>
      </c>
      <c r="O301" s="5">
        <v>46.6081729</v>
      </c>
      <c r="P301" s="6" t="str">
        <f t="shared" si="2"/>
        <v>Non Banking Financial Company (NBFC)</v>
      </c>
    </row>
    <row r="302" hidden="1">
      <c r="A302" s="3" t="s">
        <v>1434</v>
      </c>
      <c r="B302" s="4">
        <v>501831.0</v>
      </c>
      <c r="C302" s="3" t="s">
        <v>1435</v>
      </c>
      <c r="D302" s="3" t="s">
        <v>1436</v>
      </c>
      <c r="E302" s="3" t="s">
        <v>1437</v>
      </c>
      <c r="F302" s="3" t="s">
        <v>19</v>
      </c>
      <c r="G302" s="3" t="s">
        <v>112</v>
      </c>
      <c r="H302" s="3">
        <v>10.0</v>
      </c>
      <c r="I302" s="3" t="s">
        <v>1434</v>
      </c>
      <c r="J302" s="3" t="s">
        <v>22</v>
      </c>
      <c r="K302" s="3" t="s">
        <v>145</v>
      </c>
      <c r="L302" s="3" t="s">
        <v>145</v>
      </c>
      <c r="M302" s="3" t="s">
        <v>597</v>
      </c>
      <c r="N302" s="3" t="s">
        <v>1438</v>
      </c>
      <c r="O302" s="5">
        <v>312.2921678</v>
      </c>
      <c r="P302" s="6" t="str">
        <f t="shared" si="2"/>
        <v>Food Products</v>
      </c>
    </row>
    <row r="303">
      <c r="A303" s="3" t="s">
        <v>1439</v>
      </c>
      <c r="B303" s="4">
        <v>532548.0</v>
      </c>
      <c r="C303" s="3" t="s">
        <v>1440</v>
      </c>
      <c r="D303" s="3" t="s">
        <v>1441</v>
      </c>
      <c r="E303" s="3" t="s">
        <v>1442</v>
      </c>
      <c r="F303" s="3" t="s">
        <v>19</v>
      </c>
      <c r="G303" s="3" t="s">
        <v>20</v>
      </c>
      <c r="H303" s="3">
        <v>1.0</v>
      </c>
      <c r="I303" s="3" t="s">
        <v>1443</v>
      </c>
      <c r="J303" s="3" t="s">
        <v>22</v>
      </c>
      <c r="K303" s="3" t="s">
        <v>58</v>
      </c>
      <c r="L303" s="3" t="s">
        <v>211</v>
      </c>
      <c r="M303" s="3" t="s">
        <v>211</v>
      </c>
      <c r="N303" s="3" t="s">
        <v>1444</v>
      </c>
      <c r="O303" s="5">
        <v>16343.6808187</v>
      </c>
      <c r="P303" s="6" t="str">
        <f t="shared" si="2"/>
        <v>Consumer Durables</v>
      </c>
    </row>
    <row r="304">
      <c r="A304" s="3" t="s">
        <v>1445</v>
      </c>
      <c r="B304" s="4">
        <v>532605.0</v>
      </c>
      <c r="C304" s="3" t="s">
        <v>1446</v>
      </c>
      <c r="D304" s="3" t="s">
        <v>1447</v>
      </c>
      <c r="E304" s="3" t="s">
        <v>1448</v>
      </c>
      <c r="F304" s="3" t="s">
        <v>19</v>
      </c>
      <c r="G304" s="3" t="s">
        <v>20</v>
      </c>
      <c r="H304" s="3">
        <v>2.0</v>
      </c>
      <c r="I304" s="3" t="s">
        <v>1449</v>
      </c>
      <c r="J304" s="3" t="s">
        <v>22</v>
      </c>
      <c r="K304" s="3" t="s">
        <v>58</v>
      </c>
      <c r="L304" s="3" t="s">
        <v>133</v>
      </c>
      <c r="M304" s="3" t="s">
        <v>134</v>
      </c>
      <c r="N304" s="3" t="s">
        <v>135</v>
      </c>
      <c r="O304" s="5">
        <v>23589.2593909</v>
      </c>
      <c r="P304" s="6" t="str">
        <f t="shared" si="2"/>
        <v>Auto Components &amp; Equipments</v>
      </c>
    </row>
    <row r="305" hidden="1">
      <c r="A305" s="3" t="s">
        <v>1450</v>
      </c>
      <c r="B305" s="4">
        <v>502015.0</v>
      </c>
      <c r="C305" s="3" t="s">
        <v>1451</v>
      </c>
      <c r="D305" s="3" t="s">
        <v>1452</v>
      </c>
      <c r="E305" s="3" t="s">
        <v>1453</v>
      </c>
      <c r="F305" s="3" t="s">
        <v>19</v>
      </c>
      <c r="G305" s="3" t="s">
        <v>44</v>
      </c>
      <c r="H305" s="3">
        <v>1.0</v>
      </c>
      <c r="I305" s="3" t="s">
        <v>1450</v>
      </c>
      <c r="J305" s="3" t="s">
        <v>22</v>
      </c>
      <c r="K305" s="3" t="s">
        <v>23</v>
      </c>
      <c r="L305" s="3" t="s">
        <v>65</v>
      </c>
      <c r="M305" s="3" t="s">
        <v>522</v>
      </c>
      <c r="N305" s="3" t="s">
        <v>523</v>
      </c>
      <c r="O305" s="5">
        <v>280.6235138</v>
      </c>
      <c r="P305" s="6" t="str">
        <f t="shared" si="2"/>
        <v>Minerals &amp; Mining</v>
      </c>
    </row>
    <row r="306" hidden="1">
      <c r="A306" s="3" t="s">
        <v>1454</v>
      </c>
      <c r="B306" s="4">
        <v>502090.0</v>
      </c>
      <c r="C306" s="3" t="s">
        <v>1455</v>
      </c>
      <c r="D306" s="3" t="s">
        <v>1456</v>
      </c>
      <c r="E306" s="3" t="s">
        <v>1457</v>
      </c>
      <c r="F306" s="3" t="s">
        <v>19</v>
      </c>
      <c r="G306" s="3" t="s">
        <v>112</v>
      </c>
      <c r="H306" s="3">
        <v>2.0</v>
      </c>
      <c r="I306" s="3" t="s">
        <v>1454</v>
      </c>
      <c r="J306" s="3" t="s">
        <v>22</v>
      </c>
      <c r="K306" s="3" t="s">
        <v>23</v>
      </c>
      <c r="L306" s="3" t="s">
        <v>162</v>
      </c>
      <c r="M306" s="3" t="s">
        <v>163</v>
      </c>
      <c r="N306" s="3" t="s">
        <v>163</v>
      </c>
      <c r="O306" s="5">
        <v>3376.6922747</v>
      </c>
      <c r="P306" s="6" t="str">
        <f t="shared" si="2"/>
        <v>Cement &amp; Cement Products</v>
      </c>
    </row>
    <row r="307" hidden="1">
      <c r="A307" s="3" t="s">
        <v>1458</v>
      </c>
      <c r="B307" s="4">
        <v>502133.0</v>
      </c>
      <c r="C307" s="3" t="s">
        <v>1459</v>
      </c>
      <c r="D307" s="3" t="s">
        <v>1460</v>
      </c>
      <c r="E307" s="3" t="s">
        <v>1461</v>
      </c>
      <c r="F307" s="3" t="s">
        <v>19</v>
      </c>
      <c r="G307" s="3" t="s">
        <v>44</v>
      </c>
      <c r="H307" s="3">
        <v>10.0</v>
      </c>
      <c r="I307" s="3" t="s">
        <v>1458</v>
      </c>
      <c r="J307" s="3" t="s">
        <v>22</v>
      </c>
      <c r="K307" s="3" t="s">
        <v>23</v>
      </c>
      <c r="L307" s="3" t="s">
        <v>162</v>
      </c>
      <c r="M307" s="3" t="s">
        <v>163</v>
      </c>
      <c r="N307" s="3" t="s">
        <v>163</v>
      </c>
      <c r="O307" s="5">
        <v>66.1100218</v>
      </c>
      <c r="P307" s="6" t="str">
        <f t="shared" si="2"/>
        <v>Cement &amp; Cement Products</v>
      </c>
    </row>
    <row r="308" hidden="1">
      <c r="A308" s="3" t="s">
        <v>1462</v>
      </c>
      <c r="B308" s="4">
        <v>502137.0</v>
      </c>
      <c r="C308" s="3" t="s">
        <v>1463</v>
      </c>
      <c r="D308" s="3" t="s">
        <v>1464</v>
      </c>
      <c r="E308" s="3" t="s">
        <v>1465</v>
      </c>
      <c r="F308" s="3" t="s">
        <v>19</v>
      </c>
      <c r="G308" s="3" t="s">
        <v>112</v>
      </c>
      <c r="H308" s="3">
        <v>5.0</v>
      </c>
      <c r="I308" s="3" t="s">
        <v>1462</v>
      </c>
      <c r="J308" s="3" t="s">
        <v>22</v>
      </c>
      <c r="K308" s="3" t="s">
        <v>23</v>
      </c>
      <c r="L308" s="3" t="s">
        <v>162</v>
      </c>
      <c r="M308" s="3" t="s">
        <v>163</v>
      </c>
      <c r="N308" s="3" t="s">
        <v>163</v>
      </c>
      <c r="O308" s="5">
        <v>950.4636696</v>
      </c>
      <c r="P308" s="6" t="str">
        <f t="shared" si="2"/>
        <v>Cement &amp; Cement Products</v>
      </c>
    </row>
    <row r="309" hidden="1">
      <c r="A309" s="3" t="s">
        <v>1466</v>
      </c>
      <c r="B309" s="4">
        <v>502157.0</v>
      </c>
      <c r="C309" s="3" t="s">
        <v>1467</v>
      </c>
      <c r="D309" s="3" t="s">
        <v>1468</v>
      </c>
      <c r="E309" s="3" t="s">
        <v>1469</v>
      </c>
      <c r="F309" s="3" t="s">
        <v>19</v>
      </c>
      <c r="G309" s="3" t="s">
        <v>112</v>
      </c>
      <c r="H309" s="3">
        <v>10.0</v>
      </c>
      <c r="I309" s="3" t="s">
        <v>1466</v>
      </c>
      <c r="J309" s="3" t="s">
        <v>22</v>
      </c>
      <c r="K309" s="3" t="s">
        <v>23</v>
      </c>
      <c r="L309" s="3" t="s">
        <v>162</v>
      </c>
      <c r="M309" s="3" t="s">
        <v>163</v>
      </c>
      <c r="N309" s="3" t="s">
        <v>163</v>
      </c>
      <c r="O309" s="5">
        <v>2413.4861271</v>
      </c>
      <c r="P309" s="6" t="str">
        <f t="shared" si="2"/>
        <v>Cement &amp; Cement Products</v>
      </c>
    </row>
    <row r="310" hidden="1">
      <c r="A310" s="3" t="s">
        <v>1470</v>
      </c>
      <c r="B310" s="4">
        <v>502168.0</v>
      </c>
      <c r="C310" s="3" t="s">
        <v>1471</v>
      </c>
      <c r="D310" s="3" t="s">
        <v>1472</v>
      </c>
      <c r="E310" s="3" t="s">
        <v>1473</v>
      </c>
      <c r="F310" s="3" t="s">
        <v>19</v>
      </c>
      <c r="G310" s="3" t="s">
        <v>112</v>
      </c>
      <c r="H310" s="3">
        <v>10.0</v>
      </c>
      <c r="I310" s="3" t="s">
        <v>1470</v>
      </c>
      <c r="J310" s="3" t="s">
        <v>22</v>
      </c>
      <c r="K310" s="3" t="s">
        <v>23</v>
      </c>
      <c r="L310" s="3" t="s">
        <v>162</v>
      </c>
      <c r="M310" s="3" t="s">
        <v>163</v>
      </c>
      <c r="N310" s="3" t="s">
        <v>163</v>
      </c>
      <c r="O310" s="5">
        <v>1117.1307048</v>
      </c>
      <c r="P310" s="6" t="str">
        <f t="shared" si="2"/>
        <v>Cement &amp; Cement Products</v>
      </c>
    </row>
    <row r="311" hidden="1">
      <c r="A311" s="3" t="s">
        <v>1474</v>
      </c>
      <c r="B311" s="4">
        <v>502175.0</v>
      </c>
      <c r="C311" s="3" t="s">
        <v>1475</v>
      </c>
      <c r="D311" s="3" t="s">
        <v>1476</v>
      </c>
      <c r="E311" s="3" t="s">
        <v>1477</v>
      </c>
      <c r="F311" s="3" t="s">
        <v>19</v>
      </c>
      <c r="G311" s="3" t="s">
        <v>112</v>
      </c>
      <c r="H311" s="3">
        <v>10.0</v>
      </c>
      <c r="I311" s="3" t="s">
        <v>1474</v>
      </c>
      <c r="J311" s="3" t="s">
        <v>22</v>
      </c>
      <c r="K311" s="3" t="s">
        <v>23</v>
      </c>
      <c r="L311" s="3" t="s">
        <v>162</v>
      </c>
      <c r="M311" s="3" t="s">
        <v>163</v>
      </c>
      <c r="N311" s="3" t="s">
        <v>163</v>
      </c>
      <c r="O311" s="5">
        <v>1500.0794227</v>
      </c>
      <c r="P311" s="6" t="str">
        <f t="shared" si="2"/>
        <v>Cement &amp; Cement Products</v>
      </c>
    </row>
    <row r="312" hidden="1">
      <c r="A312" s="3" t="s">
        <v>1478</v>
      </c>
      <c r="B312" s="4">
        <v>502180.0</v>
      </c>
      <c r="C312" s="3" t="s">
        <v>1479</v>
      </c>
      <c r="D312" s="3" t="s">
        <v>1480</v>
      </c>
      <c r="E312" s="3" t="s">
        <v>1481</v>
      </c>
      <c r="F312" s="3" t="s">
        <v>19</v>
      </c>
      <c r="G312" s="3" t="s">
        <v>112</v>
      </c>
      <c r="H312" s="3">
        <v>10.0</v>
      </c>
      <c r="I312" s="3" t="s">
        <v>1478</v>
      </c>
      <c r="J312" s="3" t="s">
        <v>22</v>
      </c>
      <c r="K312" s="3" t="s">
        <v>23</v>
      </c>
      <c r="L312" s="3" t="s">
        <v>162</v>
      </c>
      <c r="M312" s="3" t="s">
        <v>163</v>
      </c>
      <c r="N312" s="3" t="s">
        <v>163</v>
      </c>
      <c r="O312" s="5">
        <v>1646.8758295</v>
      </c>
      <c r="P312" s="6" t="str">
        <f t="shared" si="2"/>
        <v>Cement &amp; Cement Products</v>
      </c>
    </row>
    <row r="313">
      <c r="A313" s="3" t="s">
        <v>1482</v>
      </c>
      <c r="B313" s="4">
        <v>532630.0</v>
      </c>
      <c r="C313" s="3" t="s">
        <v>1483</v>
      </c>
      <c r="D313" s="3" t="s">
        <v>1484</v>
      </c>
      <c r="E313" s="3" t="s">
        <v>1485</v>
      </c>
      <c r="F313" s="3" t="s">
        <v>19</v>
      </c>
      <c r="G313" s="3" t="s">
        <v>20</v>
      </c>
      <c r="H313" s="3">
        <v>5.0</v>
      </c>
      <c r="I313" s="3" t="s">
        <v>1486</v>
      </c>
      <c r="J313" s="3" t="s">
        <v>22</v>
      </c>
      <c r="K313" s="3" t="s">
        <v>58</v>
      </c>
      <c r="L313" s="3" t="s">
        <v>80</v>
      </c>
      <c r="M313" s="3" t="s">
        <v>81</v>
      </c>
      <c r="N313" s="3" t="s">
        <v>944</v>
      </c>
      <c r="O313" s="5">
        <v>6629.743379</v>
      </c>
      <c r="P313" s="6" t="str">
        <f t="shared" si="2"/>
        <v>Textiles &amp; Apparels</v>
      </c>
    </row>
    <row r="314" hidden="1">
      <c r="A314" s="3" t="s">
        <v>1487</v>
      </c>
      <c r="B314" s="4">
        <v>502250.0</v>
      </c>
      <c r="C314" s="3" t="s">
        <v>1488</v>
      </c>
      <c r="D314" s="3" t="s">
        <v>1489</v>
      </c>
      <c r="E314" s="3" t="s">
        <v>1490</v>
      </c>
      <c r="F314" s="3" t="s">
        <v>19</v>
      </c>
      <c r="G314" s="3" t="s">
        <v>72</v>
      </c>
      <c r="H314" s="3">
        <v>10.0</v>
      </c>
      <c r="I314" s="3" t="s">
        <v>1487</v>
      </c>
      <c r="J314" s="3" t="s">
        <v>22</v>
      </c>
      <c r="K314" s="3" t="s">
        <v>23</v>
      </c>
      <c r="L314" s="3" t="s">
        <v>162</v>
      </c>
      <c r="M314" s="3" t="s">
        <v>1491</v>
      </c>
      <c r="N314" s="3" t="s">
        <v>1491</v>
      </c>
      <c r="O314" s="5">
        <v>30.5922947</v>
      </c>
      <c r="P314" s="6" t="str">
        <f t="shared" si="2"/>
        <v>Other Construction Materials</v>
      </c>
    </row>
    <row r="315" hidden="1">
      <c r="A315" s="3" t="s">
        <v>1492</v>
      </c>
      <c r="B315" s="4">
        <v>502281.0</v>
      </c>
      <c r="C315" s="3" t="s">
        <v>1493</v>
      </c>
      <c r="D315" s="3" t="s">
        <v>1494</v>
      </c>
      <c r="E315" s="3" t="s">
        <v>1495</v>
      </c>
      <c r="F315" s="3" t="s">
        <v>19</v>
      </c>
      <c r="G315" s="3" t="s">
        <v>44</v>
      </c>
      <c r="H315" s="3">
        <v>10.0</v>
      </c>
      <c r="I315" s="3" t="s">
        <v>1492</v>
      </c>
      <c r="J315" s="3" t="s">
        <v>22</v>
      </c>
      <c r="K315" s="3" t="s">
        <v>23</v>
      </c>
      <c r="L315" s="3" t="s">
        <v>162</v>
      </c>
      <c r="M315" s="3" t="s">
        <v>1491</v>
      </c>
      <c r="N315" s="3" t="s">
        <v>1491</v>
      </c>
      <c r="O315" s="5">
        <v>28.5990278</v>
      </c>
      <c r="P315" s="6" t="str">
        <f t="shared" si="2"/>
        <v>Other Construction Materials</v>
      </c>
    </row>
    <row r="316" hidden="1">
      <c r="A316" s="3" t="s">
        <v>1496</v>
      </c>
      <c r="B316" s="4">
        <v>502294.0</v>
      </c>
      <c r="C316" s="3" t="s">
        <v>1497</v>
      </c>
      <c r="D316" s="3" t="s">
        <v>1498</v>
      </c>
      <c r="E316" s="3" t="s">
        <v>1499</v>
      </c>
      <c r="F316" s="3" t="s">
        <v>19</v>
      </c>
      <c r="G316" s="3" t="s">
        <v>72</v>
      </c>
      <c r="H316" s="3">
        <v>10.0</v>
      </c>
      <c r="I316" s="3" t="s">
        <v>1496</v>
      </c>
      <c r="J316" s="3" t="s">
        <v>22</v>
      </c>
      <c r="K316" s="3" t="s">
        <v>97</v>
      </c>
      <c r="L316" s="3" t="s">
        <v>98</v>
      </c>
      <c r="M316" s="3" t="s">
        <v>100</v>
      </c>
      <c r="N316" s="3" t="s">
        <v>1500</v>
      </c>
      <c r="O316" s="5">
        <v>115.0331499</v>
      </c>
      <c r="P316" s="6" t="str">
        <f t="shared" si="2"/>
        <v>Industrial Products</v>
      </c>
    </row>
    <row r="317" hidden="1">
      <c r="A317" s="3" t="s">
        <v>1501</v>
      </c>
      <c r="B317" s="4">
        <v>502330.0</v>
      </c>
      <c r="C317" s="3" t="s">
        <v>1502</v>
      </c>
      <c r="D317" s="3" t="s">
        <v>1503</v>
      </c>
      <c r="E317" s="3" t="s">
        <v>1504</v>
      </c>
      <c r="F317" s="3" t="s">
        <v>19</v>
      </c>
      <c r="G317" s="3" t="s">
        <v>112</v>
      </c>
      <c r="H317" s="3">
        <v>10.0</v>
      </c>
      <c r="I317" s="3" t="s">
        <v>1501</v>
      </c>
      <c r="J317" s="3" t="s">
        <v>22</v>
      </c>
      <c r="K317" s="3" t="s">
        <v>23</v>
      </c>
      <c r="L317" s="3" t="s">
        <v>32</v>
      </c>
      <c r="M317" s="3" t="s">
        <v>33</v>
      </c>
      <c r="N317" s="3" t="s">
        <v>34</v>
      </c>
      <c r="O317" s="5">
        <v>2398.0158844</v>
      </c>
      <c r="P317" s="6" t="str">
        <f t="shared" si="2"/>
        <v>Paper, Forest &amp; Jute Products</v>
      </c>
    </row>
    <row r="318">
      <c r="A318" s="3" t="s">
        <v>1125</v>
      </c>
      <c r="B318" s="4">
        <v>532638.0</v>
      </c>
      <c r="C318" s="3" t="s">
        <v>1505</v>
      </c>
      <c r="D318" s="3" t="s">
        <v>1506</v>
      </c>
      <c r="E318" s="3" t="s">
        <v>1507</v>
      </c>
      <c r="F318" s="3" t="s">
        <v>19</v>
      </c>
      <c r="G318" s="3" t="s">
        <v>20</v>
      </c>
      <c r="H318" s="3">
        <v>5.0</v>
      </c>
      <c r="I318" s="3" t="s">
        <v>1508</v>
      </c>
      <c r="J318" s="3" t="s">
        <v>22</v>
      </c>
      <c r="K318" s="3" t="s">
        <v>58</v>
      </c>
      <c r="L318" s="3" t="s">
        <v>73</v>
      </c>
      <c r="M318" s="3" t="s">
        <v>988</v>
      </c>
      <c r="N318" s="3" t="s">
        <v>1509</v>
      </c>
      <c r="O318" s="5">
        <v>8305.27422</v>
      </c>
      <c r="P318" s="6" t="str">
        <f t="shared" si="2"/>
        <v>Retailing</v>
      </c>
    </row>
    <row r="319" hidden="1">
      <c r="A319" s="3" t="s">
        <v>1510</v>
      </c>
      <c r="B319" s="4">
        <v>502420.0</v>
      </c>
      <c r="C319" s="3" t="s">
        <v>1511</v>
      </c>
      <c r="D319" s="3" t="s">
        <v>1512</v>
      </c>
      <c r="E319" s="3" t="s">
        <v>1513</v>
      </c>
      <c r="F319" s="3" t="s">
        <v>19</v>
      </c>
      <c r="G319" s="3" t="s">
        <v>112</v>
      </c>
      <c r="H319" s="3">
        <v>1.0</v>
      </c>
      <c r="I319" s="3" t="s">
        <v>1510</v>
      </c>
      <c r="J319" s="3" t="s">
        <v>22</v>
      </c>
      <c r="K319" s="3" t="s">
        <v>23</v>
      </c>
      <c r="L319" s="3" t="s">
        <v>32</v>
      </c>
      <c r="M319" s="3" t="s">
        <v>33</v>
      </c>
      <c r="N319" s="3" t="s">
        <v>34</v>
      </c>
      <c r="O319" s="5">
        <v>1289.9699937</v>
      </c>
      <c r="P319" s="6" t="str">
        <f t="shared" si="2"/>
        <v>Paper, Forest &amp; Jute Products</v>
      </c>
    </row>
    <row r="320" hidden="1">
      <c r="A320" s="3" t="s">
        <v>1514</v>
      </c>
      <c r="B320" s="4">
        <v>502445.0</v>
      </c>
      <c r="C320" s="3" t="s">
        <v>1515</v>
      </c>
      <c r="D320" s="3" t="s">
        <v>1516</v>
      </c>
      <c r="E320" s="3" t="s">
        <v>1517</v>
      </c>
      <c r="F320" s="3" t="s">
        <v>19</v>
      </c>
      <c r="G320" s="3" t="s">
        <v>72</v>
      </c>
      <c r="H320" s="3">
        <v>10.0</v>
      </c>
      <c r="I320" s="3" t="s">
        <v>1514</v>
      </c>
      <c r="J320" s="3" t="s">
        <v>22</v>
      </c>
      <c r="K320" s="3" t="s">
        <v>58</v>
      </c>
      <c r="L320" s="3" t="s">
        <v>59</v>
      </c>
      <c r="M320" s="3" t="s">
        <v>59</v>
      </c>
      <c r="N320" s="3" t="s">
        <v>60</v>
      </c>
      <c r="O320" s="5">
        <v>29.8064679</v>
      </c>
      <c r="P320" s="6" t="str">
        <f t="shared" si="2"/>
        <v>Residential, Commercial Projects</v>
      </c>
    </row>
    <row r="321" hidden="1">
      <c r="A321" s="3" t="s">
        <v>1518</v>
      </c>
      <c r="B321" s="4">
        <v>502448.0</v>
      </c>
      <c r="C321" s="3" t="s">
        <v>1519</v>
      </c>
      <c r="D321" s="3" t="s">
        <v>1520</v>
      </c>
      <c r="E321" s="3" t="s">
        <v>1521</v>
      </c>
      <c r="F321" s="3" t="s">
        <v>19</v>
      </c>
      <c r="G321" s="3" t="s">
        <v>86</v>
      </c>
      <c r="H321" s="3">
        <v>1.0</v>
      </c>
      <c r="I321" s="3" t="s">
        <v>1518</v>
      </c>
      <c r="J321" s="3" t="s">
        <v>22</v>
      </c>
      <c r="K321" s="3" t="s">
        <v>97</v>
      </c>
      <c r="L321" s="3" t="s">
        <v>98</v>
      </c>
      <c r="M321" s="3" t="s">
        <v>100</v>
      </c>
      <c r="N321" s="3" t="s">
        <v>373</v>
      </c>
      <c r="O321" s="5">
        <v>113.3568818</v>
      </c>
      <c r="P321" s="6" t="str">
        <f t="shared" si="2"/>
        <v>Industrial Products</v>
      </c>
    </row>
    <row r="322" hidden="1">
      <c r="A322" s="3" t="s">
        <v>1522</v>
      </c>
      <c r="B322" s="4">
        <v>502450.0</v>
      </c>
      <c r="C322" s="3" t="s">
        <v>1523</v>
      </c>
      <c r="D322" s="3" t="s">
        <v>1524</v>
      </c>
      <c r="E322" s="3" t="s">
        <v>1525</v>
      </c>
      <c r="F322" s="3" t="s">
        <v>19</v>
      </c>
      <c r="G322" s="3" t="s">
        <v>112</v>
      </c>
      <c r="H322" s="3">
        <v>2.0</v>
      </c>
      <c r="I322" s="3" t="s">
        <v>1522</v>
      </c>
      <c r="J322" s="3" t="s">
        <v>22</v>
      </c>
      <c r="K322" s="3" t="s">
        <v>23</v>
      </c>
      <c r="L322" s="3" t="s">
        <v>32</v>
      </c>
      <c r="M322" s="3" t="s">
        <v>33</v>
      </c>
      <c r="N322" s="3" t="s">
        <v>34</v>
      </c>
      <c r="O322" s="5">
        <v>2271.0063855</v>
      </c>
      <c r="P322" s="6" t="str">
        <f t="shared" si="2"/>
        <v>Paper, Forest &amp; Jute Products</v>
      </c>
    </row>
    <row r="323" hidden="1">
      <c r="A323" s="3" t="s">
        <v>1526</v>
      </c>
      <c r="B323" s="4">
        <v>502587.0</v>
      </c>
      <c r="C323" s="3" t="s">
        <v>1527</v>
      </c>
      <c r="D323" s="3" t="s">
        <v>1528</v>
      </c>
      <c r="E323" s="3" t="s">
        <v>1529</v>
      </c>
      <c r="F323" s="3" t="s">
        <v>19</v>
      </c>
      <c r="G323" s="3" t="s">
        <v>44</v>
      </c>
      <c r="H323" s="3">
        <v>10.0</v>
      </c>
      <c r="I323" s="3" t="s">
        <v>1526</v>
      </c>
      <c r="J323" s="3" t="s">
        <v>22</v>
      </c>
      <c r="K323" s="3" t="s">
        <v>23</v>
      </c>
      <c r="L323" s="3" t="s">
        <v>32</v>
      </c>
      <c r="M323" s="3" t="s">
        <v>33</v>
      </c>
      <c r="N323" s="3" t="s">
        <v>34</v>
      </c>
      <c r="O323" s="5">
        <v>137.029741</v>
      </c>
      <c r="P323" s="6" t="str">
        <f t="shared" si="2"/>
        <v>Paper, Forest &amp; Jute Products</v>
      </c>
    </row>
    <row r="324" hidden="1">
      <c r="A324" s="3" t="s">
        <v>1530</v>
      </c>
      <c r="B324" s="4">
        <v>502589.0</v>
      </c>
      <c r="C324" s="3" t="s">
        <v>1531</v>
      </c>
      <c r="D324" s="3" t="s">
        <v>1532</v>
      </c>
      <c r="E324" s="3" t="s">
        <v>1533</v>
      </c>
      <c r="F324" s="3" t="s">
        <v>19</v>
      </c>
      <c r="G324" s="3" t="s">
        <v>44</v>
      </c>
      <c r="H324" s="3">
        <v>10.0</v>
      </c>
      <c r="I324" s="3" t="s">
        <v>1530</v>
      </c>
      <c r="J324" s="3" t="s">
        <v>22</v>
      </c>
      <c r="K324" s="3" t="s">
        <v>23</v>
      </c>
      <c r="L324" s="3" t="s">
        <v>32</v>
      </c>
      <c r="M324" s="3" t="s">
        <v>33</v>
      </c>
      <c r="N324" s="3" t="s">
        <v>34</v>
      </c>
      <c r="O324" s="5">
        <v>33.04816</v>
      </c>
      <c r="P324" s="6" t="str">
        <f t="shared" si="2"/>
        <v>Paper, Forest &amp; Jute Products</v>
      </c>
    </row>
    <row r="325" hidden="1">
      <c r="A325" s="3" t="s">
        <v>1534</v>
      </c>
      <c r="B325" s="4">
        <v>502820.0</v>
      </c>
      <c r="C325" s="3" t="s">
        <v>1535</v>
      </c>
      <c r="D325" s="3" t="s">
        <v>1536</v>
      </c>
      <c r="E325" s="3" t="s">
        <v>1537</v>
      </c>
      <c r="F325" s="3" t="s">
        <v>19</v>
      </c>
      <c r="G325" s="3" t="s">
        <v>112</v>
      </c>
      <c r="H325" s="3">
        <v>10.0</v>
      </c>
      <c r="I325" s="3" t="s">
        <v>1534</v>
      </c>
      <c r="J325" s="3" t="s">
        <v>22</v>
      </c>
      <c r="K325" s="3" t="s">
        <v>473</v>
      </c>
      <c r="L325" s="3" t="s">
        <v>473</v>
      </c>
      <c r="M325" s="3" t="s">
        <v>1538</v>
      </c>
      <c r="N325" s="3" t="s">
        <v>1539</v>
      </c>
      <c r="O325" s="5">
        <v>172.259407</v>
      </c>
      <c r="P325" s="6" t="str">
        <f t="shared" si="2"/>
        <v>IT - Services</v>
      </c>
    </row>
    <row r="326" hidden="1">
      <c r="A326" s="3" t="s">
        <v>1540</v>
      </c>
      <c r="B326" s="4">
        <v>502850.0</v>
      </c>
      <c r="C326" s="3" t="s">
        <v>1541</v>
      </c>
      <c r="D326" s="3" t="s">
        <v>1542</v>
      </c>
      <c r="E326" s="3" t="s">
        <v>1543</v>
      </c>
      <c r="F326" s="3" t="s">
        <v>19</v>
      </c>
      <c r="G326" s="3" t="s">
        <v>44</v>
      </c>
      <c r="H326" s="3">
        <v>10.0</v>
      </c>
      <c r="I326" s="3" t="s">
        <v>1540</v>
      </c>
      <c r="J326" s="3" t="s">
        <v>22</v>
      </c>
      <c r="K326" s="3" t="s">
        <v>58</v>
      </c>
      <c r="L326" s="3" t="s">
        <v>80</v>
      </c>
      <c r="M326" s="3" t="s">
        <v>81</v>
      </c>
      <c r="N326" s="3" t="s">
        <v>82</v>
      </c>
      <c r="O326" s="5">
        <v>1.0</v>
      </c>
      <c r="P326" s="6" t="str">
        <f t="shared" si="2"/>
        <v>Textiles &amp; Apparels</v>
      </c>
    </row>
    <row r="327" hidden="1">
      <c r="A327" s="3" t="s">
        <v>1544</v>
      </c>
      <c r="B327" s="4">
        <v>502865.0</v>
      </c>
      <c r="C327" s="3" t="s">
        <v>1545</v>
      </c>
      <c r="D327" s="3" t="s">
        <v>1546</v>
      </c>
      <c r="E327" s="3" t="s">
        <v>1547</v>
      </c>
      <c r="F327" s="3" t="s">
        <v>19</v>
      </c>
      <c r="G327" s="3" t="s">
        <v>44</v>
      </c>
      <c r="H327" s="3">
        <v>10.0</v>
      </c>
      <c r="I327" s="3" t="s">
        <v>1544</v>
      </c>
      <c r="J327" s="3" t="s">
        <v>22</v>
      </c>
      <c r="K327" s="3" t="s">
        <v>58</v>
      </c>
      <c r="L327" s="3" t="s">
        <v>211</v>
      </c>
      <c r="M327" s="3" t="s">
        <v>211</v>
      </c>
      <c r="N327" s="3" t="s">
        <v>882</v>
      </c>
      <c r="O327" s="5">
        <v>810.8565605</v>
      </c>
      <c r="P327" s="6" t="str">
        <f t="shared" si="2"/>
        <v>Consumer Durables</v>
      </c>
    </row>
    <row r="328" hidden="1">
      <c r="A328" s="3" t="s">
        <v>1548</v>
      </c>
      <c r="B328" s="4">
        <v>502873.0</v>
      </c>
      <c r="C328" s="3" t="s">
        <v>1549</v>
      </c>
      <c r="D328" s="3" t="s">
        <v>1550</v>
      </c>
      <c r="E328" s="3" t="s">
        <v>1551</v>
      </c>
      <c r="F328" s="3" t="s">
        <v>19</v>
      </c>
      <c r="G328" s="3" t="s">
        <v>44</v>
      </c>
      <c r="H328" s="3">
        <v>10.0</v>
      </c>
      <c r="I328" s="3" t="s">
        <v>1548</v>
      </c>
      <c r="J328" s="3" t="s">
        <v>22</v>
      </c>
      <c r="K328" s="3" t="s">
        <v>58</v>
      </c>
      <c r="L328" s="3" t="s">
        <v>80</v>
      </c>
      <c r="M328" s="3" t="s">
        <v>81</v>
      </c>
      <c r="N328" s="3" t="s">
        <v>82</v>
      </c>
      <c r="O328" s="5">
        <v>52.83985</v>
      </c>
      <c r="P328" s="6" t="str">
        <f t="shared" si="2"/>
        <v>Textiles &amp; Apparels</v>
      </c>
    </row>
    <row r="329" hidden="1">
      <c r="A329" s="3" t="s">
        <v>1552</v>
      </c>
      <c r="B329" s="4">
        <v>502893.0</v>
      </c>
      <c r="C329" s="3" t="s">
        <v>1553</v>
      </c>
      <c r="D329" s="3" t="s">
        <v>1554</v>
      </c>
      <c r="E329" s="3" t="s">
        <v>1555</v>
      </c>
      <c r="F329" s="3" t="s">
        <v>19</v>
      </c>
      <c r="G329" s="3" t="s">
        <v>72</v>
      </c>
      <c r="H329" s="3">
        <v>10.0</v>
      </c>
      <c r="I329" s="3" t="s">
        <v>1552</v>
      </c>
      <c r="J329" s="3" t="s">
        <v>22</v>
      </c>
      <c r="K329" s="3" t="s">
        <v>473</v>
      </c>
      <c r="L329" s="3" t="s">
        <v>473</v>
      </c>
      <c r="M329" s="3" t="s">
        <v>1538</v>
      </c>
      <c r="N329" s="3" t="s">
        <v>1539</v>
      </c>
      <c r="O329" s="5">
        <v>1.0</v>
      </c>
      <c r="P329" s="6" t="str">
        <f t="shared" si="2"/>
        <v>IT - Services</v>
      </c>
    </row>
    <row r="330" hidden="1">
      <c r="A330" s="3" t="s">
        <v>1556</v>
      </c>
      <c r="B330" s="4">
        <v>502901.0</v>
      </c>
      <c r="C330" s="3" t="s">
        <v>1557</v>
      </c>
      <c r="D330" s="3" t="s">
        <v>1558</v>
      </c>
      <c r="E330" s="3" t="s">
        <v>1559</v>
      </c>
      <c r="F330" s="3" t="s">
        <v>19</v>
      </c>
      <c r="G330" s="3" t="s">
        <v>72</v>
      </c>
      <c r="H330" s="3">
        <v>1000.0</v>
      </c>
      <c r="I330" s="3" t="s">
        <v>1556</v>
      </c>
      <c r="J330" s="3" t="s">
        <v>22</v>
      </c>
      <c r="K330" s="3" t="s">
        <v>58</v>
      </c>
      <c r="L330" s="3" t="s">
        <v>59</v>
      </c>
      <c r="M330" s="3" t="s">
        <v>59</v>
      </c>
      <c r="N330" s="3" t="s">
        <v>60</v>
      </c>
      <c r="O330" s="5">
        <v>80.6040334</v>
      </c>
      <c r="P330" s="6" t="str">
        <f t="shared" si="2"/>
        <v>Residential, Commercial Projects</v>
      </c>
    </row>
    <row r="331" hidden="1">
      <c r="A331" s="3" t="s">
        <v>1560</v>
      </c>
      <c r="B331" s="4">
        <v>502933.0</v>
      </c>
      <c r="C331" s="3" t="s">
        <v>1561</v>
      </c>
      <c r="D331" s="3" t="s">
        <v>1562</v>
      </c>
      <c r="E331" s="3" t="s">
        <v>1563</v>
      </c>
      <c r="F331" s="3" t="s">
        <v>19</v>
      </c>
      <c r="G331" s="3" t="s">
        <v>44</v>
      </c>
      <c r="H331" s="3">
        <v>10.0</v>
      </c>
      <c r="I331" s="3" t="s">
        <v>1560</v>
      </c>
      <c r="J331" s="3" t="s">
        <v>22</v>
      </c>
      <c r="K331" s="3" t="s">
        <v>58</v>
      </c>
      <c r="L331" s="3" t="s">
        <v>80</v>
      </c>
      <c r="M331" s="3" t="s">
        <v>81</v>
      </c>
      <c r="N331" s="3" t="s">
        <v>82</v>
      </c>
      <c r="O331" s="5">
        <v>65.322588</v>
      </c>
      <c r="P331" s="6" t="str">
        <f t="shared" si="2"/>
        <v>Textiles &amp; Apparels</v>
      </c>
    </row>
    <row r="332">
      <c r="A332" s="3" t="s">
        <v>321</v>
      </c>
      <c r="B332" s="4">
        <v>532689.0</v>
      </c>
      <c r="C332" s="3" t="s">
        <v>1564</v>
      </c>
      <c r="D332" s="3" t="s">
        <v>1565</v>
      </c>
      <c r="E332" s="3" t="s">
        <v>1566</v>
      </c>
      <c r="F332" s="3" t="s">
        <v>19</v>
      </c>
      <c r="G332" s="3" t="s">
        <v>20</v>
      </c>
      <c r="H332" s="3">
        <v>10.0</v>
      </c>
      <c r="I332" s="3" t="s">
        <v>1567</v>
      </c>
      <c r="J332" s="3" t="s">
        <v>22</v>
      </c>
      <c r="K332" s="3" t="s">
        <v>58</v>
      </c>
      <c r="L332" s="3" t="s">
        <v>182</v>
      </c>
      <c r="M332" s="3" t="s">
        <v>1168</v>
      </c>
      <c r="N332" s="3" t="s">
        <v>1568</v>
      </c>
      <c r="O332" s="5">
        <v>14007.22</v>
      </c>
      <c r="P332" s="6" t="str">
        <f t="shared" si="2"/>
        <v>Entertainment</v>
      </c>
    </row>
    <row r="333" hidden="1">
      <c r="A333" s="3" t="s">
        <v>1569</v>
      </c>
      <c r="B333" s="4">
        <v>502958.0</v>
      </c>
      <c r="C333" s="3" t="s">
        <v>1570</v>
      </c>
      <c r="D333" s="3" t="s">
        <v>1571</v>
      </c>
      <c r="E333" s="3" t="s">
        <v>1572</v>
      </c>
      <c r="F333" s="3" t="s">
        <v>19</v>
      </c>
      <c r="G333" s="3" t="s">
        <v>44</v>
      </c>
      <c r="H333" s="3">
        <v>100.0</v>
      </c>
      <c r="I333" s="3" t="s">
        <v>1569</v>
      </c>
      <c r="J333" s="3" t="s">
        <v>22</v>
      </c>
      <c r="K333" s="3" t="s">
        <v>58</v>
      </c>
      <c r="L333" s="3" t="s">
        <v>80</v>
      </c>
      <c r="M333" s="3" t="s">
        <v>81</v>
      </c>
      <c r="N333" s="3" t="s">
        <v>82</v>
      </c>
      <c r="O333" s="5">
        <v>407.887959</v>
      </c>
      <c r="P333" s="6" t="str">
        <f t="shared" si="2"/>
        <v>Textiles &amp; Apparels</v>
      </c>
    </row>
    <row r="334">
      <c r="A334" s="3" t="s">
        <v>1129</v>
      </c>
      <c r="B334" s="4">
        <v>532733.0</v>
      </c>
      <c r="C334" s="3" t="s">
        <v>1573</v>
      </c>
      <c r="D334" s="3" t="s">
        <v>1574</v>
      </c>
      <c r="E334" s="3" t="s">
        <v>1575</v>
      </c>
      <c r="F334" s="3" t="s">
        <v>19</v>
      </c>
      <c r="G334" s="3" t="s">
        <v>20</v>
      </c>
      <c r="H334" s="3">
        <v>5.0</v>
      </c>
      <c r="I334" s="3" t="s">
        <v>1576</v>
      </c>
      <c r="J334" s="3" t="s">
        <v>22</v>
      </c>
      <c r="K334" s="3" t="s">
        <v>58</v>
      </c>
      <c r="L334" s="3" t="s">
        <v>182</v>
      </c>
      <c r="M334" s="3" t="s">
        <v>1168</v>
      </c>
      <c r="N334" s="3" t="s">
        <v>1169</v>
      </c>
      <c r="O334" s="5">
        <v>30109.688226</v>
      </c>
      <c r="P334" s="6" t="str">
        <f t="shared" si="2"/>
        <v>Entertainment</v>
      </c>
    </row>
    <row r="335" hidden="1">
      <c r="A335" s="3" t="s">
        <v>1577</v>
      </c>
      <c r="B335" s="4">
        <v>503031.0</v>
      </c>
      <c r="C335" s="3" t="s">
        <v>1578</v>
      </c>
      <c r="D335" s="3" t="s">
        <v>1579</v>
      </c>
      <c r="E335" s="3" t="s">
        <v>1580</v>
      </c>
      <c r="F335" s="3" t="s">
        <v>19</v>
      </c>
      <c r="G335" s="3" t="s">
        <v>112</v>
      </c>
      <c r="H335" s="3">
        <v>2.0</v>
      </c>
      <c r="I335" s="3" t="s">
        <v>1577</v>
      </c>
      <c r="J335" s="3" t="s">
        <v>22</v>
      </c>
      <c r="K335" s="3" t="s">
        <v>58</v>
      </c>
      <c r="L335" s="3" t="s">
        <v>59</v>
      </c>
      <c r="M335" s="3" t="s">
        <v>59</v>
      </c>
      <c r="N335" s="3" t="s">
        <v>60</v>
      </c>
      <c r="O335" s="5">
        <v>2129.5832339</v>
      </c>
      <c r="P335" s="6" t="str">
        <f t="shared" si="2"/>
        <v>Residential, Commercial Projects</v>
      </c>
    </row>
    <row r="336" hidden="1">
      <c r="A336" s="3" t="s">
        <v>1581</v>
      </c>
      <c r="B336" s="4">
        <v>503092.0</v>
      </c>
      <c r="C336" s="3" t="s">
        <v>1582</v>
      </c>
      <c r="D336" s="3" t="s">
        <v>1583</v>
      </c>
      <c r="E336" s="3" t="s">
        <v>1584</v>
      </c>
      <c r="F336" s="3" t="s">
        <v>19</v>
      </c>
      <c r="G336" s="3" t="s">
        <v>72</v>
      </c>
      <c r="H336" s="3">
        <v>10.0</v>
      </c>
      <c r="I336" s="3" t="s">
        <v>1581</v>
      </c>
      <c r="J336" s="3" t="s">
        <v>22</v>
      </c>
      <c r="K336" s="3" t="s">
        <v>58</v>
      </c>
      <c r="L336" s="3" t="s">
        <v>80</v>
      </c>
      <c r="M336" s="3" t="s">
        <v>81</v>
      </c>
      <c r="N336" s="3" t="s">
        <v>82</v>
      </c>
      <c r="O336" s="5">
        <v>35.0015417</v>
      </c>
      <c r="P336" s="6" t="str">
        <f t="shared" si="2"/>
        <v>Textiles &amp; Apparels</v>
      </c>
    </row>
    <row r="337">
      <c r="A337" s="3" t="s">
        <v>1134</v>
      </c>
      <c r="B337" s="4">
        <v>532756.0</v>
      </c>
      <c r="C337" s="3" t="s">
        <v>1585</v>
      </c>
      <c r="D337" s="3" t="s">
        <v>1586</v>
      </c>
      <c r="E337" s="3" t="s">
        <v>1587</v>
      </c>
      <c r="F337" s="3" t="s">
        <v>19</v>
      </c>
      <c r="G337" s="3" t="s">
        <v>20</v>
      </c>
      <c r="H337" s="3">
        <v>10.0</v>
      </c>
      <c r="I337" s="3" t="s">
        <v>1588</v>
      </c>
      <c r="J337" s="3" t="s">
        <v>22</v>
      </c>
      <c r="K337" s="3" t="s">
        <v>58</v>
      </c>
      <c r="L337" s="3" t="s">
        <v>133</v>
      </c>
      <c r="M337" s="3" t="s">
        <v>134</v>
      </c>
      <c r="N337" s="3" t="s">
        <v>135</v>
      </c>
      <c r="O337" s="5">
        <v>22092.4520683</v>
      </c>
      <c r="P337" s="6" t="str">
        <f t="shared" si="2"/>
        <v>Auto Components &amp; Equipments</v>
      </c>
    </row>
    <row r="338" hidden="1">
      <c r="A338" s="3" t="s">
        <v>1589</v>
      </c>
      <c r="B338" s="4">
        <v>503101.0</v>
      </c>
      <c r="C338" s="3" t="s">
        <v>1590</v>
      </c>
      <c r="D338" s="3" t="s">
        <v>1591</v>
      </c>
      <c r="E338" s="3" t="s">
        <v>1592</v>
      </c>
      <c r="F338" s="3" t="s">
        <v>19</v>
      </c>
      <c r="G338" s="3" t="s">
        <v>112</v>
      </c>
      <c r="H338" s="3">
        <v>5.0</v>
      </c>
      <c r="I338" s="3" t="s">
        <v>1589</v>
      </c>
      <c r="J338" s="3" t="s">
        <v>22</v>
      </c>
      <c r="K338" s="3" t="s">
        <v>58</v>
      </c>
      <c r="L338" s="3" t="s">
        <v>59</v>
      </c>
      <c r="M338" s="3" t="s">
        <v>59</v>
      </c>
      <c r="N338" s="3" t="s">
        <v>60</v>
      </c>
      <c r="O338" s="5">
        <v>2956.8978042</v>
      </c>
      <c r="P338" s="6" t="str">
        <f t="shared" si="2"/>
        <v>Residential, Commercial Projects</v>
      </c>
    </row>
    <row r="339" hidden="1">
      <c r="A339" s="3" t="s">
        <v>1593</v>
      </c>
      <c r="B339" s="4">
        <v>503127.0</v>
      </c>
      <c r="C339" s="3" t="s">
        <v>1594</v>
      </c>
      <c r="D339" s="3" t="s">
        <v>1595</v>
      </c>
      <c r="E339" s="3" t="s">
        <v>1596</v>
      </c>
      <c r="F339" s="3" t="s">
        <v>19</v>
      </c>
      <c r="G339" s="3" t="s">
        <v>44</v>
      </c>
      <c r="H339" s="3">
        <v>100.0</v>
      </c>
      <c r="I339" s="3" t="s">
        <v>1593</v>
      </c>
      <c r="J339" s="3" t="s">
        <v>22</v>
      </c>
      <c r="K339" s="3" t="s">
        <v>58</v>
      </c>
      <c r="L339" s="3" t="s">
        <v>59</v>
      </c>
      <c r="M339" s="3" t="s">
        <v>59</v>
      </c>
      <c r="N339" s="3" t="s">
        <v>60</v>
      </c>
      <c r="O339" s="5">
        <v>112.9999819</v>
      </c>
      <c r="P339" s="6" t="str">
        <f t="shared" si="2"/>
        <v>Residential, Commercial Projects</v>
      </c>
    </row>
    <row r="340" hidden="1">
      <c r="A340" s="3" t="s">
        <v>1597</v>
      </c>
      <c r="B340" s="4">
        <v>503162.0</v>
      </c>
      <c r="C340" s="3" t="s">
        <v>1598</v>
      </c>
      <c r="D340" s="3" t="s">
        <v>1599</v>
      </c>
      <c r="E340" s="3" t="s">
        <v>1600</v>
      </c>
      <c r="F340" s="3" t="s">
        <v>19</v>
      </c>
      <c r="G340" s="3" t="s">
        <v>112</v>
      </c>
      <c r="H340" s="3">
        <v>10.0</v>
      </c>
      <c r="I340" s="3" t="s">
        <v>1597</v>
      </c>
      <c r="J340" s="3" t="s">
        <v>22</v>
      </c>
      <c r="K340" s="3" t="s">
        <v>58</v>
      </c>
      <c r="L340" s="3" t="s">
        <v>80</v>
      </c>
      <c r="M340" s="3" t="s">
        <v>81</v>
      </c>
      <c r="N340" s="3" t="s">
        <v>82</v>
      </c>
      <c r="O340" s="5">
        <v>187.3797146</v>
      </c>
      <c r="P340" s="6" t="str">
        <f t="shared" si="2"/>
        <v>Textiles &amp; Apparels</v>
      </c>
    </row>
    <row r="341" hidden="1">
      <c r="A341" s="3" t="s">
        <v>1601</v>
      </c>
      <c r="B341" s="4">
        <v>503169.0</v>
      </c>
      <c r="C341" s="3" t="s">
        <v>1602</v>
      </c>
      <c r="D341" s="3" t="s">
        <v>1603</v>
      </c>
      <c r="E341" s="3" t="s">
        <v>1604</v>
      </c>
      <c r="F341" s="3" t="s">
        <v>19</v>
      </c>
      <c r="G341" s="3" t="s">
        <v>112</v>
      </c>
      <c r="H341" s="3">
        <v>5.0</v>
      </c>
      <c r="I341" s="3" t="s">
        <v>1601</v>
      </c>
      <c r="J341" s="3" t="s">
        <v>22</v>
      </c>
      <c r="K341" s="3" t="s">
        <v>58</v>
      </c>
      <c r="L341" s="3" t="s">
        <v>80</v>
      </c>
      <c r="M341" s="3" t="s">
        <v>81</v>
      </c>
      <c r="N341" s="3" t="s">
        <v>82</v>
      </c>
      <c r="O341" s="5">
        <v>744.0422489</v>
      </c>
      <c r="P341" s="6" t="str">
        <f t="shared" si="2"/>
        <v>Textiles &amp; Apparels</v>
      </c>
    </row>
    <row r="342" hidden="1">
      <c r="A342" s="3" t="s">
        <v>1605</v>
      </c>
      <c r="B342" s="4">
        <v>503229.0</v>
      </c>
      <c r="C342" s="3" t="s">
        <v>1606</v>
      </c>
      <c r="D342" s="3" t="s">
        <v>1607</v>
      </c>
      <c r="E342" s="3" t="s">
        <v>1608</v>
      </c>
      <c r="F342" s="3" t="s">
        <v>19</v>
      </c>
      <c r="G342" s="3" t="s">
        <v>44</v>
      </c>
      <c r="H342" s="3">
        <v>10.0</v>
      </c>
      <c r="I342" s="3" t="s">
        <v>1605</v>
      </c>
      <c r="J342" s="3" t="s">
        <v>22</v>
      </c>
      <c r="K342" s="3" t="s">
        <v>58</v>
      </c>
      <c r="L342" s="3" t="s">
        <v>59</v>
      </c>
      <c r="M342" s="3" t="s">
        <v>59</v>
      </c>
      <c r="N342" s="3" t="s">
        <v>60</v>
      </c>
      <c r="O342" s="5">
        <v>46.5423038</v>
      </c>
      <c r="P342" s="6" t="str">
        <f t="shared" si="2"/>
        <v>Residential, Commercial Projects</v>
      </c>
    </row>
    <row r="343">
      <c r="A343" s="3" t="s">
        <v>1609</v>
      </c>
      <c r="B343" s="4">
        <v>532777.0</v>
      </c>
      <c r="C343" s="3" t="s">
        <v>1610</v>
      </c>
      <c r="D343" s="3" t="s">
        <v>1611</v>
      </c>
      <c r="E343" s="3" t="s">
        <v>1612</v>
      </c>
      <c r="F343" s="3" t="s">
        <v>19</v>
      </c>
      <c r="G343" s="3" t="s">
        <v>20</v>
      </c>
      <c r="H343" s="3">
        <v>10.0</v>
      </c>
      <c r="I343" s="3" t="s">
        <v>1613</v>
      </c>
      <c r="J343" s="3" t="s">
        <v>22</v>
      </c>
      <c r="K343" s="3" t="s">
        <v>58</v>
      </c>
      <c r="L343" s="3" t="s">
        <v>73</v>
      </c>
      <c r="M343" s="3" t="s">
        <v>988</v>
      </c>
      <c r="N343" s="3" t="s">
        <v>1614</v>
      </c>
      <c r="O343" s="5">
        <v>85781.195305</v>
      </c>
      <c r="P343" s="6" t="str">
        <f t="shared" si="2"/>
        <v>Retailing</v>
      </c>
    </row>
    <row r="344" hidden="1">
      <c r="A344" s="3" t="s">
        <v>1615</v>
      </c>
      <c r="B344" s="4">
        <v>503349.0</v>
      </c>
      <c r="C344" s="3" t="s">
        <v>1616</v>
      </c>
      <c r="D344" s="3" t="s">
        <v>1617</v>
      </c>
      <c r="E344" s="3" t="s">
        <v>1618</v>
      </c>
      <c r="F344" s="3" t="s">
        <v>19</v>
      </c>
      <c r="G344" s="3" t="s">
        <v>44</v>
      </c>
      <c r="H344" s="3">
        <v>100.0</v>
      </c>
      <c r="I344" s="3" t="s">
        <v>1615</v>
      </c>
      <c r="J344" s="3" t="s">
        <v>22</v>
      </c>
      <c r="K344" s="3" t="s">
        <v>58</v>
      </c>
      <c r="L344" s="3" t="s">
        <v>59</v>
      </c>
      <c r="M344" s="3" t="s">
        <v>59</v>
      </c>
      <c r="N344" s="3" t="s">
        <v>60</v>
      </c>
      <c r="O344" s="5">
        <v>56.1792</v>
      </c>
      <c r="P344" s="6" t="str">
        <f t="shared" si="2"/>
        <v>Residential, Commercial Projects</v>
      </c>
    </row>
    <row r="345" hidden="1">
      <c r="A345" s="3" t="s">
        <v>1619</v>
      </c>
      <c r="B345" s="4">
        <v>503622.0</v>
      </c>
      <c r="C345" s="3" t="s">
        <v>1620</v>
      </c>
      <c r="D345" s="3" t="s">
        <v>1621</v>
      </c>
      <c r="E345" s="3" t="s">
        <v>1622</v>
      </c>
      <c r="F345" s="3" t="s">
        <v>19</v>
      </c>
      <c r="G345" s="3" t="s">
        <v>72</v>
      </c>
      <c r="H345" s="3">
        <v>10.0</v>
      </c>
      <c r="I345" s="3" t="s">
        <v>1619</v>
      </c>
      <c r="J345" s="3" t="s">
        <v>22</v>
      </c>
      <c r="K345" s="3" t="s">
        <v>204</v>
      </c>
      <c r="L345" s="3" t="s">
        <v>204</v>
      </c>
      <c r="M345" s="3" t="s">
        <v>378</v>
      </c>
      <c r="N345" s="3" t="s">
        <v>468</v>
      </c>
      <c r="O345" s="5">
        <v>1.0</v>
      </c>
      <c r="P345" s="6" t="str">
        <f t="shared" si="2"/>
        <v>Finance</v>
      </c>
    </row>
    <row r="346" hidden="1">
      <c r="A346" s="3" t="s">
        <v>1623</v>
      </c>
      <c r="B346" s="4">
        <v>503624.0</v>
      </c>
      <c r="C346" s="3" t="s">
        <v>1624</v>
      </c>
      <c r="D346" s="3" t="s">
        <v>1625</v>
      </c>
      <c r="E346" s="3" t="s">
        <v>1626</v>
      </c>
      <c r="F346" s="3" t="s">
        <v>19</v>
      </c>
      <c r="G346" s="3" t="s">
        <v>72</v>
      </c>
      <c r="H346" s="3">
        <v>10.0</v>
      </c>
      <c r="I346" s="3" t="s">
        <v>1623</v>
      </c>
      <c r="J346" s="3" t="s">
        <v>22</v>
      </c>
      <c r="K346" s="3" t="s">
        <v>204</v>
      </c>
      <c r="L346" s="3" t="s">
        <v>204</v>
      </c>
      <c r="M346" s="3" t="s">
        <v>378</v>
      </c>
      <c r="N346" s="3" t="s">
        <v>468</v>
      </c>
      <c r="O346" s="5">
        <v>15.7840932</v>
      </c>
      <c r="P346" s="6" t="str">
        <f t="shared" si="2"/>
        <v>Finance</v>
      </c>
    </row>
    <row r="347" hidden="1">
      <c r="A347" s="3" t="s">
        <v>1627</v>
      </c>
      <c r="B347" s="4">
        <v>503626.0</v>
      </c>
      <c r="C347" s="3" t="s">
        <v>1628</v>
      </c>
      <c r="D347" s="3" t="s">
        <v>1629</v>
      </c>
      <c r="E347" s="3" t="s">
        <v>1628</v>
      </c>
      <c r="F347" s="3" t="s">
        <v>19</v>
      </c>
      <c r="G347" s="3" t="s">
        <v>44</v>
      </c>
      <c r="H347" s="3">
        <v>10.0</v>
      </c>
      <c r="I347" s="3" t="s">
        <v>1627</v>
      </c>
      <c r="J347" s="3" t="s">
        <v>22</v>
      </c>
      <c r="K347" s="3" t="s">
        <v>204</v>
      </c>
      <c r="L347" s="3" t="s">
        <v>204</v>
      </c>
      <c r="M347" s="3" t="s">
        <v>378</v>
      </c>
      <c r="N347" s="3" t="s">
        <v>468</v>
      </c>
      <c r="O347" s="5">
        <v>1.0</v>
      </c>
      <c r="P347" s="6" t="str">
        <f t="shared" si="2"/>
        <v>Finance</v>
      </c>
    </row>
    <row r="348" hidden="1">
      <c r="A348" s="3" t="s">
        <v>1630</v>
      </c>
      <c r="B348" s="4">
        <v>503635.0</v>
      </c>
      <c r="C348" s="3" t="s">
        <v>1631</v>
      </c>
      <c r="D348" s="3" t="s">
        <v>1632</v>
      </c>
      <c r="E348" s="3" t="s">
        <v>1633</v>
      </c>
      <c r="F348" s="3" t="s">
        <v>19</v>
      </c>
      <c r="G348" s="3" t="s">
        <v>72</v>
      </c>
      <c r="H348" s="3">
        <v>10.0</v>
      </c>
      <c r="I348" s="3" t="s">
        <v>1630</v>
      </c>
      <c r="J348" s="3" t="s">
        <v>22</v>
      </c>
      <c r="K348" s="3" t="s">
        <v>204</v>
      </c>
      <c r="L348" s="3" t="s">
        <v>204</v>
      </c>
      <c r="M348" s="3" t="s">
        <v>378</v>
      </c>
      <c r="N348" s="3" t="s">
        <v>468</v>
      </c>
      <c r="O348" s="5">
        <v>1.0</v>
      </c>
      <c r="P348" s="6" t="str">
        <f t="shared" si="2"/>
        <v>Finance</v>
      </c>
    </row>
    <row r="349">
      <c r="A349" s="3" t="s">
        <v>1634</v>
      </c>
      <c r="B349" s="4">
        <v>532784.0</v>
      </c>
      <c r="C349" s="3" t="s">
        <v>1635</v>
      </c>
      <c r="D349" s="3" t="s">
        <v>1636</v>
      </c>
      <c r="E349" s="3" t="s">
        <v>1635</v>
      </c>
      <c r="F349" s="3" t="s">
        <v>19</v>
      </c>
      <c r="G349" s="3" t="s">
        <v>20</v>
      </c>
      <c r="H349" s="3">
        <v>10.0</v>
      </c>
      <c r="I349" s="3" t="s">
        <v>1637</v>
      </c>
      <c r="J349" s="3" t="s">
        <v>22</v>
      </c>
      <c r="K349" s="3" t="s">
        <v>58</v>
      </c>
      <c r="L349" s="3" t="s">
        <v>59</v>
      </c>
      <c r="M349" s="3" t="s">
        <v>59</v>
      </c>
      <c r="N349" s="3" t="s">
        <v>60</v>
      </c>
      <c r="O349" s="5">
        <v>21519.1600266</v>
      </c>
      <c r="P349" s="6" t="str">
        <f t="shared" si="2"/>
        <v>Residential, Commercial Projects</v>
      </c>
    </row>
    <row r="350">
      <c r="A350" s="3" t="s">
        <v>1638</v>
      </c>
      <c r="B350" s="4">
        <v>532798.0</v>
      </c>
      <c r="C350" s="3" t="s">
        <v>1639</v>
      </c>
      <c r="D350" s="3" t="s">
        <v>1640</v>
      </c>
      <c r="E350" s="3" t="s">
        <v>1641</v>
      </c>
      <c r="F350" s="3" t="s">
        <v>19</v>
      </c>
      <c r="G350" s="3" t="s">
        <v>20</v>
      </c>
      <c r="H350" s="3">
        <v>5.0</v>
      </c>
      <c r="I350" s="3" t="s">
        <v>1642</v>
      </c>
      <c r="J350" s="3" t="s">
        <v>22</v>
      </c>
      <c r="K350" s="3" t="s">
        <v>58</v>
      </c>
      <c r="L350" s="3" t="s">
        <v>182</v>
      </c>
      <c r="M350" s="3" t="s">
        <v>1168</v>
      </c>
      <c r="N350" s="3" t="s">
        <v>1336</v>
      </c>
      <c r="O350" s="5">
        <v>8940.7050051</v>
      </c>
      <c r="P350" s="6" t="str">
        <f t="shared" si="2"/>
        <v>Entertainment</v>
      </c>
    </row>
    <row r="351" hidden="1">
      <c r="A351" s="3" t="s">
        <v>1643</v>
      </c>
      <c r="B351" s="4">
        <v>503657.0</v>
      </c>
      <c r="C351" s="3" t="s">
        <v>1644</v>
      </c>
      <c r="D351" s="3" t="s">
        <v>1645</v>
      </c>
      <c r="E351" s="3" t="s">
        <v>1646</v>
      </c>
      <c r="F351" s="3" t="s">
        <v>19</v>
      </c>
      <c r="G351" s="3" t="s">
        <v>44</v>
      </c>
      <c r="H351" s="3">
        <v>10.0</v>
      </c>
      <c r="I351" s="3" t="s">
        <v>1643</v>
      </c>
      <c r="J351" s="3" t="s">
        <v>22</v>
      </c>
      <c r="K351" s="3" t="s">
        <v>1647</v>
      </c>
      <c r="L351" s="3" t="s">
        <v>1648</v>
      </c>
      <c r="M351" s="3" t="s">
        <v>1648</v>
      </c>
      <c r="N351" s="3" t="s">
        <v>1649</v>
      </c>
      <c r="O351" s="5">
        <v>31.2247229</v>
      </c>
      <c r="P351" s="6" t="str">
        <f t="shared" si="2"/>
        <v>Power</v>
      </c>
    </row>
    <row r="352">
      <c r="A352" s="3" t="s">
        <v>1650</v>
      </c>
      <c r="B352" s="4">
        <v>532800.0</v>
      </c>
      <c r="C352" s="3" t="s">
        <v>1651</v>
      </c>
      <c r="D352" s="3" t="s">
        <v>1652</v>
      </c>
      <c r="E352" s="3" t="s">
        <v>1653</v>
      </c>
      <c r="F352" s="3" t="s">
        <v>19</v>
      </c>
      <c r="G352" s="3" t="s">
        <v>20</v>
      </c>
      <c r="H352" s="3">
        <v>2.0</v>
      </c>
      <c r="I352" s="3" t="s">
        <v>1654</v>
      </c>
      <c r="J352" s="3" t="s">
        <v>22</v>
      </c>
      <c r="K352" s="3" t="s">
        <v>58</v>
      </c>
      <c r="L352" s="3" t="s">
        <v>182</v>
      </c>
      <c r="M352" s="3" t="s">
        <v>1168</v>
      </c>
      <c r="N352" s="3" t="s">
        <v>1169</v>
      </c>
      <c r="O352" s="5">
        <v>7739.6991284</v>
      </c>
      <c r="P352" s="6" t="str">
        <f t="shared" si="2"/>
        <v>Entertainment</v>
      </c>
    </row>
    <row r="353" hidden="1">
      <c r="A353" s="3" t="s">
        <v>1655</v>
      </c>
      <c r="B353" s="4">
        <v>503663.0</v>
      </c>
      <c r="C353" s="3" t="s">
        <v>1656</v>
      </c>
      <c r="D353" s="3" t="s">
        <v>1657</v>
      </c>
      <c r="E353" s="3" t="s">
        <v>1658</v>
      </c>
      <c r="F353" s="3" t="s">
        <v>19</v>
      </c>
      <c r="G353" s="3" t="s">
        <v>44</v>
      </c>
      <c r="H353" s="3">
        <v>1.0</v>
      </c>
      <c r="I353" s="3" t="s">
        <v>1655</v>
      </c>
      <c r="J353" s="3" t="s">
        <v>22</v>
      </c>
      <c r="K353" s="3" t="s">
        <v>204</v>
      </c>
      <c r="L353" s="3" t="s">
        <v>204</v>
      </c>
      <c r="M353" s="3" t="s">
        <v>378</v>
      </c>
      <c r="N353" s="3" t="s">
        <v>384</v>
      </c>
      <c r="O353" s="5">
        <v>120.6564012</v>
      </c>
      <c r="P353" s="6" t="str">
        <f t="shared" si="2"/>
        <v>Finance</v>
      </c>
    </row>
    <row r="354">
      <c r="A354" s="3" t="s">
        <v>1659</v>
      </c>
      <c r="B354" s="4">
        <v>532827.0</v>
      </c>
      <c r="C354" s="3" t="s">
        <v>1660</v>
      </c>
      <c r="D354" s="3" t="s">
        <v>1661</v>
      </c>
      <c r="E354" s="3" t="s">
        <v>1662</v>
      </c>
      <c r="F354" s="3" t="s">
        <v>19</v>
      </c>
      <c r="G354" s="3" t="s">
        <v>20</v>
      </c>
      <c r="H354" s="3">
        <v>10.0</v>
      </c>
      <c r="I354" s="3" t="s">
        <v>1663</v>
      </c>
      <c r="J354" s="3" t="s">
        <v>22</v>
      </c>
      <c r="K354" s="3" t="s">
        <v>58</v>
      </c>
      <c r="L354" s="3" t="s">
        <v>80</v>
      </c>
      <c r="M354" s="3" t="s">
        <v>81</v>
      </c>
      <c r="N354" s="3" t="s">
        <v>944</v>
      </c>
      <c r="O354" s="5">
        <v>43642.6154076</v>
      </c>
      <c r="P354" s="6" t="str">
        <f t="shared" si="2"/>
        <v>Textiles &amp; Apparels</v>
      </c>
    </row>
    <row r="355" hidden="1">
      <c r="A355" s="3" t="s">
        <v>1664</v>
      </c>
      <c r="B355" s="4">
        <v>503671.0</v>
      </c>
      <c r="C355" s="3" t="s">
        <v>1665</v>
      </c>
      <c r="D355" s="3" t="s">
        <v>1666</v>
      </c>
      <c r="E355" s="3" t="s">
        <v>1667</v>
      </c>
      <c r="F355" s="3" t="s">
        <v>19</v>
      </c>
      <c r="G355" s="3" t="s">
        <v>72</v>
      </c>
      <c r="H355" s="3">
        <v>10.0</v>
      </c>
      <c r="I355" s="3" t="s">
        <v>1664</v>
      </c>
      <c r="J355" s="3" t="s">
        <v>22</v>
      </c>
      <c r="K355" s="3" t="s">
        <v>204</v>
      </c>
      <c r="L355" s="3" t="s">
        <v>204</v>
      </c>
      <c r="M355" s="3" t="s">
        <v>378</v>
      </c>
      <c r="N355" s="3" t="s">
        <v>468</v>
      </c>
      <c r="O355" s="5">
        <v>1.0</v>
      </c>
      <c r="P355" s="6" t="str">
        <f t="shared" si="2"/>
        <v>Finance</v>
      </c>
    </row>
    <row r="356" hidden="1">
      <c r="A356" s="3" t="s">
        <v>1668</v>
      </c>
      <c r="B356" s="4">
        <v>539658.0</v>
      </c>
      <c r="C356" s="3" t="s">
        <v>1669</v>
      </c>
      <c r="D356" s="3" t="s">
        <v>1670</v>
      </c>
      <c r="E356" s="3" t="s">
        <v>1671</v>
      </c>
      <c r="F356" s="3" t="s">
        <v>19</v>
      </c>
      <c r="G356" s="3" t="s">
        <v>20</v>
      </c>
      <c r="H356" s="3">
        <v>10.0</v>
      </c>
      <c r="I356" s="3" t="s">
        <v>1672</v>
      </c>
      <c r="J356" s="3" t="s">
        <v>22</v>
      </c>
      <c r="K356" s="3" t="s">
        <v>1673</v>
      </c>
      <c r="L356" s="3" t="s">
        <v>1673</v>
      </c>
      <c r="M356" s="3" t="s">
        <v>1674</v>
      </c>
      <c r="N356" s="3" t="s">
        <v>1675</v>
      </c>
      <c r="O356" s="5">
        <v>4893.7936786</v>
      </c>
      <c r="P356" s="6" t="str">
        <f t="shared" si="2"/>
        <v>Commercial Services &amp; Supplies</v>
      </c>
    </row>
    <row r="357" hidden="1">
      <c r="A357" s="3" t="s">
        <v>1676</v>
      </c>
      <c r="B357" s="4">
        <v>503681.0</v>
      </c>
      <c r="C357" s="3" t="s">
        <v>1677</v>
      </c>
      <c r="D357" s="3" t="s">
        <v>1678</v>
      </c>
      <c r="E357" s="3" t="s">
        <v>1679</v>
      </c>
      <c r="F357" s="3" t="s">
        <v>19</v>
      </c>
      <c r="G357" s="3" t="s">
        <v>72</v>
      </c>
      <c r="H357" s="3">
        <v>10.0</v>
      </c>
      <c r="I357" s="3" t="s">
        <v>1676</v>
      </c>
      <c r="J357" s="3" t="s">
        <v>22</v>
      </c>
      <c r="K357" s="3" t="s">
        <v>204</v>
      </c>
      <c r="L357" s="3" t="s">
        <v>204</v>
      </c>
      <c r="M357" s="3" t="s">
        <v>378</v>
      </c>
      <c r="N357" s="3" t="s">
        <v>384</v>
      </c>
      <c r="O357" s="5">
        <v>1.0</v>
      </c>
      <c r="P357" s="6" t="str">
        <f t="shared" si="2"/>
        <v>Finance</v>
      </c>
    </row>
    <row r="358" hidden="1">
      <c r="A358" s="3" t="s">
        <v>1680</v>
      </c>
      <c r="B358" s="4">
        <v>503685.0</v>
      </c>
      <c r="C358" s="3" t="s">
        <v>1681</v>
      </c>
      <c r="D358" s="3" t="s">
        <v>1682</v>
      </c>
      <c r="E358" s="3" t="s">
        <v>1683</v>
      </c>
      <c r="F358" s="3" t="s">
        <v>19</v>
      </c>
      <c r="G358" s="3" t="s">
        <v>44</v>
      </c>
      <c r="H358" s="3">
        <v>10.0</v>
      </c>
      <c r="I358" s="3" t="s">
        <v>1680</v>
      </c>
      <c r="J358" s="3" t="s">
        <v>22</v>
      </c>
      <c r="K358" s="3" t="s">
        <v>58</v>
      </c>
      <c r="L358" s="3" t="s">
        <v>182</v>
      </c>
      <c r="M358" s="3" t="s">
        <v>1168</v>
      </c>
      <c r="N358" s="3" t="s">
        <v>1568</v>
      </c>
      <c r="O358" s="5">
        <v>62.9820964</v>
      </c>
      <c r="P358" s="6" t="str">
        <f t="shared" si="2"/>
        <v>Entertainment</v>
      </c>
    </row>
    <row r="359" hidden="1">
      <c r="A359" s="3" t="s">
        <v>1684</v>
      </c>
      <c r="B359" s="4">
        <v>540212.0</v>
      </c>
      <c r="C359" s="3" t="s">
        <v>1685</v>
      </c>
      <c r="D359" s="3" t="s">
        <v>1686</v>
      </c>
      <c r="E359" s="3" t="s">
        <v>1687</v>
      </c>
      <c r="F359" s="3" t="s">
        <v>19</v>
      </c>
      <c r="G359" s="3" t="s">
        <v>20</v>
      </c>
      <c r="H359" s="3">
        <v>2.0</v>
      </c>
      <c r="I359" s="3" t="s">
        <v>1688</v>
      </c>
      <c r="J359" s="3" t="s">
        <v>22</v>
      </c>
      <c r="K359" s="3" t="s">
        <v>1673</v>
      </c>
      <c r="L359" s="3" t="s">
        <v>1673</v>
      </c>
      <c r="M359" s="3" t="s">
        <v>1689</v>
      </c>
      <c r="N359" s="3" t="s">
        <v>1690</v>
      </c>
      <c r="O359" s="5">
        <v>4696.8430329</v>
      </c>
      <c r="P359" s="6" t="str">
        <f t="shared" si="2"/>
        <v>Transport Services</v>
      </c>
    </row>
    <row r="360" hidden="1">
      <c r="A360" s="3" t="s">
        <v>1691</v>
      </c>
      <c r="B360" s="4">
        <v>500285.0</v>
      </c>
      <c r="C360" s="3" t="s">
        <v>1692</v>
      </c>
      <c r="D360" s="3" t="s">
        <v>1693</v>
      </c>
      <c r="E360" s="3" t="s">
        <v>1694</v>
      </c>
      <c r="F360" s="3" t="s">
        <v>19</v>
      </c>
      <c r="G360" s="3" t="s">
        <v>112</v>
      </c>
      <c r="H360" s="3">
        <v>10.0</v>
      </c>
      <c r="I360" s="3" t="s">
        <v>752</v>
      </c>
      <c r="J360" s="3" t="s">
        <v>22</v>
      </c>
      <c r="K360" s="3" t="s">
        <v>1673</v>
      </c>
      <c r="L360" s="3" t="s">
        <v>1673</v>
      </c>
      <c r="M360" s="3" t="s">
        <v>1689</v>
      </c>
      <c r="N360" s="3" t="s">
        <v>1695</v>
      </c>
      <c r="O360" s="5">
        <v>4128.852475</v>
      </c>
      <c r="P360" s="6" t="str">
        <f t="shared" si="2"/>
        <v>Transport Services</v>
      </c>
    </row>
    <row r="361" hidden="1">
      <c r="A361" s="3" t="s">
        <v>1696</v>
      </c>
      <c r="B361" s="4">
        <v>503722.0</v>
      </c>
      <c r="C361" s="3" t="s">
        <v>1697</v>
      </c>
      <c r="D361" s="3" t="s">
        <v>1698</v>
      </c>
      <c r="E361" s="3" t="s">
        <v>1699</v>
      </c>
      <c r="F361" s="3" t="s">
        <v>19</v>
      </c>
      <c r="G361" s="3" t="s">
        <v>112</v>
      </c>
      <c r="H361" s="3">
        <v>5.0</v>
      </c>
      <c r="I361" s="3" t="s">
        <v>1696</v>
      </c>
      <c r="J361" s="3" t="s">
        <v>22</v>
      </c>
      <c r="K361" s="3" t="s">
        <v>58</v>
      </c>
      <c r="L361" s="3" t="s">
        <v>80</v>
      </c>
      <c r="M361" s="3" t="s">
        <v>81</v>
      </c>
      <c r="N361" s="3" t="s">
        <v>82</v>
      </c>
      <c r="O361" s="5">
        <v>526.0984751</v>
      </c>
      <c r="P361" s="6" t="str">
        <f t="shared" si="2"/>
        <v>Textiles &amp; Apparels</v>
      </c>
    </row>
    <row r="362" hidden="1">
      <c r="A362" s="3" t="s">
        <v>1700</v>
      </c>
      <c r="B362" s="4">
        <v>532859.0</v>
      </c>
      <c r="C362" s="3" t="s">
        <v>1701</v>
      </c>
      <c r="D362" s="3" t="s">
        <v>1702</v>
      </c>
      <c r="E362" s="3" t="s">
        <v>1703</v>
      </c>
      <c r="F362" s="3" t="s">
        <v>19</v>
      </c>
      <c r="G362" s="3" t="s">
        <v>20</v>
      </c>
      <c r="H362" s="3">
        <v>10.0</v>
      </c>
      <c r="I362" s="3" t="s">
        <v>1704</v>
      </c>
      <c r="J362" s="3" t="s">
        <v>22</v>
      </c>
      <c r="K362" s="3" t="s">
        <v>1673</v>
      </c>
      <c r="L362" s="3" t="s">
        <v>1673</v>
      </c>
      <c r="M362" s="3" t="s">
        <v>1674</v>
      </c>
      <c r="N362" s="3" t="s">
        <v>1705</v>
      </c>
      <c r="O362" s="5">
        <v>3921.1722952</v>
      </c>
      <c r="P362" s="6" t="str">
        <f t="shared" si="2"/>
        <v>Commercial Services &amp; Supplies</v>
      </c>
    </row>
    <row r="363" hidden="1">
      <c r="A363" s="3" t="s">
        <v>1706</v>
      </c>
      <c r="B363" s="4">
        <v>503776.0</v>
      </c>
      <c r="C363" s="3" t="s">
        <v>1707</v>
      </c>
      <c r="D363" s="3" t="s">
        <v>1708</v>
      </c>
      <c r="E363" s="3" t="s">
        <v>1709</v>
      </c>
      <c r="F363" s="3" t="s">
        <v>19</v>
      </c>
      <c r="G363" s="3" t="s">
        <v>44</v>
      </c>
      <c r="H363" s="3">
        <v>10.0</v>
      </c>
      <c r="I363" s="3" t="s">
        <v>1706</v>
      </c>
      <c r="J363" s="3" t="s">
        <v>22</v>
      </c>
      <c r="K363" s="3" t="s">
        <v>58</v>
      </c>
      <c r="L363" s="3" t="s">
        <v>59</v>
      </c>
      <c r="M363" s="3" t="s">
        <v>59</v>
      </c>
      <c r="N363" s="3" t="s">
        <v>60</v>
      </c>
      <c r="O363" s="5">
        <v>48.3982311</v>
      </c>
      <c r="P363" s="6" t="str">
        <f t="shared" si="2"/>
        <v>Residential, Commercial Projects</v>
      </c>
    </row>
    <row r="364" hidden="1">
      <c r="A364" s="3" t="s">
        <v>1710</v>
      </c>
      <c r="B364" s="4">
        <v>503804.0</v>
      </c>
      <c r="C364" s="3" t="s">
        <v>1711</v>
      </c>
      <c r="D364" s="3" t="s">
        <v>1712</v>
      </c>
      <c r="E364" s="3" t="s">
        <v>1713</v>
      </c>
      <c r="F364" s="3" t="s">
        <v>19</v>
      </c>
      <c r="G364" s="3" t="s">
        <v>44</v>
      </c>
      <c r="H364" s="3">
        <v>10.0</v>
      </c>
      <c r="I364" s="3" t="s">
        <v>1710</v>
      </c>
      <c r="J364" s="3" t="s">
        <v>22</v>
      </c>
      <c r="K364" s="3" t="s">
        <v>58</v>
      </c>
      <c r="L364" s="3" t="s">
        <v>80</v>
      </c>
      <c r="M364" s="3" t="s">
        <v>81</v>
      </c>
      <c r="N364" s="3" t="s">
        <v>82</v>
      </c>
      <c r="O364" s="5">
        <v>289.405864</v>
      </c>
      <c r="P364" s="6" t="str">
        <f t="shared" si="2"/>
        <v>Textiles &amp; Apparels</v>
      </c>
    </row>
    <row r="365">
      <c r="A365" s="3" t="s">
        <v>337</v>
      </c>
      <c r="B365" s="4">
        <v>532832.0</v>
      </c>
      <c r="C365" s="3" t="s">
        <v>1714</v>
      </c>
      <c r="D365" s="3" t="s">
        <v>1715</v>
      </c>
      <c r="E365" s="3" t="s">
        <v>1716</v>
      </c>
      <c r="F365" s="3" t="s">
        <v>19</v>
      </c>
      <c r="G365" s="3" t="s">
        <v>20</v>
      </c>
      <c r="H365" s="3">
        <v>2.0</v>
      </c>
      <c r="I365" s="3" t="s">
        <v>1717</v>
      </c>
      <c r="J365" s="3" t="s">
        <v>22</v>
      </c>
      <c r="K365" s="3" t="s">
        <v>58</v>
      </c>
      <c r="L365" s="3" t="s">
        <v>59</v>
      </c>
      <c r="M365" s="3" t="s">
        <v>59</v>
      </c>
      <c r="N365" s="3" t="s">
        <v>60</v>
      </c>
      <c r="O365" s="5">
        <v>9488.3048687</v>
      </c>
      <c r="P365" s="6" t="str">
        <f t="shared" si="2"/>
        <v>Residential, Commercial Projects</v>
      </c>
    </row>
    <row r="366" hidden="1">
      <c r="A366" s="3" t="s">
        <v>1718</v>
      </c>
      <c r="B366" s="4">
        <v>503811.0</v>
      </c>
      <c r="C366" s="3" t="s">
        <v>1719</v>
      </c>
      <c r="D366" s="3" t="s">
        <v>1720</v>
      </c>
      <c r="E366" s="3" t="s">
        <v>1721</v>
      </c>
      <c r="F366" s="3" t="s">
        <v>19</v>
      </c>
      <c r="G366" s="3" t="s">
        <v>112</v>
      </c>
      <c r="H366" s="3">
        <v>2.0</v>
      </c>
      <c r="I366" s="3" t="s">
        <v>1718</v>
      </c>
      <c r="J366" s="3" t="s">
        <v>22</v>
      </c>
      <c r="K366" s="3" t="s">
        <v>58</v>
      </c>
      <c r="L366" s="3" t="s">
        <v>80</v>
      </c>
      <c r="M366" s="3" t="s">
        <v>81</v>
      </c>
      <c r="N366" s="3" t="s">
        <v>82</v>
      </c>
      <c r="O366" s="5">
        <v>2281.5747975</v>
      </c>
      <c r="P366" s="6" t="str">
        <f t="shared" si="2"/>
        <v>Textiles &amp; Apparels</v>
      </c>
    </row>
    <row r="367" hidden="1">
      <c r="A367" s="3" t="s">
        <v>1722</v>
      </c>
      <c r="B367" s="4">
        <v>503816.0</v>
      </c>
      <c r="C367" s="3" t="s">
        <v>1723</v>
      </c>
      <c r="D367" s="3" t="s">
        <v>1724</v>
      </c>
      <c r="E367" s="3" t="s">
        <v>1725</v>
      </c>
      <c r="F367" s="3" t="s">
        <v>19</v>
      </c>
      <c r="G367" s="3" t="s">
        <v>72</v>
      </c>
      <c r="H367" s="3">
        <v>1.0</v>
      </c>
      <c r="I367" s="3" t="s">
        <v>1722</v>
      </c>
      <c r="J367" s="3" t="s">
        <v>22</v>
      </c>
      <c r="K367" s="3" t="s">
        <v>58</v>
      </c>
      <c r="L367" s="3" t="s">
        <v>80</v>
      </c>
      <c r="M367" s="3" t="s">
        <v>81</v>
      </c>
      <c r="N367" s="3" t="s">
        <v>82</v>
      </c>
      <c r="O367" s="5">
        <v>551.9688562</v>
      </c>
      <c r="P367" s="6" t="str">
        <f t="shared" si="2"/>
        <v>Textiles &amp; Apparels</v>
      </c>
    </row>
    <row r="368" hidden="1">
      <c r="A368" s="3" t="s">
        <v>1726</v>
      </c>
      <c r="B368" s="4">
        <v>503837.0</v>
      </c>
      <c r="C368" s="3" t="s">
        <v>1727</v>
      </c>
      <c r="D368" s="3" t="s">
        <v>1728</v>
      </c>
      <c r="E368" s="3" t="s">
        <v>1729</v>
      </c>
      <c r="F368" s="3" t="s">
        <v>19</v>
      </c>
      <c r="G368" s="3" t="s">
        <v>72</v>
      </c>
      <c r="H368" s="3">
        <v>10.0</v>
      </c>
      <c r="I368" s="3" t="s">
        <v>1726</v>
      </c>
      <c r="J368" s="3" t="s">
        <v>22</v>
      </c>
      <c r="K368" s="3" t="s">
        <v>58</v>
      </c>
      <c r="L368" s="3" t="s">
        <v>80</v>
      </c>
      <c r="M368" s="3" t="s">
        <v>81</v>
      </c>
      <c r="N368" s="3" t="s">
        <v>82</v>
      </c>
      <c r="O368" s="5">
        <v>27.4997336</v>
      </c>
      <c r="P368" s="6" t="str">
        <f t="shared" si="2"/>
        <v>Textiles &amp; Apparels</v>
      </c>
    </row>
    <row r="369" hidden="1">
      <c r="A369" s="3" t="s">
        <v>1730</v>
      </c>
      <c r="B369" s="4">
        <v>503893.0</v>
      </c>
      <c r="C369" s="3" t="s">
        <v>1731</v>
      </c>
      <c r="D369" s="3" t="s">
        <v>1732</v>
      </c>
      <c r="E369" s="3" t="s">
        <v>1733</v>
      </c>
      <c r="F369" s="3" t="s">
        <v>19</v>
      </c>
      <c r="G369" s="3" t="s">
        <v>72</v>
      </c>
      <c r="H369" s="3">
        <v>10.0</v>
      </c>
      <c r="I369" s="3" t="s">
        <v>1730</v>
      </c>
      <c r="J369" s="3" t="s">
        <v>22</v>
      </c>
      <c r="K369" s="3" t="s">
        <v>204</v>
      </c>
      <c r="L369" s="3" t="s">
        <v>204</v>
      </c>
      <c r="M369" s="3" t="s">
        <v>378</v>
      </c>
      <c r="N369" s="3" t="s">
        <v>468</v>
      </c>
      <c r="O369" s="5">
        <v>1.0</v>
      </c>
      <c r="P369" s="6" t="str">
        <f t="shared" si="2"/>
        <v>Finance</v>
      </c>
    </row>
    <row r="370">
      <c r="A370" s="3" t="s">
        <v>1734</v>
      </c>
      <c r="B370" s="4">
        <v>532868.0</v>
      </c>
      <c r="C370" s="3" t="s">
        <v>1735</v>
      </c>
      <c r="D370" s="3" t="s">
        <v>1736</v>
      </c>
      <c r="E370" s="3" t="s">
        <v>1737</v>
      </c>
      <c r="F370" s="3" t="s">
        <v>19</v>
      </c>
      <c r="G370" s="3" t="s">
        <v>20</v>
      </c>
      <c r="H370" s="3">
        <v>2.0</v>
      </c>
      <c r="I370" s="3" t="s">
        <v>1738</v>
      </c>
      <c r="J370" s="3" t="s">
        <v>22</v>
      </c>
      <c r="K370" s="3" t="s">
        <v>58</v>
      </c>
      <c r="L370" s="3" t="s">
        <v>59</v>
      </c>
      <c r="M370" s="3" t="s">
        <v>59</v>
      </c>
      <c r="N370" s="3" t="s">
        <v>60</v>
      </c>
      <c r="O370" s="5">
        <v>206142.5333957</v>
      </c>
      <c r="P370" s="6" t="str">
        <f t="shared" si="2"/>
        <v>Residential, Commercial Projects</v>
      </c>
    </row>
    <row r="371" hidden="1">
      <c r="A371" s="3" t="s">
        <v>1739</v>
      </c>
      <c r="B371" s="4">
        <v>504000.0</v>
      </c>
      <c r="C371" s="3" t="s">
        <v>1740</v>
      </c>
      <c r="D371" s="3" t="s">
        <v>1741</v>
      </c>
      <c r="E371" s="3" t="s">
        <v>1742</v>
      </c>
      <c r="F371" s="3" t="s">
        <v>19</v>
      </c>
      <c r="G371" s="3" t="s">
        <v>112</v>
      </c>
      <c r="H371" s="3">
        <v>1.0</v>
      </c>
      <c r="I371" s="3" t="s">
        <v>1739</v>
      </c>
      <c r="J371" s="3" t="s">
        <v>22</v>
      </c>
      <c r="K371" s="3" t="s">
        <v>58</v>
      </c>
      <c r="L371" s="3" t="s">
        <v>59</v>
      </c>
      <c r="M371" s="3" t="s">
        <v>59</v>
      </c>
      <c r="N371" s="3" t="s">
        <v>60</v>
      </c>
      <c r="O371" s="5">
        <v>1809.1697052</v>
      </c>
      <c r="P371" s="6" t="str">
        <f t="shared" si="2"/>
        <v>Residential, Commercial Projects</v>
      </c>
    </row>
    <row r="372" hidden="1">
      <c r="A372" s="3" t="s">
        <v>1743</v>
      </c>
      <c r="B372" s="4">
        <v>504028.0</v>
      </c>
      <c r="C372" s="3" t="s">
        <v>1744</v>
      </c>
      <c r="D372" s="3" t="s">
        <v>1745</v>
      </c>
      <c r="E372" s="3" t="s">
        <v>1746</v>
      </c>
      <c r="F372" s="3" t="s">
        <v>19</v>
      </c>
      <c r="G372" s="3" t="s">
        <v>57</v>
      </c>
      <c r="H372" s="3">
        <v>2.0</v>
      </c>
      <c r="I372" s="3" t="s">
        <v>1743</v>
      </c>
      <c r="J372" s="3" t="s">
        <v>22</v>
      </c>
      <c r="K372" s="3" t="s">
        <v>97</v>
      </c>
      <c r="L372" s="3" t="s">
        <v>98</v>
      </c>
      <c r="M372" s="3" t="s">
        <v>1747</v>
      </c>
      <c r="N372" s="3" t="s">
        <v>1748</v>
      </c>
      <c r="O372" s="5">
        <v>334.649721</v>
      </c>
      <c r="P372" s="6" t="str">
        <f t="shared" si="2"/>
        <v>Electrical Equipment</v>
      </c>
    </row>
    <row r="373" hidden="1">
      <c r="A373" s="3" t="s">
        <v>1749</v>
      </c>
      <c r="B373" s="4">
        <v>504036.0</v>
      </c>
      <c r="C373" s="3" t="s">
        <v>1750</v>
      </c>
      <c r="D373" s="3" t="s">
        <v>1751</v>
      </c>
      <c r="E373" s="3" t="s">
        <v>1752</v>
      </c>
      <c r="F373" s="3" t="s">
        <v>19</v>
      </c>
      <c r="G373" s="3" t="s">
        <v>112</v>
      </c>
      <c r="H373" s="3">
        <v>2.0</v>
      </c>
      <c r="I373" s="3" t="s">
        <v>1749</v>
      </c>
      <c r="J373" s="3" t="s">
        <v>22</v>
      </c>
      <c r="K373" s="3" t="s">
        <v>97</v>
      </c>
      <c r="L373" s="3" t="s">
        <v>98</v>
      </c>
      <c r="M373" s="3" t="s">
        <v>99</v>
      </c>
      <c r="N373" s="3" t="s">
        <v>100</v>
      </c>
      <c r="O373" s="5">
        <v>1165.8341375</v>
      </c>
      <c r="P373" s="6" t="str">
        <f t="shared" si="2"/>
        <v>Industrial Products</v>
      </c>
    </row>
    <row r="374" hidden="1">
      <c r="A374" s="3" t="s">
        <v>1753</v>
      </c>
      <c r="B374" s="4">
        <v>504058.0</v>
      </c>
      <c r="C374" s="3" t="s">
        <v>1754</v>
      </c>
      <c r="D374" s="3" t="s">
        <v>1755</v>
      </c>
      <c r="E374" s="3" t="s">
        <v>1756</v>
      </c>
      <c r="F374" s="3" t="s">
        <v>19</v>
      </c>
      <c r="G374" s="3" t="s">
        <v>112</v>
      </c>
      <c r="H374" s="3">
        <v>5.0</v>
      </c>
      <c r="I374" s="3" t="s">
        <v>1753</v>
      </c>
      <c r="J374" s="3" t="s">
        <v>22</v>
      </c>
      <c r="K374" s="3" t="s">
        <v>145</v>
      </c>
      <c r="L374" s="3" t="s">
        <v>145</v>
      </c>
      <c r="M374" s="3" t="s">
        <v>1757</v>
      </c>
      <c r="N374" s="3" t="s">
        <v>1757</v>
      </c>
      <c r="O374" s="5">
        <v>449.0110125</v>
      </c>
      <c r="P374" s="6" t="str">
        <f t="shared" si="2"/>
        <v>Household Products</v>
      </c>
    </row>
    <row r="375">
      <c r="A375" s="3" t="s">
        <v>1758</v>
      </c>
      <c r="B375" s="4">
        <v>532889.0</v>
      </c>
      <c r="C375" s="3" t="s">
        <v>1759</v>
      </c>
      <c r="D375" s="3" t="s">
        <v>1760</v>
      </c>
      <c r="E375" s="3" t="s">
        <v>1761</v>
      </c>
      <c r="F375" s="3" t="s">
        <v>19</v>
      </c>
      <c r="G375" s="3" t="s">
        <v>20</v>
      </c>
      <c r="H375" s="3">
        <v>1.0</v>
      </c>
      <c r="I375" s="3" t="s">
        <v>1762</v>
      </c>
      <c r="J375" s="3" t="s">
        <v>22</v>
      </c>
      <c r="K375" s="3" t="s">
        <v>58</v>
      </c>
      <c r="L375" s="3" t="s">
        <v>80</v>
      </c>
      <c r="M375" s="3" t="s">
        <v>81</v>
      </c>
      <c r="N375" s="3" t="s">
        <v>82</v>
      </c>
      <c r="O375" s="5">
        <v>29361.441285</v>
      </c>
      <c r="P375" s="6" t="str">
        <f t="shared" si="2"/>
        <v>Textiles &amp; Apparels</v>
      </c>
    </row>
    <row r="376" hidden="1">
      <c r="A376" s="3" t="s">
        <v>1763</v>
      </c>
      <c r="B376" s="4">
        <v>504076.0</v>
      </c>
      <c r="C376" s="3" t="s">
        <v>1764</v>
      </c>
      <c r="D376" s="3" t="s">
        <v>1765</v>
      </c>
      <c r="E376" s="3" t="s">
        <v>1766</v>
      </c>
      <c r="F376" s="3" t="s">
        <v>19</v>
      </c>
      <c r="G376" s="3" t="s">
        <v>72</v>
      </c>
      <c r="H376" s="3">
        <v>10.0</v>
      </c>
      <c r="I376" s="3" t="s">
        <v>1763</v>
      </c>
      <c r="J376" s="3" t="s">
        <v>22</v>
      </c>
      <c r="K376" s="3" t="s">
        <v>97</v>
      </c>
      <c r="L376" s="3" t="s">
        <v>98</v>
      </c>
      <c r="M376" s="3" t="s">
        <v>1747</v>
      </c>
      <c r="N376" s="3" t="s">
        <v>1767</v>
      </c>
      <c r="O376" s="5">
        <v>213.3753428</v>
      </c>
      <c r="P376" s="6" t="str">
        <f t="shared" si="2"/>
        <v>Heavy Electrical Equipment</v>
      </c>
    </row>
    <row r="377" hidden="1">
      <c r="A377" s="3" t="s">
        <v>1768</v>
      </c>
      <c r="B377" s="4">
        <v>504080.0</v>
      </c>
      <c r="C377" s="3" t="s">
        <v>1769</v>
      </c>
      <c r="D377" s="3" t="s">
        <v>1770</v>
      </c>
      <c r="E377" s="3" t="s">
        <v>1771</v>
      </c>
      <c r="F377" s="3" t="s">
        <v>19</v>
      </c>
      <c r="G377" s="3" t="s">
        <v>72</v>
      </c>
      <c r="H377" s="3">
        <v>10.0</v>
      </c>
      <c r="I377" s="3" t="s">
        <v>1768</v>
      </c>
      <c r="J377" s="3" t="s">
        <v>22</v>
      </c>
      <c r="K377" s="3" t="s">
        <v>97</v>
      </c>
      <c r="L377" s="3" t="s">
        <v>98</v>
      </c>
      <c r="M377" s="3" t="s">
        <v>1747</v>
      </c>
      <c r="N377" s="3" t="s">
        <v>1748</v>
      </c>
      <c r="O377" s="5">
        <v>267.4285857</v>
      </c>
      <c r="P377" s="6" t="str">
        <f t="shared" si="2"/>
        <v>Electrical Equipment</v>
      </c>
    </row>
    <row r="378" hidden="1">
      <c r="A378" s="3" t="s">
        <v>1772</v>
      </c>
      <c r="B378" s="4">
        <v>504084.0</v>
      </c>
      <c r="C378" s="3" t="s">
        <v>1773</v>
      </c>
      <c r="D378" s="3" t="s">
        <v>1774</v>
      </c>
      <c r="E378" s="3" t="s">
        <v>1775</v>
      </c>
      <c r="F378" s="3" t="s">
        <v>19</v>
      </c>
      <c r="G378" s="3" t="s">
        <v>72</v>
      </c>
      <c r="H378" s="3">
        <v>100.0</v>
      </c>
      <c r="I378" s="3" t="s">
        <v>1772</v>
      </c>
      <c r="J378" s="3" t="s">
        <v>22</v>
      </c>
      <c r="K378" s="3" t="s">
        <v>97</v>
      </c>
      <c r="L378" s="3" t="s">
        <v>98</v>
      </c>
      <c r="M378" s="3" t="s">
        <v>1747</v>
      </c>
      <c r="N378" s="3" t="s">
        <v>1748</v>
      </c>
      <c r="O378" s="5">
        <v>408.3588786</v>
      </c>
      <c r="P378" s="6" t="str">
        <f t="shared" si="2"/>
        <v>Electrical Equipment</v>
      </c>
    </row>
    <row r="379" hidden="1">
      <c r="A379" s="3" t="s">
        <v>1776</v>
      </c>
      <c r="B379" s="4">
        <v>504092.0</v>
      </c>
      <c r="C379" s="3" t="s">
        <v>1777</v>
      </c>
      <c r="D379" s="3" t="s">
        <v>1778</v>
      </c>
      <c r="E379" s="3" t="s">
        <v>1779</v>
      </c>
      <c r="F379" s="3" t="s">
        <v>19</v>
      </c>
      <c r="G379" s="3" t="s">
        <v>44</v>
      </c>
      <c r="H379" s="3">
        <v>10.0</v>
      </c>
      <c r="I379" s="3" t="s">
        <v>1776</v>
      </c>
      <c r="J379" s="3" t="s">
        <v>22</v>
      </c>
      <c r="K379" s="3" t="s">
        <v>23</v>
      </c>
      <c r="L379" s="3" t="s">
        <v>24</v>
      </c>
      <c r="M379" s="3" t="s">
        <v>25</v>
      </c>
      <c r="N379" s="3" t="s">
        <v>26</v>
      </c>
      <c r="O379" s="5">
        <v>1.0</v>
      </c>
      <c r="P379" s="6" t="str">
        <f t="shared" si="2"/>
        <v>Specialty Chemicals</v>
      </c>
    </row>
    <row r="380" hidden="1">
      <c r="A380" s="3" t="s">
        <v>1780</v>
      </c>
      <c r="B380" s="4">
        <v>504093.0</v>
      </c>
      <c r="C380" s="3" t="s">
        <v>1781</v>
      </c>
      <c r="D380" s="3" t="s">
        <v>1782</v>
      </c>
      <c r="E380" s="3" t="s">
        <v>1783</v>
      </c>
      <c r="F380" s="3" t="s">
        <v>19</v>
      </c>
      <c r="G380" s="3" t="s">
        <v>72</v>
      </c>
      <c r="H380" s="3">
        <v>10.0</v>
      </c>
      <c r="I380" s="3" t="s">
        <v>1780</v>
      </c>
      <c r="J380" s="3" t="s">
        <v>22</v>
      </c>
      <c r="K380" s="3" t="s">
        <v>145</v>
      </c>
      <c r="L380" s="3" t="s">
        <v>145</v>
      </c>
      <c r="M380" s="3" t="s">
        <v>1757</v>
      </c>
      <c r="N380" s="3" t="s">
        <v>1757</v>
      </c>
      <c r="O380" s="5">
        <v>388.7911796</v>
      </c>
      <c r="P380" s="6" t="str">
        <f t="shared" si="2"/>
        <v>Household Products</v>
      </c>
    </row>
    <row r="381" hidden="1">
      <c r="A381" s="3" t="s">
        <v>1784</v>
      </c>
      <c r="B381" s="4">
        <v>504112.0</v>
      </c>
      <c r="C381" s="3" t="s">
        <v>1785</v>
      </c>
      <c r="D381" s="3" t="s">
        <v>1786</v>
      </c>
      <c r="E381" s="3" t="s">
        <v>1787</v>
      </c>
      <c r="F381" s="3" t="s">
        <v>19</v>
      </c>
      <c r="G381" s="3" t="s">
        <v>112</v>
      </c>
      <c r="H381" s="3">
        <v>10.0</v>
      </c>
      <c r="I381" s="3" t="s">
        <v>1784</v>
      </c>
      <c r="J381" s="3" t="s">
        <v>22</v>
      </c>
      <c r="K381" s="3" t="s">
        <v>473</v>
      </c>
      <c r="L381" s="3" t="s">
        <v>473</v>
      </c>
      <c r="M381" s="3" t="s">
        <v>474</v>
      </c>
      <c r="N381" s="3" t="s">
        <v>475</v>
      </c>
      <c r="O381" s="5">
        <v>1781.9023957</v>
      </c>
      <c r="P381" s="6" t="str">
        <f t="shared" si="2"/>
        <v>IT - Hardware</v>
      </c>
    </row>
    <row r="382" hidden="1">
      <c r="A382" s="3" t="s">
        <v>1788</v>
      </c>
      <c r="B382" s="4">
        <v>504132.0</v>
      </c>
      <c r="C382" s="3" t="s">
        <v>1789</v>
      </c>
      <c r="D382" s="3" t="s">
        <v>1790</v>
      </c>
      <c r="E382" s="3" t="s">
        <v>1791</v>
      </c>
      <c r="F382" s="3" t="s">
        <v>19</v>
      </c>
      <c r="G382" s="3" t="s">
        <v>112</v>
      </c>
      <c r="H382" s="3">
        <v>10.0</v>
      </c>
      <c r="I382" s="3" t="s">
        <v>1788</v>
      </c>
      <c r="J382" s="3" t="s">
        <v>22</v>
      </c>
      <c r="K382" s="3" t="s">
        <v>97</v>
      </c>
      <c r="L382" s="3" t="s">
        <v>98</v>
      </c>
      <c r="M382" s="3" t="s">
        <v>1747</v>
      </c>
      <c r="N382" s="3" t="s">
        <v>1748</v>
      </c>
      <c r="O382" s="5">
        <v>965.7508027</v>
      </c>
      <c r="P382" s="6" t="str">
        <f t="shared" si="2"/>
        <v>Electrical Equipment</v>
      </c>
    </row>
    <row r="383" hidden="1">
      <c r="A383" s="3" t="s">
        <v>1792</v>
      </c>
      <c r="B383" s="4">
        <v>504176.0</v>
      </c>
      <c r="C383" s="3" t="s">
        <v>1793</v>
      </c>
      <c r="D383" s="3" t="s">
        <v>1794</v>
      </c>
      <c r="E383" s="3" t="s">
        <v>1795</v>
      </c>
      <c r="F383" s="3" t="s">
        <v>19</v>
      </c>
      <c r="G383" s="3" t="s">
        <v>44</v>
      </c>
      <c r="H383" s="3">
        <v>2.0</v>
      </c>
      <c r="I383" s="3" t="s">
        <v>1792</v>
      </c>
      <c r="J383" s="3" t="s">
        <v>22</v>
      </c>
      <c r="K383" s="3" t="s">
        <v>145</v>
      </c>
      <c r="L383" s="3" t="s">
        <v>145</v>
      </c>
      <c r="M383" s="3" t="s">
        <v>1757</v>
      </c>
      <c r="N383" s="3" t="s">
        <v>1757</v>
      </c>
      <c r="O383" s="5">
        <v>738.5053489</v>
      </c>
      <c r="P383" s="6" t="str">
        <f t="shared" si="2"/>
        <v>Household Products</v>
      </c>
    </row>
    <row r="384" hidden="1">
      <c r="A384" s="3" t="s">
        <v>1796</v>
      </c>
      <c r="B384" s="4">
        <v>504180.0</v>
      </c>
      <c r="C384" s="3" t="s">
        <v>1797</v>
      </c>
      <c r="D384" s="3" t="s">
        <v>1798</v>
      </c>
      <c r="E384" s="3" t="s">
        <v>1799</v>
      </c>
      <c r="F384" s="3" t="s">
        <v>19</v>
      </c>
      <c r="G384" s="3" t="s">
        <v>72</v>
      </c>
      <c r="H384" s="3">
        <v>1.0</v>
      </c>
      <c r="I384" s="3" t="s">
        <v>1796</v>
      </c>
      <c r="J384" s="3" t="s">
        <v>22</v>
      </c>
      <c r="K384" s="3" t="s">
        <v>204</v>
      </c>
      <c r="L384" s="3" t="s">
        <v>204</v>
      </c>
      <c r="M384" s="3" t="s">
        <v>378</v>
      </c>
      <c r="N384" s="3" t="s">
        <v>379</v>
      </c>
      <c r="O384" s="5">
        <v>46.7280096</v>
      </c>
      <c r="P384" s="6" t="str">
        <f t="shared" si="2"/>
        <v>Non Banking Financial Company (NBFC)</v>
      </c>
    </row>
    <row r="385" hidden="1">
      <c r="A385" s="3" t="s">
        <v>1800</v>
      </c>
      <c r="B385" s="4">
        <v>504212.0</v>
      </c>
      <c r="C385" s="3" t="s">
        <v>1801</v>
      </c>
      <c r="D385" s="3" t="s">
        <v>1802</v>
      </c>
      <c r="E385" s="3" t="s">
        <v>1803</v>
      </c>
      <c r="F385" s="3" t="s">
        <v>19</v>
      </c>
      <c r="G385" s="3" t="s">
        <v>112</v>
      </c>
      <c r="H385" s="3">
        <v>10.0</v>
      </c>
      <c r="I385" s="3" t="s">
        <v>1800</v>
      </c>
      <c r="J385" s="3" t="s">
        <v>22</v>
      </c>
      <c r="K385" s="3" t="s">
        <v>97</v>
      </c>
      <c r="L385" s="3" t="s">
        <v>98</v>
      </c>
      <c r="M385" s="3" t="s">
        <v>100</v>
      </c>
      <c r="N385" s="3" t="s">
        <v>1804</v>
      </c>
      <c r="O385" s="5">
        <v>2589.429746</v>
      </c>
      <c r="P385" s="6" t="str">
        <f t="shared" si="2"/>
        <v>Industrial Products</v>
      </c>
    </row>
    <row r="386" hidden="1">
      <c r="A386" s="3" t="s">
        <v>1805</v>
      </c>
      <c r="B386" s="4">
        <v>504220.0</v>
      </c>
      <c r="C386" s="3" t="s">
        <v>1806</v>
      </c>
      <c r="D386" s="3" t="s">
        <v>1807</v>
      </c>
      <c r="E386" s="3" t="s">
        <v>1808</v>
      </c>
      <c r="F386" s="3" t="s">
        <v>19</v>
      </c>
      <c r="G386" s="3" t="s">
        <v>112</v>
      </c>
      <c r="H386" s="3">
        <v>10.0</v>
      </c>
      <c r="I386" s="3" t="s">
        <v>1805</v>
      </c>
      <c r="J386" s="3" t="s">
        <v>22</v>
      </c>
      <c r="K386" s="3" t="s">
        <v>97</v>
      </c>
      <c r="L386" s="3" t="s">
        <v>965</v>
      </c>
      <c r="M386" s="3" t="s">
        <v>965</v>
      </c>
      <c r="N386" s="3" t="s">
        <v>966</v>
      </c>
      <c r="O386" s="5">
        <v>749.7921572</v>
      </c>
      <c r="P386" s="6" t="str">
        <f t="shared" si="2"/>
        <v>Civil Construction</v>
      </c>
    </row>
    <row r="387" hidden="1">
      <c r="A387" s="3" t="s">
        <v>1809</v>
      </c>
      <c r="B387" s="4">
        <v>504240.0</v>
      </c>
      <c r="C387" s="3" t="s">
        <v>1810</v>
      </c>
      <c r="D387" s="3" t="s">
        <v>1811</v>
      </c>
      <c r="E387" s="3" t="s">
        <v>1812</v>
      </c>
      <c r="F387" s="3" t="s">
        <v>19</v>
      </c>
      <c r="G387" s="3" t="s">
        <v>72</v>
      </c>
      <c r="H387" s="3">
        <v>10.0</v>
      </c>
      <c r="I387" s="3" t="s">
        <v>1809</v>
      </c>
      <c r="J387" s="3" t="s">
        <v>22</v>
      </c>
      <c r="K387" s="3" t="s">
        <v>97</v>
      </c>
      <c r="L387" s="3" t="s">
        <v>98</v>
      </c>
      <c r="M387" s="3" t="s">
        <v>1747</v>
      </c>
      <c r="N387" s="3" t="s">
        <v>1748</v>
      </c>
      <c r="O387" s="5">
        <v>430.1549322</v>
      </c>
      <c r="P387" s="6" t="str">
        <f t="shared" si="2"/>
        <v>Electrical Equipment</v>
      </c>
    </row>
    <row r="388" hidden="1">
      <c r="A388" s="3" t="s">
        <v>1813</v>
      </c>
      <c r="B388" s="4">
        <v>504258.0</v>
      </c>
      <c r="C388" s="3" t="s">
        <v>1814</v>
      </c>
      <c r="D388" s="3" t="s">
        <v>1815</v>
      </c>
      <c r="E388" s="3" t="s">
        <v>1816</v>
      </c>
      <c r="F388" s="3" t="s">
        <v>19</v>
      </c>
      <c r="G388" s="3" t="s">
        <v>44</v>
      </c>
      <c r="H388" s="3">
        <v>10.0</v>
      </c>
      <c r="I388" s="3" t="s">
        <v>1813</v>
      </c>
      <c r="J388" s="3" t="s">
        <v>22</v>
      </c>
      <c r="K388" s="3" t="s">
        <v>97</v>
      </c>
      <c r="L388" s="3" t="s">
        <v>98</v>
      </c>
      <c r="M388" s="3" t="s">
        <v>1747</v>
      </c>
      <c r="N388" s="3" t="s">
        <v>1748</v>
      </c>
      <c r="O388" s="5">
        <v>1.0</v>
      </c>
      <c r="P388" s="6" t="str">
        <f t="shared" si="2"/>
        <v>Electrical Equipment</v>
      </c>
    </row>
    <row r="389" hidden="1">
      <c r="A389" s="3" t="s">
        <v>1817</v>
      </c>
      <c r="B389" s="4">
        <v>504273.0</v>
      </c>
      <c r="C389" s="3" t="s">
        <v>1818</v>
      </c>
      <c r="D389" s="3" t="s">
        <v>1819</v>
      </c>
      <c r="E389" s="3" t="s">
        <v>1820</v>
      </c>
      <c r="F389" s="3" t="s">
        <v>19</v>
      </c>
      <c r="G389" s="3" t="s">
        <v>57</v>
      </c>
      <c r="H389" s="3">
        <v>10.0</v>
      </c>
      <c r="I389" s="3" t="s">
        <v>1817</v>
      </c>
      <c r="J389" s="3" t="s">
        <v>22</v>
      </c>
      <c r="K389" s="3" t="s">
        <v>97</v>
      </c>
      <c r="L389" s="3" t="s">
        <v>965</v>
      </c>
      <c r="M389" s="3" t="s">
        <v>965</v>
      </c>
      <c r="N389" s="3" t="s">
        <v>966</v>
      </c>
      <c r="O389" s="5">
        <v>73.0936697</v>
      </c>
      <c r="P389" s="6" t="str">
        <f t="shared" si="2"/>
        <v>Civil Construction</v>
      </c>
    </row>
    <row r="390" hidden="1">
      <c r="A390" s="3" t="s">
        <v>1821</v>
      </c>
      <c r="B390" s="4">
        <v>504286.0</v>
      </c>
      <c r="C390" s="3" t="s">
        <v>1822</v>
      </c>
      <c r="D390" s="3" t="s">
        <v>1823</v>
      </c>
      <c r="E390" s="3" t="s">
        <v>1824</v>
      </c>
      <c r="F390" s="3" t="s">
        <v>19</v>
      </c>
      <c r="G390" s="3" t="s">
        <v>112</v>
      </c>
      <c r="H390" s="3">
        <v>10.0</v>
      </c>
      <c r="I390" s="3" t="s">
        <v>1821</v>
      </c>
      <c r="J390" s="3" t="s">
        <v>22</v>
      </c>
      <c r="K390" s="3" t="s">
        <v>97</v>
      </c>
      <c r="L390" s="3" t="s">
        <v>98</v>
      </c>
      <c r="M390" s="3" t="s">
        <v>100</v>
      </c>
      <c r="N390" s="3" t="s">
        <v>1386</v>
      </c>
      <c r="O390" s="5">
        <v>104.5071992</v>
      </c>
      <c r="P390" s="6" t="str">
        <f t="shared" si="2"/>
        <v>Industrial Products</v>
      </c>
    </row>
    <row r="391" hidden="1">
      <c r="A391" s="3" t="s">
        <v>1825</v>
      </c>
      <c r="B391" s="4">
        <v>504340.0</v>
      </c>
      <c r="C391" s="3" t="s">
        <v>1826</v>
      </c>
      <c r="D391" s="3" t="s">
        <v>1827</v>
      </c>
      <c r="E391" s="3" t="s">
        <v>1826</v>
      </c>
      <c r="F391" s="3" t="s">
        <v>19</v>
      </c>
      <c r="G391" s="3" t="s">
        <v>72</v>
      </c>
      <c r="H391" s="3">
        <v>10.0</v>
      </c>
      <c r="I391" s="3" t="s">
        <v>1825</v>
      </c>
      <c r="J391" s="3" t="s">
        <v>22</v>
      </c>
      <c r="K391" s="3" t="s">
        <v>204</v>
      </c>
      <c r="L391" s="3" t="s">
        <v>204</v>
      </c>
      <c r="M391" s="3" t="s">
        <v>378</v>
      </c>
      <c r="N391" s="3" t="s">
        <v>468</v>
      </c>
      <c r="O391" s="5">
        <v>1.0</v>
      </c>
      <c r="P391" s="6" t="str">
        <f t="shared" si="2"/>
        <v>Finance</v>
      </c>
    </row>
    <row r="392" hidden="1">
      <c r="A392" s="3" t="s">
        <v>1828</v>
      </c>
      <c r="B392" s="4">
        <v>504341.0</v>
      </c>
      <c r="C392" s="3" t="s">
        <v>1829</v>
      </c>
      <c r="D392" s="3" t="s">
        <v>1830</v>
      </c>
      <c r="E392" s="3" t="s">
        <v>1831</v>
      </c>
      <c r="F392" s="3" t="s">
        <v>19</v>
      </c>
      <c r="G392" s="3" t="s">
        <v>112</v>
      </c>
      <c r="H392" s="3">
        <v>10.0</v>
      </c>
      <c r="I392" s="3" t="s">
        <v>1828</v>
      </c>
      <c r="J392" s="3" t="s">
        <v>22</v>
      </c>
      <c r="K392" s="3" t="s">
        <v>1647</v>
      </c>
      <c r="L392" s="3" t="s">
        <v>1648</v>
      </c>
      <c r="M392" s="3" t="s">
        <v>1648</v>
      </c>
      <c r="N392" s="3" t="s">
        <v>1649</v>
      </c>
      <c r="O392" s="5">
        <v>991.1663809</v>
      </c>
      <c r="P392" s="6" t="str">
        <f t="shared" si="2"/>
        <v>Power</v>
      </c>
    </row>
    <row r="393" hidden="1">
      <c r="A393" s="3" t="s">
        <v>1832</v>
      </c>
      <c r="B393" s="4">
        <v>504346.0</v>
      </c>
      <c r="C393" s="3" t="s">
        <v>1833</v>
      </c>
      <c r="D393" s="3" t="s">
        <v>1834</v>
      </c>
      <c r="E393" s="3" t="s">
        <v>1835</v>
      </c>
      <c r="F393" s="3" t="s">
        <v>19</v>
      </c>
      <c r="G393" s="3" t="s">
        <v>72</v>
      </c>
      <c r="H393" s="3">
        <v>10.0</v>
      </c>
      <c r="I393" s="3" t="s">
        <v>1832</v>
      </c>
      <c r="J393" s="3" t="s">
        <v>22</v>
      </c>
      <c r="K393" s="3" t="s">
        <v>204</v>
      </c>
      <c r="L393" s="3" t="s">
        <v>204</v>
      </c>
      <c r="M393" s="3" t="s">
        <v>378</v>
      </c>
      <c r="N393" s="3" t="s">
        <v>468</v>
      </c>
      <c r="O393" s="5">
        <v>1.0</v>
      </c>
      <c r="P393" s="6" t="str">
        <f t="shared" si="2"/>
        <v>Finance</v>
      </c>
    </row>
    <row r="394" hidden="1">
      <c r="A394" s="3" t="s">
        <v>1836</v>
      </c>
      <c r="B394" s="4">
        <v>504351.0</v>
      </c>
      <c r="C394" s="3" t="s">
        <v>1837</v>
      </c>
      <c r="D394" s="3" t="s">
        <v>1838</v>
      </c>
      <c r="E394" s="3" t="s">
        <v>1839</v>
      </c>
      <c r="F394" s="3" t="s">
        <v>19</v>
      </c>
      <c r="G394" s="3" t="s">
        <v>72</v>
      </c>
      <c r="H394" s="3">
        <v>1.0</v>
      </c>
      <c r="I394" s="3" t="s">
        <v>1836</v>
      </c>
      <c r="J394" s="3" t="s">
        <v>22</v>
      </c>
      <c r="K394" s="3" t="s">
        <v>473</v>
      </c>
      <c r="L394" s="3" t="s">
        <v>473</v>
      </c>
      <c r="M394" s="3" t="s">
        <v>1391</v>
      </c>
      <c r="N394" s="3" t="s">
        <v>1840</v>
      </c>
      <c r="O394" s="5">
        <v>302.3677743</v>
      </c>
      <c r="P394" s="6" t="str">
        <f t="shared" si="2"/>
        <v>Computers - Software &amp; Consulting</v>
      </c>
    </row>
    <row r="395" hidden="1">
      <c r="A395" s="3" t="s">
        <v>1841</v>
      </c>
      <c r="B395" s="4">
        <v>500307.0</v>
      </c>
      <c r="C395" s="3" t="s">
        <v>1842</v>
      </c>
      <c r="D395" s="3" t="s">
        <v>1843</v>
      </c>
      <c r="E395" s="3" t="s">
        <v>1844</v>
      </c>
      <c r="F395" s="3" t="s">
        <v>19</v>
      </c>
      <c r="G395" s="3" t="s">
        <v>112</v>
      </c>
      <c r="H395" s="3">
        <v>10.0</v>
      </c>
      <c r="I395" s="3" t="s">
        <v>807</v>
      </c>
      <c r="J395" s="3" t="s">
        <v>22</v>
      </c>
      <c r="K395" s="3" t="s">
        <v>1673</v>
      </c>
      <c r="L395" s="3" t="s">
        <v>1673</v>
      </c>
      <c r="M395" s="3" t="s">
        <v>1674</v>
      </c>
      <c r="N395" s="3" t="s">
        <v>1675</v>
      </c>
      <c r="O395" s="5">
        <v>3905.908192</v>
      </c>
      <c r="P395" s="6" t="str">
        <f t="shared" si="2"/>
        <v>Commercial Services &amp; Supplies</v>
      </c>
    </row>
    <row r="396" hidden="1">
      <c r="A396" s="3" t="s">
        <v>1845</v>
      </c>
      <c r="B396" s="4">
        <v>504365.0</v>
      </c>
      <c r="C396" s="3" t="s">
        <v>1846</v>
      </c>
      <c r="D396" s="3" t="s">
        <v>1847</v>
      </c>
      <c r="E396" s="3" t="s">
        <v>1848</v>
      </c>
      <c r="F396" s="3" t="s">
        <v>19</v>
      </c>
      <c r="G396" s="3" t="s">
        <v>72</v>
      </c>
      <c r="H396" s="3">
        <v>10.0</v>
      </c>
      <c r="I396" s="3" t="s">
        <v>1845</v>
      </c>
      <c r="J396" s="3" t="s">
        <v>22</v>
      </c>
      <c r="K396" s="3" t="s">
        <v>204</v>
      </c>
      <c r="L396" s="3" t="s">
        <v>204</v>
      </c>
      <c r="M396" s="3" t="s">
        <v>378</v>
      </c>
      <c r="N396" s="3" t="s">
        <v>468</v>
      </c>
      <c r="O396" s="5">
        <v>1.0</v>
      </c>
      <c r="P396" s="6" t="str">
        <f t="shared" si="2"/>
        <v>Finance</v>
      </c>
    </row>
    <row r="397" hidden="1">
      <c r="A397" s="3" t="s">
        <v>1849</v>
      </c>
      <c r="B397" s="4">
        <v>540768.0</v>
      </c>
      <c r="C397" s="3" t="s">
        <v>1850</v>
      </c>
      <c r="D397" s="3" t="s">
        <v>1851</v>
      </c>
      <c r="E397" s="3" t="s">
        <v>1852</v>
      </c>
      <c r="F397" s="3" t="s">
        <v>19</v>
      </c>
      <c r="G397" s="3" t="s">
        <v>20</v>
      </c>
      <c r="H397" s="3">
        <v>10.0</v>
      </c>
      <c r="I397" s="3" t="s">
        <v>1853</v>
      </c>
      <c r="J397" s="3" t="s">
        <v>22</v>
      </c>
      <c r="K397" s="3" t="s">
        <v>1673</v>
      </c>
      <c r="L397" s="3" t="s">
        <v>1673</v>
      </c>
      <c r="M397" s="3" t="s">
        <v>1689</v>
      </c>
      <c r="N397" s="3" t="s">
        <v>1690</v>
      </c>
      <c r="O397" s="5">
        <v>3785.8159054</v>
      </c>
      <c r="P397" s="6" t="str">
        <f t="shared" si="2"/>
        <v>Transport Services</v>
      </c>
    </row>
    <row r="398" hidden="1">
      <c r="A398" s="3" t="s">
        <v>1854</v>
      </c>
      <c r="B398" s="4">
        <v>504375.0</v>
      </c>
      <c r="C398" s="3" t="s">
        <v>1855</v>
      </c>
      <c r="D398" s="3" t="s">
        <v>1856</v>
      </c>
      <c r="E398" s="3" t="s">
        <v>1857</v>
      </c>
      <c r="F398" s="3" t="s">
        <v>19</v>
      </c>
      <c r="G398" s="3" t="s">
        <v>1858</v>
      </c>
      <c r="H398" s="3">
        <v>10.0</v>
      </c>
      <c r="I398" s="3" t="s">
        <v>1854</v>
      </c>
      <c r="J398" s="3" t="s">
        <v>22</v>
      </c>
      <c r="K398" s="3" t="s">
        <v>473</v>
      </c>
      <c r="L398" s="3" t="s">
        <v>473</v>
      </c>
      <c r="M398" s="3" t="s">
        <v>1391</v>
      </c>
      <c r="N398" s="3" t="s">
        <v>1840</v>
      </c>
      <c r="O398" s="5">
        <v>1.27575</v>
      </c>
      <c r="P398" s="6" t="str">
        <f t="shared" si="2"/>
        <v>Computers - Software &amp; Consulting</v>
      </c>
    </row>
    <row r="399" hidden="1">
      <c r="A399" s="3" t="s">
        <v>1859</v>
      </c>
      <c r="B399" s="4">
        <v>544181.0</v>
      </c>
      <c r="C399" s="3" t="s">
        <v>1860</v>
      </c>
      <c r="D399" s="3" t="s">
        <v>1861</v>
      </c>
      <c r="E399" s="3" t="s">
        <v>1862</v>
      </c>
      <c r="F399" s="3" t="s">
        <v>19</v>
      </c>
      <c r="G399" s="3" t="s">
        <v>112</v>
      </c>
      <c r="H399" s="3">
        <v>10.0</v>
      </c>
      <c r="I399" s="3" t="s">
        <v>1863</v>
      </c>
      <c r="J399" s="3" t="s">
        <v>22</v>
      </c>
      <c r="K399" s="3" t="s">
        <v>1673</v>
      </c>
      <c r="L399" s="3" t="s">
        <v>1673</v>
      </c>
      <c r="M399" s="3" t="s">
        <v>1674</v>
      </c>
      <c r="N399" s="3" t="s">
        <v>1675</v>
      </c>
      <c r="O399" s="5">
        <v>3593.1262044</v>
      </c>
      <c r="P399" s="6" t="str">
        <f t="shared" si="2"/>
        <v>Commercial Services &amp; Supplies</v>
      </c>
    </row>
    <row r="400" hidden="1">
      <c r="A400" s="3" t="s">
        <v>1864</v>
      </c>
      <c r="B400" s="4">
        <v>523618.0</v>
      </c>
      <c r="C400" s="3" t="s">
        <v>1865</v>
      </c>
      <c r="D400" s="3" t="s">
        <v>1866</v>
      </c>
      <c r="E400" s="3" t="s">
        <v>1867</v>
      </c>
      <c r="F400" s="3" t="s">
        <v>19</v>
      </c>
      <c r="G400" s="3" t="s">
        <v>112</v>
      </c>
      <c r="H400" s="3">
        <v>10.0</v>
      </c>
      <c r="I400" s="3" t="s">
        <v>1868</v>
      </c>
      <c r="J400" s="3" t="s">
        <v>22</v>
      </c>
      <c r="K400" s="3" t="s">
        <v>1673</v>
      </c>
      <c r="L400" s="3" t="s">
        <v>1673</v>
      </c>
      <c r="M400" s="3" t="s">
        <v>1869</v>
      </c>
      <c r="N400" s="3" t="s">
        <v>1870</v>
      </c>
      <c r="O400" s="5">
        <v>3393.2084833</v>
      </c>
      <c r="P400" s="6" t="str">
        <f t="shared" si="2"/>
        <v>Engineering Services</v>
      </c>
    </row>
    <row r="401" hidden="1">
      <c r="A401" s="3" t="s">
        <v>1871</v>
      </c>
      <c r="B401" s="4">
        <v>504392.0</v>
      </c>
      <c r="C401" s="3" t="s">
        <v>1872</v>
      </c>
      <c r="D401" s="3" t="s">
        <v>1873</v>
      </c>
      <c r="E401" s="3" t="s">
        <v>1872</v>
      </c>
      <c r="F401" s="3" t="s">
        <v>19</v>
      </c>
      <c r="G401" s="3" t="s">
        <v>44</v>
      </c>
      <c r="H401" s="3">
        <v>10.0</v>
      </c>
      <c r="I401" s="3" t="s">
        <v>1871</v>
      </c>
      <c r="J401" s="3" t="s">
        <v>22</v>
      </c>
      <c r="K401" s="3" t="s">
        <v>58</v>
      </c>
      <c r="L401" s="3" t="s">
        <v>59</v>
      </c>
      <c r="M401" s="3" t="s">
        <v>59</v>
      </c>
      <c r="N401" s="3" t="s">
        <v>60</v>
      </c>
      <c r="O401" s="5">
        <v>105.6018352</v>
      </c>
      <c r="P401" s="6" t="str">
        <f t="shared" si="2"/>
        <v>Residential, Commercial Projects</v>
      </c>
    </row>
    <row r="402" hidden="1">
      <c r="A402" s="3" t="s">
        <v>1874</v>
      </c>
      <c r="B402" s="4">
        <v>532430.0</v>
      </c>
      <c r="C402" s="3" t="s">
        <v>1875</v>
      </c>
      <c r="D402" s="3" t="s">
        <v>1876</v>
      </c>
      <c r="E402" s="3" t="s">
        <v>1877</v>
      </c>
      <c r="F402" s="3" t="s">
        <v>19</v>
      </c>
      <c r="G402" s="3" t="s">
        <v>112</v>
      </c>
      <c r="H402" s="3">
        <v>5.0</v>
      </c>
      <c r="I402" s="3" t="s">
        <v>1878</v>
      </c>
      <c r="J402" s="3" t="s">
        <v>22</v>
      </c>
      <c r="K402" s="3" t="s">
        <v>1673</v>
      </c>
      <c r="L402" s="3" t="s">
        <v>1673</v>
      </c>
      <c r="M402" s="3" t="s">
        <v>1879</v>
      </c>
      <c r="N402" s="3" t="s">
        <v>1880</v>
      </c>
      <c r="O402" s="5">
        <v>3286.2521895</v>
      </c>
      <c r="P402" s="6" t="str">
        <f t="shared" si="2"/>
        <v>Transport Infrastructure</v>
      </c>
    </row>
    <row r="403" hidden="1">
      <c r="A403" s="3" t="s">
        <v>1881</v>
      </c>
      <c r="B403" s="4">
        <v>504605.0</v>
      </c>
      <c r="C403" s="3" t="s">
        <v>1882</v>
      </c>
      <c r="D403" s="3" t="s">
        <v>1883</v>
      </c>
      <c r="E403" s="3" t="s">
        <v>1884</v>
      </c>
      <c r="F403" s="3" t="s">
        <v>19</v>
      </c>
      <c r="G403" s="3" t="s">
        <v>44</v>
      </c>
      <c r="H403" s="3">
        <v>10.0</v>
      </c>
      <c r="I403" s="3" t="s">
        <v>1881</v>
      </c>
      <c r="J403" s="3" t="s">
        <v>22</v>
      </c>
      <c r="K403" s="3" t="s">
        <v>97</v>
      </c>
      <c r="L403" s="3" t="s">
        <v>98</v>
      </c>
      <c r="M403" s="3" t="s">
        <v>100</v>
      </c>
      <c r="N403" s="3" t="s">
        <v>612</v>
      </c>
      <c r="O403" s="5">
        <v>512.8475417</v>
      </c>
      <c r="P403" s="6" t="str">
        <f t="shared" si="2"/>
        <v>Industrial Products</v>
      </c>
    </row>
    <row r="404">
      <c r="A404" s="3" t="s">
        <v>342</v>
      </c>
      <c r="B404" s="4">
        <v>532891.0</v>
      </c>
      <c r="C404" s="3" t="s">
        <v>1885</v>
      </c>
      <c r="D404" s="3" t="s">
        <v>1886</v>
      </c>
      <c r="E404" s="3" t="s">
        <v>1887</v>
      </c>
      <c r="F404" s="3" t="s">
        <v>19</v>
      </c>
      <c r="G404" s="3" t="s">
        <v>86</v>
      </c>
      <c r="H404" s="3">
        <v>5.0</v>
      </c>
      <c r="I404" s="3" t="s">
        <v>1888</v>
      </c>
      <c r="J404" s="3" t="s">
        <v>22</v>
      </c>
      <c r="K404" s="3" t="s">
        <v>58</v>
      </c>
      <c r="L404" s="3" t="s">
        <v>59</v>
      </c>
      <c r="M404" s="3" t="s">
        <v>59</v>
      </c>
      <c r="N404" s="3" t="s">
        <v>60</v>
      </c>
      <c r="O404" s="5">
        <v>12535.59075</v>
      </c>
      <c r="P404" s="6" t="str">
        <f t="shared" si="2"/>
        <v>Residential, Commercial Projects</v>
      </c>
    </row>
    <row r="405" hidden="1">
      <c r="A405" s="3" t="s">
        <v>1889</v>
      </c>
      <c r="B405" s="4">
        <v>504646.0</v>
      </c>
      <c r="C405" s="3" t="s">
        <v>1890</v>
      </c>
      <c r="D405" s="3" t="s">
        <v>1891</v>
      </c>
      <c r="E405" s="3" t="s">
        <v>1892</v>
      </c>
      <c r="F405" s="3" t="s">
        <v>19</v>
      </c>
      <c r="G405" s="3" t="s">
        <v>44</v>
      </c>
      <c r="H405" s="3">
        <v>10.0</v>
      </c>
      <c r="I405" s="3" t="s">
        <v>1889</v>
      </c>
      <c r="J405" s="3" t="s">
        <v>22</v>
      </c>
      <c r="K405" s="3" t="s">
        <v>58</v>
      </c>
      <c r="L405" s="3" t="s">
        <v>133</v>
      </c>
      <c r="M405" s="3" t="s">
        <v>134</v>
      </c>
      <c r="N405" s="3" t="s">
        <v>135</v>
      </c>
      <c r="O405" s="5">
        <v>142.153985</v>
      </c>
      <c r="P405" s="6" t="str">
        <f t="shared" si="2"/>
        <v>Auto Components &amp; Equipments</v>
      </c>
    </row>
    <row r="406" hidden="1">
      <c r="A406" s="3" t="s">
        <v>1893</v>
      </c>
      <c r="B406" s="4">
        <v>504648.0</v>
      </c>
      <c r="C406" s="3" t="s">
        <v>1894</v>
      </c>
      <c r="D406" s="3" t="s">
        <v>1895</v>
      </c>
      <c r="E406" s="3" t="s">
        <v>1896</v>
      </c>
      <c r="F406" s="3" t="s">
        <v>19</v>
      </c>
      <c r="G406" s="3" t="s">
        <v>72</v>
      </c>
      <c r="H406" s="3">
        <v>1.0</v>
      </c>
      <c r="I406" s="3" t="s">
        <v>1893</v>
      </c>
      <c r="J406" s="3" t="s">
        <v>22</v>
      </c>
      <c r="K406" s="3" t="s">
        <v>97</v>
      </c>
      <c r="L406" s="3" t="s">
        <v>98</v>
      </c>
      <c r="M406" s="3" t="s">
        <v>100</v>
      </c>
      <c r="N406" s="3" t="s">
        <v>612</v>
      </c>
      <c r="O406" s="5">
        <v>38.4140389</v>
      </c>
      <c r="P406" s="6" t="str">
        <f t="shared" si="2"/>
        <v>Industrial Products</v>
      </c>
    </row>
    <row r="407" hidden="1">
      <c r="A407" s="3" t="s">
        <v>1897</v>
      </c>
      <c r="B407" s="4">
        <v>504731.0</v>
      </c>
      <c r="C407" s="3" t="s">
        <v>1898</v>
      </c>
      <c r="D407" s="3" t="s">
        <v>1899</v>
      </c>
      <c r="E407" s="3" t="s">
        <v>1900</v>
      </c>
      <c r="F407" s="3" t="s">
        <v>19</v>
      </c>
      <c r="G407" s="3" t="s">
        <v>72</v>
      </c>
      <c r="H407" s="3">
        <v>10.0</v>
      </c>
      <c r="I407" s="3" t="s">
        <v>1897</v>
      </c>
      <c r="J407" s="3" t="s">
        <v>22</v>
      </c>
      <c r="K407" s="3" t="s">
        <v>97</v>
      </c>
      <c r="L407" s="3" t="s">
        <v>98</v>
      </c>
      <c r="M407" s="3" t="s">
        <v>100</v>
      </c>
      <c r="N407" s="3" t="s">
        <v>612</v>
      </c>
      <c r="O407" s="5">
        <v>497.8481936</v>
      </c>
      <c r="P407" s="6" t="str">
        <f t="shared" si="2"/>
        <v>Industrial Products</v>
      </c>
    </row>
    <row r="408" hidden="1">
      <c r="A408" s="3" t="s">
        <v>1901</v>
      </c>
      <c r="B408" s="4">
        <v>504741.0</v>
      </c>
      <c r="C408" s="3" t="s">
        <v>1902</v>
      </c>
      <c r="D408" s="3" t="s">
        <v>1903</v>
      </c>
      <c r="E408" s="3" t="s">
        <v>1904</v>
      </c>
      <c r="F408" s="3" t="s">
        <v>19</v>
      </c>
      <c r="G408" s="3" t="s">
        <v>112</v>
      </c>
      <c r="H408" s="3">
        <v>2.0</v>
      </c>
      <c r="I408" s="3" t="s">
        <v>1901</v>
      </c>
      <c r="J408" s="3" t="s">
        <v>22</v>
      </c>
      <c r="K408" s="3" t="s">
        <v>97</v>
      </c>
      <c r="L408" s="3" t="s">
        <v>98</v>
      </c>
      <c r="M408" s="3" t="s">
        <v>99</v>
      </c>
      <c r="N408" s="3" t="s">
        <v>100</v>
      </c>
      <c r="O408" s="5">
        <v>2065.4899623</v>
      </c>
      <c r="P408" s="6" t="str">
        <f t="shared" si="2"/>
        <v>Industrial Products</v>
      </c>
    </row>
    <row r="409" hidden="1">
      <c r="A409" s="3" t="s">
        <v>1905</v>
      </c>
      <c r="B409" s="4">
        <v>504786.0</v>
      </c>
      <c r="C409" s="3" t="s">
        <v>1906</v>
      </c>
      <c r="D409" s="3" t="s">
        <v>1907</v>
      </c>
      <c r="E409" s="3" t="s">
        <v>1908</v>
      </c>
      <c r="F409" s="3" t="s">
        <v>19</v>
      </c>
      <c r="G409" s="3" t="s">
        <v>44</v>
      </c>
      <c r="H409" s="3">
        <v>10.0</v>
      </c>
      <c r="I409" s="3" t="s">
        <v>1905</v>
      </c>
      <c r="J409" s="3" t="s">
        <v>22</v>
      </c>
      <c r="K409" s="3" t="s">
        <v>97</v>
      </c>
      <c r="L409" s="3" t="s">
        <v>98</v>
      </c>
      <c r="M409" s="3" t="s">
        <v>100</v>
      </c>
      <c r="N409" s="3" t="s">
        <v>1909</v>
      </c>
      <c r="O409" s="5">
        <v>287.174783</v>
      </c>
      <c r="P409" s="6" t="str">
        <f t="shared" si="2"/>
        <v>Industrial Products</v>
      </c>
    </row>
    <row r="410" hidden="1">
      <c r="A410" s="3" t="s">
        <v>1910</v>
      </c>
      <c r="B410" s="4">
        <v>512229.0</v>
      </c>
      <c r="C410" s="3" t="s">
        <v>1911</v>
      </c>
      <c r="D410" s="3" t="s">
        <v>1912</v>
      </c>
      <c r="E410" s="3" t="s">
        <v>1913</v>
      </c>
      <c r="F410" s="3" t="s">
        <v>19</v>
      </c>
      <c r="G410" s="3" t="s">
        <v>86</v>
      </c>
      <c r="H410" s="3">
        <v>1.0</v>
      </c>
      <c r="I410" s="3" t="s">
        <v>1914</v>
      </c>
      <c r="J410" s="3" t="s">
        <v>22</v>
      </c>
      <c r="K410" s="3" t="s">
        <v>1673</v>
      </c>
      <c r="L410" s="3" t="s">
        <v>1673</v>
      </c>
      <c r="M410" s="3" t="s">
        <v>1674</v>
      </c>
      <c r="N410" s="3" t="s">
        <v>1915</v>
      </c>
      <c r="O410" s="5">
        <v>3244.2735045</v>
      </c>
      <c r="P410" s="6" t="str">
        <f t="shared" si="2"/>
        <v>Commercial Services &amp; Supplies</v>
      </c>
    </row>
    <row r="411" hidden="1">
      <c r="A411" s="3" t="s">
        <v>1916</v>
      </c>
      <c r="B411" s="4">
        <v>504840.0</v>
      </c>
      <c r="C411" s="3" t="s">
        <v>1917</v>
      </c>
      <c r="D411" s="3" t="s">
        <v>1918</v>
      </c>
      <c r="E411" s="3" t="s">
        <v>1919</v>
      </c>
      <c r="F411" s="3" t="s">
        <v>19</v>
      </c>
      <c r="G411" s="3" t="s">
        <v>44</v>
      </c>
      <c r="H411" s="3">
        <v>10.0</v>
      </c>
      <c r="I411" s="3" t="s">
        <v>1916</v>
      </c>
      <c r="J411" s="3" t="s">
        <v>22</v>
      </c>
      <c r="K411" s="3" t="s">
        <v>97</v>
      </c>
      <c r="L411" s="3" t="s">
        <v>98</v>
      </c>
      <c r="M411" s="3" t="s">
        <v>100</v>
      </c>
      <c r="N411" s="3" t="s">
        <v>373</v>
      </c>
      <c r="O411" s="5">
        <v>177.6322595</v>
      </c>
      <c r="P411" s="6" t="str">
        <f t="shared" si="2"/>
        <v>Industrial Products</v>
      </c>
    </row>
    <row r="412" hidden="1">
      <c r="A412" s="3" t="s">
        <v>1920</v>
      </c>
      <c r="B412" s="4">
        <v>504879.0</v>
      </c>
      <c r="C412" s="3" t="s">
        <v>1921</v>
      </c>
      <c r="D412" s="3" t="s">
        <v>1922</v>
      </c>
      <c r="E412" s="3" t="s">
        <v>1923</v>
      </c>
      <c r="F412" s="3" t="s">
        <v>19</v>
      </c>
      <c r="G412" s="3" t="s">
        <v>112</v>
      </c>
      <c r="H412" s="3">
        <v>1.0</v>
      </c>
      <c r="I412" s="3" t="s">
        <v>1920</v>
      </c>
      <c r="J412" s="3" t="s">
        <v>22</v>
      </c>
      <c r="K412" s="3" t="s">
        <v>97</v>
      </c>
      <c r="L412" s="3" t="s">
        <v>98</v>
      </c>
      <c r="M412" s="3" t="s">
        <v>100</v>
      </c>
      <c r="N412" s="3" t="s">
        <v>1500</v>
      </c>
      <c r="O412" s="5">
        <v>592.0944</v>
      </c>
      <c r="P412" s="6" t="str">
        <f t="shared" si="2"/>
        <v>Industrial Products</v>
      </c>
    </row>
    <row r="413">
      <c r="A413" s="3" t="s">
        <v>1143</v>
      </c>
      <c r="B413" s="4">
        <v>532929.0</v>
      </c>
      <c r="C413" s="3" t="s">
        <v>1924</v>
      </c>
      <c r="D413" s="3" t="s">
        <v>1925</v>
      </c>
      <c r="E413" s="3" t="s">
        <v>1926</v>
      </c>
      <c r="F413" s="3" t="s">
        <v>19</v>
      </c>
      <c r="G413" s="3" t="s">
        <v>20</v>
      </c>
      <c r="H413" s="3">
        <v>10.0</v>
      </c>
      <c r="I413" s="3" t="s">
        <v>1927</v>
      </c>
      <c r="J413" s="3" t="s">
        <v>22</v>
      </c>
      <c r="K413" s="3" t="s">
        <v>58</v>
      </c>
      <c r="L413" s="3" t="s">
        <v>59</v>
      </c>
      <c r="M413" s="3" t="s">
        <v>59</v>
      </c>
      <c r="N413" s="3" t="s">
        <v>60</v>
      </c>
      <c r="O413" s="5">
        <v>31474.7732946</v>
      </c>
      <c r="P413" s="6" t="str">
        <f t="shared" si="2"/>
        <v>Residential, Commercial Projects</v>
      </c>
    </row>
    <row r="414" hidden="1">
      <c r="A414" s="3" t="s">
        <v>1928</v>
      </c>
      <c r="B414" s="4">
        <v>504903.0</v>
      </c>
      <c r="C414" s="3" t="s">
        <v>1929</v>
      </c>
      <c r="D414" s="3" t="s">
        <v>1930</v>
      </c>
      <c r="E414" s="3" t="s">
        <v>1931</v>
      </c>
      <c r="F414" s="3" t="s">
        <v>19</v>
      </c>
      <c r="G414" s="3" t="s">
        <v>44</v>
      </c>
      <c r="H414" s="3">
        <v>10.0</v>
      </c>
      <c r="I414" s="3" t="s">
        <v>1928</v>
      </c>
      <c r="J414" s="3" t="s">
        <v>22</v>
      </c>
      <c r="K414" s="3" t="s">
        <v>97</v>
      </c>
      <c r="L414" s="3" t="s">
        <v>98</v>
      </c>
      <c r="M414" s="3" t="s">
        <v>100</v>
      </c>
      <c r="N414" s="3" t="s">
        <v>612</v>
      </c>
      <c r="O414" s="5">
        <v>413.9879132</v>
      </c>
      <c r="P414" s="6" t="str">
        <f t="shared" si="2"/>
        <v>Industrial Products</v>
      </c>
    </row>
    <row r="415" hidden="1">
      <c r="A415" s="3" t="s">
        <v>1932</v>
      </c>
      <c r="B415" s="4">
        <v>504908.0</v>
      </c>
      <c r="C415" s="3" t="s">
        <v>1933</v>
      </c>
      <c r="D415" s="3" t="s">
        <v>1934</v>
      </c>
      <c r="E415" s="3" t="s">
        <v>1935</v>
      </c>
      <c r="F415" s="3" t="s">
        <v>19</v>
      </c>
      <c r="G415" s="3" t="s">
        <v>44</v>
      </c>
      <c r="H415" s="3">
        <v>10.0</v>
      </c>
      <c r="I415" s="3" t="s">
        <v>1932</v>
      </c>
      <c r="J415" s="3" t="s">
        <v>22</v>
      </c>
      <c r="K415" s="3" t="s">
        <v>58</v>
      </c>
      <c r="L415" s="3" t="s">
        <v>133</v>
      </c>
      <c r="M415" s="3" t="s">
        <v>134</v>
      </c>
      <c r="N415" s="3" t="s">
        <v>135</v>
      </c>
      <c r="O415" s="5">
        <v>201.689995</v>
      </c>
      <c r="P415" s="6" t="str">
        <f t="shared" si="2"/>
        <v>Auto Components &amp; Equipments</v>
      </c>
    </row>
    <row r="416">
      <c r="A416" s="3" t="s">
        <v>1936</v>
      </c>
      <c r="B416" s="4">
        <v>532953.0</v>
      </c>
      <c r="C416" s="3" t="s">
        <v>1937</v>
      </c>
      <c r="D416" s="3" t="s">
        <v>1938</v>
      </c>
      <c r="E416" s="3" t="s">
        <v>1939</v>
      </c>
      <c r="F416" s="3" t="s">
        <v>19</v>
      </c>
      <c r="G416" s="3" t="s">
        <v>20</v>
      </c>
      <c r="H416" s="3">
        <v>1.0</v>
      </c>
      <c r="I416" s="3" t="s">
        <v>1940</v>
      </c>
      <c r="J416" s="3" t="s">
        <v>22</v>
      </c>
      <c r="K416" s="3" t="s">
        <v>58</v>
      </c>
      <c r="L416" s="3" t="s">
        <v>211</v>
      </c>
      <c r="M416" s="3" t="s">
        <v>211</v>
      </c>
      <c r="N416" s="3" t="s">
        <v>882</v>
      </c>
      <c r="O416" s="5">
        <v>19862.5564137</v>
      </c>
      <c r="P416" s="6" t="str">
        <f t="shared" si="2"/>
        <v>Consumer Durables</v>
      </c>
    </row>
    <row r="417" hidden="1">
      <c r="A417" s="3" t="s">
        <v>1941</v>
      </c>
      <c r="B417" s="4">
        <v>504959.0</v>
      </c>
      <c r="C417" s="3" t="s">
        <v>1942</v>
      </c>
      <c r="D417" s="3" t="s">
        <v>1943</v>
      </c>
      <c r="E417" s="3" t="s">
        <v>1944</v>
      </c>
      <c r="F417" s="3" t="s">
        <v>19</v>
      </c>
      <c r="G417" s="3" t="s">
        <v>44</v>
      </c>
      <c r="H417" s="3">
        <v>10.0</v>
      </c>
      <c r="I417" s="3" t="s">
        <v>1941</v>
      </c>
      <c r="J417" s="3" t="s">
        <v>22</v>
      </c>
      <c r="K417" s="3" t="s">
        <v>97</v>
      </c>
      <c r="L417" s="3" t="s">
        <v>98</v>
      </c>
      <c r="M417" s="3" t="s">
        <v>99</v>
      </c>
      <c r="N417" s="3" t="s">
        <v>100</v>
      </c>
      <c r="O417" s="5">
        <v>654.1372557</v>
      </c>
      <c r="P417" s="6" t="str">
        <f t="shared" si="2"/>
        <v>Industrial Products</v>
      </c>
    </row>
    <row r="418" hidden="1">
      <c r="A418" s="3" t="s">
        <v>1945</v>
      </c>
      <c r="B418" s="4">
        <v>504961.0</v>
      </c>
      <c r="C418" s="3" t="s">
        <v>1946</v>
      </c>
      <c r="D418" s="3" t="s">
        <v>1947</v>
      </c>
      <c r="E418" s="3" t="s">
        <v>1948</v>
      </c>
      <c r="F418" s="3" t="s">
        <v>19</v>
      </c>
      <c r="G418" s="3" t="s">
        <v>72</v>
      </c>
      <c r="H418" s="3">
        <v>10.0</v>
      </c>
      <c r="I418" s="3" t="s">
        <v>1945</v>
      </c>
      <c r="J418" s="3" t="s">
        <v>22</v>
      </c>
      <c r="K418" s="3" t="s">
        <v>97</v>
      </c>
      <c r="L418" s="3" t="s">
        <v>98</v>
      </c>
      <c r="M418" s="3" t="s">
        <v>100</v>
      </c>
      <c r="N418" s="3" t="s">
        <v>612</v>
      </c>
      <c r="O418" s="5">
        <v>102.0756</v>
      </c>
      <c r="P418" s="6" t="str">
        <f t="shared" si="2"/>
        <v>Industrial Products</v>
      </c>
    </row>
    <row r="419">
      <c r="A419" s="3" t="s">
        <v>1949</v>
      </c>
      <c r="B419" s="4">
        <v>532977.0</v>
      </c>
      <c r="C419" s="3" t="s">
        <v>1950</v>
      </c>
      <c r="D419" s="3" t="s">
        <v>1951</v>
      </c>
      <c r="E419" s="3" t="s">
        <v>1952</v>
      </c>
      <c r="F419" s="3" t="s">
        <v>19</v>
      </c>
      <c r="G419" s="3" t="s">
        <v>20</v>
      </c>
      <c r="H419" s="3">
        <v>10.0</v>
      </c>
      <c r="I419" s="3" t="s">
        <v>1953</v>
      </c>
      <c r="J419" s="3" t="s">
        <v>22</v>
      </c>
      <c r="K419" s="3" t="s">
        <v>58</v>
      </c>
      <c r="L419" s="3" t="s">
        <v>133</v>
      </c>
      <c r="M419" s="3" t="s">
        <v>906</v>
      </c>
      <c r="N419" s="3" t="s">
        <v>961</v>
      </c>
      <c r="O419" s="5">
        <v>265564.71535</v>
      </c>
      <c r="P419" s="6" t="str">
        <f t="shared" si="2"/>
        <v>Automobiles</v>
      </c>
    </row>
    <row r="420" hidden="1">
      <c r="A420" s="3" t="s">
        <v>1954</v>
      </c>
      <c r="B420" s="4">
        <v>504988.0</v>
      </c>
      <c r="C420" s="3" t="s">
        <v>1955</v>
      </c>
      <c r="D420" s="3" t="s">
        <v>1956</v>
      </c>
      <c r="E420" s="3" t="s">
        <v>1957</v>
      </c>
      <c r="F420" s="3" t="s">
        <v>19</v>
      </c>
      <c r="G420" s="3" t="s">
        <v>44</v>
      </c>
      <c r="H420" s="3">
        <v>10.0</v>
      </c>
      <c r="I420" s="3" t="s">
        <v>1954</v>
      </c>
      <c r="J420" s="3" t="s">
        <v>22</v>
      </c>
      <c r="K420" s="3" t="s">
        <v>97</v>
      </c>
      <c r="L420" s="3" t="s">
        <v>98</v>
      </c>
      <c r="M420" s="3" t="s">
        <v>100</v>
      </c>
      <c r="N420" s="3" t="s">
        <v>1386</v>
      </c>
      <c r="O420" s="5">
        <v>92.8588055</v>
      </c>
      <c r="P420" s="6" t="str">
        <f t="shared" si="2"/>
        <v>Industrial Products</v>
      </c>
    </row>
    <row r="421" hidden="1">
      <c r="A421" s="3" t="s">
        <v>1958</v>
      </c>
      <c r="B421" s="4">
        <v>504998.0</v>
      </c>
      <c r="C421" s="3" t="s">
        <v>1959</v>
      </c>
      <c r="D421" s="3" t="s">
        <v>1960</v>
      </c>
      <c r="E421" s="3" t="s">
        <v>1961</v>
      </c>
      <c r="F421" s="3" t="s">
        <v>19</v>
      </c>
      <c r="G421" s="3" t="s">
        <v>1858</v>
      </c>
      <c r="H421" s="3">
        <v>10.0</v>
      </c>
      <c r="I421" s="3" t="s">
        <v>1958</v>
      </c>
      <c r="J421" s="3" t="s">
        <v>22</v>
      </c>
      <c r="K421" s="3" t="s">
        <v>97</v>
      </c>
      <c r="L421" s="3" t="s">
        <v>98</v>
      </c>
      <c r="M421" s="3" t="s">
        <v>100</v>
      </c>
      <c r="N421" s="3" t="s">
        <v>612</v>
      </c>
      <c r="O421" s="5">
        <v>1.0</v>
      </c>
      <c r="P421" s="6" t="str">
        <f t="shared" si="2"/>
        <v>Industrial Products</v>
      </c>
    </row>
    <row r="422" hidden="1">
      <c r="A422" s="3" t="s">
        <v>1962</v>
      </c>
      <c r="B422" s="4">
        <v>505010.0</v>
      </c>
      <c r="C422" s="3" t="s">
        <v>1963</v>
      </c>
      <c r="D422" s="3" t="s">
        <v>1964</v>
      </c>
      <c r="E422" s="3" t="s">
        <v>1965</v>
      </c>
      <c r="F422" s="3" t="s">
        <v>19</v>
      </c>
      <c r="G422" s="3" t="s">
        <v>112</v>
      </c>
      <c r="H422" s="3">
        <v>10.0</v>
      </c>
      <c r="I422" s="3" t="s">
        <v>1962</v>
      </c>
      <c r="J422" s="3" t="s">
        <v>22</v>
      </c>
      <c r="K422" s="3" t="s">
        <v>58</v>
      </c>
      <c r="L422" s="3" t="s">
        <v>133</v>
      </c>
      <c r="M422" s="3" t="s">
        <v>134</v>
      </c>
      <c r="N422" s="3" t="s">
        <v>135</v>
      </c>
      <c r="O422" s="5">
        <v>3140.4028615</v>
      </c>
      <c r="P422" s="6" t="str">
        <f t="shared" si="2"/>
        <v>Auto Components &amp; Equipments</v>
      </c>
    </row>
    <row r="423" hidden="1">
      <c r="A423" s="3" t="s">
        <v>1966</v>
      </c>
      <c r="B423" s="4">
        <v>505032.0</v>
      </c>
      <c r="C423" s="3" t="s">
        <v>1967</v>
      </c>
      <c r="D423" s="3" t="s">
        <v>1968</v>
      </c>
      <c r="E423" s="3" t="s">
        <v>1969</v>
      </c>
      <c r="F423" s="3" t="s">
        <v>19</v>
      </c>
      <c r="G423" s="3" t="s">
        <v>72</v>
      </c>
      <c r="H423" s="3">
        <v>1.0</v>
      </c>
      <c r="I423" s="3" t="s">
        <v>1966</v>
      </c>
      <c r="J423" s="3" t="s">
        <v>22</v>
      </c>
      <c r="K423" s="3" t="s">
        <v>58</v>
      </c>
      <c r="L423" s="3" t="s">
        <v>133</v>
      </c>
      <c r="M423" s="3" t="s">
        <v>134</v>
      </c>
      <c r="N423" s="3" t="s">
        <v>135</v>
      </c>
      <c r="O423" s="5">
        <v>1.0</v>
      </c>
      <c r="P423" s="6" t="str">
        <f t="shared" si="2"/>
        <v>Auto Components &amp; Equipments</v>
      </c>
    </row>
    <row r="424" hidden="1">
      <c r="A424" s="3" t="s">
        <v>1970</v>
      </c>
      <c r="B424" s="4">
        <v>505036.0</v>
      </c>
      <c r="C424" s="3" t="s">
        <v>1971</v>
      </c>
      <c r="D424" s="3" t="s">
        <v>1972</v>
      </c>
      <c r="E424" s="3" t="s">
        <v>1973</v>
      </c>
      <c r="F424" s="3" t="s">
        <v>19</v>
      </c>
      <c r="G424" s="3" t="s">
        <v>112</v>
      </c>
      <c r="H424" s="3">
        <v>10.0</v>
      </c>
      <c r="I424" s="3" t="s">
        <v>1970</v>
      </c>
      <c r="J424" s="3" t="s">
        <v>22</v>
      </c>
      <c r="K424" s="3" t="s">
        <v>58</v>
      </c>
      <c r="L424" s="3" t="s">
        <v>133</v>
      </c>
      <c r="M424" s="3" t="s">
        <v>134</v>
      </c>
      <c r="N424" s="3" t="s">
        <v>135</v>
      </c>
      <c r="O424" s="5">
        <v>1443.9345238</v>
      </c>
      <c r="P424" s="6" t="str">
        <f t="shared" si="2"/>
        <v>Auto Components &amp; Equipments</v>
      </c>
    </row>
    <row r="425" hidden="1">
      <c r="A425" s="3" t="s">
        <v>1974</v>
      </c>
      <c r="B425" s="4">
        <v>505075.0</v>
      </c>
      <c r="C425" s="3" t="s">
        <v>1975</v>
      </c>
      <c r="D425" s="3" t="s">
        <v>1976</v>
      </c>
      <c r="E425" s="3" t="s">
        <v>1977</v>
      </c>
      <c r="F425" s="3" t="s">
        <v>19</v>
      </c>
      <c r="G425" s="3" t="s">
        <v>86</v>
      </c>
      <c r="H425" s="3">
        <v>2.0</v>
      </c>
      <c r="I425" s="3" t="s">
        <v>1974</v>
      </c>
      <c r="J425" s="3" t="s">
        <v>22</v>
      </c>
      <c r="K425" s="3" t="s">
        <v>58</v>
      </c>
      <c r="L425" s="3" t="s">
        <v>133</v>
      </c>
      <c r="M425" s="3" t="s">
        <v>134</v>
      </c>
      <c r="N425" s="3" t="s">
        <v>135</v>
      </c>
      <c r="O425" s="5">
        <v>182.8151303</v>
      </c>
      <c r="P425" s="6" t="str">
        <f t="shared" si="2"/>
        <v>Auto Components &amp; Equipments</v>
      </c>
    </row>
    <row r="426" hidden="1">
      <c r="A426" s="3" t="s">
        <v>1978</v>
      </c>
      <c r="B426" s="4">
        <v>505100.0</v>
      </c>
      <c r="C426" s="3" t="s">
        <v>1979</v>
      </c>
      <c r="D426" s="3" t="s">
        <v>1980</v>
      </c>
      <c r="E426" s="3" t="s">
        <v>1981</v>
      </c>
      <c r="F426" s="3" t="s">
        <v>19</v>
      </c>
      <c r="G426" s="3" t="s">
        <v>72</v>
      </c>
      <c r="H426" s="3">
        <v>10.0</v>
      </c>
      <c r="I426" s="3" t="s">
        <v>1978</v>
      </c>
      <c r="J426" s="3" t="s">
        <v>22</v>
      </c>
      <c r="K426" s="3" t="s">
        <v>58</v>
      </c>
      <c r="L426" s="3" t="s">
        <v>133</v>
      </c>
      <c r="M426" s="3" t="s">
        <v>134</v>
      </c>
      <c r="N426" s="3" t="s">
        <v>135</v>
      </c>
      <c r="O426" s="5">
        <v>1.0</v>
      </c>
      <c r="P426" s="6" t="str">
        <f t="shared" si="2"/>
        <v>Auto Components &amp; Equipments</v>
      </c>
    </row>
    <row r="427" hidden="1">
      <c r="A427" s="3" t="s">
        <v>1982</v>
      </c>
      <c r="B427" s="4">
        <v>505160.0</v>
      </c>
      <c r="C427" s="3" t="s">
        <v>1983</v>
      </c>
      <c r="D427" s="3" t="s">
        <v>1984</v>
      </c>
      <c r="E427" s="3" t="s">
        <v>1985</v>
      </c>
      <c r="F427" s="3" t="s">
        <v>19</v>
      </c>
      <c r="G427" s="3" t="s">
        <v>112</v>
      </c>
      <c r="H427" s="3">
        <v>2.0</v>
      </c>
      <c r="I427" s="3" t="s">
        <v>1982</v>
      </c>
      <c r="J427" s="3" t="s">
        <v>22</v>
      </c>
      <c r="K427" s="3" t="s">
        <v>58</v>
      </c>
      <c r="L427" s="3" t="s">
        <v>133</v>
      </c>
      <c r="M427" s="3" t="s">
        <v>134</v>
      </c>
      <c r="N427" s="3" t="s">
        <v>135</v>
      </c>
      <c r="O427" s="5">
        <v>2019.1921944</v>
      </c>
      <c r="P427" s="6" t="str">
        <f t="shared" si="2"/>
        <v>Auto Components &amp; Equipments</v>
      </c>
    </row>
    <row r="428" hidden="1">
      <c r="A428" s="3" t="s">
        <v>1986</v>
      </c>
      <c r="B428" s="4">
        <v>505163.0</v>
      </c>
      <c r="C428" s="3" t="s">
        <v>1987</v>
      </c>
      <c r="D428" s="3" t="s">
        <v>1988</v>
      </c>
      <c r="E428" s="3" t="s">
        <v>1989</v>
      </c>
      <c r="F428" s="3" t="s">
        <v>19</v>
      </c>
      <c r="G428" s="3" t="s">
        <v>44</v>
      </c>
      <c r="H428" s="3">
        <v>10.0</v>
      </c>
      <c r="I428" s="3" t="s">
        <v>1986</v>
      </c>
      <c r="J428" s="3" t="s">
        <v>22</v>
      </c>
      <c r="K428" s="3" t="s">
        <v>58</v>
      </c>
      <c r="L428" s="3" t="s">
        <v>133</v>
      </c>
      <c r="M428" s="3" t="s">
        <v>134</v>
      </c>
      <c r="N428" s="3" t="s">
        <v>135</v>
      </c>
      <c r="O428" s="5">
        <v>1043.429385</v>
      </c>
      <c r="P428" s="6" t="str">
        <f t="shared" si="2"/>
        <v>Auto Components &amp; Equipments</v>
      </c>
    </row>
    <row r="429" hidden="1">
      <c r="A429" s="3" t="s">
        <v>1990</v>
      </c>
      <c r="B429" s="4">
        <v>505192.0</v>
      </c>
      <c r="C429" s="3" t="s">
        <v>1991</v>
      </c>
      <c r="D429" s="3" t="s">
        <v>1992</v>
      </c>
      <c r="E429" s="3" t="s">
        <v>1991</v>
      </c>
      <c r="F429" s="3" t="s">
        <v>19</v>
      </c>
      <c r="G429" s="3" t="s">
        <v>112</v>
      </c>
      <c r="H429" s="3">
        <v>10.0</v>
      </c>
      <c r="I429" s="3" t="s">
        <v>1990</v>
      </c>
      <c r="J429" s="3" t="s">
        <v>22</v>
      </c>
      <c r="K429" s="3" t="s">
        <v>97</v>
      </c>
      <c r="L429" s="3" t="s">
        <v>98</v>
      </c>
      <c r="M429" s="3" t="s">
        <v>1993</v>
      </c>
      <c r="N429" s="3" t="s">
        <v>1994</v>
      </c>
      <c r="O429" s="5">
        <v>3019.4223726</v>
      </c>
      <c r="P429" s="6" t="str">
        <f t="shared" si="2"/>
        <v>Agricultural, Commercial &amp; Construction Vehicles</v>
      </c>
    </row>
    <row r="430" hidden="1">
      <c r="A430" s="3" t="s">
        <v>1995</v>
      </c>
      <c r="B430" s="4">
        <v>505196.0</v>
      </c>
      <c r="C430" s="3" t="s">
        <v>1996</v>
      </c>
      <c r="D430" s="3" t="s">
        <v>1997</v>
      </c>
      <c r="E430" s="3" t="s">
        <v>1998</v>
      </c>
      <c r="F430" s="3" t="s">
        <v>19</v>
      </c>
      <c r="G430" s="3" t="s">
        <v>57</v>
      </c>
      <c r="H430" s="3">
        <v>10.0</v>
      </c>
      <c r="I430" s="3" t="s">
        <v>1995</v>
      </c>
      <c r="J430" s="3" t="s">
        <v>22</v>
      </c>
      <c r="K430" s="3" t="s">
        <v>97</v>
      </c>
      <c r="L430" s="3" t="s">
        <v>98</v>
      </c>
      <c r="M430" s="3" t="s">
        <v>1993</v>
      </c>
      <c r="N430" s="3" t="s">
        <v>1999</v>
      </c>
      <c r="O430" s="5">
        <v>2139.141216</v>
      </c>
      <c r="P430" s="6" t="str">
        <f t="shared" si="2"/>
        <v>Agricultural, Commercial &amp; Construction Vehicles</v>
      </c>
    </row>
    <row r="431">
      <c r="A431" s="3" t="s">
        <v>1147</v>
      </c>
      <c r="B431" s="4">
        <v>533023.0</v>
      </c>
      <c r="C431" s="3" t="s">
        <v>2000</v>
      </c>
      <c r="D431" s="3" t="s">
        <v>2001</v>
      </c>
      <c r="E431" s="3" t="s">
        <v>2002</v>
      </c>
      <c r="F431" s="3" t="s">
        <v>19</v>
      </c>
      <c r="G431" s="3" t="s">
        <v>20</v>
      </c>
      <c r="H431" s="3">
        <v>5.0</v>
      </c>
      <c r="I431" s="3" t="s">
        <v>2003</v>
      </c>
      <c r="J431" s="3" t="s">
        <v>22</v>
      </c>
      <c r="K431" s="3" t="s">
        <v>58</v>
      </c>
      <c r="L431" s="3" t="s">
        <v>133</v>
      </c>
      <c r="M431" s="3" t="s">
        <v>134</v>
      </c>
      <c r="N431" s="3" t="s">
        <v>135</v>
      </c>
      <c r="O431" s="5">
        <v>29525.886496</v>
      </c>
      <c r="P431" s="6" t="str">
        <f t="shared" si="2"/>
        <v>Auto Components &amp; Equipments</v>
      </c>
    </row>
    <row r="432" hidden="1">
      <c r="A432" s="3" t="s">
        <v>2004</v>
      </c>
      <c r="B432" s="4">
        <v>505212.0</v>
      </c>
      <c r="C432" s="3" t="s">
        <v>2005</v>
      </c>
      <c r="D432" s="3" t="s">
        <v>2006</v>
      </c>
      <c r="E432" s="3" t="s">
        <v>2005</v>
      </c>
      <c r="F432" s="3" t="s">
        <v>19</v>
      </c>
      <c r="G432" s="3" t="s">
        <v>44</v>
      </c>
      <c r="H432" s="3">
        <v>10.0</v>
      </c>
      <c r="I432" s="3" t="s">
        <v>2004</v>
      </c>
      <c r="J432" s="3" t="s">
        <v>22</v>
      </c>
      <c r="K432" s="3" t="s">
        <v>58</v>
      </c>
      <c r="L432" s="3" t="s">
        <v>133</v>
      </c>
      <c r="M432" s="3" t="s">
        <v>134</v>
      </c>
      <c r="N432" s="3" t="s">
        <v>135</v>
      </c>
      <c r="O432" s="5">
        <v>24.9002748</v>
      </c>
      <c r="P432" s="6" t="str">
        <f t="shared" si="2"/>
        <v>Auto Components &amp; Equipments</v>
      </c>
    </row>
    <row r="433" hidden="1">
      <c r="A433" s="3" t="s">
        <v>2007</v>
      </c>
      <c r="B433" s="4">
        <v>505216.0</v>
      </c>
      <c r="C433" s="3" t="s">
        <v>2008</v>
      </c>
      <c r="D433" s="3" t="s">
        <v>2009</v>
      </c>
      <c r="E433" s="3" t="s">
        <v>2010</v>
      </c>
      <c r="F433" s="3" t="s">
        <v>19</v>
      </c>
      <c r="G433" s="3" t="s">
        <v>44</v>
      </c>
      <c r="H433" s="3">
        <v>10.0</v>
      </c>
      <c r="I433" s="3" t="s">
        <v>2007</v>
      </c>
      <c r="J433" s="3" t="s">
        <v>22</v>
      </c>
      <c r="K433" s="3" t="s">
        <v>204</v>
      </c>
      <c r="L433" s="3" t="s">
        <v>204</v>
      </c>
      <c r="M433" s="3" t="s">
        <v>378</v>
      </c>
      <c r="N433" s="3" t="s">
        <v>379</v>
      </c>
      <c r="O433" s="5">
        <v>102.193301</v>
      </c>
      <c r="P433" s="6" t="str">
        <f t="shared" si="2"/>
        <v>Non Banking Financial Company (NBFC)</v>
      </c>
    </row>
    <row r="434" hidden="1">
      <c r="A434" s="3" t="s">
        <v>2011</v>
      </c>
      <c r="B434" s="4">
        <v>505232.0</v>
      </c>
      <c r="C434" s="3" t="s">
        <v>2012</v>
      </c>
      <c r="D434" s="3" t="s">
        <v>2013</v>
      </c>
      <c r="E434" s="3" t="s">
        <v>2012</v>
      </c>
      <c r="F434" s="3" t="s">
        <v>19</v>
      </c>
      <c r="G434" s="3" t="s">
        <v>44</v>
      </c>
      <c r="H434" s="3">
        <v>10.0</v>
      </c>
      <c r="I434" s="3" t="s">
        <v>2011</v>
      </c>
      <c r="J434" s="3" t="s">
        <v>22</v>
      </c>
      <c r="K434" s="3" t="s">
        <v>58</v>
      </c>
      <c r="L434" s="3" t="s">
        <v>133</v>
      </c>
      <c r="M434" s="3" t="s">
        <v>134</v>
      </c>
      <c r="N434" s="3" t="s">
        <v>135</v>
      </c>
      <c r="O434" s="5">
        <v>829.39997</v>
      </c>
      <c r="P434" s="6" t="str">
        <f t="shared" si="2"/>
        <v>Auto Components &amp; Equipments</v>
      </c>
    </row>
    <row r="435" hidden="1">
      <c r="A435" s="3" t="s">
        <v>2014</v>
      </c>
      <c r="B435" s="4">
        <v>505242.0</v>
      </c>
      <c r="C435" s="3" t="s">
        <v>2015</v>
      </c>
      <c r="D435" s="3" t="s">
        <v>2016</v>
      </c>
      <c r="E435" s="3" t="s">
        <v>2017</v>
      </c>
      <c r="F435" s="3" t="s">
        <v>19</v>
      </c>
      <c r="G435" s="3" t="s">
        <v>112</v>
      </c>
      <c r="H435" s="3">
        <v>10.0</v>
      </c>
      <c r="I435" s="3" t="s">
        <v>2014</v>
      </c>
      <c r="J435" s="3" t="s">
        <v>22</v>
      </c>
      <c r="K435" s="3" t="s">
        <v>97</v>
      </c>
      <c r="L435" s="3" t="s">
        <v>98</v>
      </c>
      <c r="M435" s="3" t="s">
        <v>99</v>
      </c>
      <c r="N435" s="3" t="s">
        <v>100</v>
      </c>
      <c r="O435" s="5">
        <v>4954.0960075</v>
      </c>
      <c r="P435" s="6" t="str">
        <f t="shared" si="2"/>
        <v>Industrial Products</v>
      </c>
    </row>
    <row r="436" hidden="1">
      <c r="A436" s="3" t="s">
        <v>2018</v>
      </c>
      <c r="B436" s="4">
        <v>505250.0</v>
      </c>
      <c r="C436" s="3" t="s">
        <v>2019</v>
      </c>
      <c r="D436" s="3" t="s">
        <v>2020</v>
      </c>
      <c r="E436" s="3" t="s">
        <v>2021</v>
      </c>
      <c r="F436" s="3" t="s">
        <v>19</v>
      </c>
      <c r="G436" s="3" t="s">
        <v>44</v>
      </c>
      <c r="H436" s="3">
        <v>1.0</v>
      </c>
      <c r="I436" s="3" t="s">
        <v>2018</v>
      </c>
      <c r="J436" s="3" t="s">
        <v>22</v>
      </c>
      <c r="K436" s="3" t="s">
        <v>97</v>
      </c>
      <c r="L436" s="3" t="s">
        <v>98</v>
      </c>
      <c r="M436" s="3" t="s">
        <v>99</v>
      </c>
      <c r="N436" s="3" t="s">
        <v>100</v>
      </c>
      <c r="O436" s="5">
        <v>47.59006</v>
      </c>
      <c r="P436" s="6" t="str">
        <f t="shared" si="2"/>
        <v>Industrial Products</v>
      </c>
    </row>
    <row r="437">
      <c r="A437" s="3" t="s">
        <v>2022</v>
      </c>
      <c r="B437" s="4">
        <v>533088.0</v>
      </c>
      <c r="C437" s="3" t="s">
        <v>2023</v>
      </c>
      <c r="D437" s="3" t="s">
        <v>2024</v>
      </c>
      <c r="E437" s="3" t="s">
        <v>2025</v>
      </c>
      <c r="F437" s="3" t="s">
        <v>19</v>
      </c>
      <c r="G437" s="3" t="s">
        <v>20</v>
      </c>
      <c r="H437" s="3">
        <v>10.0</v>
      </c>
      <c r="I437" s="3" t="s">
        <v>2026</v>
      </c>
      <c r="J437" s="3" t="s">
        <v>22</v>
      </c>
      <c r="K437" s="3" t="s">
        <v>58</v>
      </c>
      <c r="L437" s="3" t="s">
        <v>73</v>
      </c>
      <c r="M437" s="3" t="s">
        <v>74</v>
      </c>
      <c r="N437" s="3" t="s">
        <v>75</v>
      </c>
      <c r="O437" s="5">
        <v>9121.3620705</v>
      </c>
      <c r="P437" s="6" t="str">
        <f t="shared" si="2"/>
        <v>Leisure Services</v>
      </c>
    </row>
    <row r="438" hidden="1">
      <c r="A438" s="3" t="s">
        <v>2027</v>
      </c>
      <c r="B438" s="4">
        <v>505283.0</v>
      </c>
      <c r="C438" s="3" t="s">
        <v>2028</v>
      </c>
      <c r="D438" s="3" t="s">
        <v>2029</v>
      </c>
      <c r="E438" s="3" t="s">
        <v>2030</v>
      </c>
      <c r="F438" s="3" t="s">
        <v>19</v>
      </c>
      <c r="G438" s="3" t="s">
        <v>20</v>
      </c>
      <c r="H438" s="3">
        <v>2.0</v>
      </c>
      <c r="I438" s="3" t="s">
        <v>2027</v>
      </c>
      <c r="J438" s="3" t="s">
        <v>22</v>
      </c>
      <c r="K438" s="3" t="s">
        <v>97</v>
      </c>
      <c r="L438" s="3" t="s">
        <v>98</v>
      </c>
      <c r="M438" s="3" t="s">
        <v>100</v>
      </c>
      <c r="N438" s="3" t="s">
        <v>983</v>
      </c>
      <c r="O438" s="5">
        <v>1.0</v>
      </c>
      <c r="P438" s="6" t="str">
        <f t="shared" si="2"/>
        <v>Industrial Products</v>
      </c>
    </row>
    <row r="439" hidden="1">
      <c r="A439" s="3" t="s">
        <v>2031</v>
      </c>
      <c r="B439" s="4">
        <v>505285.0</v>
      </c>
      <c r="C439" s="3" t="s">
        <v>2032</v>
      </c>
      <c r="D439" s="3" t="s">
        <v>2033</v>
      </c>
      <c r="E439" s="3" t="s">
        <v>2032</v>
      </c>
      <c r="F439" s="3" t="s">
        <v>19</v>
      </c>
      <c r="G439" s="3" t="s">
        <v>72</v>
      </c>
      <c r="H439" s="3">
        <v>10.0</v>
      </c>
      <c r="I439" s="3" t="s">
        <v>2031</v>
      </c>
      <c r="J439" s="3" t="s">
        <v>22</v>
      </c>
      <c r="K439" s="3" t="s">
        <v>97</v>
      </c>
      <c r="L439" s="3" t="s">
        <v>98</v>
      </c>
      <c r="M439" s="3" t="s">
        <v>99</v>
      </c>
      <c r="N439" s="3" t="s">
        <v>100</v>
      </c>
      <c r="O439" s="5">
        <v>211.8552</v>
      </c>
      <c r="P439" s="6" t="str">
        <f t="shared" si="2"/>
        <v>Industrial Products</v>
      </c>
    </row>
    <row r="440" hidden="1">
      <c r="A440" s="3" t="s">
        <v>2034</v>
      </c>
      <c r="B440" s="4">
        <v>505299.0</v>
      </c>
      <c r="C440" s="3" t="s">
        <v>2035</v>
      </c>
      <c r="D440" s="3" t="s">
        <v>2036</v>
      </c>
      <c r="E440" s="3" t="s">
        <v>2037</v>
      </c>
      <c r="F440" s="3" t="s">
        <v>19</v>
      </c>
      <c r="G440" s="3" t="s">
        <v>44</v>
      </c>
      <c r="H440" s="3">
        <v>5.0</v>
      </c>
      <c r="I440" s="3" t="s">
        <v>2034</v>
      </c>
      <c r="J440" s="3" t="s">
        <v>22</v>
      </c>
      <c r="K440" s="3" t="s">
        <v>97</v>
      </c>
      <c r="L440" s="3" t="s">
        <v>98</v>
      </c>
      <c r="M440" s="3" t="s">
        <v>99</v>
      </c>
      <c r="N440" s="3" t="s">
        <v>100</v>
      </c>
      <c r="O440" s="5">
        <v>266.6242295</v>
      </c>
      <c r="P440" s="6" t="str">
        <f t="shared" si="2"/>
        <v>Industrial Products</v>
      </c>
    </row>
    <row r="441" hidden="1">
      <c r="A441" s="3" t="s">
        <v>2038</v>
      </c>
      <c r="B441" s="4">
        <v>505302.0</v>
      </c>
      <c r="C441" s="3" t="s">
        <v>2039</v>
      </c>
      <c r="D441" s="3" t="s">
        <v>2040</v>
      </c>
      <c r="E441" s="3" t="s">
        <v>2041</v>
      </c>
      <c r="F441" s="3" t="s">
        <v>19</v>
      </c>
      <c r="G441" s="3" t="s">
        <v>44</v>
      </c>
      <c r="H441" s="3">
        <v>100.0</v>
      </c>
      <c r="I441" s="3" t="s">
        <v>2038</v>
      </c>
      <c r="J441" s="3" t="s">
        <v>22</v>
      </c>
      <c r="K441" s="3" t="s">
        <v>97</v>
      </c>
      <c r="L441" s="3" t="s">
        <v>98</v>
      </c>
      <c r="M441" s="3" t="s">
        <v>99</v>
      </c>
      <c r="N441" s="3" t="s">
        <v>100</v>
      </c>
      <c r="O441" s="5">
        <v>162.4509969</v>
      </c>
      <c r="P441" s="6" t="str">
        <f t="shared" si="2"/>
        <v>Industrial Products</v>
      </c>
    </row>
    <row r="442" hidden="1">
      <c r="A442" s="3" t="s">
        <v>2042</v>
      </c>
      <c r="B442" s="4">
        <v>505324.0</v>
      </c>
      <c r="C442" s="3" t="s">
        <v>2043</v>
      </c>
      <c r="D442" s="3" t="s">
        <v>2044</v>
      </c>
      <c r="E442" s="3" t="s">
        <v>2045</v>
      </c>
      <c r="F442" s="3" t="s">
        <v>19</v>
      </c>
      <c r="G442" s="3" t="s">
        <v>112</v>
      </c>
      <c r="H442" s="3">
        <v>2.0</v>
      </c>
      <c r="I442" s="3" t="s">
        <v>2042</v>
      </c>
      <c r="J442" s="3" t="s">
        <v>22</v>
      </c>
      <c r="K442" s="3" t="s">
        <v>97</v>
      </c>
      <c r="L442" s="3" t="s">
        <v>98</v>
      </c>
      <c r="M442" s="3" t="s">
        <v>99</v>
      </c>
      <c r="N442" s="3" t="s">
        <v>100</v>
      </c>
      <c r="O442" s="5">
        <v>72.5884368</v>
      </c>
      <c r="P442" s="6" t="str">
        <f t="shared" si="2"/>
        <v>Industrial Products</v>
      </c>
    </row>
    <row r="443" hidden="1">
      <c r="A443" s="3" t="s">
        <v>2046</v>
      </c>
      <c r="B443" s="4">
        <v>505336.0</v>
      </c>
      <c r="C443" s="3" t="s">
        <v>2047</v>
      </c>
      <c r="D443" s="3" t="s">
        <v>2048</v>
      </c>
      <c r="E443" s="3" t="s">
        <v>2049</v>
      </c>
      <c r="F443" s="3" t="s">
        <v>19</v>
      </c>
      <c r="G443" s="3" t="s">
        <v>72</v>
      </c>
      <c r="H443" s="3">
        <v>10.0</v>
      </c>
      <c r="I443" s="3" t="s">
        <v>2046</v>
      </c>
      <c r="J443" s="3" t="s">
        <v>22</v>
      </c>
      <c r="K443" s="3" t="s">
        <v>97</v>
      </c>
      <c r="L443" s="3" t="s">
        <v>98</v>
      </c>
      <c r="M443" s="3" t="s">
        <v>99</v>
      </c>
      <c r="N443" s="3" t="s">
        <v>100</v>
      </c>
      <c r="O443" s="5">
        <v>1.0</v>
      </c>
      <c r="P443" s="6" t="str">
        <f t="shared" si="2"/>
        <v>Industrial Products</v>
      </c>
    </row>
    <row r="444" hidden="1">
      <c r="A444" s="3" t="s">
        <v>2050</v>
      </c>
      <c r="B444" s="4">
        <v>526807.0</v>
      </c>
      <c r="C444" s="3" t="s">
        <v>2051</v>
      </c>
      <c r="D444" s="3" t="s">
        <v>2052</v>
      </c>
      <c r="E444" s="3" t="s">
        <v>2053</v>
      </c>
      <c r="F444" s="3" t="s">
        <v>19</v>
      </c>
      <c r="G444" s="3" t="s">
        <v>112</v>
      </c>
      <c r="H444" s="3">
        <v>10.0</v>
      </c>
      <c r="I444" s="3" t="s">
        <v>2054</v>
      </c>
      <c r="J444" s="3" t="s">
        <v>22</v>
      </c>
      <c r="K444" s="3" t="s">
        <v>1673</v>
      </c>
      <c r="L444" s="3" t="s">
        <v>1673</v>
      </c>
      <c r="M444" s="3" t="s">
        <v>1689</v>
      </c>
      <c r="N444" s="3" t="s">
        <v>2055</v>
      </c>
      <c r="O444" s="5">
        <v>3239.1190803</v>
      </c>
      <c r="P444" s="6" t="str">
        <f t="shared" si="2"/>
        <v>Transport Services</v>
      </c>
    </row>
    <row r="445" hidden="1">
      <c r="A445" s="3" t="s">
        <v>2056</v>
      </c>
      <c r="B445" s="4">
        <v>531205.0</v>
      </c>
      <c r="C445" s="3" t="s">
        <v>2057</v>
      </c>
      <c r="D445" s="3" t="s">
        <v>2058</v>
      </c>
      <c r="E445" s="3" t="s">
        <v>2059</v>
      </c>
      <c r="F445" s="3" t="s">
        <v>19</v>
      </c>
      <c r="G445" s="3" t="s">
        <v>72</v>
      </c>
      <c r="H445" s="3">
        <v>1.0</v>
      </c>
      <c r="I445" s="3" t="s">
        <v>2060</v>
      </c>
      <c r="J445" s="3" t="s">
        <v>22</v>
      </c>
      <c r="K445" s="3" t="s">
        <v>1673</v>
      </c>
      <c r="L445" s="3" t="s">
        <v>1673</v>
      </c>
      <c r="M445" s="3" t="s">
        <v>1674</v>
      </c>
      <c r="N445" s="3" t="s">
        <v>1915</v>
      </c>
      <c r="O445" s="5">
        <v>2701.271</v>
      </c>
      <c r="P445" s="6" t="str">
        <f t="shared" si="2"/>
        <v>Commercial Services &amp; Supplies</v>
      </c>
    </row>
    <row r="446" hidden="1">
      <c r="A446" s="3" t="s">
        <v>2061</v>
      </c>
      <c r="B446" s="4">
        <v>505358.0</v>
      </c>
      <c r="C446" s="3" t="s">
        <v>2062</v>
      </c>
      <c r="D446" s="3" t="s">
        <v>2063</v>
      </c>
      <c r="E446" s="3" t="s">
        <v>2064</v>
      </c>
      <c r="F446" s="3" t="s">
        <v>19</v>
      </c>
      <c r="G446" s="3" t="s">
        <v>44</v>
      </c>
      <c r="H446" s="3">
        <v>1.0</v>
      </c>
      <c r="I446" s="3" t="s">
        <v>2061</v>
      </c>
      <c r="J446" s="3" t="s">
        <v>22</v>
      </c>
      <c r="K446" s="3" t="s">
        <v>97</v>
      </c>
      <c r="L446" s="3" t="s">
        <v>98</v>
      </c>
      <c r="M446" s="3" t="s">
        <v>99</v>
      </c>
      <c r="N446" s="3" t="s">
        <v>100</v>
      </c>
      <c r="O446" s="5">
        <v>843.1334137</v>
      </c>
      <c r="P446" s="6" t="str">
        <f t="shared" si="2"/>
        <v>Industrial Products</v>
      </c>
    </row>
    <row r="447" hidden="1">
      <c r="A447" s="3" t="s">
        <v>2065</v>
      </c>
      <c r="B447" s="4">
        <v>505368.0</v>
      </c>
      <c r="C447" s="3" t="s">
        <v>2066</v>
      </c>
      <c r="D447" s="3" t="s">
        <v>2067</v>
      </c>
      <c r="E447" s="3" t="s">
        <v>2068</v>
      </c>
      <c r="F447" s="3" t="s">
        <v>19</v>
      </c>
      <c r="G447" s="3" t="s">
        <v>86</v>
      </c>
      <c r="H447" s="3">
        <v>10.0</v>
      </c>
      <c r="I447" s="3" t="s">
        <v>2065</v>
      </c>
      <c r="J447" s="3" t="s">
        <v>22</v>
      </c>
      <c r="K447" s="3" t="s">
        <v>97</v>
      </c>
      <c r="L447" s="3" t="s">
        <v>965</v>
      </c>
      <c r="M447" s="3" t="s">
        <v>965</v>
      </c>
      <c r="N447" s="3" t="s">
        <v>966</v>
      </c>
      <c r="O447" s="5">
        <v>195.3617</v>
      </c>
      <c r="P447" s="6" t="str">
        <f t="shared" si="2"/>
        <v>Civil Construction</v>
      </c>
    </row>
    <row r="448" hidden="1">
      <c r="A448" s="3" t="s">
        <v>2069</v>
      </c>
      <c r="B448" s="4">
        <v>543591.0</v>
      </c>
      <c r="C448" s="3" t="s">
        <v>2070</v>
      </c>
      <c r="D448" s="3" t="s">
        <v>2071</v>
      </c>
      <c r="E448" s="3" t="s">
        <v>2072</v>
      </c>
      <c r="F448" s="3" t="s">
        <v>19</v>
      </c>
      <c r="G448" s="3" t="s">
        <v>20</v>
      </c>
      <c r="H448" s="3">
        <v>2.0</v>
      </c>
      <c r="I448" s="3" t="s">
        <v>2073</v>
      </c>
      <c r="J448" s="3" t="s">
        <v>22</v>
      </c>
      <c r="K448" s="3" t="s">
        <v>1673</v>
      </c>
      <c r="L448" s="3" t="s">
        <v>1673</v>
      </c>
      <c r="M448" s="3" t="s">
        <v>1879</v>
      </c>
      <c r="N448" s="3" t="s">
        <v>2074</v>
      </c>
      <c r="O448" s="5">
        <v>2504.2980744</v>
      </c>
      <c r="P448" s="6" t="str">
        <f t="shared" si="2"/>
        <v>Transport Infrastructure</v>
      </c>
    </row>
    <row r="449" hidden="1">
      <c r="A449" s="3" t="s">
        <v>2075</v>
      </c>
      <c r="B449" s="4">
        <v>505412.0</v>
      </c>
      <c r="C449" s="3" t="s">
        <v>2076</v>
      </c>
      <c r="D449" s="3" t="s">
        <v>2077</v>
      </c>
      <c r="E449" s="3" t="s">
        <v>2078</v>
      </c>
      <c r="F449" s="3" t="s">
        <v>19</v>
      </c>
      <c r="G449" s="3" t="s">
        <v>112</v>
      </c>
      <c r="H449" s="3">
        <v>10.0</v>
      </c>
      <c r="I449" s="3" t="s">
        <v>2075</v>
      </c>
      <c r="J449" s="3" t="s">
        <v>22</v>
      </c>
      <c r="K449" s="3" t="s">
        <v>97</v>
      </c>
      <c r="L449" s="3" t="s">
        <v>98</v>
      </c>
      <c r="M449" s="3" t="s">
        <v>100</v>
      </c>
      <c r="N449" s="3" t="s">
        <v>2079</v>
      </c>
      <c r="O449" s="5">
        <v>3183.1629843</v>
      </c>
      <c r="P449" s="6" t="str">
        <f t="shared" si="2"/>
        <v>Industrial Products</v>
      </c>
    </row>
    <row r="450" hidden="1">
      <c r="A450" s="3" t="s">
        <v>2080</v>
      </c>
      <c r="B450" s="4">
        <v>505502.0</v>
      </c>
      <c r="C450" s="3" t="s">
        <v>2081</v>
      </c>
      <c r="D450" s="3" t="s">
        <v>2082</v>
      </c>
      <c r="E450" s="3" t="s">
        <v>2081</v>
      </c>
      <c r="F450" s="3" t="s">
        <v>19</v>
      </c>
      <c r="G450" s="3" t="s">
        <v>72</v>
      </c>
      <c r="H450" s="3">
        <v>10.0</v>
      </c>
      <c r="I450" s="3" t="s">
        <v>2080</v>
      </c>
      <c r="J450" s="3" t="s">
        <v>22</v>
      </c>
      <c r="K450" s="3" t="s">
        <v>204</v>
      </c>
      <c r="L450" s="3" t="s">
        <v>204</v>
      </c>
      <c r="M450" s="3" t="s">
        <v>378</v>
      </c>
      <c r="N450" s="3" t="s">
        <v>468</v>
      </c>
      <c r="O450" s="5">
        <v>69.5113939</v>
      </c>
      <c r="P450" s="6" t="str">
        <f t="shared" si="2"/>
        <v>Finance</v>
      </c>
    </row>
    <row r="451" hidden="1">
      <c r="A451" s="3" t="s">
        <v>2083</v>
      </c>
      <c r="B451" s="4">
        <v>505504.0</v>
      </c>
      <c r="C451" s="3" t="s">
        <v>2084</v>
      </c>
      <c r="D451" s="3" t="s">
        <v>2085</v>
      </c>
      <c r="E451" s="3" t="s">
        <v>2086</v>
      </c>
      <c r="F451" s="3" t="s">
        <v>19</v>
      </c>
      <c r="G451" s="3" t="s">
        <v>72</v>
      </c>
      <c r="H451" s="3">
        <v>10.0</v>
      </c>
      <c r="I451" s="3" t="s">
        <v>2083</v>
      </c>
      <c r="J451" s="3" t="s">
        <v>22</v>
      </c>
      <c r="K451" s="3" t="s">
        <v>473</v>
      </c>
      <c r="L451" s="3" t="s">
        <v>473</v>
      </c>
      <c r="M451" s="3" t="s">
        <v>1391</v>
      </c>
      <c r="N451" s="3" t="s">
        <v>1840</v>
      </c>
      <c r="O451" s="5">
        <v>1.0</v>
      </c>
      <c r="P451" s="6" t="str">
        <f t="shared" si="2"/>
        <v>Computers - Software &amp; Consulting</v>
      </c>
    </row>
    <row r="452">
      <c r="A452" s="3" t="s">
        <v>1151</v>
      </c>
      <c r="B452" s="4">
        <v>533150.0</v>
      </c>
      <c r="C452" s="3" t="s">
        <v>2087</v>
      </c>
      <c r="D452" s="3" t="s">
        <v>2088</v>
      </c>
      <c r="E452" s="3" t="s">
        <v>2089</v>
      </c>
      <c r="F452" s="3" t="s">
        <v>19</v>
      </c>
      <c r="G452" s="3" t="s">
        <v>20</v>
      </c>
      <c r="H452" s="3">
        <v>5.0</v>
      </c>
      <c r="I452" s="3" t="s">
        <v>2090</v>
      </c>
      <c r="J452" s="3" t="s">
        <v>22</v>
      </c>
      <c r="K452" s="3" t="s">
        <v>58</v>
      </c>
      <c r="L452" s="3" t="s">
        <v>59</v>
      </c>
      <c r="M452" s="3" t="s">
        <v>59</v>
      </c>
      <c r="N452" s="3" t="s">
        <v>60</v>
      </c>
      <c r="O452" s="5">
        <v>93903.6945404</v>
      </c>
      <c r="P452" s="6" t="str">
        <f t="shared" si="2"/>
        <v>Residential, Commercial Projects</v>
      </c>
    </row>
    <row r="453" hidden="1">
      <c r="A453" s="3" t="s">
        <v>2091</v>
      </c>
      <c r="B453" s="4">
        <v>505515.0</v>
      </c>
      <c r="C453" s="3" t="s">
        <v>2092</v>
      </c>
      <c r="D453" s="3" t="s">
        <v>2093</v>
      </c>
      <c r="E453" s="3" t="s">
        <v>2094</v>
      </c>
      <c r="F453" s="3" t="s">
        <v>19</v>
      </c>
      <c r="G453" s="3" t="s">
        <v>72</v>
      </c>
      <c r="H453" s="3">
        <v>10.0</v>
      </c>
      <c r="I453" s="3" t="s">
        <v>2091</v>
      </c>
      <c r="J453" s="3" t="s">
        <v>22</v>
      </c>
      <c r="K453" s="3" t="s">
        <v>204</v>
      </c>
      <c r="L453" s="3" t="s">
        <v>204</v>
      </c>
      <c r="M453" s="3" t="s">
        <v>378</v>
      </c>
      <c r="N453" s="3" t="s">
        <v>468</v>
      </c>
      <c r="O453" s="5">
        <v>1.0</v>
      </c>
      <c r="P453" s="6" t="str">
        <f t="shared" si="2"/>
        <v>Finance</v>
      </c>
    </row>
    <row r="454" hidden="1">
      <c r="A454" s="3" t="s">
        <v>2095</v>
      </c>
      <c r="B454" s="4">
        <v>542333.0</v>
      </c>
      <c r="C454" s="3" t="s">
        <v>2096</v>
      </c>
      <c r="D454" s="3" t="s">
        <v>2097</v>
      </c>
      <c r="E454" s="3" t="s">
        <v>2098</v>
      </c>
      <c r="F454" s="3" t="s">
        <v>19</v>
      </c>
      <c r="G454" s="3" t="s">
        <v>112</v>
      </c>
      <c r="H454" s="3">
        <v>10.0</v>
      </c>
      <c r="I454" s="3" t="s">
        <v>2099</v>
      </c>
      <c r="J454" s="3" t="s">
        <v>22</v>
      </c>
      <c r="K454" s="3" t="s">
        <v>1673</v>
      </c>
      <c r="L454" s="3" t="s">
        <v>1673</v>
      </c>
      <c r="M454" s="3" t="s">
        <v>1674</v>
      </c>
      <c r="N454" s="3" t="s">
        <v>1705</v>
      </c>
      <c r="O454" s="5">
        <v>2408.4001382</v>
      </c>
      <c r="P454" s="6" t="str">
        <f t="shared" si="2"/>
        <v>Commercial Services &amp; Supplies</v>
      </c>
    </row>
    <row r="455" hidden="1">
      <c r="A455" s="3" t="s">
        <v>2100</v>
      </c>
      <c r="B455" s="4">
        <v>543996.0</v>
      </c>
      <c r="C455" s="3" t="s">
        <v>2101</v>
      </c>
      <c r="D455" s="3" t="s">
        <v>2102</v>
      </c>
      <c r="E455" s="3" t="s">
        <v>2103</v>
      </c>
      <c r="F455" s="3" t="s">
        <v>19</v>
      </c>
      <c r="G455" s="3" t="s">
        <v>112</v>
      </c>
      <c r="H455" s="3">
        <v>10.0</v>
      </c>
      <c r="I455" s="3" t="s">
        <v>2104</v>
      </c>
      <c r="J455" s="3" t="s">
        <v>22</v>
      </c>
      <c r="K455" s="3" t="s">
        <v>1673</v>
      </c>
      <c r="L455" s="3" t="s">
        <v>1673</v>
      </c>
      <c r="M455" s="3" t="s">
        <v>1674</v>
      </c>
      <c r="N455" s="3" t="s">
        <v>1675</v>
      </c>
      <c r="O455" s="5">
        <v>2067.4394625</v>
      </c>
      <c r="P455" s="6" t="str">
        <f t="shared" si="2"/>
        <v>Commercial Services &amp; Supplies</v>
      </c>
    </row>
    <row r="456" hidden="1">
      <c r="A456" s="3" t="s">
        <v>2105</v>
      </c>
      <c r="B456" s="4">
        <v>505526.0</v>
      </c>
      <c r="C456" s="3" t="s">
        <v>2106</v>
      </c>
      <c r="D456" s="3" t="s">
        <v>2107</v>
      </c>
      <c r="E456" s="3" t="s">
        <v>2108</v>
      </c>
      <c r="F456" s="3" t="s">
        <v>19</v>
      </c>
      <c r="G456" s="3" t="s">
        <v>112</v>
      </c>
      <c r="H456" s="3">
        <v>1.0</v>
      </c>
      <c r="I456" s="3" t="s">
        <v>2105</v>
      </c>
      <c r="J456" s="3" t="s">
        <v>22</v>
      </c>
      <c r="K456" s="3" t="s">
        <v>204</v>
      </c>
      <c r="L456" s="3" t="s">
        <v>204</v>
      </c>
      <c r="M456" s="3" t="s">
        <v>205</v>
      </c>
      <c r="N456" s="3" t="s">
        <v>2109</v>
      </c>
      <c r="O456" s="5">
        <v>2276.1163416</v>
      </c>
      <c r="P456" s="6" t="str">
        <f t="shared" si="2"/>
        <v>Capital Markets</v>
      </c>
    </row>
    <row r="457">
      <c r="A457" s="3" t="s">
        <v>1161</v>
      </c>
      <c r="B457" s="4">
        <v>533151.0</v>
      </c>
      <c r="C457" s="3" t="s">
        <v>2110</v>
      </c>
      <c r="D457" s="3" t="s">
        <v>2111</v>
      </c>
      <c r="E457" s="3" t="s">
        <v>2112</v>
      </c>
      <c r="F457" s="3" t="s">
        <v>19</v>
      </c>
      <c r="G457" s="3" t="s">
        <v>112</v>
      </c>
      <c r="H457" s="3">
        <v>10.0</v>
      </c>
      <c r="I457" s="3" t="s">
        <v>2113</v>
      </c>
      <c r="J457" s="3" t="s">
        <v>22</v>
      </c>
      <c r="K457" s="3" t="s">
        <v>58</v>
      </c>
      <c r="L457" s="3" t="s">
        <v>182</v>
      </c>
      <c r="M457" s="3" t="s">
        <v>183</v>
      </c>
      <c r="N457" s="3" t="s">
        <v>184</v>
      </c>
      <c r="O457" s="5">
        <v>5745.0781937</v>
      </c>
      <c r="P457" s="6" t="str">
        <f t="shared" si="2"/>
        <v>Media</v>
      </c>
    </row>
    <row r="458">
      <c r="A458" s="3" t="s">
        <v>1167</v>
      </c>
      <c r="B458" s="4">
        <v>533155.0</v>
      </c>
      <c r="C458" s="3" t="s">
        <v>2114</v>
      </c>
      <c r="D458" s="3" t="s">
        <v>2115</v>
      </c>
      <c r="E458" s="3" t="s">
        <v>2116</v>
      </c>
      <c r="F458" s="3" t="s">
        <v>19</v>
      </c>
      <c r="G458" s="3" t="s">
        <v>20</v>
      </c>
      <c r="H458" s="3">
        <v>2.0</v>
      </c>
      <c r="I458" s="3" t="s">
        <v>2117</v>
      </c>
      <c r="J458" s="3" t="s">
        <v>22</v>
      </c>
      <c r="K458" s="3" t="s">
        <v>58</v>
      </c>
      <c r="L458" s="3" t="s">
        <v>73</v>
      </c>
      <c r="M458" s="3" t="s">
        <v>74</v>
      </c>
      <c r="N458" s="3" t="s">
        <v>1162</v>
      </c>
      <c r="O458" s="5">
        <v>36618.5112163</v>
      </c>
      <c r="P458" s="6" t="str">
        <f t="shared" si="2"/>
        <v>Leisure Services</v>
      </c>
    </row>
    <row r="459" hidden="1">
      <c r="A459" s="3" t="s">
        <v>2118</v>
      </c>
      <c r="B459" s="4">
        <v>523445.0</v>
      </c>
      <c r="C459" s="3" t="s">
        <v>2119</v>
      </c>
      <c r="D459" s="3" t="s">
        <v>2120</v>
      </c>
      <c r="E459" s="3" t="s">
        <v>2121</v>
      </c>
      <c r="F459" s="3" t="s">
        <v>19</v>
      </c>
      <c r="G459" s="3" t="s">
        <v>20</v>
      </c>
      <c r="H459" s="3">
        <v>10.0</v>
      </c>
      <c r="I459" s="3" t="s">
        <v>2122</v>
      </c>
      <c r="J459" s="3" t="s">
        <v>22</v>
      </c>
      <c r="K459" s="3" t="s">
        <v>1673</v>
      </c>
      <c r="L459" s="3" t="s">
        <v>1673</v>
      </c>
      <c r="M459" s="3" t="s">
        <v>1689</v>
      </c>
      <c r="N459" s="3" t="s">
        <v>1690</v>
      </c>
      <c r="O459" s="5">
        <v>2018.9165335</v>
      </c>
      <c r="P459" s="6" t="str">
        <f t="shared" si="2"/>
        <v>Transport Services</v>
      </c>
    </row>
    <row r="460" hidden="1">
      <c r="A460" s="3" t="s">
        <v>2123</v>
      </c>
      <c r="B460" s="4">
        <v>505590.0</v>
      </c>
      <c r="C460" s="3" t="s">
        <v>2124</v>
      </c>
      <c r="D460" s="3" t="s">
        <v>2125</v>
      </c>
      <c r="E460" s="3" t="s">
        <v>2126</v>
      </c>
      <c r="F460" s="3" t="s">
        <v>19</v>
      </c>
      <c r="G460" s="3" t="s">
        <v>112</v>
      </c>
      <c r="H460" s="3">
        <v>1.0</v>
      </c>
      <c r="I460" s="3" t="s">
        <v>2123</v>
      </c>
      <c r="J460" s="3" t="s">
        <v>22</v>
      </c>
      <c r="K460" s="3" t="s">
        <v>58</v>
      </c>
      <c r="L460" s="3" t="s">
        <v>80</v>
      </c>
      <c r="M460" s="3" t="s">
        <v>81</v>
      </c>
      <c r="N460" s="3" t="s">
        <v>82</v>
      </c>
      <c r="O460" s="5">
        <v>99.5328092</v>
      </c>
      <c r="P460" s="6" t="str">
        <f t="shared" si="2"/>
        <v>Textiles &amp; Apparels</v>
      </c>
    </row>
    <row r="461" hidden="1">
      <c r="A461" s="3" t="s">
        <v>2127</v>
      </c>
      <c r="B461" s="4">
        <v>505400.0</v>
      </c>
      <c r="C461" s="3" t="s">
        <v>2128</v>
      </c>
      <c r="D461" s="3" t="s">
        <v>2129</v>
      </c>
      <c r="E461" s="3" t="s">
        <v>2130</v>
      </c>
      <c r="F461" s="3" t="s">
        <v>19</v>
      </c>
      <c r="G461" s="3" t="s">
        <v>112</v>
      </c>
      <c r="H461" s="3">
        <v>1.0</v>
      </c>
      <c r="I461" s="3" t="s">
        <v>2069</v>
      </c>
      <c r="J461" s="3" t="s">
        <v>22</v>
      </c>
      <c r="K461" s="3" t="s">
        <v>1673</v>
      </c>
      <c r="L461" s="3" t="s">
        <v>1673</v>
      </c>
      <c r="M461" s="3" t="s">
        <v>1674</v>
      </c>
      <c r="N461" s="3" t="s">
        <v>1675</v>
      </c>
      <c r="O461" s="5">
        <v>1841.3109</v>
      </c>
      <c r="P461" s="6" t="str">
        <f t="shared" si="2"/>
        <v>Commercial Services &amp; Supplies</v>
      </c>
    </row>
    <row r="462" hidden="1">
      <c r="A462" s="3" t="s">
        <v>2131</v>
      </c>
      <c r="B462" s="4">
        <v>505650.0</v>
      </c>
      <c r="C462" s="3" t="s">
        <v>2132</v>
      </c>
      <c r="D462" s="3" t="s">
        <v>2133</v>
      </c>
      <c r="E462" s="3" t="s">
        <v>2134</v>
      </c>
      <c r="F462" s="3" t="s">
        <v>19</v>
      </c>
      <c r="G462" s="3" t="s">
        <v>72</v>
      </c>
      <c r="H462" s="3">
        <v>1.0</v>
      </c>
      <c r="I462" s="3" t="s">
        <v>2131</v>
      </c>
      <c r="J462" s="3" t="s">
        <v>22</v>
      </c>
      <c r="K462" s="3" t="s">
        <v>58</v>
      </c>
      <c r="L462" s="3" t="s">
        <v>59</v>
      </c>
      <c r="M462" s="3" t="s">
        <v>59</v>
      </c>
      <c r="N462" s="3" t="s">
        <v>60</v>
      </c>
      <c r="O462" s="5">
        <v>98.9500622</v>
      </c>
      <c r="P462" s="6" t="str">
        <f t="shared" si="2"/>
        <v>Residential, Commercial Projects</v>
      </c>
    </row>
    <row r="463" hidden="1">
      <c r="A463" s="3" t="s">
        <v>2135</v>
      </c>
      <c r="B463" s="4">
        <v>505681.0</v>
      </c>
      <c r="C463" s="3" t="s">
        <v>2136</v>
      </c>
      <c r="D463" s="3" t="s">
        <v>2137</v>
      </c>
      <c r="E463" s="3" t="s">
        <v>2138</v>
      </c>
      <c r="F463" s="3" t="s">
        <v>19</v>
      </c>
      <c r="G463" s="3" t="s">
        <v>44</v>
      </c>
      <c r="H463" s="3">
        <v>10.0</v>
      </c>
      <c r="I463" s="3" t="s">
        <v>2135</v>
      </c>
      <c r="J463" s="3" t="s">
        <v>22</v>
      </c>
      <c r="K463" s="3" t="s">
        <v>58</v>
      </c>
      <c r="L463" s="3" t="s">
        <v>133</v>
      </c>
      <c r="M463" s="3" t="s">
        <v>134</v>
      </c>
      <c r="N463" s="3" t="s">
        <v>135</v>
      </c>
      <c r="O463" s="5">
        <v>243.5905634</v>
      </c>
      <c r="P463" s="6" t="str">
        <f t="shared" si="2"/>
        <v>Auto Components &amp; Equipments</v>
      </c>
    </row>
    <row r="464" hidden="1">
      <c r="A464" s="3" t="s">
        <v>2139</v>
      </c>
      <c r="B464" s="4">
        <v>505685.0</v>
      </c>
      <c r="C464" s="3" t="s">
        <v>2140</v>
      </c>
      <c r="D464" s="3" t="s">
        <v>2141</v>
      </c>
      <c r="E464" s="3" t="s">
        <v>2142</v>
      </c>
      <c r="F464" s="3" t="s">
        <v>19</v>
      </c>
      <c r="G464" s="3" t="s">
        <v>72</v>
      </c>
      <c r="H464" s="3">
        <v>10.0</v>
      </c>
      <c r="I464" s="3" t="s">
        <v>2139</v>
      </c>
      <c r="J464" s="3" t="s">
        <v>22</v>
      </c>
      <c r="K464" s="3" t="s">
        <v>97</v>
      </c>
      <c r="L464" s="3" t="s">
        <v>98</v>
      </c>
      <c r="M464" s="3" t="s">
        <v>100</v>
      </c>
      <c r="N464" s="3" t="s">
        <v>612</v>
      </c>
      <c r="O464" s="5">
        <v>1.0</v>
      </c>
      <c r="P464" s="6" t="str">
        <f t="shared" si="2"/>
        <v>Industrial Products</v>
      </c>
    </row>
    <row r="465" hidden="1">
      <c r="A465" s="3" t="s">
        <v>2143</v>
      </c>
      <c r="B465" s="4">
        <v>505688.0</v>
      </c>
      <c r="C465" s="3" t="s">
        <v>2144</v>
      </c>
      <c r="D465" s="3" t="s">
        <v>2145</v>
      </c>
      <c r="E465" s="3" t="s">
        <v>2146</v>
      </c>
      <c r="F465" s="3" t="s">
        <v>19</v>
      </c>
      <c r="G465" s="3" t="s">
        <v>112</v>
      </c>
      <c r="H465" s="3">
        <v>10.0</v>
      </c>
      <c r="I465" s="3" t="s">
        <v>2143</v>
      </c>
      <c r="J465" s="3" t="s">
        <v>22</v>
      </c>
      <c r="K465" s="3" t="s">
        <v>58</v>
      </c>
      <c r="L465" s="3" t="s">
        <v>133</v>
      </c>
      <c r="M465" s="3" t="s">
        <v>134</v>
      </c>
      <c r="N465" s="3" t="s">
        <v>135</v>
      </c>
      <c r="O465" s="5">
        <v>169.9194281</v>
      </c>
      <c r="P465" s="6" t="str">
        <f t="shared" si="2"/>
        <v>Auto Components &amp; Equipments</v>
      </c>
    </row>
    <row r="466" hidden="1">
      <c r="A466" s="3" t="s">
        <v>2147</v>
      </c>
      <c r="B466" s="4">
        <v>505690.0</v>
      </c>
      <c r="C466" s="3" t="s">
        <v>2148</v>
      </c>
      <c r="D466" s="3" t="s">
        <v>2149</v>
      </c>
      <c r="E466" s="3" t="s">
        <v>2150</v>
      </c>
      <c r="F466" s="3" t="s">
        <v>19</v>
      </c>
      <c r="G466" s="3" t="s">
        <v>44</v>
      </c>
      <c r="H466" s="3">
        <v>10.0</v>
      </c>
      <c r="I466" s="3" t="s">
        <v>2147</v>
      </c>
      <c r="J466" s="3" t="s">
        <v>22</v>
      </c>
      <c r="K466" s="3" t="s">
        <v>97</v>
      </c>
      <c r="L466" s="3" t="s">
        <v>98</v>
      </c>
      <c r="M466" s="3" t="s">
        <v>1993</v>
      </c>
      <c r="N466" s="3" t="s">
        <v>1999</v>
      </c>
      <c r="O466" s="5">
        <v>282.0746335</v>
      </c>
      <c r="P466" s="6" t="str">
        <f t="shared" si="2"/>
        <v>Agricultural, Commercial &amp; Construction Vehicles</v>
      </c>
    </row>
    <row r="467" hidden="1">
      <c r="A467" s="3" t="s">
        <v>2151</v>
      </c>
      <c r="B467" s="4">
        <v>505693.0</v>
      </c>
      <c r="C467" s="3" t="s">
        <v>2152</v>
      </c>
      <c r="D467" s="3" t="s">
        <v>2153</v>
      </c>
      <c r="E467" s="3" t="s">
        <v>2154</v>
      </c>
      <c r="F467" s="3" t="s">
        <v>19</v>
      </c>
      <c r="G467" s="3" t="s">
        <v>44</v>
      </c>
      <c r="H467" s="3">
        <v>1.0</v>
      </c>
      <c r="I467" s="3" t="s">
        <v>2151</v>
      </c>
      <c r="J467" s="3" t="s">
        <v>22</v>
      </c>
      <c r="K467" s="3" t="s">
        <v>23</v>
      </c>
      <c r="L467" s="3" t="s">
        <v>65</v>
      </c>
      <c r="M467" s="3" t="s">
        <v>438</v>
      </c>
      <c r="N467" s="3" t="s">
        <v>2155</v>
      </c>
      <c r="O467" s="5">
        <v>246.8298047</v>
      </c>
      <c r="P467" s="6" t="str">
        <f t="shared" si="2"/>
        <v>Metals &amp; Minerals Trading</v>
      </c>
    </row>
    <row r="468">
      <c r="A468" s="3" t="s">
        <v>2156</v>
      </c>
      <c r="B468" s="4">
        <v>533160.0</v>
      </c>
      <c r="C468" s="3" t="s">
        <v>2157</v>
      </c>
      <c r="D468" s="3" t="s">
        <v>2158</v>
      </c>
      <c r="E468" s="3" t="s">
        <v>2159</v>
      </c>
      <c r="F468" s="3" t="s">
        <v>19</v>
      </c>
      <c r="G468" s="3" t="s">
        <v>20</v>
      </c>
      <c r="H468" s="3">
        <v>10.0</v>
      </c>
      <c r="I468" s="3" t="s">
        <v>2160</v>
      </c>
      <c r="J468" s="3" t="s">
        <v>22</v>
      </c>
      <c r="K468" s="3" t="s">
        <v>58</v>
      </c>
      <c r="L468" s="3" t="s">
        <v>59</v>
      </c>
      <c r="M468" s="3" t="s">
        <v>59</v>
      </c>
      <c r="N468" s="3" t="s">
        <v>60</v>
      </c>
      <c r="O468" s="5">
        <v>10257.9119</v>
      </c>
      <c r="P468" s="6" t="str">
        <f t="shared" si="2"/>
        <v>Residential, Commercial Projects</v>
      </c>
    </row>
    <row r="469" hidden="1">
      <c r="A469" s="3" t="s">
        <v>2161</v>
      </c>
      <c r="B469" s="4">
        <v>505703.0</v>
      </c>
      <c r="C469" s="3" t="s">
        <v>2162</v>
      </c>
      <c r="D469" s="3" t="s">
        <v>2163</v>
      </c>
      <c r="E469" s="3" t="s">
        <v>2164</v>
      </c>
      <c r="F469" s="3" t="s">
        <v>19</v>
      </c>
      <c r="G469" s="3" t="s">
        <v>44</v>
      </c>
      <c r="H469" s="3">
        <v>10.0</v>
      </c>
      <c r="I469" s="3" t="s">
        <v>2161</v>
      </c>
      <c r="J469" s="3" t="s">
        <v>22</v>
      </c>
      <c r="K469" s="3" t="s">
        <v>97</v>
      </c>
      <c r="L469" s="3" t="s">
        <v>98</v>
      </c>
      <c r="M469" s="3" t="s">
        <v>99</v>
      </c>
      <c r="N469" s="3" t="s">
        <v>100</v>
      </c>
      <c r="O469" s="5">
        <v>1.0</v>
      </c>
      <c r="P469" s="6" t="str">
        <f t="shared" si="2"/>
        <v>Industrial Products</v>
      </c>
    </row>
    <row r="470" hidden="1">
      <c r="A470" s="3" t="s">
        <v>2165</v>
      </c>
      <c r="B470" s="4">
        <v>505710.0</v>
      </c>
      <c r="C470" s="3" t="s">
        <v>2166</v>
      </c>
      <c r="D470" s="3" t="s">
        <v>2167</v>
      </c>
      <c r="E470" s="3" t="s">
        <v>2168</v>
      </c>
      <c r="F470" s="3" t="s">
        <v>19</v>
      </c>
      <c r="G470" s="3" t="s">
        <v>112</v>
      </c>
      <c r="H470" s="3">
        <v>1.0</v>
      </c>
      <c r="I470" s="3" t="s">
        <v>2165</v>
      </c>
      <c r="J470" s="3" t="s">
        <v>22</v>
      </c>
      <c r="K470" s="3" t="s">
        <v>23</v>
      </c>
      <c r="L470" s="3" t="s">
        <v>24</v>
      </c>
      <c r="M470" s="3" t="s">
        <v>25</v>
      </c>
      <c r="N470" s="3" t="s">
        <v>52</v>
      </c>
      <c r="O470" s="5">
        <v>3960.9400406</v>
      </c>
      <c r="P470" s="6" t="str">
        <f t="shared" si="2"/>
        <v>Chemicals &amp; Petrochemicals</v>
      </c>
    </row>
    <row r="471" hidden="1">
      <c r="A471" s="3" t="s">
        <v>2169</v>
      </c>
      <c r="B471" s="4">
        <v>505712.0</v>
      </c>
      <c r="C471" s="3" t="s">
        <v>2170</v>
      </c>
      <c r="D471" s="3" t="s">
        <v>2171</v>
      </c>
      <c r="E471" s="3" t="s">
        <v>2172</v>
      </c>
      <c r="F471" s="3" t="s">
        <v>19</v>
      </c>
      <c r="G471" s="3" t="s">
        <v>44</v>
      </c>
      <c r="H471" s="3">
        <v>2.0</v>
      </c>
      <c r="I471" s="3" t="s">
        <v>2169</v>
      </c>
      <c r="J471" s="3" t="s">
        <v>22</v>
      </c>
      <c r="K471" s="3" t="s">
        <v>58</v>
      </c>
      <c r="L471" s="3" t="s">
        <v>133</v>
      </c>
      <c r="M471" s="3" t="s">
        <v>134</v>
      </c>
      <c r="N471" s="3" t="s">
        <v>135</v>
      </c>
      <c r="O471" s="5">
        <v>154.710001</v>
      </c>
      <c r="P471" s="6" t="str">
        <f t="shared" si="2"/>
        <v>Auto Components &amp; Equipments</v>
      </c>
    </row>
    <row r="472">
      <c r="A472" s="3" t="s">
        <v>1173</v>
      </c>
      <c r="B472" s="4">
        <v>533273.0</v>
      </c>
      <c r="C472" s="3" t="s">
        <v>2173</v>
      </c>
      <c r="D472" s="3" t="s">
        <v>2174</v>
      </c>
      <c r="E472" s="3" t="s">
        <v>2175</v>
      </c>
      <c r="F472" s="3" t="s">
        <v>19</v>
      </c>
      <c r="G472" s="3" t="s">
        <v>20</v>
      </c>
      <c r="H472" s="3">
        <v>10.0</v>
      </c>
      <c r="I472" s="3" t="s">
        <v>2176</v>
      </c>
      <c r="J472" s="3" t="s">
        <v>22</v>
      </c>
      <c r="K472" s="3" t="s">
        <v>58</v>
      </c>
      <c r="L472" s="3" t="s">
        <v>59</v>
      </c>
      <c r="M472" s="3" t="s">
        <v>59</v>
      </c>
      <c r="N472" s="3" t="s">
        <v>60</v>
      </c>
      <c r="O472" s="5">
        <v>65642.8540928</v>
      </c>
      <c r="P472" s="6" t="str">
        <f t="shared" si="2"/>
        <v>Residential, Commercial Projects</v>
      </c>
    </row>
    <row r="473" hidden="1">
      <c r="A473" s="3" t="s">
        <v>2177</v>
      </c>
      <c r="B473" s="4">
        <v>505720.0</v>
      </c>
      <c r="C473" s="3" t="s">
        <v>2178</v>
      </c>
      <c r="D473" s="3" t="s">
        <v>2179</v>
      </c>
      <c r="E473" s="3" t="s">
        <v>2180</v>
      </c>
      <c r="F473" s="3" t="s">
        <v>19</v>
      </c>
      <c r="G473" s="3" t="s">
        <v>112</v>
      </c>
      <c r="H473" s="3">
        <v>1.0</v>
      </c>
      <c r="I473" s="3" t="s">
        <v>2177</v>
      </c>
      <c r="J473" s="3" t="s">
        <v>22</v>
      </c>
      <c r="K473" s="3" t="s">
        <v>97</v>
      </c>
      <c r="L473" s="3" t="s">
        <v>98</v>
      </c>
      <c r="M473" s="3" t="s">
        <v>99</v>
      </c>
      <c r="N473" s="3" t="s">
        <v>100</v>
      </c>
      <c r="O473" s="5">
        <v>1801.3169201</v>
      </c>
      <c r="P473" s="6" t="str">
        <f t="shared" si="2"/>
        <v>Industrial Products</v>
      </c>
    </row>
    <row r="474" hidden="1">
      <c r="A474" s="3" t="s">
        <v>2181</v>
      </c>
      <c r="B474" s="4">
        <v>505725.0</v>
      </c>
      <c r="C474" s="3" t="s">
        <v>2182</v>
      </c>
      <c r="D474" s="3" t="s">
        <v>2183</v>
      </c>
      <c r="E474" s="3" t="s">
        <v>2184</v>
      </c>
      <c r="F474" s="3" t="s">
        <v>19</v>
      </c>
      <c r="G474" s="3" t="s">
        <v>44</v>
      </c>
      <c r="H474" s="3">
        <v>2.0</v>
      </c>
      <c r="I474" s="3" t="s">
        <v>2181</v>
      </c>
      <c r="J474" s="3" t="s">
        <v>22</v>
      </c>
      <c r="K474" s="3" t="s">
        <v>204</v>
      </c>
      <c r="L474" s="3" t="s">
        <v>204</v>
      </c>
      <c r="M474" s="3" t="s">
        <v>378</v>
      </c>
      <c r="N474" s="3" t="s">
        <v>468</v>
      </c>
      <c r="O474" s="5">
        <v>979.8727442</v>
      </c>
      <c r="P474" s="6" t="str">
        <f t="shared" si="2"/>
        <v>Finance</v>
      </c>
    </row>
    <row r="475">
      <c r="A475" s="3" t="s">
        <v>1177</v>
      </c>
      <c r="B475" s="4">
        <v>533274.0</v>
      </c>
      <c r="C475" s="3" t="s">
        <v>2185</v>
      </c>
      <c r="D475" s="3" t="s">
        <v>2186</v>
      </c>
      <c r="E475" s="3" t="s">
        <v>2187</v>
      </c>
      <c r="F475" s="3" t="s">
        <v>19</v>
      </c>
      <c r="G475" s="3" t="s">
        <v>20</v>
      </c>
      <c r="H475" s="3">
        <v>10.0</v>
      </c>
      <c r="I475" s="3" t="s">
        <v>2188</v>
      </c>
      <c r="J475" s="3" t="s">
        <v>22</v>
      </c>
      <c r="K475" s="3" t="s">
        <v>58</v>
      </c>
      <c r="L475" s="3" t="s">
        <v>59</v>
      </c>
      <c r="M475" s="3" t="s">
        <v>59</v>
      </c>
      <c r="N475" s="3" t="s">
        <v>60</v>
      </c>
      <c r="O475" s="5">
        <v>76019.5914675</v>
      </c>
      <c r="P475" s="6" t="str">
        <f t="shared" si="2"/>
        <v>Residential, Commercial Projects</v>
      </c>
    </row>
    <row r="476" hidden="1">
      <c r="A476" s="3" t="s">
        <v>2189</v>
      </c>
      <c r="B476" s="4">
        <v>505729.0</v>
      </c>
      <c r="C476" s="3" t="s">
        <v>2190</v>
      </c>
      <c r="D476" s="3" t="s">
        <v>2191</v>
      </c>
      <c r="E476" s="3" t="s">
        <v>2192</v>
      </c>
      <c r="F476" s="3" t="s">
        <v>19</v>
      </c>
      <c r="G476" s="3" t="s">
        <v>44</v>
      </c>
      <c r="H476" s="3">
        <v>2.0</v>
      </c>
      <c r="I476" s="3" t="s">
        <v>2189</v>
      </c>
      <c r="J476" s="3" t="s">
        <v>22</v>
      </c>
      <c r="K476" s="3" t="s">
        <v>58</v>
      </c>
      <c r="L476" s="3" t="s">
        <v>211</v>
      </c>
      <c r="M476" s="3" t="s">
        <v>211</v>
      </c>
      <c r="N476" s="3" t="s">
        <v>882</v>
      </c>
      <c r="O476" s="5">
        <v>557.5072049</v>
      </c>
      <c r="P476" s="6" t="str">
        <f t="shared" si="2"/>
        <v>Consumer Durables</v>
      </c>
    </row>
    <row r="477" hidden="1">
      <c r="A477" s="3" t="s">
        <v>2193</v>
      </c>
      <c r="B477" s="4">
        <v>505737.0</v>
      </c>
      <c r="C477" s="3" t="s">
        <v>2194</v>
      </c>
      <c r="D477" s="3" t="s">
        <v>2195</v>
      </c>
      <c r="E477" s="3" t="s">
        <v>2196</v>
      </c>
      <c r="F477" s="3" t="s">
        <v>19</v>
      </c>
      <c r="G477" s="3" t="s">
        <v>44</v>
      </c>
      <c r="H477" s="3">
        <v>10.0</v>
      </c>
      <c r="I477" s="3" t="s">
        <v>2193</v>
      </c>
      <c r="J477" s="3" t="s">
        <v>22</v>
      </c>
      <c r="K477" s="3" t="s">
        <v>97</v>
      </c>
      <c r="L477" s="3" t="s">
        <v>98</v>
      </c>
      <c r="M477" s="3" t="s">
        <v>99</v>
      </c>
      <c r="N477" s="3" t="s">
        <v>100</v>
      </c>
      <c r="O477" s="5">
        <v>382.91064</v>
      </c>
      <c r="P477" s="6" t="str">
        <f t="shared" si="2"/>
        <v>Industrial Products</v>
      </c>
    </row>
    <row r="478" hidden="1">
      <c r="A478" s="3" t="s">
        <v>2197</v>
      </c>
      <c r="B478" s="4">
        <v>505744.0</v>
      </c>
      <c r="C478" s="3" t="s">
        <v>2198</v>
      </c>
      <c r="D478" s="3" t="s">
        <v>2199</v>
      </c>
      <c r="E478" s="3" t="s">
        <v>2200</v>
      </c>
      <c r="F478" s="3" t="s">
        <v>19</v>
      </c>
      <c r="G478" s="3" t="s">
        <v>112</v>
      </c>
      <c r="H478" s="3">
        <v>10.0</v>
      </c>
      <c r="I478" s="3" t="s">
        <v>2197</v>
      </c>
      <c r="J478" s="3" t="s">
        <v>22</v>
      </c>
      <c r="K478" s="3" t="s">
        <v>58</v>
      </c>
      <c r="L478" s="3" t="s">
        <v>133</v>
      </c>
      <c r="M478" s="3" t="s">
        <v>134</v>
      </c>
      <c r="N478" s="3" t="s">
        <v>135</v>
      </c>
      <c r="O478" s="5">
        <v>2437.1496722</v>
      </c>
      <c r="P478" s="6" t="str">
        <f t="shared" si="2"/>
        <v>Auto Components &amp; Equipments</v>
      </c>
    </row>
    <row r="479" hidden="1">
      <c r="A479" s="3" t="s">
        <v>2201</v>
      </c>
      <c r="B479" s="4">
        <v>505750.0</v>
      </c>
      <c r="C479" s="3" t="s">
        <v>2202</v>
      </c>
      <c r="D479" s="3" t="s">
        <v>2203</v>
      </c>
      <c r="E479" s="3" t="s">
        <v>2204</v>
      </c>
      <c r="F479" s="3" t="s">
        <v>19</v>
      </c>
      <c r="G479" s="3" t="s">
        <v>44</v>
      </c>
      <c r="H479" s="3">
        <v>2.0</v>
      </c>
      <c r="I479" s="3" t="s">
        <v>2201</v>
      </c>
      <c r="J479" s="3" t="s">
        <v>22</v>
      </c>
      <c r="K479" s="3" t="s">
        <v>97</v>
      </c>
      <c r="L479" s="3" t="s">
        <v>98</v>
      </c>
      <c r="M479" s="3" t="s">
        <v>99</v>
      </c>
      <c r="N479" s="3" t="s">
        <v>100</v>
      </c>
      <c r="O479" s="5">
        <v>500.9129796</v>
      </c>
      <c r="P479" s="6" t="str">
        <f t="shared" si="2"/>
        <v>Industrial Products</v>
      </c>
    </row>
    <row r="480">
      <c r="A480" s="3" t="s">
        <v>1182</v>
      </c>
      <c r="B480" s="4">
        <v>533581.0</v>
      </c>
      <c r="C480" s="3" t="s">
        <v>2205</v>
      </c>
      <c r="D480" s="3" t="s">
        <v>2206</v>
      </c>
      <c r="E480" s="3" t="s">
        <v>2207</v>
      </c>
      <c r="F480" s="3" t="s">
        <v>19</v>
      </c>
      <c r="G480" s="3" t="s">
        <v>20</v>
      </c>
      <c r="H480" s="3">
        <v>10.0</v>
      </c>
      <c r="I480" s="3" t="s">
        <v>2208</v>
      </c>
      <c r="J480" s="3" t="s">
        <v>22</v>
      </c>
      <c r="K480" s="3" t="s">
        <v>58</v>
      </c>
      <c r="L480" s="3" t="s">
        <v>211</v>
      </c>
      <c r="M480" s="3" t="s">
        <v>211</v>
      </c>
      <c r="N480" s="3" t="s">
        <v>212</v>
      </c>
      <c r="O480" s="5">
        <v>9037.8045746</v>
      </c>
      <c r="P480" s="6" t="str">
        <f t="shared" si="2"/>
        <v>Consumer Durables</v>
      </c>
    </row>
    <row r="481" hidden="1">
      <c r="A481" s="3" t="s">
        <v>2209</v>
      </c>
      <c r="B481" s="4">
        <v>505797.0</v>
      </c>
      <c r="C481" s="3" t="s">
        <v>2210</v>
      </c>
      <c r="D481" s="3" t="s">
        <v>2211</v>
      </c>
      <c r="E481" s="3" t="s">
        <v>2212</v>
      </c>
      <c r="F481" s="3" t="s">
        <v>19</v>
      </c>
      <c r="G481" s="3" t="s">
        <v>72</v>
      </c>
      <c r="H481" s="3">
        <v>10.0</v>
      </c>
      <c r="I481" s="3" t="s">
        <v>2209</v>
      </c>
      <c r="J481" s="3" t="s">
        <v>22</v>
      </c>
      <c r="K481" s="3" t="s">
        <v>97</v>
      </c>
      <c r="L481" s="3" t="s">
        <v>98</v>
      </c>
      <c r="M481" s="3" t="s">
        <v>99</v>
      </c>
      <c r="N481" s="3" t="s">
        <v>100</v>
      </c>
      <c r="O481" s="5">
        <v>1.0</v>
      </c>
      <c r="P481" s="6" t="str">
        <f t="shared" si="2"/>
        <v>Industrial Products</v>
      </c>
    </row>
    <row r="482" hidden="1">
      <c r="A482" s="3" t="s">
        <v>2213</v>
      </c>
      <c r="B482" s="4">
        <v>505800.0</v>
      </c>
      <c r="C482" s="3" t="s">
        <v>2214</v>
      </c>
      <c r="D482" s="3" t="s">
        <v>2215</v>
      </c>
      <c r="E482" s="3" t="s">
        <v>2216</v>
      </c>
      <c r="F482" s="3" t="s">
        <v>19</v>
      </c>
      <c r="G482" s="3" t="s">
        <v>112</v>
      </c>
      <c r="H482" s="3">
        <v>10.0</v>
      </c>
      <c r="I482" s="3" t="s">
        <v>2213</v>
      </c>
      <c r="J482" s="3" t="s">
        <v>22</v>
      </c>
      <c r="K482" s="3" t="s">
        <v>204</v>
      </c>
      <c r="L482" s="3" t="s">
        <v>204</v>
      </c>
      <c r="M482" s="3" t="s">
        <v>378</v>
      </c>
      <c r="N482" s="3" t="s">
        <v>463</v>
      </c>
      <c r="O482" s="5">
        <v>2176.34763</v>
      </c>
      <c r="P482" s="6" t="str">
        <f t="shared" si="2"/>
        <v>Finance</v>
      </c>
    </row>
    <row r="483" hidden="1">
      <c r="A483" s="3" t="s">
        <v>2217</v>
      </c>
      <c r="B483" s="4">
        <v>505807.0</v>
      </c>
      <c r="C483" s="3" t="s">
        <v>2218</v>
      </c>
      <c r="D483" s="3" t="s">
        <v>2219</v>
      </c>
      <c r="E483" s="3" t="s">
        <v>2220</v>
      </c>
      <c r="F483" s="3" t="s">
        <v>19</v>
      </c>
      <c r="G483" s="3" t="s">
        <v>1858</v>
      </c>
      <c r="H483" s="3">
        <v>10.0</v>
      </c>
      <c r="I483" s="3" t="s">
        <v>2217</v>
      </c>
      <c r="J483" s="3" t="s">
        <v>22</v>
      </c>
      <c r="K483" s="3" t="s">
        <v>97</v>
      </c>
      <c r="L483" s="3" t="s">
        <v>98</v>
      </c>
      <c r="M483" s="3" t="s">
        <v>100</v>
      </c>
      <c r="N483" s="3" t="s">
        <v>1386</v>
      </c>
      <c r="O483" s="5">
        <v>41.1843603</v>
      </c>
      <c r="P483" s="6" t="str">
        <f t="shared" si="2"/>
        <v>Industrial Products</v>
      </c>
    </row>
    <row r="484" hidden="1">
      <c r="A484" s="3" t="s">
        <v>2221</v>
      </c>
      <c r="B484" s="4">
        <v>505827.0</v>
      </c>
      <c r="C484" s="3" t="s">
        <v>2222</v>
      </c>
      <c r="D484" s="3" t="s">
        <v>2223</v>
      </c>
      <c r="E484" s="3" t="s">
        <v>2224</v>
      </c>
      <c r="F484" s="3" t="s">
        <v>19</v>
      </c>
      <c r="G484" s="3" t="s">
        <v>44</v>
      </c>
      <c r="H484" s="3">
        <v>10.0</v>
      </c>
      <c r="I484" s="3" t="s">
        <v>2221</v>
      </c>
      <c r="J484" s="3" t="s">
        <v>22</v>
      </c>
      <c r="K484" s="3" t="s">
        <v>58</v>
      </c>
      <c r="L484" s="3" t="s">
        <v>133</v>
      </c>
      <c r="M484" s="3" t="s">
        <v>134</v>
      </c>
      <c r="N484" s="3" t="s">
        <v>135</v>
      </c>
      <c r="O484" s="5">
        <v>137.5221078</v>
      </c>
      <c r="P484" s="6" t="str">
        <f t="shared" si="2"/>
        <v>Auto Components &amp; Equipments</v>
      </c>
    </row>
    <row r="485" hidden="1">
      <c r="A485" s="3" t="s">
        <v>2225</v>
      </c>
      <c r="B485" s="4">
        <v>505840.0</v>
      </c>
      <c r="C485" s="3" t="s">
        <v>2226</v>
      </c>
      <c r="D485" s="3" t="s">
        <v>2227</v>
      </c>
      <c r="E485" s="3" t="s">
        <v>2228</v>
      </c>
      <c r="F485" s="3" t="s">
        <v>19</v>
      </c>
      <c r="G485" s="3" t="s">
        <v>44</v>
      </c>
      <c r="H485" s="3">
        <v>10.0</v>
      </c>
      <c r="I485" s="3" t="s">
        <v>2225</v>
      </c>
      <c r="J485" s="3" t="s">
        <v>22</v>
      </c>
      <c r="K485" s="3" t="s">
        <v>58</v>
      </c>
      <c r="L485" s="3" t="s">
        <v>211</v>
      </c>
      <c r="M485" s="3" t="s">
        <v>211</v>
      </c>
      <c r="N485" s="3" t="s">
        <v>882</v>
      </c>
      <c r="O485" s="5">
        <v>22.4656023</v>
      </c>
      <c r="P485" s="6" t="str">
        <f t="shared" si="2"/>
        <v>Consumer Durables</v>
      </c>
    </row>
    <row r="486" hidden="1">
      <c r="A486" s="3" t="s">
        <v>2229</v>
      </c>
      <c r="B486" s="4">
        <v>505850.0</v>
      </c>
      <c r="C486" s="3" t="s">
        <v>2230</v>
      </c>
      <c r="D486" s="3" t="s">
        <v>2231</v>
      </c>
      <c r="E486" s="3" t="s">
        <v>2232</v>
      </c>
      <c r="F486" s="3" t="s">
        <v>19</v>
      </c>
      <c r="G486" s="3" t="s">
        <v>44</v>
      </c>
      <c r="H486" s="3">
        <v>10.0</v>
      </c>
      <c r="I486" s="3" t="s">
        <v>2229</v>
      </c>
      <c r="J486" s="3" t="s">
        <v>22</v>
      </c>
      <c r="K486" s="3" t="s">
        <v>204</v>
      </c>
      <c r="L486" s="3" t="s">
        <v>204</v>
      </c>
      <c r="M486" s="3" t="s">
        <v>378</v>
      </c>
      <c r="N486" s="3" t="s">
        <v>379</v>
      </c>
      <c r="O486" s="5">
        <v>212.269183</v>
      </c>
      <c r="P486" s="6" t="str">
        <f t="shared" si="2"/>
        <v>Non Banking Financial Company (NBFC)</v>
      </c>
    </row>
    <row r="487" hidden="1">
      <c r="A487" s="3" t="s">
        <v>2233</v>
      </c>
      <c r="B487" s="4">
        <v>505854.0</v>
      </c>
      <c r="C487" s="3" t="s">
        <v>2234</v>
      </c>
      <c r="D487" s="3" t="s">
        <v>2235</v>
      </c>
      <c r="E487" s="3" t="s">
        <v>2236</v>
      </c>
      <c r="F487" s="3" t="s">
        <v>19</v>
      </c>
      <c r="G487" s="3" t="s">
        <v>86</v>
      </c>
      <c r="H487" s="3">
        <v>10.0</v>
      </c>
      <c r="I487" s="3" t="s">
        <v>2233</v>
      </c>
      <c r="J487" s="3" t="s">
        <v>22</v>
      </c>
      <c r="K487" s="3" t="s">
        <v>97</v>
      </c>
      <c r="L487" s="3" t="s">
        <v>98</v>
      </c>
      <c r="M487" s="3" t="s">
        <v>99</v>
      </c>
      <c r="N487" s="3" t="s">
        <v>100</v>
      </c>
      <c r="O487" s="5">
        <v>602.8222645</v>
      </c>
      <c r="P487" s="6" t="str">
        <f t="shared" si="2"/>
        <v>Industrial Products</v>
      </c>
    </row>
    <row r="488" hidden="1">
      <c r="A488" s="3" t="s">
        <v>2237</v>
      </c>
      <c r="B488" s="4">
        <v>505872.0</v>
      </c>
      <c r="C488" s="3" t="s">
        <v>2238</v>
      </c>
      <c r="D488" s="3" t="s">
        <v>2239</v>
      </c>
      <c r="E488" s="3" t="s">
        <v>2240</v>
      </c>
      <c r="F488" s="3" t="s">
        <v>19</v>
      </c>
      <c r="G488" s="3" t="s">
        <v>112</v>
      </c>
      <c r="H488" s="3">
        <v>10.0</v>
      </c>
      <c r="I488" s="3" t="s">
        <v>2237</v>
      </c>
      <c r="J488" s="3" t="s">
        <v>22</v>
      </c>
      <c r="K488" s="3" t="s">
        <v>97</v>
      </c>
      <c r="L488" s="3" t="s">
        <v>98</v>
      </c>
      <c r="M488" s="3" t="s">
        <v>99</v>
      </c>
      <c r="N488" s="3" t="s">
        <v>100</v>
      </c>
      <c r="O488" s="5">
        <v>4374.675132</v>
      </c>
      <c r="P488" s="6" t="str">
        <f t="shared" si="2"/>
        <v>Industrial Products</v>
      </c>
    </row>
    <row r="489">
      <c r="A489" s="3" t="s">
        <v>2241</v>
      </c>
      <c r="B489" s="4">
        <v>534597.0</v>
      </c>
      <c r="C489" s="3" t="s">
        <v>2242</v>
      </c>
      <c r="D489" s="3" t="s">
        <v>2243</v>
      </c>
      <c r="E489" s="3" t="s">
        <v>2244</v>
      </c>
      <c r="F489" s="3" t="s">
        <v>19</v>
      </c>
      <c r="G489" s="3" t="s">
        <v>20</v>
      </c>
      <c r="H489" s="3">
        <v>2.0</v>
      </c>
      <c r="I489" s="3" t="s">
        <v>2245</v>
      </c>
      <c r="J489" s="3" t="s">
        <v>22</v>
      </c>
      <c r="K489" s="3" t="s">
        <v>58</v>
      </c>
      <c r="L489" s="3" t="s">
        <v>73</v>
      </c>
      <c r="M489" s="3" t="s">
        <v>988</v>
      </c>
      <c r="N489" s="3" t="s">
        <v>2246</v>
      </c>
      <c r="O489" s="5">
        <v>11630.6282012</v>
      </c>
      <c r="P489" s="6" t="str">
        <f t="shared" si="2"/>
        <v>Retailing</v>
      </c>
    </row>
    <row r="490" hidden="1">
      <c r="A490" s="3" t="s">
        <v>2247</v>
      </c>
      <c r="B490" s="4">
        <v>505893.0</v>
      </c>
      <c r="C490" s="3" t="s">
        <v>2248</v>
      </c>
      <c r="D490" s="3" t="s">
        <v>2249</v>
      </c>
      <c r="E490" s="3" t="s">
        <v>2250</v>
      </c>
      <c r="F490" s="3" t="s">
        <v>19</v>
      </c>
      <c r="G490" s="3" t="s">
        <v>44</v>
      </c>
      <c r="H490" s="3">
        <v>10.0</v>
      </c>
      <c r="I490" s="3" t="s">
        <v>2247</v>
      </c>
      <c r="J490" s="3" t="s">
        <v>22</v>
      </c>
      <c r="K490" s="3" t="s">
        <v>58</v>
      </c>
      <c r="L490" s="3" t="s">
        <v>133</v>
      </c>
      <c r="M490" s="3" t="s">
        <v>134</v>
      </c>
      <c r="N490" s="3" t="s">
        <v>135</v>
      </c>
      <c r="O490" s="5">
        <v>84.8296085</v>
      </c>
      <c r="P490" s="6" t="str">
        <f t="shared" si="2"/>
        <v>Auto Components &amp; Equipments</v>
      </c>
    </row>
    <row r="491" hidden="1">
      <c r="A491" s="3" t="s">
        <v>2251</v>
      </c>
      <c r="B491" s="4">
        <v>505978.0</v>
      </c>
      <c r="C491" s="3" t="s">
        <v>2252</v>
      </c>
      <c r="D491" s="3" t="s">
        <v>2253</v>
      </c>
      <c r="E491" s="3" t="s">
        <v>2254</v>
      </c>
      <c r="F491" s="3" t="s">
        <v>19</v>
      </c>
      <c r="G491" s="3" t="s">
        <v>44</v>
      </c>
      <c r="H491" s="3">
        <v>10.0</v>
      </c>
      <c r="I491" s="3" t="s">
        <v>2251</v>
      </c>
      <c r="J491" s="3" t="s">
        <v>22</v>
      </c>
      <c r="K491" s="3" t="s">
        <v>58</v>
      </c>
      <c r="L491" s="3" t="s">
        <v>133</v>
      </c>
      <c r="M491" s="3" t="s">
        <v>134</v>
      </c>
      <c r="N491" s="3" t="s">
        <v>135</v>
      </c>
      <c r="O491" s="5">
        <v>385.42341</v>
      </c>
      <c r="P491" s="6" t="str">
        <f t="shared" si="2"/>
        <v>Auto Components &amp; Equipments</v>
      </c>
    </row>
    <row r="492" hidden="1">
      <c r="A492" s="3" t="s">
        <v>2255</v>
      </c>
      <c r="B492" s="4">
        <v>506003.0</v>
      </c>
      <c r="C492" s="3" t="s">
        <v>2256</v>
      </c>
      <c r="D492" s="3" t="s">
        <v>2257</v>
      </c>
      <c r="E492" s="3" t="s">
        <v>2258</v>
      </c>
      <c r="F492" s="3" t="s">
        <v>19</v>
      </c>
      <c r="G492" s="3" t="s">
        <v>72</v>
      </c>
      <c r="H492" s="3">
        <v>10.0</v>
      </c>
      <c r="I492" s="3" t="s">
        <v>2255</v>
      </c>
      <c r="J492" s="3" t="s">
        <v>22</v>
      </c>
      <c r="K492" s="3" t="s">
        <v>23</v>
      </c>
      <c r="L492" s="3" t="s">
        <v>65</v>
      </c>
      <c r="M492" s="3" t="s">
        <v>66</v>
      </c>
      <c r="N492" s="3" t="s">
        <v>286</v>
      </c>
      <c r="O492" s="5">
        <v>41.8382629</v>
      </c>
      <c r="P492" s="6" t="str">
        <f t="shared" si="2"/>
        <v>Non - Ferrous Metals</v>
      </c>
    </row>
    <row r="493" hidden="1">
      <c r="A493" s="3" t="s">
        <v>2259</v>
      </c>
      <c r="B493" s="4">
        <v>506022.0</v>
      </c>
      <c r="C493" s="3" t="s">
        <v>2260</v>
      </c>
      <c r="D493" s="3" t="s">
        <v>2261</v>
      </c>
      <c r="E493" s="3" t="s">
        <v>2262</v>
      </c>
      <c r="F493" s="3" t="s">
        <v>19</v>
      </c>
      <c r="G493" s="3" t="s">
        <v>112</v>
      </c>
      <c r="H493" s="3">
        <v>10.0</v>
      </c>
      <c r="I493" s="3" t="s">
        <v>2259</v>
      </c>
      <c r="J493" s="3" t="s">
        <v>22</v>
      </c>
      <c r="K493" s="3" t="s">
        <v>23</v>
      </c>
      <c r="L493" s="3" t="s">
        <v>65</v>
      </c>
      <c r="M493" s="3" t="s">
        <v>106</v>
      </c>
      <c r="N493" s="3" t="s">
        <v>107</v>
      </c>
      <c r="O493" s="5">
        <v>3357.3599695</v>
      </c>
      <c r="P493" s="6" t="str">
        <f t="shared" si="2"/>
        <v>Ferrous Metals</v>
      </c>
    </row>
    <row r="494" hidden="1">
      <c r="A494" s="3" t="s">
        <v>2263</v>
      </c>
      <c r="B494" s="4">
        <v>506024.0</v>
      </c>
      <c r="C494" s="3" t="s">
        <v>2264</v>
      </c>
      <c r="D494" s="3" t="s">
        <v>2265</v>
      </c>
      <c r="E494" s="3" t="s">
        <v>2266</v>
      </c>
      <c r="F494" s="3" t="s">
        <v>19</v>
      </c>
      <c r="G494" s="3" t="s">
        <v>2267</v>
      </c>
      <c r="H494" s="3">
        <v>10.0</v>
      </c>
      <c r="I494" s="3" t="s">
        <v>2263</v>
      </c>
      <c r="J494" s="3" t="s">
        <v>22</v>
      </c>
      <c r="K494" s="3" t="s">
        <v>97</v>
      </c>
      <c r="L494" s="3" t="s">
        <v>98</v>
      </c>
      <c r="M494" s="3" t="s">
        <v>100</v>
      </c>
      <c r="N494" s="3" t="s">
        <v>612</v>
      </c>
      <c r="O494" s="5">
        <v>1.0</v>
      </c>
      <c r="P494" s="6" t="str">
        <f t="shared" si="2"/>
        <v>Industrial Products</v>
      </c>
    </row>
    <row r="495" hidden="1">
      <c r="A495" s="3" t="s">
        <v>2268</v>
      </c>
      <c r="B495" s="4">
        <v>506042.0</v>
      </c>
      <c r="C495" s="3" t="s">
        <v>2269</v>
      </c>
      <c r="D495" s="3" t="s">
        <v>2270</v>
      </c>
      <c r="E495" s="3" t="s">
        <v>2271</v>
      </c>
      <c r="F495" s="3" t="s">
        <v>19</v>
      </c>
      <c r="G495" s="3" t="s">
        <v>72</v>
      </c>
      <c r="H495" s="3">
        <v>10.0</v>
      </c>
      <c r="I495" s="3" t="s">
        <v>2268</v>
      </c>
      <c r="J495" s="3" t="s">
        <v>22</v>
      </c>
      <c r="K495" s="3" t="s">
        <v>97</v>
      </c>
      <c r="L495" s="3" t="s">
        <v>98</v>
      </c>
      <c r="M495" s="3" t="s">
        <v>100</v>
      </c>
      <c r="N495" s="3" t="s">
        <v>612</v>
      </c>
      <c r="O495" s="5">
        <v>1.0</v>
      </c>
      <c r="P495" s="6" t="str">
        <f t="shared" si="2"/>
        <v>Industrial Products</v>
      </c>
    </row>
    <row r="496" hidden="1">
      <c r="A496" s="3" t="s">
        <v>2272</v>
      </c>
      <c r="B496" s="4">
        <v>539332.0</v>
      </c>
      <c r="C496" s="3" t="s">
        <v>2273</v>
      </c>
      <c r="D496" s="3" t="s">
        <v>2274</v>
      </c>
      <c r="E496" s="3" t="s">
        <v>2275</v>
      </c>
      <c r="F496" s="3" t="s">
        <v>19</v>
      </c>
      <c r="G496" s="3" t="s">
        <v>112</v>
      </c>
      <c r="H496" s="3">
        <v>10.0</v>
      </c>
      <c r="I496" s="3" t="s">
        <v>2276</v>
      </c>
      <c r="J496" s="3" t="s">
        <v>22</v>
      </c>
      <c r="K496" s="3" t="s">
        <v>1673</v>
      </c>
      <c r="L496" s="3" t="s">
        <v>1673</v>
      </c>
      <c r="M496" s="3" t="s">
        <v>1689</v>
      </c>
      <c r="N496" s="3" t="s">
        <v>1690</v>
      </c>
      <c r="O496" s="5">
        <v>1770.1291065</v>
      </c>
      <c r="P496" s="6" t="str">
        <f t="shared" si="2"/>
        <v>Transport Services</v>
      </c>
    </row>
    <row r="497">
      <c r="A497" s="3" t="s">
        <v>2277</v>
      </c>
      <c r="B497" s="4">
        <v>534976.0</v>
      </c>
      <c r="C497" s="3" t="s">
        <v>2278</v>
      </c>
      <c r="D497" s="3" t="s">
        <v>2279</v>
      </c>
      <c r="E497" s="3" t="s">
        <v>2280</v>
      </c>
      <c r="F497" s="3" t="s">
        <v>19</v>
      </c>
      <c r="G497" s="3" t="s">
        <v>20</v>
      </c>
      <c r="H497" s="3">
        <v>10.0</v>
      </c>
      <c r="I497" s="3" t="s">
        <v>2281</v>
      </c>
      <c r="J497" s="3" t="s">
        <v>22</v>
      </c>
      <c r="K497" s="3" t="s">
        <v>58</v>
      </c>
      <c r="L497" s="3" t="s">
        <v>73</v>
      </c>
      <c r="M497" s="3" t="s">
        <v>988</v>
      </c>
      <c r="N497" s="3" t="s">
        <v>1509</v>
      </c>
      <c r="O497" s="5">
        <v>5777.56205</v>
      </c>
      <c r="P497" s="6" t="str">
        <f t="shared" si="2"/>
        <v>Retailing</v>
      </c>
    </row>
    <row r="498" hidden="1">
      <c r="A498" s="3" t="s">
        <v>2282</v>
      </c>
      <c r="B498" s="4">
        <v>506079.0</v>
      </c>
      <c r="C498" s="3" t="s">
        <v>2283</v>
      </c>
      <c r="D498" s="3" t="s">
        <v>2284</v>
      </c>
      <c r="E498" s="3" t="s">
        <v>2285</v>
      </c>
      <c r="F498" s="3" t="s">
        <v>19</v>
      </c>
      <c r="G498" s="3" t="s">
        <v>57</v>
      </c>
      <c r="H498" s="3">
        <v>10.0</v>
      </c>
      <c r="I498" s="3" t="s">
        <v>2282</v>
      </c>
      <c r="J498" s="3" t="s">
        <v>22</v>
      </c>
      <c r="K498" s="3" t="s">
        <v>58</v>
      </c>
      <c r="L498" s="3" t="s">
        <v>133</v>
      </c>
      <c r="M498" s="3" t="s">
        <v>134</v>
      </c>
      <c r="N498" s="3" t="s">
        <v>135</v>
      </c>
      <c r="O498" s="5">
        <v>6.3177221</v>
      </c>
      <c r="P498" s="6" t="str">
        <f t="shared" si="2"/>
        <v>Auto Components &amp; Equipments</v>
      </c>
    </row>
    <row r="499" hidden="1">
      <c r="A499" s="3" t="s">
        <v>2286</v>
      </c>
      <c r="B499" s="4">
        <v>506105.0</v>
      </c>
      <c r="C499" s="3" t="s">
        <v>2287</v>
      </c>
      <c r="D499" s="3" t="s">
        <v>2288</v>
      </c>
      <c r="E499" s="3" t="s">
        <v>2289</v>
      </c>
      <c r="F499" s="3" t="s">
        <v>19</v>
      </c>
      <c r="G499" s="3" t="s">
        <v>44</v>
      </c>
      <c r="H499" s="3">
        <v>10.0</v>
      </c>
      <c r="I499" s="3" t="s">
        <v>2286</v>
      </c>
      <c r="J499" s="3" t="s">
        <v>22</v>
      </c>
      <c r="K499" s="3" t="s">
        <v>204</v>
      </c>
      <c r="L499" s="3" t="s">
        <v>204</v>
      </c>
      <c r="M499" s="3" t="s">
        <v>378</v>
      </c>
      <c r="N499" s="3" t="s">
        <v>384</v>
      </c>
      <c r="O499" s="5">
        <v>33.5434819</v>
      </c>
      <c r="P499" s="6" t="str">
        <f t="shared" si="2"/>
        <v>Finance</v>
      </c>
    </row>
    <row r="500" hidden="1">
      <c r="A500" s="3" t="s">
        <v>2290</v>
      </c>
      <c r="B500" s="4">
        <v>506109.0</v>
      </c>
      <c r="C500" s="3" t="s">
        <v>2291</v>
      </c>
      <c r="D500" s="3" t="s">
        <v>2292</v>
      </c>
      <c r="E500" s="3" t="s">
        <v>2293</v>
      </c>
      <c r="F500" s="3" t="s">
        <v>19</v>
      </c>
      <c r="G500" s="3" t="s">
        <v>112</v>
      </c>
      <c r="H500" s="3">
        <v>5.0</v>
      </c>
      <c r="I500" s="3" t="s">
        <v>2290</v>
      </c>
      <c r="J500" s="3" t="s">
        <v>22</v>
      </c>
      <c r="K500" s="3" t="s">
        <v>473</v>
      </c>
      <c r="L500" s="3" t="s">
        <v>473</v>
      </c>
      <c r="M500" s="3" t="s">
        <v>1538</v>
      </c>
      <c r="N500" s="3" t="s">
        <v>1539</v>
      </c>
      <c r="O500" s="5">
        <v>2272.900034</v>
      </c>
      <c r="P500" s="6" t="str">
        <f t="shared" si="2"/>
        <v>IT - Services</v>
      </c>
    </row>
    <row r="501" hidden="1">
      <c r="A501" s="3" t="s">
        <v>2294</v>
      </c>
      <c r="B501" s="4">
        <v>532633.0</v>
      </c>
      <c r="C501" s="3" t="s">
        <v>2295</v>
      </c>
      <c r="D501" s="3" t="s">
        <v>2296</v>
      </c>
      <c r="E501" s="3" t="s">
        <v>2297</v>
      </c>
      <c r="F501" s="3" t="s">
        <v>19</v>
      </c>
      <c r="G501" s="3" t="s">
        <v>112</v>
      </c>
      <c r="H501" s="3">
        <v>10.0</v>
      </c>
      <c r="I501" s="3" t="s">
        <v>2298</v>
      </c>
      <c r="J501" s="3" t="s">
        <v>22</v>
      </c>
      <c r="K501" s="3" t="s">
        <v>1673</v>
      </c>
      <c r="L501" s="3" t="s">
        <v>1673</v>
      </c>
      <c r="M501" s="3" t="s">
        <v>1674</v>
      </c>
      <c r="N501" s="3" t="s">
        <v>1705</v>
      </c>
      <c r="O501" s="5">
        <v>1674.9599815</v>
      </c>
      <c r="P501" s="6" t="str">
        <f t="shared" si="2"/>
        <v>Commercial Services &amp; Supplies</v>
      </c>
    </row>
    <row r="502" hidden="1">
      <c r="A502" s="3" t="s">
        <v>2299</v>
      </c>
      <c r="B502" s="4">
        <v>506122.0</v>
      </c>
      <c r="C502" s="3" t="s">
        <v>2300</v>
      </c>
      <c r="D502" s="3" t="s">
        <v>2301</v>
      </c>
      <c r="E502" s="3" t="s">
        <v>2302</v>
      </c>
      <c r="F502" s="3" t="s">
        <v>19</v>
      </c>
      <c r="G502" s="3" t="s">
        <v>72</v>
      </c>
      <c r="H502" s="3">
        <v>10.0</v>
      </c>
      <c r="I502" s="3" t="s">
        <v>2299</v>
      </c>
      <c r="J502" s="3" t="s">
        <v>22</v>
      </c>
      <c r="K502" s="3" t="s">
        <v>58</v>
      </c>
      <c r="L502" s="3" t="s">
        <v>133</v>
      </c>
      <c r="M502" s="3" t="s">
        <v>134</v>
      </c>
      <c r="N502" s="3" t="s">
        <v>135</v>
      </c>
      <c r="O502" s="5">
        <v>1.0</v>
      </c>
      <c r="P502" s="6" t="str">
        <f t="shared" si="2"/>
        <v>Auto Components &amp; Equipments</v>
      </c>
    </row>
    <row r="503" hidden="1">
      <c r="A503" s="3" t="s">
        <v>2303</v>
      </c>
      <c r="B503" s="4">
        <v>506128.0</v>
      </c>
      <c r="C503" s="3" t="s">
        <v>2304</v>
      </c>
      <c r="D503" s="3" t="s">
        <v>2305</v>
      </c>
      <c r="E503" s="3" t="s">
        <v>2306</v>
      </c>
      <c r="F503" s="3" t="s">
        <v>19</v>
      </c>
      <c r="G503" s="3" t="s">
        <v>72</v>
      </c>
      <c r="H503" s="3">
        <v>10.0</v>
      </c>
      <c r="I503" s="3" t="s">
        <v>2303</v>
      </c>
      <c r="J503" s="3" t="s">
        <v>22</v>
      </c>
      <c r="K503" s="3" t="s">
        <v>45</v>
      </c>
      <c r="L503" s="3" t="s">
        <v>45</v>
      </c>
      <c r="M503" s="3" t="s">
        <v>46</v>
      </c>
      <c r="N503" s="3" t="s">
        <v>47</v>
      </c>
      <c r="O503" s="5">
        <v>117.15323</v>
      </c>
      <c r="P503" s="6" t="str">
        <f t="shared" si="2"/>
        <v>Pharmaceuticals</v>
      </c>
    </row>
    <row r="504" hidden="1">
      <c r="A504" s="3" t="s">
        <v>2307</v>
      </c>
      <c r="B504" s="4">
        <v>506134.0</v>
      </c>
      <c r="C504" s="3" t="s">
        <v>2308</v>
      </c>
      <c r="D504" s="3" t="s">
        <v>2309</v>
      </c>
      <c r="E504" s="3" t="s">
        <v>2310</v>
      </c>
      <c r="F504" s="3" t="s">
        <v>19</v>
      </c>
      <c r="G504" s="3" t="s">
        <v>44</v>
      </c>
      <c r="H504" s="3">
        <v>1.0</v>
      </c>
      <c r="I504" s="3" t="s">
        <v>2307</v>
      </c>
      <c r="J504" s="3" t="s">
        <v>22</v>
      </c>
      <c r="K504" s="3" t="s">
        <v>97</v>
      </c>
      <c r="L504" s="3" t="s">
        <v>98</v>
      </c>
      <c r="M504" s="3" t="s">
        <v>100</v>
      </c>
      <c r="N504" s="3" t="s">
        <v>580</v>
      </c>
      <c r="O504" s="5">
        <v>660.5269208</v>
      </c>
      <c r="P504" s="6" t="str">
        <f t="shared" si="2"/>
        <v>Industrial Products</v>
      </c>
    </row>
    <row r="505" hidden="1">
      <c r="A505" s="3" t="s">
        <v>2311</v>
      </c>
      <c r="B505" s="4">
        <v>506146.0</v>
      </c>
      <c r="C505" s="3" t="s">
        <v>2312</v>
      </c>
      <c r="D505" s="3" t="s">
        <v>2313</v>
      </c>
      <c r="E505" s="3" t="s">
        <v>2314</v>
      </c>
      <c r="F505" s="3" t="s">
        <v>19</v>
      </c>
      <c r="G505" s="3" t="s">
        <v>86</v>
      </c>
      <c r="H505" s="3">
        <v>1.0</v>
      </c>
      <c r="I505" s="3" t="s">
        <v>2311</v>
      </c>
      <c r="J505" s="3" t="s">
        <v>22</v>
      </c>
      <c r="K505" s="3" t="s">
        <v>58</v>
      </c>
      <c r="L505" s="3" t="s">
        <v>80</v>
      </c>
      <c r="M505" s="3" t="s">
        <v>81</v>
      </c>
      <c r="N505" s="3" t="s">
        <v>944</v>
      </c>
      <c r="O505" s="5">
        <v>36.1095759</v>
      </c>
      <c r="P505" s="6" t="str">
        <f t="shared" si="2"/>
        <v>Textiles &amp; Apparels</v>
      </c>
    </row>
    <row r="506" hidden="1">
      <c r="A506" s="3" t="s">
        <v>2315</v>
      </c>
      <c r="B506" s="4">
        <v>506161.0</v>
      </c>
      <c r="C506" s="3" t="s">
        <v>2316</v>
      </c>
      <c r="D506" s="3" t="s">
        <v>2317</v>
      </c>
      <c r="E506" s="3" t="s">
        <v>2318</v>
      </c>
      <c r="F506" s="3" t="s">
        <v>19</v>
      </c>
      <c r="G506" s="3" t="s">
        <v>72</v>
      </c>
      <c r="H506" s="3">
        <v>10.0</v>
      </c>
      <c r="I506" s="3" t="s">
        <v>2315</v>
      </c>
      <c r="J506" s="3" t="s">
        <v>22</v>
      </c>
      <c r="K506" s="3" t="s">
        <v>204</v>
      </c>
      <c r="L506" s="3" t="s">
        <v>204</v>
      </c>
      <c r="M506" s="3" t="s">
        <v>378</v>
      </c>
      <c r="N506" s="3" t="s">
        <v>379</v>
      </c>
      <c r="O506" s="5">
        <v>1.0</v>
      </c>
      <c r="P506" s="6" t="str">
        <f t="shared" si="2"/>
        <v>Non Banking Financial Company (NBFC)</v>
      </c>
    </row>
    <row r="507" hidden="1">
      <c r="A507" s="3" t="s">
        <v>2319</v>
      </c>
      <c r="B507" s="4">
        <v>506162.0</v>
      </c>
      <c r="C507" s="3" t="s">
        <v>2320</v>
      </c>
      <c r="D507" s="3" t="s">
        <v>2321</v>
      </c>
      <c r="E507" s="3" t="s">
        <v>2322</v>
      </c>
      <c r="F507" s="3" t="s">
        <v>19</v>
      </c>
      <c r="G507" s="3" t="s">
        <v>1858</v>
      </c>
      <c r="H507" s="3">
        <v>10.0</v>
      </c>
      <c r="I507" s="3" t="s">
        <v>2319</v>
      </c>
      <c r="J507" s="3" t="s">
        <v>22</v>
      </c>
      <c r="K507" s="3" t="s">
        <v>204</v>
      </c>
      <c r="L507" s="3" t="s">
        <v>204</v>
      </c>
      <c r="M507" s="3" t="s">
        <v>378</v>
      </c>
      <c r="N507" s="3" t="s">
        <v>468</v>
      </c>
      <c r="O507" s="5">
        <v>1.0</v>
      </c>
      <c r="P507" s="6" t="str">
        <f t="shared" si="2"/>
        <v>Finance</v>
      </c>
    </row>
    <row r="508" hidden="1">
      <c r="A508" s="3" t="s">
        <v>2323</v>
      </c>
      <c r="B508" s="4">
        <v>506166.0</v>
      </c>
      <c r="C508" s="3" t="s">
        <v>2324</v>
      </c>
      <c r="D508" s="3" t="s">
        <v>2325</v>
      </c>
      <c r="E508" s="3" t="s">
        <v>2326</v>
      </c>
      <c r="F508" s="3" t="s">
        <v>19</v>
      </c>
      <c r="G508" s="3" t="s">
        <v>72</v>
      </c>
      <c r="H508" s="3">
        <v>10.0</v>
      </c>
      <c r="I508" s="3" t="s">
        <v>2323</v>
      </c>
      <c r="J508" s="3" t="s">
        <v>22</v>
      </c>
      <c r="K508" s="3" t="s">
        <v>145</v>
      </c>
      <c r="L508" s="3" t="s">
        <v>145</v>
      </c>
      <c r="M508" s="3" t="s">
        <v>597</v>
      </c>
      <c r="N508" s="3" t="s">
        <v>1065</v>
      </c>
      <c r="O508" s="5">
        <v>127.145</v>
      </c>
      <c r="P508" s="6" t="str">
        <f t="shared" si="2"/>
        <v>Food Products</v>
      </c>
    </row>
    <row r="509" hidden="1">
      <c r="A509" s="3" t="s">
        <v>2327</v>
      </c>
      <c r="B509" s="4">
        <v>541741.0</v>
      </c>
      <c r="C509" s="3" t="s">
        <v>2328</v>
      </c>
      <c r="D509" s="3" t="s">
        <v>2329</v>
      </c>
      <c r="E509" s="3" t="s">
        <v>2330</v>
      </c>
      <c r="F509" s="3" t="s">
        <v>19</v>
      </c>
      <c r="G509" s="3" t="s">
        <v>72</v>
      </c>
      <c r="H509" s="3">
        <v>10.0</v>
      </c>
      <c r="I509" s="3" t="s">
        <v>2331</v>
      </c>
      <c r="J509" s="3" t="s">
        <v>22</v>
      </c>
      <c r="K509" s="3" t="s">
        <v>1673</v>
      </c>
      <c r="L509" s="3" t="s">
        <v>1673</v>
      </c>
      <c r="M509" s="3" t="s">
        <v>1674</v>
      </c>
      <c r="N509" s="3" t="s">
        <v>1915</v>
      </c>
      <c r="O509" s="5">
        <v>1617.3117459</v>
      </c>
      <c r="P509" s="6" t="str">
        <f t="shared" si="2"/>
        <v>Commercial Services &amp; Supplies</v>
      </c>
    </row>
    <row r="510" hidden="1">
      <c r="A510" s="3" t="s">
        <v>2332</v>
      </c>
      <c r="B510" s="4">
        <v>506180.0</v>
      </c>
      <c r="C510" s="3" t="s">
        <v>2333</v>
      </c>
      <c r="D510" s="3" t="s">
        <v>2334</v>
      </c>
      <c r="E510" s="3" t="s">
        <v>2335</v>
      </c>
      <c r="F510" s="3" t="s">
        <v>19</v>
      </c>
      <c r="G510" s="3" t="s">
        <v>72</v>
      </c>
      <c r="H510" s="3">
        <v>10.0</v>
      </c>
      <c r="I510" s="3" t="s">
        <v>2332</v>
      </c>
      <c r="J510" s="3" t="s">
        <v>22</v>
      </c>
      <c r="K510" s="3" t="s">
        <v>23</v>
      </c>
      <c r="L510" s="3" t="s">
        <v>65</v>
      </c>
      <c r="M510" s="3" t="s">
        <v>438</v>
      </c>
      <c r="N510" s="3" t="s">
        <v>2155</v>
      </c>
      <c r="O510" s="5">
        <v>45.33362</v>
      </c>
      <c r="P510" s="6" t="str">
        <f t="shared" si="2"/>
        <v>Metals &amp; Minerals Trading</v>
      </c>
    </row>
    <row r="511" hidden="1">
      <c r="A511" s="3" t="s">
        <v>2336</v>
      </c>
      <c r="B511" s="4">
        <v>506184.0</v>
      </c>
      <c r="C511" s="3" t="s">
        <v>2337</v>
      </c>
      <c r="D511" s="3" t="s">
        <v>2338</v>
      </c>
      <c r="E511" s="3" t="s">
        <v>2339</v>
      </c>
      <c r="F511" s="3" t="s">
        <v>19</v>
      </c>
      <c r="G511" s="3" t="s">
        <v>112</v>
      </c>
      <c r="H511" s="3">
        <v>1.0</v>
      </c>
      <c r="I511" s="3" t="s">
        <v>2336</v>
      </c>
      <c r="J511" s="3" t="s">
        <v>22</v>
      </c>
      <c r="K511" s="3" t="s">
        <v>58</v>
      </c>
      <c r="L511" s="3" t="s">
        <v>211</v>
      </c>
      <c r="M511" s="3" t="s">
        <v>211</v>
      </c>
      <c r="N511" s="3" t="s">
        <v>947</v>
      </c>
      <c r="O511" s="5">
        <v>56.9530079</v>
      </c>
      <c r="P511" s="6" t="str">
        <f t="shared" si="2"/>
        <v>Consumer Durables</v>
      </c>
    </row>
    <row r="512" hidden="1">
      <c r="A512" s="3" t="s">
        <v>2340</v>
      </c>
      <c r="B512" s="4">
        <v>506186.0</v>
      </c>
      <c r="C512" s="3" t="s">
        <v>2341</v>
      </c>
      <c r="D512" s="3" t="s">
        <v>2342</v>
      </c>
      <c r="E512" s="3" t="s">
        <v>2343</v>
      </c>
      <c r="F512" s="3" t="s">
        <v>19</v>
      </c>
      <c r="G512" s="3" t="s">
        <v>72</v>
      </c>
      <c r="H512" s="3">
        <v>10.0</v>
      </c>
      <c r="I512" s="3" t="s">
        <v>2340</v>
      </c>
      <c r="J512" s="3" t="s">
        <v>22</v>
      </c>
      <c r="K512" s="3" t="s">
        <v>145</v>
      </c>
      <c r="L512" s="3" t="s">
        <v>145</v>
      </c>
      <c r="M512" s="3" t="s">
        <v>597</v>
      </c>
      <c r="N512" s="3" t="s">
        <v>2344</v>
      </c>
      <c r="O512" s="5">
        <v>196.6776738</v>
      </c>
      <c r="P512" s="6" t="str">
        <f t="shared" si="2"/>
        <v>Food Products</v>
      </c>
    </row>
    <row r="513" hidden="1">
      <c r="A513" s="3" t="s">
        <v>2345</v>
      </c>
      <c r="B513" s="4">
        <v>540980.0</v>
      </c>
      <c r="C513" s="3" t="s">
        <v>2346</v>
      </c>
      <c r="D513" s="3" t="s">
        <v>2347</v>
      </c>
      <c r="E513" s="3" t="s">
        <v>2346</v>
      </c>
      <c r="F513" s="3" t="s">
        <v>19</v>
      </c>
      <c r="G513" s="3" t="s">
        <v>44</v>
      </c>
      <c r="H513" s="3">
        <v>100.0</v>
      </c>
      <c r="I513" s="3" t="s">
        <v>2348</v>
      </c>
      <c r="J513" s="3" t="s">
        <v>22</v>
      </c>
      <c r="K513" s="3" t="s">
        <v>1673</v>
      </c>
      <c r="L513" s="3" t="s">
        <v>1673</v>
      </c>
      <c r="M513" s="3" t="s">
        <v>1674</v>
      </c>
      <c r="N513" s="3" t="s">
        <v>1915</v>
      </c>
      <c r="O513" s="5">
        <v>1567.5594291</v>
      </c>
      <c r="P513" s="6" t="str">
        <f t="shared" si="2"/>
        <v>Commercial Services &amp; Supplies</v>
      </c>
    </row>
    <row r="514" hidden="1">
      <c r="A514" s="3" t="s">
        <v>2349</v>
      </c>
      <c r="B514" s="4">
        <v>506194.0</v>
      </c>
      <c r="C514" s="3" t="s">
        <v>2350</v>
      </c>
      <c r="D514" s="3" t="s">
        <v>2351</v>
      </c>
      <c r="E514" s="3" t="s">
        <v>2350</v>
      </c>
      <c r="F514" s="3" t="s">
        <v>19</v>
      </c>
      <c r="G514" s="3" t="s">
        <v>112</v>
      </c>
      <c r="H514" s="3">
        <v>10.0</v>
      </c>
      <c r="I514" s="3" t="s">
        <v>2349</v>
      </c>
      <c r="J514" s="3" t="s">
        <v>22</v>
      </c>
      <c r="K514" s="3" t="s">
        <v>58</v>
      </c>
      <c r="L514" s="3" t="s">
        <v>59</v>
      </c>
      <c r="M514" s="3" t="s">
        <v>59</v>
      </c>
      <c r="N514" s="3" t="s">
        <v>60</v>
      </c>
      <c r="O514" s="5">
        <v>1413.1831447</v>
      </c>
      <c r="P514" s="6" t="str">
        <f t="shared" si="2"/>
        <v>Residential, Commercial Projects</v>
      </c>
    </row>
    <row r="515" hidden="1">
      <c r="A515" s="3" t="s">
        <v>2352</v>
      </c>
      <c r="B515" s="4">
        <v>540717.0</v>
      </c>
      <c r="C515" s="3" t="s">
        <v>2353</v>
      </c>
      <c r="D515" s="3" t="s">
        <v>2354</v>
      </c>
      <c r="E515" s="3" t="s">
        <v>2355</v>
      </c>
      <c r="F515" s="3" t="s">
        <v>19</v>
      </c>
      <c r="G515" s="3" t="s">
        <v>86</v>
      </c>
      <c r="H515" s="3">
        <v>2.0</v>
      </c>
      <c r="I515" s="3" t="s">
        <v>2356</v>
      </c>
      <c r="J515" s="3" t="s">
        <v>22</v>
      </c>
      <c r="K515" s="3" t="s">
        <v>1673</v>
      </c>
      <c r="L515" s="3" t="s">
        <v>1673</v>
      </c>
      <c r="M515" s="3" t="s">
        <v>1674</v>
      </c>
      <c r="N515" s="3" t="s">
        <v>1915</v>
      </c>
      <c r="O515" s="5">
        <v>1462.2652736</v>
      </c>
      <c r="P515" s="6" t="str">
        <f t="shared" si="2"/>
        <v>Commercial Services &amp; Supplies</v>
      </c>
    </row>
    <row r="516" hidden="1">
      <c r="A516" s="3" t="s">
        <v>2357</v>
      </c>
      <c r="B516" s="4">
        <v>506197.0</v>
      </c>
      <c r="C516" s="3" t="s">
        <v>2358</v>
      </c>
      <c r="D516" s="3" t="s">
        <v>2359</v>
      </c>
      <c r="E516" s="3" t="s">
        <v>2360</v>
      </c>
      <c r="F516" s="3" t="s">
        <v>19</v>
      </c>
      <c r="G516" s="3" t="s">
        <v>112</v>
      </c>
      <c r="H516" s="3">
        <v>1.0</v>
      </c>
      <c r="I516" s="3" t="s">
        <v>2357</v>
      </c>
      <c r="J516" s="3" t="s">
        <v>22</v>
      </c>
      <c r="K516" s="3" t="s">
        <v>45</v>
      </c>
      <c r="L516" s="3" t="s">
        <v>45</v>
      </c>
      <c r="M516" s="3" t="s">
        <v>46</v>
      </c>
      <c r="N516" s="3" t="s">
        <v>47</v>
      </c>
      <c r="O516" s="5">
        <v>1085.492825</v>
      </c>
      <c r="P516" s="6" t="str">
        <f t="shared" si="2"/>
        <v>Pharmaceuticals</v>
      </c>
    </row>
    <row r="517" hidden="1">
      <c r="A517" s="3" t="s">
        <v>2361</v>
      </c>
      <c r="B517" s="4">
        <v>506222.0</v>
      </c>
      <c r="C517" s="3" t="s">
        <v>2362</v>
      </c>
      <c r="D517" s="3" t="s">
        <v>2363</v>
      </c>
      <c r="E517" s="3" t="s">
        <v>2364</v>
      </c>
      <c r="F517" s="3" t="s">
        <v>19</v>
      </c>
      <c r="G517" s="3" t="s">
        <v>112</v>
      </c>
      <c r="H517" s="3">
        <v>10.0</v>
      </c>
      <c r="I517" s="3" t="s">
        <v>2361</v>
      </c>
      <c r="J517" s="3" t="s">
        <v>22</v>
      </c>
      <c r="K517" s="3" t="s">
        <v>23</v>
      </c>
      <c r="L517" s="3" t="s">
        <v>24</v>
      </c>
      <c r="M517" s="3" t="s">
        <v>25</v>
      </c>
      <c r="N517" s="3" t="s">
        <v>26</v>
      </c>
      <c r="O517" s="5">
        <v>3782.58</v>
      </c>
      <c r="P517" s="6" t="str">
        <f t="shared" si="2"/>
        <v>Specialty Chemicals</v>
      </c>
    </row>
    <row r="518" hidden="1">
      <c r="A518" s="3" t="s">
        <v>2365</v>
      </c>
      <c r="B518" s="4">
        <v>506235.0</v>
      </c>
      <c r="C518" s="3" t="s">
        <v>2366</v>
      </c>
      <c r="D518" s="3" t="s">
        <v>2367</v>
      </c>
      <c r="E518" s="3" t="s">
        <v>2368</v>
      </c>
      <c r="F518" s="3" t="s">
        <v>19</v>
      </c>
      <c r="G518" s="3" t="s">
        <v>112</v>
      </c>
      <c r="H518" s="3">
        <v>2.0</v>
      </c>
      <c r="I518" s="3" t="s">
        <v>2365</v>
      </c>
      <c r="J518" s="3" t="s">
        <v>22</v>
      </c>
      <c r="K518" s="3" t="s">
        <v>58</v>
      </c>
      <c r="L518" s="3" t="s">
        <v>59</v>
      </c>
      <c r="M518" s="3" t="s">
        <v>59</v>
      </c>
      <c r="N518" s="3" t="s">
        <v>60</v>
      </c>
      <c r="O518" s="5">
        <v>2930.6900779</v>
      </c>
      <c r="P518" s="6" t="str">
        <f t="shared" si="2"/>
        <v>Residential, Commercial Projects</v>
      </c>
    </row>
    <row r="519" hidden="1">
      <c r="A519" s="3" t="s">
        <v>2369</v>
      </c>
      <c r="B519" s="4">
        <v>506248.0</v>
      </c>
      <c r="C519" s="3" t="s">
        <v>2370</v>
      </c>
      <c r="D519" s="3" t="s">
        <v>2371</v>
      </c>
      <c r="E519" s="3" t="s">
        <v>2372</v>
      </c>
      <c r="F519" s="3" t="s">
        <v>19</v>
      </c>
      <c r="G519" s="3" t="s">
        <v>112</v>
      </c>
      <c r="H519" s="3">
        <v>2.0</v>
      </c>
      <c r="I519" s="3" t="s">
        <v>2369</v>
      </c>
      <c r="J519" s="3" t="s">
        <v>22</v>
      </c>
      <c r="K519" s="3" t="s">
        <v>23</v>
      </c>
      <c r="L519" s="3" t="s">
        <v>24</v>
      </c>
      <c r="M519" s="3" t="s">
        <v>25</v>
      </c>
      <c r="N519" s="3" t="s">
        <v>52</v>
      </c>
      <c r="O519" s="5">
        <v>1503.5680973</v>
      </c>
      <c r="P519" s="6" t="str">
        <f t="shared" si="2"/>
        <v>Chemicals &amp; Petrochemicals</v>
      </c>
    </row>
    <row r="520" hidden="1">
      <c r="A520" s="3" t="s">
        <v>2373</v>
      </c>
      <c r="B520" s="4">
        <v>506260.0</v>
      </c>
      <c r="C520" s="3" t="s">
        <v>2374</v>
      </c>
      <c r="D520" s="3" t="s">
        <v>2375</v>
      </c>
      <c r="E520" s="3" t="s">
        <v>2376</v>
      </c>
      <c r="F520" s="3" t="s">
        <v>19</v>
      </c>
      <c r="G520" s="3" t="s">
        <v>44</v>
      </c>
      <c r="H520" s="3">
        <v>5.0</v>
      </c>
      <c r="I520" s="3" t="s">
        <v>2373</v>
      </c>
      <c r="J520" s="3" t="s">
        <v>22</v>
      </c>
      <c r="K520" s="3" t="s">
        <v>45</v>
      </c>
      <c r="L520" s="3" t="s">
        <v>45</v>
      </c>
      <c r="M520" s="3" t="s">
        <v>46</v>
      </c>
      <c r="N520" s="3" t="s">
        <v>47</v>
      </c>
      <c r="O520" s="5">
        <v>1119.2510513</v>
      </c>
      <c r="P520" s="6" t="str">
        <f t="shared" si="2"/>
        <v>Pharmaceuticals</v>
      </c>
    </row>
    <row r="521" hidden="1">
      <c r="A521" s="3" t="s">
        <v>2377</v>
      </c>
      <c r="B521" s="4">
        <v>506261.0</v>
      </c>
      <c r="C521" s="3" t="s">
        <v>2378</v>
      </c>
      <c r="D521" s="3" t="s">
        <v>2379</v>
      </c>
      <c r="E521" s="3" t="s">
        <v>2380</v>
      </c>
      <c r="F521" s="3" t="s">
        <v>19</v>
      </c>
      <c r="G521" s="3" t="s">
        <v>86</v>
      </c>
      <c r="H521" s="3">
        <v>1.0</v>
      </c>
      <c r="I521" s="3" t="s">
        <v>2377</v>
      </c>
      <c r="J521" s="3" t="s">
        <v>22</v>
      </c>
      <c r="K521" s="3" t="s">
        <v>97</v>
      </c>
      <c r="L521" s="3" t="s">
        <v>98</v>
      </c>
      <c r="M521" s="3" t="s">
        <v>1747</v>
      </c>
      <c r="N521" s="3" t="s">
        <v>1748</v>
      </c>
      <c r="O521" s="5">
        <v>407.986749</v>
      </c>
      <c r="P521" s="6" t="str">
        <f t="shared" si="2"/>
        <v>Electrical Equipment</v>
      </c>
    </row>
    <row r="522">
      <c r="A522" s="3" t="s">
        <v>346</v>
      </c>
      <c r="B522" s="4">
        <v>535602.0</v>
      </c>
      <c r="C522" s="3" t="s">
        <v>2381</v>
      </c>
      <c r="D522" s="3" t="s">
        <v>2382</v>
      </c>
      <c r="E522" s="3" t="s">
        <v>2381</v>
      </c>
      <c r="F522" s="3" t="s">
        <v>19</v>
      </c>
      <c r="G522" s="3" t="s">
        <v>112</v>
      </c>
      <c r="H522" s="3">
        <v>2.0</v>
      </c>
      <c r="I522" s="3" t="s">
        <v>2383</v>
      </c>
      <c r="J522" s="3" t="s">
        <v>22</v>
      </c>
      <c r="K522" s="3" t="s">
        <v>58</v>
      </c>
      <c r="L522" s="3" t="s">
        <v>133</v>
      </c>
      <c r="M522" s="3" t="s">
        <v>134</v>
      </c>
      <c r="N522" s="3" t="s">
        <v>135</v>
      </c>
      <c r="O522" s="5">
        <v>6185.6551504</v>
      </c>
      <c r="P522" s="6" t="str">
        <f t="shared" si="2"/>
        <v>Auto Components &amp; Equipments</v>
      </c>
    </row>
    <row r="523" hidden="1">
      <c r="A523" s="3" t="s">
        <v>2384</v>
      </c>
      <c r="B523" s="4">
        <v>506365.0</v>
      </c>
      <c r="C523" s="3" t="s">
        <v>2385</v>
      </c>
      <c r="D523" s="3" t="s">
        <v>2386</v>
      </c>
      <c r="E523" s="3" t="s">
        <v>2387</v>
      </c>
      <c r="F523" s="3" t="s">
        <v>19</v>
      </c>
      <c r="G523" s="3" t="s">
        <v>72</v>
      </c>
      <c r="H523" s="3">
        <v>10.0</v>
      </c>
      <c r="I523" s="3" t="s">
        <v>2384</v>
      </c>
      <c r="J523" s="3" t="s">
        <v>22</v>
      </c>
      <c r="K523" s="3" t="s">
        <v>45</v>
      </c>
      <c r="L523" s="3" t="s">
        <v>45</v>
      </c>
      <c r="M523" s="3" t="s">
        <v>46</v>
      </c>
      <c r="N523" s="3" t="s">
        <v>47</v>
      </c>
      <c r="O523" s="5">
        <v>1.0</v>
      </c>
      <c r="P523" s="6" t="str">
        <f t="shared" si="2"/>
        <v>Pharmaceuticals</v>
      </c>
    </row>
    <row r="524" hidden="1">
      <c r="A524" s="3" t="s">
        <v>2388</v>
      </c>
      <c r="B524" s="4">
        <v>506390.0</v>
      </c>
      <c r="C524" s="3" t="s">
        <v>2389</v>
      </c>
      <c r="D524" s="3" t="s">
        <v>2390</v>
      </c>
      <c r="E524" s="3" t="s">
        <v>2391</v>
      </c>
      <c r="F524" s="3" t="s">
        <v>19</v>
      </c>
      <c r="G524" s="3" t="s">
        <v>112</v>
      </c>
      <c r="H524" s="3">
        <v>10.0</v>
      </c>
      <c r="I524" s="3" t="s">
        <v>2388</v>
      </c>
      <c r="J524" s="3" t="s">
        <v>22</v>
      </c>
      <c r="K524" s="3" t="s">
        <v>23</v>
      </c>
      <c r="L524" s="3" t="s">
        <v>24</v>
      </c>
      <c r="M524" s="3" t="s">
        <v>25</v>
      </c>
      <c r="N524" s="3" t="s">
        <v>368</v>
      </c>
      <c r="O524" s="5">
        <v>1.0</v>
      </c>
      <c r="P524" s="6" t="str">
        <f t="shared" si="2"/>
        <v>Chemicals &amp; Petrochemicals</v>
      </c>
    </row>
    <row r="525">
      <c r="A525" s="3" t="s">
        <v>351</v>
      </c>
      <c r="B525" s="4">
        <v>535648.0</v>
      </c>
      <c r="C525" s="3" t="s">
        <v>2392</v>
      </c>
      <c r="D525" s="3" t="s">
        <v>2393</v>
      </c>
      <c r="E525" s="3" t="s">
        <v>2394</v>
      </c>
      <c r="F525" s="3" t="s">
        <v>19</v>
      </c>
      <c r="G525" s="3" t="s">
        <v>20</v>
      </c>
      <c r="H525" s="3">
        <v>10.0</v>
      </c>
      <c r="I525" s="3" t="s">
        <v>2395</v>
      </c>
      <c r="J525" s="3" t="s">
        <v>22</v>
      </c>
      <c r="K525" s="3" t="s">
        <v>58</v>
      </c>
      <c r="L525" s="3" t="s">
        <v>73</v>
      </c>
      <c r="M525" s="3" t="s">
        <v>988</v>
      </c>
      <c r="N525" s="3" t="s">
        <v>1614</v>
      </c>
      <c r="O525" s="5">
        <v>8635.9097825</v>
      </c>
      <c r="P525" s="6" t="str">
        <f t="shared" si="2"/>
        <v>Retailing</v>
      </c>
    </row>
    <row r="526">
      <c r="A526" s="3" t="s">
        <v>356</v>
      </c>
      <c r="B526" s="4">
        <v>535755.0</v>
      </c>
      <c r="C526" s="3" t="s">
        <v>2396</v>
      </c>
      <c r="D526" s="3" t="s">
        <v>2397</v>
      </c>
      <c r="E526" s="3" t="s">
        <v>2398</v>
      </c>
      <c r="F526" s="3" t="s">
        <v>19</v>
      </c>
      <c r="G526" s="3" t="s">
        <v>20</v>
      </c>
      <c r="H526" s="3">
        <v>10.0</v>
      </c>
      <c r="I526" s="3" t="s">
        <v>2399</v>
      </c>
      <c r="J526" s="3" t="s">
        <v>22</v>
      </c>
      <c r="K526" s="3" t="s">
        <v>58</v>
      </c>
      <c r="L526" s="3" t="s">
        <v>73</v>
      </c>
      <c r="M526" s="3" t="s">
        <v>988</v>
      </c>
      <c r="N526" s="3" t="s">
        <v>989</v>
      </c>
      <c r="O526" s="5">
        <v>32194.7107412</v>
      </c>
      <c r="P526" s="6" t="str">
        <f t="shared" si="2"/>
        <v>Retailing</v>
      </c>
    </row>
    <row r="527" hidden="1">
      <c r="A527" s="3" t="s">
        <v>2400</v>
      </c>
      <c r="B527" s="4">
        <v>506405.0</v>
      </c>
      <c r="C527" s="3" t="s">
        <v>2401</v>
      </c>
      <c r="D527" s="3" t="s">
        <v>2402</v>
      </c>
      <c r="E527" s="3" t="s">
        <v>2403</v>
      </c>
      <c r="F527" s="3" t="s">
        <v>19</v>
      </c>
      <c r="G527" s="3" t="s">
        <v>112</v>
      </c>
      <c r="H527" s="3">
        <v>10.0</v>
      </c>
      <c r="I527" s="3" t="s">
        <v>2400</v>
      </c>
      <c r="J527" s="3" t="s">
        <v>22</v>
      </c>
      <c r="K527" s="3" t="s">
        <v>23</v>
      </c>
      <c r="L527" s="3" t="s">
        <v>24</v>
      </c>
      <c r="M527" s="3" t="s">
        <v>25</v>
      </c>
      <c r="N527" s="3" t="s">
        <v>26</v>
      </c>
      <c r="O527" s="5">
        <v>769.0610812</v>
      </c>
      <c r="P527" s="6" t="str">
        <f t="shared" si="2"/>
        <v>Specialty Chemicals</v>
      </c>
    </row>
    <row r="528" hidden="1">
      <c r="A528" s="3" t="s">
        <v>2404</v>
      </c>
      <c r="B528" s="4">
        <v>506414.0</v>
      </c>
      <c r="C528" s="3" t="s">
        <v>2405</v>
      </c>
      <c r="D528" s="3" t="s">
        <v>2406</v>
      </c>
      <c r="E528" s="3" t="s">
        <v>2407</v>
      </c>
      <c r="F528" s="3" t="s">
        <v>19</v>
      </c>
      <c r="G528" s="3" t="s">
        <v>44</v>
      </c>
      <c r="H528" s="3">
        <v>5.0</v>
      </c>
      <c r="I528" s="3" t="s">
        <v>2404</v>
      </c>
      <c r="J528" s="3" t="s">
        <v>22</v>
      </c>
      <c r="K528" s="3" t="s">
        <v>45</v>
      </c>
      <c r="L528" s="3" t="s">
        <v>45</v>
      </c>
      <c r="M528" s="3" t="s">
        <v>46</v>
      </c>
      <c r="N528" s="3" t="s">
        <v>47</v>
      </c>
      <c r="O528" s="5">
        <v>479.3102</v>
      </c>
      <c r="P528" s="6" t="str">
        <f t="shared" si="2"/>
        <v>Pharmaceuticals</v>
      </c>
    </row>
    <row r="529" hidden="1">
      <c r="A529" s="3" t="s">
        <v>2408</v>
      </c>
      <c r="B529" s="4">
        <v>506480.0</v>
      </c>
      <c r="C529" s="3" t="s">
        <v>2409</v>
      </c>
      <c r="D529" s="3" t="s">
        <v>2410</v>
      </c>
      <c r="E529" s="3" t="s">
        <v>2411</v>
      </c>
      <c r="F529" s="3" t="s">
        <v>19</v>
      </c>
      <c r="G529" s="3" t="s">
        <v>112</v>
      </c>
      <c r="H529" s="3">
        <v>2.0</v>
      </c>
      <c r="I529" s="3" t="s">
        <v>2408</v>
      </c>
      <c r="J529" s="3" t="s">
        <v>22</v>
      </c>
      <c r="K529" s="3" t="s">
        <v>23</v>
      </c>
      <c r="L529" s="3" t="s">
        <v>24</v>
      </c>
      <c r="M529" s="3" t="s">
        <v>25</v>
      </c>
      <c r="N529" s="3" t="s">
        <v>672</v>
      </c>
      <c r="O529" s="5">
        <v>2279.5441014</v>
      </c>
      <c r="P529" s="6" t="str">
        <f t="shared" si="2"/>
        <v>Chemicals &amp; Petrochemicals</v>
      </c>
    </row>
    <row r="530" hidden="1">
      <c r="A530" s="3" t="s">
        <v>2412</v>
      </c>
      <c r="B530" s="4">
        <v>506520.0</v>
      </c>
      <c r="C530" s="3" t="s">
        <v>2413</v>
      </c>
      <c r="D530" s="3" t="s">
        <v>2414</v>
      </c>
      <c r="E530" s="3" t="s">
        <v>2415</v>
      </c>
      <c r="F530" s="3" t="s">
        <v>19</v>
      </c>
      <c r="G530" s="3" t="s">
        <v>72</v>
      </c>
      <c r="H530" s="3">
        <v>10.0</v>
      </c>
      <c r="I530" s="3" t="s">
        <v>2412</v>
      </c>
      <c r="J530" s="3" t="s">
        <v>22</v>
      </c>
      <c r="K530" s="3" t="s">
        <v>23</v>
      </c>
      <c r="L530" s="3" t="s">
        <v>24</v>
      </c>
      <c r="M530" s="3" t="s">
        <v>25</v>
      </c>
      <c r="N530" s="3" t="s">
        <v>52</v>
      </c>
      <c r="O530" s="5">
        <v>28.521318</v>
      </c>
      <c r="P530" s="6" t="str">
        <f t="shared" si="2"/>
        <v>Chemicals &amp; Petrochemicals</v>
      </c>
    </row>
    <row r="531" hidden="1">
      <c r="A531" s="3" t="s">
        <v>2416</v>
      </c>
      <c r="B531" s="4">
        <v>506525.0</v>
      </c>
      <c r="C531" s="3" t="s">
        <v>2417</v>
      </c>
      <c r="D531" s="3" t="s">
        <v>2418</v>
      </c>
      <c r="E531" s="3" t="s">
        <v>2419</v>
      </c>
      <c r="F531" s="3" t="s">
        <v>19</v>
      </c>
      <c r="G531" s="3" t="s">
        <v>112</v>
      </c>
      <c r="H531" s="3">
        <v>5.0</v>
      </c>
      <c r="I531" s="3" t="s">
        <v>2416</v>
      </c>
      <c r="J531" s="3" t="s">
        <v>22</v>
      </c>
      <c r="K531" s="3" t="s">
        <v>23</v>
      </c>
      <c r="L531" s="3" t="s">
        <v>24</v>
      </c>
      <c r="M531" s="3" t="s">
        <v>25</v>
      </c>
      <c r="N531" s="3" t="s">
        <v>52</v>
      </c>
      <c r="O531" s="5">
        <v>541.6600045</v>
      </c>
      <c r="P531" s="6" t="str">
        <f t="shared" si="2"/>
        <v>Chemicals &amp; Petrochemicals</v>
      </c>
    </row>
    <row r="532" hidden="1">
      <c r="A532" s="3" t="s">
        <v>2420</v>
      </c>
      <c r="B532" s="4">
        <v>506528.0</v>
      </c>
      <c r="C532" s="3" t="s">
        <v>2421</v>
      </c>
      <c r="D532" s="3" t="s">
        <v>2422</v>
      </c>
      <c r="E532" s="3" t="s">
        <v>2423</v>
      </c>
      <c r="F532" s="3" t="s">
        <v>19</v>
      </c>
      <c r="G532" s="3" t="s">
        <v>72</v>
      </c>
      <c r="H532" s="3">
        <v>10.0</v>
      </c>
      <c r="I532" s="3" t="s">
        <v>2420</v>
      </c>
      <c r="J532" s="3" t="s">
        <v>22</v>
      </c>
      <c r="K532" s="3" t="s">
        <v>23</v>
      </c>
      <c r="L532" s="3" t="s">
        <v>24</v>
      </c>
      <c r="M532" s="3" t="s">
        <v>25</v>
      </c>
      <c r="N532" s="3" t="s">
        <v>672</v>
      </c>
      <c r="O532" s="5">
        <v>370.0994427</v>
      </c>
      <c r="P532" s="6" t="str">
        <f t="shared" si="2"/>
        <v>Chemicals &amp; Petrochemicals</v>
      </c>
    </row>
    <row r="533" hidden="1">
      <c r="A533" s="3" t="s">
        <v>2424</v>
      </c>
      <c r="B533" s="4">
        <v>543273.0</v>
      </c>
      <c r="C533" s="3" t="s">
        <v>2425</v>
      </c>
      <c r="D533" s="3" t="s">
        <v>2426</v>
      </c>
      <c r="E533" s="3" t="s">
        <v>2427</v>
      </c>
      <c r="F533" s="3" t="s">
        <v>19</v>
      </c>
      <c r="G533" s="3" t="s">
        <v>2428</v>
      </c>
      <c r="H533" s="3">
        <v>10.0</v>
      </c>
      <c r="I533" s="3" t="s">
        <v>2429</v>
      </c>
      <c r="J533" s="3" t="s">
        <v>22</v>
      </c>
      <c r="K533" s="3" t="s">
        <v>1673</v>
      </c>
      <c r="L533" s="3" t="s">
        <v>1673</v>
      </c>
      <c r="M533" s="3" t="s">
        <v>1869</v>
      </c>
      <c r="N533" s="3" t="s">
        <v>1870</v>
      </c>
      <c r="O533" s="5">
        <v>1401.77167</v>
      </c>
      <c r="P533" s="6" t="str">
        <f t="shared" si="2"/>
        <v>Engineering Services</v>
      </c>
    </row>
    <row r="534" hidden="1">
      <c r="A534" s="3" t="s">
        <v>2430</v>
      </c>
      <c r="B534" s="4">
        <v>506532.0</v>
      </c>
      <c r="C534" s="3" t="s">
        <v>2431</v>
      </c>
      <c r="D534" s="3" t="s">
        <v>2432</v>
      </c>
      <c r="E534" s="3" t="s">
        <v>2433</v>
      </c>
      <c r="F534" s="3" t="s">
        <v>19</v>
      </c>
      <c r="G534" s="3" t="s">
        <v>44</v>
      </c>
      <c r="H534" s="3">
        <v>10.0</v>
      </c>
      <c r="I534" s="3" t="s">
        <v>2430</v>
      </c>
      <c r="J534" s="3" t="s">
        <v>22</v>
      </c>
      <c r="K534" s="3" t="s">
        <v>23</v>
      </c>
      <c r="L534" s="3" t="s">
        <v>24</v>
      </c>
      <c r="M534" s="3" t="s">
        <v>25</v>
      </c>
      <c r="N534" s="3" t="s">
        <v>26</v>
      </c>
      <c r="O534" s="5">
        <v>752.9068352</v>
      </c>
      <c r="P534" s="6" t="str">
        <f t="shared" si="2"/>
        <v>Specialty Chemicals</v>
      </c>
    </row>
    <row r="535" hidden="1">
      <c r="A535" s="3" t="s">
        <v>2434</v>
      </c>
      <c r="B535" s="4">
        <v>506543.0</v>
      </c>
      <c r="C535" s="3" t="s">
        <v>2435</v>
      </c>
      <c r="D535" s="3" t="s">
        <v>2436</v>
      </c>
      <c r="E535" s="3" t="s">
        <v>2437</v>
      </c>
      <c r="F535" s="3" t="s">
        <v>19</v>
      </c>
      <c r="G535" s="3" t="s">
        <v>72</v>
      </c>
      <c r="H535" s="3">
        <v>10.0</v>
      </c>
      <c r="I535" s="3" t="s">
        <v>2434</v>
      </c>
      <c r="J535" s="3" t="s">
        <v>22</v>
      </c>
      <c r="K535" s="3" t="s">
        <v>23</v>
      </c>
      <c r="L535" s="3" t="s">
        <v>24</v>
      </c>
      <c r="M535" s="3" t="s">
        <v>91</v>
      </c>
      <c r="N535" s="3" t="s">
        <v>92</v>
      </c>
      <c r="O535" s="5">
        <v>1.0</v>
      </c>
      <c r="P535" s="6" t="str">
        <f t="shared" si="2"/>
        <v>Fertilizers &amp; Agrochemicals</v>
      </c>
    </row>
    <row r="536" hidden="1">
      <c r="A536" s="3" t="s">
        <v>2438</v>
      </c>
      <c r="B536" s="4">
        <v>506579.0</v>
      </c>
      <c r="C536" s="3" t="s">
        <v>2439</v>
      </c>
      <c r="D536" s="3" t="s">
        <v>2440</v>
      </c>
      <c r="E536" s="3" t="s">
        <v>2441</v>
      </c>
      <c r="F536" s="3" t="s">
        <v>19</v>
      </c>
      <c r="G536" s="3" t="s">
        <v>112</v>
      </c>
      <c r="H536" s="3">
        <v>10.0</v>
      </c>
      <c r="I536" s="3" t="s">
        <v>2438</v>
      </c>
      <c r="J536" s="3" t="s">
        <v>22</v>
      </c>
      <c r="K536" s="3" t="s">
        <v>23</v>
      </c>
      <c r="L536" s="3" t="s">
        <v>24</v>
      </c>
      <c r="M536" s="3" t="s">
        <v>25</v>
      </c>
      <c r="N536" s="3" t="s">
        <v>52</v>
      </c>
      <c r="O536" s="5">
        <v>221.779998</v>
      </c>
      <c r="P536" s="6" t="str">
        <f t="shared" si="2"/>
        <v>Chemicals &amp; Petrochemicals</v>
      </c>
    </row>
    <row r="537">
      <c r="A537" s="3" t="s">
        <v>361</v>
      </c>
      <c r="B537" s="4">
        <v>538268.0</v>
      </c>
      <c r="C537" s="3" t="s">
        <v>2442</v>
      </c>
      <c r="D537" s="3" t="s">
        <v>2443</v>
      </c>
      <c r="E537" s="3" t="s">
        <v>2444</v>
      </c>
      <c r="F537" s="3" t="s">
        <v>19</v>
      </c>
      <c r="G537" s="3" t="s">
        <v>20</v>
      </c>
      <c r="H537" s="3">
        <v>10.0</v>
      </c>
      <c r="I537" s="3" t="s">
        <v>2445</v>
      </c>
      <c r="J537" s="3" t="s">
        <v>22</v>
      </c>
      <c r="K537" s="3" t="s">
        <v>58</v>
      </c>
      <c r="L537" s="3" t="s">
        <v>73</v>
      </c>
      <c r="M537" s="3" t="s">
        <v>74</v>
      </c>
      <c r="N537" s="3" t="s">
        <v>2446</v>
      </c>
      <c r="O537" s="5">
        <v>5173.6396949</v>
      </c>
      <c r="P537" s="6" t="str">
        <f t="shared" si="2"/>
        <v>Leisure Services</v>
      </c>
    </row>
    <row r="538" hidden="1">
      <c r="A538" s="3" t="s">
        <v>2447</v>
      </c>
      <c r="B538" s="4">
        <v>506597.0</v>
      </c>
      <c r="C538" s="3" t="s">
        <v>2448</v>
      </c>
      <c r="D538" s="3" t="s">
        <v>2449</v>
      </c>
      <c r="E538" s="3" t="s">
        <v>2450</v>
      </c>
      <c r="F538" s="3" t="s">
        <v>19</v>
      </c>
      <c r="G538" s="3" t="s">
        <v>44</v>
      </c>
      <c r="H538" s="3">
        <v>10.0</v>
      </c>
      <c r="I538" s="3" t="s">
        <v>2447</v>
      </c>
      <c r="J538" s="3" t="s">
        <v>22</v>
      </c>
      <c r="K538" s="3" t="s">
        <v>23</v>
      </c>
      <c r="L538" s="3" t="s">
        <v>24</v>
      </c>
      <c r="M538" s="3" t="s">
        <v>25</v>
      </c>
      <c r="N538" s="3" t="s">
        <v>26</v>
      </c>
      <c r="O538" s="5">
        <v>454.480115</v>
      </c>
      <c r="P538" s="6" t="str">
        <f t="shared" si="2"/>
        <v>Specialty Chemicals</v>
      </c>
    </row>
    <row r="539" hidden="1">
      <c r="A539" s="3" t="s">
        <v>2451</v>
      </c>
      <c r="B539" s="4">
        <v>506605.0</v>
      </c>
      <c r="C539" s="3" t="s">
        <v>2452</v>
      </c>
      <c r="D539" s="3" t="s">
        <v>2453</v>
      </c>
      <c r="E539" s="3" t="s">
        <v>2454</v>
      </c>
      <c r="F539" s="3" t="s">
        <v>19</v>
      </c>
      <c r="G539" s="3" t="s">
        <v>44</v>
      </c>
      <c r="H539" s="3">
        <v>10.0</v>
      </c>
      <c r="I539" s="3" t="s">
        <v>2451</v>
      </c>
      <c r="J539" s="3" t="s">
        <v>22</v>
      </c>
      <c r="K539" s="3" t="s">
        <v>23</v>
      </c>
      <c r="L539" s="3" t="s">
        <v>24</v>
      </c>
      <c r="M539" s="3" t="s">
        <v>25</v>
      </c>
      <c r="N539" s="3" t="s">
        <v>52</v>
      </c>
      <c r="O539" s="5">
        <v>121.5143724</v>
      </c>
      <c r="P539" s="6" t="str">
        <f t="shared" si="2"/>
        <v>Chemicals &amp; Petrochemicals</v>
      </c>
    </row>
    <row r="540" hidden="1">
      <c r="A540" s="3" t="s">
        <v>2455</v>
      </c>
      <c r="B540" s="4">
        <v>506618.0</v>
      </c>
      <c r="C540" s="3" t="s">
        <v>2456</v>
      </c>
      <c r="D540" s="3" t="s">
        <v>2457</v>
      </c>
      <c r="E540" s="3" t="s">
        <v>2458</v>
      </c>
      <c r="F540" s="3" t="s">
        <v>19</v>
      </c>
      <c r="G540" s="3" t="s">
        <v>112</v>
      </c>
      <c r="H540" s="3">
        <v>10.0</v>
      </c>
      <c r="I540" s="3" t="s">
        <v>2455</v>
      </c>
      <c r="J540" s="3" t="s">
        <v>22</v>
      </c>
      <c r="K540" s="3" t="s">
        <v>23</v>
      </c>
      <c r="L540" s="3" t="s">
        <v>24</v>
      </c>
      <c r="M540" s="3" t="s">
        <v>91</v>
      </c>
      <c r="N540" s="3" t="s">
        <v>252</v>
      </c>
      <c r="O540" s="5">
        <v>1709.4170925</v>
      </c>
      <c r="P540" s="6" t="str">
        <f t="shared" si="2"/>
        <v>Fertilizers &amp; Agrochemicals</v>
      </c>
    </row>
    <row r="541" hidden="1">
      <c r="A541" s="3" t="s">
        <v>2459</v>
      </c>
      <c r="B541" s="4">
        <v>506640.0</v>
      </c>
      <c r="C541" s="3" t="s">
        <v>2460</v>
      </c>
      <c r="D541" s="3" t="s">
        <v>2461</v>
      </c>
      <c r="E541" s="3" t="s">
        <v>2462</v>
      </c>
      <c r="F541" s="3" t="s">
        <v>19</v>
      </c>
      <c r="G541" s="3" t="s">
        <v>72</v>
      </c>
      <c r="H541" s="3">
        <v>1.0</v>
      </c>
      <c r="I541" s="3" t="s">
        <v>2459</v>
      </c>
      <c r="J541" s="3" t="s">
        <v>22</v>
      </c>
      <c r="K541" s="3" t="s">
        <v>23</v>
      </c>
      <c r="L541" s="3" t="s">
        <v>24</v>
      </c>
      <c r="M541" s="3" t="s">
        <v>25</v>
      </c>
      <c r="N541" s="3" t="s">
        <v>52</v>
      </c>
      <c r="O541" s="5">
        <v>76.2316326</v>
      </c>
      <c r="P541" s="6" t="str">
        <f t="shared" si="2"/>
        <v>Chemicals &amp; Petrochemicals</v>
      </c>
    </row>
    <row r="542" hidden="1">
      <c r="A542" s="3" t="s">
        <v>2463</v>
      </c>
      <c r="B542" s="4">
        <v>506642.0</v>
      </c>
      <c r="C542" s="3" t="s">
        <v>2464</v>
      </c>
      <c r="D542" s="3" t="s">
        <v>2465</v>
      </c>
      <c r="E542" s="3" t="s">
        <v>2466</v>
      </c>
      <c r="F542" s="3" t="s">
        <v>19</v>
      </c>
      <c r="G542" s="3" t="s">
        <v>112</v>
      </c>
      <c r="H542" s="3">
        <v>1.0</v>
      </c>
      <c r="I542" s="3" t="s">
        <v>2463</v>
      </c>
      <c r="J542" s="3" t="s">
        <v>22</v>
      </c>
      <c r="K542" s="3" t="s">
        <v>23</v>
      </c>
      <c r="L542" s="3" t="s">
        <v>24</v>
      </c>
      <c r="M542" s="3" t="s">
        <v>25</v>
      </c>
      <c r="N542" s="3" t="s">
        <v>52</v>
      </c>
      <c r="O542" s="5">
        <v>1676.4697879</v>
      </c>
      <c r="P542" s="6" t="str">
        <f t="shared" si="2"/>
        <v>Chemicals &amp; Petrochemicals</v>
      </c>
    </row>
    <row r="543">
      <c r="A543" s="3" t="s">
        <v>367</v>
      </c>
      <c r="B543" s="4">
        <v>538730.0</v>
      </c>
      <c r="C543" s="3" t="s">
        <v>2467</v>
      </c>
      <c r="D543" s="3" t="s">
        <v>2468</v>
      </c>
      <c r="E543" s="3" t="s">
        <v>2469</v>
      </c>
      <c r="F543" s="3" t="s">
        <v>19</v>
      </c>
      <c r="G543" s="3" t="s">
        <v>112</v>
      </c>
      <c r="H543" s="3">
        <v>2.0</v>
      </c>
      <c r="I543" s="3" t="s">
        <v>2470</v>
      </c>
      <c r="J543" s="3" t="s">
        <v>22</v>
      </c>
      <c r="K543" s="3" t="s">
        <v>58</v>
      </c>
      <c r="L543" s="3" t="s">
        <v>80</v>
      </c>
      <c r="M543" s="3" t="s">
        <v>81</v>
      </c>
      <c r="N543" s="3" t="s">
        <v>2471</v>
      </c>
      <c r="O543" s="5">
        <v>7226.1800299</v>
      </c>
      <c r="P543" s="6" t="str">
        <f t="shared" si="2"/>
        <v>Textiles &amp; Apparels</v>
      </c>
    </row>
    <row r="544" hidden="1">
      <c r="A544" s="3" t="s">
        <v>2472</v>
      </c>
      <c r="B544" s="4">
        <v>506680.0</v>
      </c>
      <c r="C544" s="3" t="s">
        <v>2473</v>
      </c>
      <c r="D544" s="3" t="s">
        <v>2474</v>
      </c>
      <c r="E544" s="3" t="s">
        <v>2475</v>
      </c>
      <c r="F544" s="3" t="s">
        <v>19</v>
      </c>
      <c r="G544" s="3" t="s">
        <v>86</v>
      </c>
      <c r="H544" s="3">
        <v>10.0</v>
      </c>
      <c r="I544" s="3" t="s">
        <v>2472</v>
      </c>
      <c r="J544" s="3" t="s">
        <v>22</v>
      </c>
      <c r="K544" s="3" t="s">
        <v>23</v>
      </c>
      <c r="L544" s="3" t="s">
        <v>24</v>
      </c>
      <c r="M544" s="3" t="s">
        <v>25</v>
      </c>
      <c r="N544" s="3" t="s">
        <v>52</v>
      </c>
      <c r="O544" s="5">
        <v>49.1358596</v>
      </c>
      <c r="P544" s="6" t="str">
        <f t="shared" si="2"/>
        <v>Chemicals &amp; Petrochemicals</v>
      </c>
    </row>
    <row r="545" hidden="1">
      <c r="A545" s="3" t="s">
        <v>2476</v>
      </c>
      <c r="B545" s="4">
        <v>506685.0</v>
      </c>
      <c r="C545" s="3" t="s">
        <v>2477</v>
      </c>
      <c r="D545" s="3" t="s">
        <v>2478</v>
      </c>
      <c r="E545" s="3" t="s">
        <v>2479</v>
      </c>
      <c r="F545" s="3" t="s">
        <v>19</v>
      </c>
      <c r="G545" s="3" t="s">
        <v>112</v>
      </c>
      <c r="H545" s="3">
        <v>2.0</v>
      </c>
      <c r="I545" s="3" t="s">
        <v>2476</v>
      </c>
      <c r="J545" s="3" t="s">
        <v>22</v>
      </c>
      <c r="K545" s="3" t="s">
        <v>23</v>
      </c>
      <c r="L545" s="3" t="s">
        <v>24</v>
      </c>
      <c r="M545" s="3" t="s">
        <v>25</v>
      </c>
      <c r="N545" s="3" t="s">
        <v>368</v>
      </c>
      <c r="O545" s="5">
        <v>1358.0554038</v>
      </c>
      <c r="P545" s="6" t="str">
        <f t="shared" si="2"/>
        <v>Chemicals &amp; Petrochemicals</v>
      </c>
    </row>
    <row r="546" hidden="1">
      <c r="A546" s="3" t="s">
        <v>2480</v>
      </c>
      <c r="B546" s="4">
        <v>506687.0</v>
      </c>
      <c r="C546" s="3" t="s">
        <v>2481</v>
      </c>
      <c r="D546" s="3" t="s">
        <v>2482</v>
      </c>
      <c r="E546" s="3" t="s">
        <v>2483</v>
      </c>
      <c r="F546" s="3" t="s">
        <v>19</v>
      </c>
      <c r="G546" s="3" t="s">
        <v>112</v>
      </c>
      <c r="H546" s="3">
        <v>10.0</v>
      </c>
      <c r="I546" s="3" t="s">
        <v>2480</v>
      </c>
      <c r="J546" s="3" t="s">
        <v>22</v>
      </c>
      <c r="K546" s="3" t="s">
        <v>23</v>
      </c>
      <c r="L546" s="3" t="s">
        <v>24</v>
      </c>
      <c r="M546" s="3" t="s">
        <v>25</v>
      </c>
      <c r="N546" s="3" t="s">
        <v>52</v>
      </c>
      <c r="O546" s="5">
        <v>972.4124866</v>
      </c>
      <c r="P546" s="6" t="str">
        <f t="shared" si="2"/>
        <v>Chemicals &amp; Petrochemicals</v>
      </c>
    </row>
    <row r="547" hidden="1">
      <c r="A547" s="3" t="s">
        <v>2484</v>
      </c>
      <c r="B547" s="4">
        <v>506690.0</v>
      </c>
      <c r="C547" s="3" t="s">
        <v>2485</v>
      </c>
      <c r="D547" s="3" t="s">
        <v>2486</v>
      </c>
      <c r="E547" s="3" t="s">
        <v>2487</v>
      </c>
      <c r="F547" s="3" t="s">
        <v>19</v>
      </c>
      <c r="G547" s="3" t="s">
        <v>20</v>
      </c>
      <c r="H547" s="3">
        <v>2.0</v>
      </c>
      <c r="I547" s="3" t="s">
        <v>2484</v>
      </c>
      <c r="J547" s="3" t="s">
        <v>22</v>
      </c>
      <c r="K547" s="3" t="s">
        <v>45</v>
      </c>
      <c r="L547" s="3" t="s">
        <v>45</v>
      </c>
      <c r="M547" s="3" t="s">
        <v>46</v>
      </c>
      <c r="N547" s="3" t="s">
        <v>47</v>
      </c>
      <c r="O547" s="5">
        <v>3779.8170214</v>
      </c>
      <c r="P547" s="6" t="str">
        <f t="shared" si="2"/>
        <v>Pharmaceuticals</v>
      </c>
    </row>
    <row r="548" hidden="1">
      <c r="A548" s="3" t="s">
        <v>2488</v>
      </c>
      <c r="B548" s="4">
        <v>506734.0</v>
      </c>
      <c r="C548" s="3" t="s">
        <v>2489</v>
      </c>
      <c r="D548" s="3" t="s">
        <v>2490</v>
      </c>
      <c r="E548" s="3" t="s">
        <v>2491</v>
      </c>
      <c r="F548" s="3" t="s">
        <v>19</v>
      </c>
      <c r="G548" s="3" t="s">
        <v>44</v>
      </c>
      <c r="H548" s="3">
        <v>10.0</v>
      </c>
      <c r="I548" s="3" t="s">
        <v>2488</v>
      </c>
      <c r="J548" s="3" t="s">
        <v>22</v>
      </c>
      <c r="K548" s="3" t="s">
        <v>23</v>
      </c>
      <c r="L548" s="3" t="s">
        <v>24</v>
      </c>
      <c r="M548" s="3" t="s">
        <v>25</v>
      </c>
      <c r="N548" s="3" t="s">
        <v>1036</v>
      </c>
      <c r="O548" s="5">
        <v>113.5996399</v>
      </c>
      <c r="P548" s="6" t="str">
        <f t="shared" si="2"/>
        <v>Chemicals &amp; Petrochemicals</v>
      </c>
    </row>
    <row r="549">
      <c r="A549" s="3" t="s">
        <v>389</v>
      </c>
      <c r="B549" s="4">
        <v>538962.0</v>
      </c>
      <c r="C549" s="3" t="s">
        <v>2492</v>
      </c>
      <c r="D549" s="3" t="s">
        <v>2493</v>
      </c>
      <c r="E549" s="3" t="s">
        <v>2494</v>
      </c>
      <c r="F549" s="3" t="s">
        <v>19</v>
      </c>
      <c r="G549" s="3" t="s">
        <v>20</v>
      </c>
      <c r="H549" s="3">
        <v>2.0</v>
      </c>
      <c r="I549" s="3" t="s">
        <v>2495</v>
      </c>
      <c r="J549" s="3" t="s">
        <v>22</v>
      </c>
      <c r="K549" s="3" t="s">
        <v>58</v>
      </c>
      <c r="L549" s="3" t="s">
        <v>133</v>
      </c>
      <c r="M549" s="3" t="s">
        <v>134</v>
      </c>
      <c r="N549" s="3" t="s">
        <v>135</v>
      </c>
      <c r="O549" s="5">
        <v>11271.6615424</v>
      </c>
      <c r="P549" s="6" t="str">
        <f t="shared" si="2"/>
        <v>Auto Components &amp; Equipments</v>
      </c>
    </row>
    <row r="550" hidden="1">
      <c r="A550" s="3" t="s">
        <v>2496</v>
      </c>
      <c r="B550" s="4">
        <v>506808.0</v>
      </c>
      <c r="C550" s="3" t="s">
        <v>2497</v>
      </c>
      <c r="D550" s="3" t="s">
        <v>2498</v>
      </c>
      <c r="E550" s="3" t="s">
        <v>2499</v>
      </c>
      <c r="F550" s="3" t="s">
        <v>19</v>
      </c>
      <c r="G550" s="3" t="s">
        <v>112</v>
      </c>
      <c r="H550" s="3">
        <v>10.0</v>
      </c>
      <c r="I550" s="3" t="s">
        <v>2496</v>
      </c>
      <c r="J550" s="3" t="s">
        <v>22</v>
      </c>
      <c r="K550" s="3" t="s">
        <v>23</v>
      </c>
      <c r="L550" s="3" t="s">
        <v>24</v>
      </c>
      <c r="M550" s="3" t="s">
        <v>25</v>
      </c>
      <c r="N550" s="3" t="s">
        <v>52</v>
      </c>
      <c r="O550" s="5">
        <v>1092.4067636</v>
      </c>
      <c r="P550" s="6" t="str">
        <f t="shared" si="2"/>
        <v>Chemicals &amp; Petrochemicals</v>
      </c>
    </row>
    <row r="551">
      <c r="A551" s="3" t="s">
        <v>2500</v>
      </c>
      <c r="B551" s="4">
        <v>538979.0</v>
      </c>
      <c r="C551" s="3" t="s">
        <v>2501</v>
      </c>
      <c r="D551" s="3" t="s">
        <v>2502</v>
      </c>
      <c r="E551" s="3" t="s">
        <v>2501</v>
      </c>
      <c r="F551" s="3" t="s">
        <v>19</v>
      </c>
      <c r="G551" s="3" t="s">
        <v>20</v>
      </c>
      <c r="H551" s="3">
        <v>1.0</v>
      </c>
      <c r="I551" s="3" t="s">
        <v>2503</v>
      </c>
      <c r="J551" s="3" t="s">
        <v>22</v>
      </c>
      <c r="K551" s="3" t="s">
        <v>58</v>
      </c>
      <c r="L551" s="3" t="s">
        <v>211</v>
      </c>
      <c r="M551" s="3" t="s">
        <v>211</v>
      </c>
      <c r="N551" s="3" t="s">
        <v>1444</v>
      </c>
      <c r="O551" s="5">
        <v>7741.2762296</v>
      </c>
      <c r="P551" s="6" t="str">
        <f t="shared" si="2"/>
        <v>Consumer Durables</v>
      </c>
    </row>
    <row r="552" hidden="1">
      <c r="A552" s="3" t="s">
        <v>2504</v>
      </c>
      <c r="B552" s="4">
        <v>506852.0</v>
      </c>
      <c r="C552" s="3" t="s">
        <v>2505</v>
      </c>
      <c r="D552" s="3" t="s">
        <v>2506</v>
      </c>
      <c r="E552" s="3" t="s">
        <v>2507</v>
      </c>
      <c r="F552" s="3" t="s">
        <v>19</v>
      </c>
      <c r="G552" s="3" t="s">
        <v>112</v>
      </c>
      <c r="H552" s="3">
        <v>2.0</v>
      </c>
      <c r="I552" s="3" t="s">
        <v>2504</v>
      </c>
      <c r="J552" s="3" t="s">
        <v>22</v>
      </c>
      <c r="K552" s="3" t="s">
        <v>23</v>
      </c>
      <c r="L552" s="3" t="s">
        <v>24</v>
      </c>
      <c r="M552" s="3" t="s">
        <v>25</v>
      </c>
      <c r="N552" s="3" t="s">
        <v>52</v>
      </c>
      <c r="O552" s="5">
        <v>939.5646</v>
      </c>
      <c r="P552" s="6" t="str">
        <f t="shared" si="2"/>
        <v>Chemicals &amp; Petrochemicals</v>
      </c>
    </row>
    <row r="553" hidden="1">
      <c r="A553" s="3" t="s">
        <v>2508</v>
      </c>
      <c r="B553" s="4">
        <v>506854.0</v>
      </c>
      <c r="C553" s="3" t="s">
        <v>2509</v>
      </c>
      <c r="D553" s="3" t="s">
        <v>2510</v>
      </c>
      <c r="E553" s="3" t="s">
        <v>2511</v>
      </c>
      <c r="F553" s="3" t="s">
        <v>19</v>
      </c>
      <c r="G553" s="3" t="s">
        <v>112</v>
      </c>
      <c r="H553" s="3">
        <v>10.0</v>
      </c>
      <c r="I553" s="3" t="s">
        <v>2508</v>
      </c>
      <c r="J553" s="3" t="s">
        <v>22</v>
      </c>
      <c r="K553" s="3" t="s">
        <v>23</v>
      </c>
      <c r="L553" s="3" t="s">
        <v>24</v>
      </c>
      <c r="M553" s="3" t="s">
        <v>25</v>
      </c>
      <c r="N553" s="3" t="s">
        <v>52</v>
      </c>
      <c r="O553" s="5">
        <v>2325.17674</v>
      </c>
      <c r="P553" s="6" t="str">
        <f t="shared" si="2"/>
        <v>Chemicals &amp; Petrochemicals</v>
      </c>
    </row>
    <row r="554" hidden="1">
      <c r="A554" s="3" t="s">
        <v>2512</v>
      </c>
      <c r="B554" s="4">
        <v>506858.0</v>
      </c>
      <c r="C554" s="3" t="s">
        <v>2513</v>
      </c>
      <c r="D554" s="3" t="s">
        <v>2514</v>
      </c>
      <c r="E554" s="3" t="s">
        <v>2515</v>
      </c>
      <c r="F554" s="3" t="s">
        <v>19</v>
      </c>
      <c r="G554" s="3" t="s">
        <v>72</v>
      </c>
      <c r="H554" s="3">
        <v>10.0</v>
      </c>
      <c r="I554" s="3" t="s">
        <v>2512</v>
      </c>
      <c r="J554" s="3" t="s">
        <v>22</v>
      </c>
      <c r="K554" s="3" t="s">
        <v>23</v>
      </c>
      <c r="L554" s="3" t="s">
        <v>24</v>
      </c>
      <c r="M554" s="3" t="s">
        <v>25</v>
      </c>
      <c r="N554" s="3" t="s">
        <v>241</v>
      </c>
      <c r="O554" s="5">
        <v>36.3464331</v>
      </c>
      <c r="P554" s="6" t="str">
        <f t="shared" si="2"/>
        <v>Chemicals &amp; Petrochemicals</v>
      </c>
    </row>
    <row r="555" hidden="1">
      <c r="A555" s="3" t="s">
        <v>2516</v>
      </c>
      <c r="B555" s="4">
        <v>506879.0</v>
      </c>
      <c r="C555" s="3" t="s">
        <v>2517</v>
      </c>
      <c r="D555" s="3" t="s">
        <v>2518</v>
      </c>
      <c r="E555" s="3" t="s">
        <v>2519</v>
      </c>
      <c r="F555" s="3" t="s">
        <v>19</v>
      </c>
      <c r="G555" s="3" t="s">
        <v>112</v>
      </c>
      <c r="H555" s="3">
        <v>1.0</v>
      </c>
      <c r="I555" s="3" t="s">
        <v>2516</v>
      </c>
      <c r="J555" s="3" t="s">
        <v>22</v>
      </c>
      <c r="K555" s="3" t="s">
        <v>45</v>
      </c>
      <c r="L555" s="3" t="s">
        <v>45</v>
      </c>
      <c r="M555" s="3" t="s">
        <v>46</v>
      </c>
      <c r="N555" s="3" t="s">
        <v>47</v>
      </c>
      <c r="O555" s="5">
        <v>3463.5933708</v>
      </c>
      <c r="P555" s="6" t="str">
        <f t="shared" si="2"/>
        <v>Pharmaceuticals</v>
      </c>
    </row>
    <row r="556" hidden="1">
      <c r="A556" s="3" t="s">
        <v>2520</v>
      </c>
      <c r="B556" s="4">
        <v>538635.0</v>
      </c>
      <c r="C556" s="3" t="s">
        <v>2521</v>
      </c>
      <c r="D556" s="3" t="s">
        <v>2522</v>
      </c>
      <c r="E556" s="3" t="s">
        <v>2523</v>
      </c>
      <c r="F556" s="3" t="s">
        <v>19</v>
      </c>
      <c r="G556" s="3" t="s">
        <v>112</v>
      </c>
      <c r="H556" s="3">
        <v>10.0</v>
      </c>
      <c r="I556" s="3" t="s">
        <v>2524</v>
      </c>
      <c r="J556" s="3" t="s">
        <v>22</v>
      </c>
      <c r="K556" s="3" t="s">
        <v>1673</v>
      </c>
      <c r="L556" s="3" t="s">
        <v>1673</v>
      </c>
      <c r="M556" s="3" t="s">
        <v>1689</v>
      </c>
      <c r="N556" s="3" t="s">
        <v>1690</v>
      </c>
      <c r="O556" s="5">
        <v>1385.8204865</v>
      </c>
      <c r="P556" s="6" t="str">
        <f t="shared" si="2"/>
        <v>Transport Services</v>
      </c>
    </row>
    <row r="557" hidden="1">
      <c r="A557" s="3" t="s">
        <v>2525</v>
      </c>
      <c r="B557" s="4">
        <v>506919.0</v>
      </c>
      <c r="C557" s="3" t="s">
        <v>2526</v>
      </c>
      <c r="D557" s="3" t="s">
        <v>2527</v>
      </c>
      <c r="E557" s="3" t="s">
        <v>2528</v>
      </c>
      <c r="F557" s="3" t="s">
        <v>19</v>
      </c>
      <c r="G557" s="3" t="s">
        <v>44</v>
      </c>
      <c r="H557" s="3">
        <v>10.0</v>
      </c>
      <c r="I557" s="3" t="s">
        <v>2525</v>
      </c>
      <c r="J557" s="3" t="s">
        <v>22</v>
      </c>
      <c r="K557" s="3" t="s">
        <v>45</v>
      </c>
      <c r="L557" s="3" t="s">
        <v>45</v>
      </c>
      <c r="M557" s="3" t="s">
        <v>46</v>
      </c>
      <c r="N557" s="3" t="s">
        <v>47</v>
      </c>
      <c r="O557" s="5">
        <v>75.300027</v>
      </c>
      <c r="P557" s="6" t="str">
        <f t="shared" si="2"/>
        <v>Pharmaceuticals</v>
      </c>
    </row>
    <row r="558" hidden="1">
      <c r="A558" s="3" t="s">
        <v>2529</v>
      </c>
      <c r="B558" s="4">
        <v>506935.0</v>
      </c>
      <c r="C558" s="3" t="s">
        <v>2530</v>
      </c>
      <c r="D558" s="3" t="s">
        <v>2531</v>
      </c>
      <c r="E558" s="3" t="s">
        <v>2532</v>
      </c>
      <c r="F558" s="3" t="s">
        <v>19</v>
      </c>
      <c r="G558" s="3" t="s">
        <v>44</v>
      </c>
      <c r="H558" s="3">
        <v>10.0</v>
      </c>
      <c r="I558" s="3" t="s">
        <v>2529</v>
      </c>
      <c r="J558" s="3" t="s">
        <v>22</v>
      </c>
      <c r="K558" s="3" t="s">
        <v>473</v>
      </c>
      <c r="L558" s="3" t="s">
        <v>473</v>
      </c>
      <c r="M558" s="3" t="s">
        <v>1391</v>
      </c>
      <c r="N558" s="3" t="s">
        <v>1392</v>
      </c>
      <c r="O558" s="5">
        <v>16.8292071</v>
      </c>
      <c r="P558" s="6" t="str">
        <f t="shared" si="2"/>
        <v>IT - Software</v>
      </c>
    </row>
    <row r="559">
      <c r="A559" s="3" t="s">
        <v>2533</v>
      </c>
      <c r="B559" s="4">
        <v>539876.0</v>
      </c>
      <c r="C559" s="3" t="s">
        <v>2534</v>
      </c>
      <c r="D559" s="3" t="s">
        <v>2535</v>
      </c>
      <c r="E559" s="3" t="s">
        <v>2536</v>
      </c>
      <c r="F559" s="3" t="s">
        <v>19</v>
      </c>
      <c r="G559" s="3" t="s">
        <v>20</v>
      </c>
      <c r="H559" s="3">
        <v>2.0</v>
      </c>
      <c r="I559" s="3" t="s">
        <v>2537</v>
      </c>
      <c r="J559" s="3" t="s">
        <v>22</v>
      </c>
      <c r="K559" s="3" t="s">
        <v>58</v>
      </c>
      <c r="L559" s="3" t="s">
        <v>211</v>
      </c>
      <c r="M559" s="3" t="s">
        <v>211</v>
      </c>
      <c r="N559" s="3" t="s">
        <v>882</v>
      </c>
      <c r="O559" s="5">
        <v>25929.33252</v>
      </c>
      <c r="P559" s="6" t="str">
        <f t="shared" si="2"/>
        <v>Consumer Durables</v>
      </c>
    </row>
    <row r="560" hidden="1">
      <c r="A560" s="3" t="s">
        <v>2538</v>
      </c>
      <c r="B560" s="4">
        <v>506945.0</v>
      </c>
      <c r="C560" s="3" t="s">
        <v>2539</v>
      </c>
      <c r="D560" s="3" t="s">
        <v>2540</v>
      </c>
      <c r="E560" s="3" t="s">
        <v>2541</v>
      </c>
      <c r="F560" s="3" t="s">
        <v>19</v>
      </c>
      <c r="G560" s="3" t="s">
        <v>1858</v>
      </c>
      <c r="H560" s="3">
        <v>1.0</v>
      </c>
      <c r="I560" s="3" t="s">
        <v>2538</v>
      </c>
      <c r="J560" s="3" t="s">
        <v>22</v>
      </c>
      <c r="K560" s="3" t="s">
        <v>23</v>
      </c>
      <c r="L560" s="3" t="s">
        <v>24</v>
      </c>
      <c r="M560" s="3" t="s">
        <v>25</v>
      </c>
      <c r="N560" s="3" t="s">
        <v>26</v>
      </c>
      <c r="O560" s="5">
        <v>1.0</v>
      </c>
      <c r="P560" s="6" t="str">
        <f t="shared" si="2"/>
        <v>Specialty Chemicals</v>
      </c>
    </row>
    <row r="561" hidden="1">
      <c r="A561" s="3" t="s">
        <v>2542</v>
      </c>
      <c r="B561" s="4">
        <v>506975.0</v>
      </c>
      <c r="C561" s="3" t="s">
        <v>2543</v>
      </c>
      <c r="D561" s="3" t="s">
        <v>2544</v>
      </c>
      <c r="E561" s="3" t="s">
        <v>2545</v>
      </c>
      <c r="F561" s="3" t="s">
        <v>19</v>
      </c>
      <c r="G561" s="3" t="s">
        <v>1858</v>
      </c>
      <c r="H561" s="3">
        <v>10.0</v>
      </c>
      <c r="I561" s="3" t="s">
        <v>2542</v>
      </c>
      <c r="J561" s="3" t="s">
        <v>22</v>
      </c>
      <c r="K561" s="3" t="s">
        <v>58</v>
      </c>
      <c r="L561" s="3" t="s">
        <v>80</v>
      </c>
      <c r="M561" s="3" t="s">
        <v>81</v>
      </c>
      <c r="N561" s="3" t="s">
        <v>82</v>
      </c>
      <c r="O561" s="5">
        <v>1.0</v>
      </c>
      <c r="P561" s="6" t="str">
        <f t="shared" si="2"/>
        <v>Textiles &amp; Apparels</v>
      </c>
    </row>
    <row r="562" hidden="1">
      <c r="A562" s="3" t="s">
        <v>2546</v>
      </c>
      <c r="B562" s="4">
        <v>506979.0</v>
      </c>
      <c r="C562" s="3" t="s">
        <v>2547</v>
      </c>
      <c r="D562" s="3" t="s">
        <v>2548</v>
      </c>
      <c r="E562" s="3" t="s">
        <v>2549</v>
      </c>
      <c r="F562" s="3" t="s">
        <v>19</v>
      </c>
      <c r="G562" s="3" t="s">
        <v>72</v>
      </c>
      <c r="H562" s="3">
        <v>10.0</v>
      </c>
      <c r="I562" s="3" t="s">
        <v>2546</v>
      </c>
      <c r="J562" s="3" t="s">
        <v>22</v>
      </c>
      <c r="K562" s="3" t="s">
        <v>97</v>
      </c>
      <c r="L562" s="3" t="s">
        <v>98</v>
      </c>
      <c r="M562" s="3" t="s">
        <v>100</v>
      </c>
      <c r="N562" s="3" t="s">
        <v>373</v>
      </c>
      <c r="O562" s="5">
        <v>21.0644</v>
      </c>
      <c r="P562" s="6" t="str">
        <f t="shared" si="2"/>
        <v>Industrial Products</v>
      </c>
    </row>
    <row r="563" hidden="1">
      <c r="A563" s="3" t="s">
        <v>2550</v>
      </c>
      <c r="B563" s="4">
        <v>506981.0</v>
      </c>
      <c r="C563" s="3" t="s">
        <v>2551</v>
      </c>
      <c r="D563" s="3" t="s">
        <v>2552</v>
      </c>
      <c r="E563" s="3" t="s">
        <v>2553</v>
      </c>
      <c r="F563" s="3" t="s">
        <v>19</v>
      </c>
      <c r="G563" s="3" t="s">
        <v>44</v>
      </c>
      <c r="H563" s="3">
        <v>10.0</v>
      </c>
      <c r="I563" s="3" t="s">
        <v>2550</v>
      </c>
      <c r="J563" s="3" t="s">
        <v>22</v>
      </c>
      <c r="K563" s="3" t="s">
        <v>58</v>
      </c>
      <c r="L563" s="3" t="s">
        <v>80</v>
      </c>
      <c r="M563" s="3" t="s">
        <v>81</v>
      </c>
      <c r="N563" s="3" t="s">
        <v>82</v>
      </c>
      <c r="O563" s="5">
        <v>30.5929565</v>
      </c>
      <c r="P563" s="6" t="str">
        <f t="shared" si="2"/>
        <v>Textiles &amp; Apparels</v>
      </c>
    </row>
    <row r="564" hidden="1">
      <c r="A564" s="3" t="s">
        <v>2554</v>
      </c>
      <c r="B564" s="4">
        <v>507155.0</v>
      </c>
      <c r="C564" s="3" t="s">
        <v>2555</v>
      </c>
      <c r="D564" s="3" t="s">
        <v>2556</v>
      </c>
      <c r="E564" s="3" t="s">
        <v>2557</v>
      </c>
      <c r="F564" s="3" t="s">
        <v>19</v>
      </c>
      <c r="G564" s="3" t="s">
        <v>44</v>
      </c>
      <c r="H564" s="3">
        <v>10.0</v>
      </c>
      <c r="I564" s="3" t="s">
        <v>2554</v>
      </c>
      <c r="J564" s="3" t="s">
        <v>22</v>
      </c>
      <c r="K564" s="3" t="s">
        <v>145</v>
      </c>
      <c r="L564" s="3" t="s">
        <v>145</v>
      </c>
      <c r="M564" s="3" t="s">
        <v>2558</v>
      </c>
      <c r="N564" s="3" t="s">
        <v>2559</v>
      </c>
      <c r="O564" s="5">
        <v>1027.0355112</v>
      </c>
      <c r="P564" s="6" t="str">
        <f t="shared" si="2"/>
        <v>Beverages</v>
      </c>
    </row>
    <row r="565" hidden="1">
      <c r="A565" s="3" t="s">
        <v>2560</v>
      </c>
      <c r="B565" s="4">
        <v>507180.0</v>
      </c>
      <c r="C565" s="3" t="s">
        <v>2561</v>
      </c>
      <c r="D565" s="3" t="s">
        <v>2562</v>
      </c>
      <c r="E565" s="3" t="s">
        <v>2563</v>
      </c>
      <c r="F565" s="3" t="s">
        <v>19</v>
      </c>
      <c r="G565" s="3" t="s">
        <v>72</v>
      </c>
      <c r="H565" s="3">
        <v>10.0</v>
      </c>
      <c r="I565" s="3" t="s">
        <v>2560</v>
      </c>
      <c r="J565" s="3" t="s">
        <v>22</v>
      </c>
      <c r="K565" s="3" t="s">
        <v>145</v>
      </c>
      <c r="L565" s="3" t="s">
        <v>145</v>
      </c>
      <c r="M565" s="3" t="s">
        <v>146</v>
      </c>
      <c r="N565" s="3" t="s">
        <v>147</v>
      </c>
      <c r="O565" s="5">
        <v>178.8621756</v>
      </c>
      <c r="P565" s="6" t="str">
        <f t="shared" si="2"/>
        <v>Agricultural Food &amp; other Products</v>
      </c>
    </row>
    <row r="566" hidden="1">
      <c r="A566" s="3" t="s">
        <v>2564</v>
      </c>
      <c r="B566" s="4">
        <v>507205.0</v>
      </c>
      <c r="C566" s="3" t="s">
        <v>2565</v>
      </c>
      <c r="D566" s="3" t="s">
        <v>2566</v>
      </c>
      <c r="E566" s="3" t="s">
        <v>2567</v>
      </c>
      <c r="F566" s="3" t="s">
        <v>19</v>
      </c>
      <c r="G566" s="3" t="s">
        <v>20</v>
      </c>
      <c r="H566" s="3">
        <v>10.0</v>
      </c>
      <c r="I566" s="3" t="s">
        <v>2564</v>
      </c>
      <c r="J566" s="3" t="s">
        <v>22</v>
      </c>
      <c r="K566" s="3" t="s">
        <v>145</v>
      </c>
      <c r="L566" s="3" t="s">
        <v>145</v>
      </c>
      <c r="M566" s="3" t="s">
        <v>2558</v>
      </c>
      <c r="N566" s="3" t="s">
        <v>2559</v>
      </c>
      <c r="O566" s="5">
        <v>4816.074155</v>
      </c>
      <c r="P566" s="6" t="str">
        <f t="shared" si="2"/>
        <v>Beverages</v>
      </c>
    </row>
    <row r="567" hidden="1">
      <c r="A567" s="3" t="s">
        <v>2568</v>
      </c>
      <c r="B567" s="4">
        <v>507265.0</v>
      </c>
      <c r="C567" s="3" t="s">
        <v>2569</v>
      </c>
      <c r="D567" s="3" t="s">
        <v>2570</v>
      </c>
      <c r="E567" s="3" t="s">
        <v>2571</v>
      </c>
      <c r="F567" s="3" t="s">
        <v>19</v>
      </c>
      <c r="G567" s="3" t="s">
        <v>72</v>
      </c>
      <c r="H567" s="3">
        <v>5.0</v>
      </c>
      <c r="I567" s="3" t="s">
        <v>2568</v>
      </c>
      <c r="J567" s="3" t="s">
        <v>22</v>
      </c>
      <c r="K567" s="3" t="s">
        <v>58</v>
      </c>
      <c r="L567" s="3" t="s">
        <v>73</v>
      </c>
      <c r="M567" s="3" t="s">
        <v>74</v>
      </c>
      <c r="N567" s="3" t="s">
        <v>75</v>
      </c>
      <c r="O567" s="5">
        <v>114.0202715</v>
      </c>
      <c r="P567" s="6" t="str">
        <f t="shared" si="2"/>
        <v>Leisure Services</v>
      </c>
    </row>
    <row r="568" hidden="1">
      <c r="A568" s="3" t="s">
        <v>2572</v>
      </c>
      <c r="B568" s="4">
        <v>507300.0</v>
      </c>
      <c r="C568" s="3" t="s">
        <v>2573</v>
      </c>
      <c r="D568" s="3" t="s">
        <v>2574</v>
      </c>
      <c r="E568" s="3" t="s">
        <v>2575</v>
      </c>
      <c r="F568" s="3" t="s">
        <v>19</v>
      </c>
      <c r="G568" s="3" t="s">
        <v>44</v>
      </c>
      <c r="H568" s="3">
        <v>10.0</v>
      </c>
      <c r="I568" s="3" t="s">
        <v>2572</v>
      </c>
      <c r="J568" s="3" t="s">
        <v>22</v>
      </c>
      <c r="K568" s="3" t="s">
        <v>145</v>
      </c>
      <c r="L568" s="3" t="s">
        <v>145</v>
      </c>
      <c r="M568" s="3" t="s">
        <v>146</v>
      </c>
      <c r="N568" s="3" t="s">
        <v>147</v>
      </c>
      <c r="O568" s="5">
        <v>51.7623061</v>
      </c>
      <c r="P568" s="6" t="str">
        <f t="shared" si="2"/>
        <v>Agricultural Food &amp; other Products</v>
      </c>
    </row>
    <row r="569" hidden="1">
      <c r="A569" s="3" t="s">
        <v>2576</v>
      </c>
      <c r="B569" s="4">
        <v>507315.0</v>
      </c>
      <c r="C569" s="3" t="s">
        <v>2577</v>
      </c>
      <c r="D569" s="3" t="s">
        <v>2578</v>
      </c>
      <c r="E569" s="3" t="s">
        <v>2579</v>
      </c>
      <c r="F569" s="3" t="s">
        <v>19</v>
      </c>
      <c r="G569" s="3" t="s">
        <v>112</v>
      </c>
      <c r="H569" s="3">
        <v>10.0</v>
      </c>
      <c r="I569" s="3" t="s">
        <v>2576</v>
      </c>
      <c r="J569" s="3" t="s">
        <v>22</v>
      </c>
      <c r="K569" s="3" t="s">
        <v>145</v>
      </c>
      <c r="L569" s="3" t="s">
        <v>145</v>
      </c>
      <c r="M569" s="3" t="s">
        <v>146</v>
      </c>
      <c r="N569" s="3" t="s">
        <v>147</v>
      </c>
      <c r="O569" s="5">
        <v>474.0761904</v>
      </c>
      <c r="P569" s="6" t="str">
        <f t="shared" si="2"/>
        <v>Agricultural Food &amp; other Products</v>
      </c>
    </row>
    <row r="570" hidden="1">
      <c r="A570" s="3" t="s">
        <v>2580</v>
      </c>
      <c r="B570" s="4">
        <v>507410.0</v>
      </c>
      <c r="C570" s="3" t="s">
        <v>2581</v>
      </c>
      <c r="D570" s="3" t="s">
        <v>2582</v>
      </c>
      <c r="E570" s="3" t="s">
        <v>2583</v>
      </c>
      <c r="F570" s="3" t="s">
        <v>19</v>
      </c>
      <c r="G570" s="3" t="s">
        <v>112</v>
      </c>
      <c r="H570" s="3">
        <v>2.0</v>
      </c>
      <c r="I570" s="3" t="s">
        <v>2580</v>
      </c>
      <c r="J570" s="3" t="s">
        <v>22</v>
      </c>
      <c r="K570" s="3" t="s">
        <v>97</v>
      </c>
      <c r="L570" s="3" t="s">
        <v>98</v>
      </c>
      <c r="M570" s="3" t="s">
        <v>99</v>
      </c>
      <c r="N570" s="3" t="s">
        <v>100</v>
      </c>
      <c r="O570" s="5">
        <v>1437.4555849</v>
      </c>
      <c r="P570" s="6" t="str">
        <f t="shared" si="2"/>
        <v>Industrial Products</v>
      </c>
    </row>
    <row r="571" hidden="1">
      <c r="A571" s="3" t="s">
        <v>2584</v>
      </c>
      <c r="B571" s="4">
        <v>507438.0</v>
      </c>
      <c r="C571" s="3" t="s">
        <v>2585</v>
      </c>
      <c r="D571" s="3" t="s">
        <v>2586</v>
      </c>
      <c r="E571" s="3" t="s">
        <v>2587</v>
      </c>
      <c r="F571" s="3" t="s">
        <v>19</v>
      </c>
      <c r="G571" s="3" t="s">
        <v>112</v>
      </c>
      <c r="H571" s="3">
        <v>10.0</v>
      </c>
      <c r="I571" s="3" t="s">
        <v>2584</v>
      </c>
      <c r="J571" s="3" t="s">
        <v>22</v>
      </c>
      <c r="K571" s="3" t="s">
        <v>145</v>
      </c>
      <c r="L571" s="3" t="s">
        <v>145</v>
      </c>
      <c r="M571" s="3" t="s">
        <v>2558</v>
      </c>
      <c r="N571" s="3" t="s">
        <v>2559</v>
      </c>
      <c r="O571" s="5">
        <v>425.1433064</v>
      </c>
      <c r="P571" s="6" t="str">
        <f t="shared" si="2"/>
        <v>Beverages</v>
      </c>
    </row>
    <row r="572" hidden="1">
      <c r="A572" s="3" t="s">
        <v>2588</v>
      </c>
      <c r="B572" s="4">
        <v>507474.0</v>
      </c>
      <c r="C572" s="3" t="s">
        <v>2589</v>
      </c>
      <c r="D572" s="3" t="s">
        <v>2590</v>
      </c>
      <c r="E572" s="3" t="s">
        <v>2591</v>
      </c>
      <c r="F572" s="3" t="s">
        <v>19</v>
      </c>
      <c r="G572" s="3" t="s">
        <v>44</v>
      </c>
      <c r="H572" s="3">
        <v>10.0</v>
      </c>
      <c r="I572" s="3" t="s">
        <v>2588</v>
      </c>
      <c r="J572" s="3" t="s">
        <v>22</v>
      </c>
      <c r="K572" s="3" t="s">
        <v>145</v>
      </c>
      <c r="L572" s="3" t="s">
        <v>145</v>
      </c>
      <c r="M572" s="3" t="s">
        <v>597</v>
      </c>
      <c r="N572" s="3" t="s">
        <v>1065</v>
      </c>
      <c r="O572" s="5">
        <v>101.4334194</v>
      </c>
      <c r="P572" s="6" t="str">
        <f t="shared" si="2"/>
        <v>Food Products</v>
      </c>
    </row>
    <row r="573" hidden="1">
      <c r="A573" s="3" t="s">
        <v>2592</v>
      </c>
      <c r="B573" s="4">
        <v>507486.0</v>
      </c>
      <c r="C573" s="3" t="s">
        <v>2593</v>
      </c>
      <c r="D573" s="3" t="s">
        <v>2594</v>
      </c>
      <c r="E573" s="3" t="s">
        <v>2595</v>
      </c>
      <c r="F573" s="3" t="s">
        <v>19</v>
      </c>
      <c r="G573" s="3" t="s">
        <v>72</v>
      </c>
      <c r="H573" s="3">
        <v>10.0</v>
      </c>
      <c r="I573" s="3" t="s">
        <v>2592</v>
      </c>
      <c r="J573" s="3" t="s">
        <v>22</v>
      </c>
      <c r="K573" s="3" t="s">
        <v>23</v>
      </c>
      <c r="L573" s="3" t="s">
        <v>24</v>
      </c>
      <c r="M573" s="3" t="s">
        <v>25</v>
      </c>
      <c r="N573" s="3" t="s">
        <v>52</v>
      </c>
      <c r="O573" s="5">
        <v>27.383975</v>
      </c>
      <c r="P573" s="6" t="str">
        <f t="shared" si="2"/>
        <v>Chemicals &amp; Petrochemicals</v>
      </c>
    </row>
    <row r="574" hidden="1">
      <c r="A574" s="3" t="s">
        <v>2596</v>
      </c>
      <c r="B574" s="4">
        <v>507488.0</v>
      </c>
      <c r="C574" s="3" t="s">
        <v>2597</v>
      </c>
      <c r="D574" s="3" t="s">
        <v>2598</v>
      </c>
      <c r="E574" s="3" t="s">
        <v>2599</v>
      </c>
      <c r="F574" s="3" t="s">
        <v>19</v>
      </c>
      <c r="G574" s="3" t="s">
        <v>112</v>
      </c>
      <c r="H574" s="3">
        <v>10.0</v>
      </c>
      <c r="I574" s="3" t="s">
        <v>2596</v>
      </c>
      <c r="J574" s="3" t="s">
        <v>22</v>
      </c>
      <c r="K574" s="3" t="s">
        <v>145</v>
      </c>
      <c r="L574" s="3" t="s">
        <v>145</v>
      </c>
      <c r="M574" s="3" t="s">
        <v>2558</v>
      </c>
      <c r="N574" s="3" t="s">
        <v>2559</v>
      </c>
      <c r="O574" s="5">
        <v>1979.95428</v>
      </c>
      <c r="P574" s="6" t="str">
        <f t="shared" si="2"/>
        <v>Beverages</v>
      </c>
    </row>
    <row r="575" hidden="1">
      <c r="A575" s="3" t="s">
        <v>2600</v>
      </c>
      <c r="B575" s="4">
        <v>507490.0</v>
      </c>
      <c r="C575" s="3" t="s">
        <v>2601</v>
      </c>
      <c r="D575" s="3" t="s">
        <v>2602</v>
      </c>
      <c r="E575" s="3" t="s">
        <v>2603</v>
      </c>
      <c r="F575" s="3" t="s">
        <v>19</v>
      </c>
      <c r="G575" s="3" t="s">
        <v>112</v>
      </c>
      <c r="H575" s="3">
        <v>10.0</v>
      </c>
      <c r="I575" s="3" t="s">
        <v>2600</v>
      </c>
      <c r="J575" s="3" t="s">
        <v>22</v>
      </c>
      <c r="K575" s="3" t="s">
        <v>145</v>
      </c>
      <c r="L575" s="3" t="s">
        <v>145</v>
      </c>
      <c r="M575" s="3" t="s">
        <v>146</v>
      </c>
      <c r="N575" s="3" t="s">
        <v>147</v>
      </c>
      <c r="O575" s="5">
        <v>381.4489409</v>
      </c>
      <c r="P575" s="6" t="str">
        <f t="shared" si="2"/>
        <v>Agricultural Food &amp; other Products</v>
      </c>
    </row>
    <row r="576" hidden="1">
      <c r="A576" s="3" t="s">
        <v>2604</v>
      </c>
      <c r="B576" s="4">
        <v>507498.0</v>
      </c>
      <c r="C576" s="3" t="s">
        <v>2605</v>
      </c>
      <c r="D576" s="3" t="s">
        <v>2606</v>
      </c>
      <c r="E576" s="3" t="s">
        <v>2607</v>
      </c>
      <c r="F576" s="3" t="s">
        <v>19</v>
      </c>
      <c r="G576" s="3" t="s">
        <v>72</v>
      </c>
      <c r="H576" s="3">
        <v>10.0</v>
      </c>
      <c r="I576" s="3" t="s">
        <v>2604</v>
      </c>
      <c r="J576" s="3" t="s">
        <v>22</v>
      </c>
      <c r="K576" s="3" t="s">
        <v>145</v>
      </c>
      <c r="L576" s="3" t="s">
        <v>145</v>
      </c>
      <c r="M576" s="3" t="s">
        <v>146</v>
      </c>
      <c r="N576" s="3" t="s">
        <v>147</v>
      </c>
      <c r="O576" s="5">
        <v>168.2019775</v>
      </c>
      <c r="P576" s="6" t="str">
        <f t="shared" si="2"/>
        <v>Agricultural Food &amp; other Products</v>
      </c>
    </row>
    <row r="577" hidden="1">
      <c r="A577" s="3" t="s">
        <v>2608</v>
      </c>
      <c r="B577" s="4">
        <v>507514.0</v>
      </c>
      <c r="C577" s="3" t="s">
        <v>2609</v>
      </c>
      <c r="D577" s="3" t="s">
        <v>2610</v>
      </c>
      <c r="E577" s="3" t="s">
        <v>2611</v>
      </c>
      <c r="F577" s="3" t="s">
        <v>19</v>
      </c>
      <c r="G577" s="3" t="s">
        <v>20</v>
      </c>
      <c r="H577" s="3">
        <v>2.0</v>
      </c>
      <c r="I577" s="3" t="s">
        <v>2608</v>
      </c>
      <c r="J577" s="3" t="s">
        <v>22</v>
      </c>
      <c r="K577" s="3" t="s">
        <v>145</v>
      </c>
      <c r="L577" s="3" t="s">
        <v>145</v>
      </c>
      <c r="M577" s="3" t="s">
        <v>2558</v>
      </c>
      <c r="N577" s="3" t="s">
        <v>2559</v>
      </c>
      <c r="O577" s="5">
        <v>2301.5329375</v>
      </c>
      <c r="P577" s="6" t="str">
        <f t="shared" si="2"/>
        <v>Beverages</v>
      </c>
    </row>
    <row r="578" hidden="1">
      <c r="A578" s="3" t="s">
        <v>2612</v>
      </c>
      <c r="B578" s="4">
        <v>507515.0</v>
      </c>
      <c r="C578" s="3" t="s">
        <v>2613</v>
      </c>
      <c r="D578" s="3" t="s">
        <v>2614</v>
      </c>
      <c r="E578" s="3" t="s">
        <v>2615</v>
      </c>
      <c r="F578" s="3" t="s">
        <v>19</v>
      </c>
      <c r="G578" s="3" t="s">
        <v>44</v>
      </c>
      <c r="H578" s="3">
        <v>10.0</v>
      </c>
      <c r="I578" s="3" t="s">
        <v>2612</v>
      </c>
      <c r="J578" s="3" t="s">
        <v>22</v>
      </c>
      <c r="K578" s="3" t="s">
        <v>23</v>
      </c>
      <c r="L578" s="3" t="s">
        <v>24</v>
      </c>
      <c r="M578" s="3" t="s">
        <v>25</v>
      </c>
      <c r="N578" s="3" t="s">
        <v>26</v>
      </c>
      <c r="O578" s="5">
        <v>1.0</v>
      </c>
      <c r="P578" s="6" t="str">
        <f t="shared" si="2"/>
        <v>Specialty Chemicals</v>
      </c>
    </row>
    <row r="579" hidden="1">
      <c r="A579" s="3" t="s">
        <v>2616</v>
      </c>
      <c r="B579" s="4">
        <v>507526.0</v>
      </c>
      <c r="C579" s="3" t="s">
        <v>2617</v>
      </c>
      <c r="D579" s="3" t="s">
        <v>2618</v>
      </c>
      <c r="E579" s="3" t="s">
        <v>2619</v>
      </c>
      <c r="F579" s="3" t="s">
        <v>19</v>
      </c>
      <c r="G579" s="3" t="s">
        <v>112</v>
      </c>
      <c r="H579" s="3">
        <v>10.0</v>
      </c>
      <c r="I579" s="3" t="s">
        <v>2616</v>
      </c>
      <c r="J579" s="3" t="s">
        <v>22</v>
      </c>
      <c r="K579" s="3" t="s">
        <v>145</v>
      </c>
      <c r="L579" s="3" t="s">
        <v>145</v>
      </c>
      <c r="M579" s="3" t="s">
        <v>2558</v>
      </c>
      <c r="N579" s="3" t="s">
        <v>2559</v>
      </c>
      <c r="O579" s="5">
        <v>1222.412062</v>
      </c>
      <c r="P579" s="6" t="str">
        <f t="shared" si="2"/>
        <v>Beverages</v>
      </c>
    </row>
    <row r="580" hidden="1">
      <c r="A580" s="3" t="s">
        <v>2620</v>
      </c>
      <c r="B580" s="4">
        <v>532345.0</v>
      </c>
      <c r="C580" s="3" t="s">
        <v>2621</v>
      </c>
      <c r="D580" s="3" t="s">
        <v>2622</v>
      </c>
      <c r="E580" s="3" t="s">
        <v>2623</v>
      </c>
      <c r="F580" s="3" t="s">
        <v>19</v>
      </c>
      <c r="G580" s="3" t="s">
        <v>112</v>
      </c>
      <c r="H580" s="3">
        <v>2.0</v>
      </c>
      <c r="I580" s="3" t="s">
        <v>2624</v>
      </c>
      <c r="J580" s="3" t="s">
        <v>22</v>
      </c>
      <c r="K580" s="3" t="s">
        <v>1673</v>
      </c>
      <c r="L580" s="3" t="s">
        <v>1673</v>
      </c>
      <c r="M580" s="3" t="s">
        <v>1689</v>
      </c>
      <c r="N580" s="3" t="s">
        <v>1690</v>
      </c>
      <c r="O580" s="5">
        <v>1313.17119</v>
      </c>
      <c r="P580" s="6" t="str">
        <f t="shared" si="2"/>
        <v>Transport Services</v>
      </c>
    </row>
    <row r="581" hidden="1">
      <c r="A581" s="3" t="s">
        <v>2625</v>
      </c>
      <c r="B581" s="4">
        <v>507543.0</v>
      </c>
      <c r="C581" s="3" t="s">
        <v>2626</v>
      </c>
      <c r="D581" s="3" t="s">
        <v>2627</v>
      </c>
      <c r="E581" s="3" t="s">
        <v>2628</v>
      </c>
      <c r="F581" s="3" t="s">
        <v>19</v>
      </c>
      <c r="G581" s="3" t="s">
        <v>1858</v>
      </c>
      <c r="H581" s="3">
        <v>10.0</v>
      </c>
      <c r="I581" s="3" t="s">
        <v>2625</v>
      </c>
      <c r="J581" s="3" t="s">
        <v>22</v>
      </c>
      <c r="K581" s="3" t="s">
        <v>145</v>
      </c>
      <c r="L581" s="3" t="s">
        <v>145</v>
      </c>
      <c r="M581" s="3" t="s">
        <v>146</v>
      </c>
      <c r="N581" s="3" t="s">
        <v>575</v>
      </c>
      <c r="O581" s="5">
        <v>1.0</v>
      </c>
      <c r="P581" s="6" t="str">
        <f t="shared" si="2"/>
        <v>Agricultural Food &amp; other Products</v>
      </c>
    </row>
    <row r="582" hidden="1">
      <c r="A582" s="3" t="s">
        <v>2629</v>
      </c>
      <c r="B582" s="4">
        <v>507552.0</v>
      </c>
      <c r="C582" s="3" t="s">
        <v>2630</v>
      </c>
      <c r="D582" s="3" t="s">
        <v>2631</v>
      </c>
      <c r="E582" s="3" t="s">
        <v>2632</v>
      </c>
      <c r="F582" s="3" t="s">
        <v>19</v>
      </c>
      <c r="G582" s="3" t="s">
        <v>112</v>
      </c>
      <c r="H582" s="3">
        <v>1.0</v>
      </c>
      <c r="I582" s="3" t="s">
        <v>2629</v>
      </c>
      <c r="J582" s="3" t="s">
        <v>22</v>
      </c>
      <c r="K582" s="3" t="s">
        <v>145</v>
      </c>
      <c r="L582" s="3" t="s">
        <v>145</v>
      </c>
      <c r="M582" s="3" t="s">
        <v>597</v>
      </c>
      <c r="N582" s="3" t="s">
        <v>2344</v>
      </c>
      <c r="O582" s="5">
        <v>1083.6245896</v>
      </c>
      <c r="P582" s="6" t="str">
        <f t="shared" si="2"/>
        <v>Food Products</v>
      </c>
    </row>
    <row r="583" hidden="1">
      <c r="A583" s="3" t="s">
        <v>2633</v>
      </c>
      <c r="B583" s="4">
        <v>507580.0</v>
      </c>
      <c r="C583" s="3" t="s">
        <v>2634</v>
      </c>
      <c r="D583" s="3" t="s">
        <v>2635</v>
      </c>
      <c r="E583" s="3" t="s">
        <v>2636</v>
      </c>
      <c r="F583" s="3" t="s">
        <v>19</v>
      </c>
      <c r="G583" s="3" t="s">
        <v>112</v>
      </c>
      <c r="H583" s="3">
        <v>10.0</v>
      </c>
      <c r="I583" s="3" t="s">
        <v>2633</v>
      </c>
      <c r="J583" s="3" t="s">
        <v>22</v>
      </c>
      <c r="K583" s="3" t="s">
        <v>23</v>
      </c>
      <c r="L583" s="3" t="s">
        <v>24</v>
      </c>
      <c r="M583" s="3" t="s">
        <v>25</v>
      </c>
      <c r="N583" s="3" t="s">
        <v>52</v>
      </c>
      <c r="O583" s="5">
        <v>198.2364844</v>
      </c>
      <c r="P583" s="6" t="str">
        <f t="shared" si="2"/>
        <v>Chemicals &amp; Petrochemicals</v>
      </c>
    </row>
    <row r="584" hidden="1">
      <c r="A584" s="3" t="s">
        <v>2637</v>
      </c>
      <c r="B584" s="4">
        <v>507598.0</v>
      </c>
      <c r="C584" s="3" t="s">
        <v>2638</v>
      </c>
      <c r="D584" s="3" t="s">
        <v>2639</v>
      </c>
      <c r="E584" s="3" t="s">
        <v>2640</v>
      </c>
      <c r="F584" s="3" t="s">
        <v>19</v>
      </c>
      <c r="G584" s="3" t="s">
        <v>44</v>
      </c>
      <c r="H584" s="3">
        <v>10.0</v>
      </c>
      <c r="I584" s="3" t="s">
        <v>2637</v>
      </c>
      <c r="J584" s="3" t="s">
        <v>22</v>
      </c>
      <c r="K584" s="3" t="s">
        <v>145</v>
      </c>
      <c r="L584" s="3" t="s">
        <v>145</v>
      </c>
      <c r="M584" s="3" t="s">
        <v>597</v>
      </c>
      <c r="N584" s="3" t="s">
        <v>1065</v>
      </c>
      <c r="O584" s="5">
        <v>169.6647764</v>
      </c>
      <c r="P584" s="6" t="str">
        <f t="shared" si="2"/>
        <v>Food Products</v>
      </c>
    </row>
    <row r="585" hidden="1">
      <c r="A585" s="3" t="s">
        <v>2641</v>
      </c>
      <c r="B585" s="4">
        <v>507609.0</v>
      </c>
      <c r="C585" s="3" t="s">
        <v>2642</v>
      </c>
      <c r="D585" s="3" t="s">
        <v>2643</v>
      </c>
      <c r="E585" s="3" t="s">
        <v>2644</v>
      </c>
      <c r="F585" s="3" t="s">
        <v>19</v>
      </c>
      <c r="G585" s="3" t="s">
        <v>72</v>
      </c>
      <c r="H585" s="3">
        <v>10.0</v>
      </c>
      <c r="I585" s="3" t="s">
        <v>2641</v>
      </c>
      <c r="J585" s="3" t="s">
        <v>22</v>
      </c>
      <c r="K585" s="3" t="s">
        <v>145</v>
      </c>
      <c r="L585" s="3" t="s">
        <v>145</v>
      </c>
      <c r="M585" s="3" t="s">
        <v>146</v>
      </c>
      <c r="N585" s="3" t="s">
        <v>2645</v>
      </c>
      <c r="O585" s="5">
        <v>15.8503825</v>
      </c>
      <c r="P585" s="6" t="str">
        <f t="shared" si="2"/>
        <v>Agricultural Food &amp; other Products</v>
      </c>
    </row>
    <row r="586" hidden="1">
      <c r="A586" s="3" t="s">
        <v>2646</v>
      </c>
      <c r="B586" s="4">
        <v>507621.0</v>
      </c>
      <c r="C586" s="3" t="s">
        <v>2647</v>
      </c>
      <c r="D586" s="3" t="s">
        <v>2648</v>
      </c>
      <c r="E586" s="3" t="s">
        <v>2649</v>
      </c>
      <c r="F586" s="3" t="s">
        <v>19</v>
      </c>
      <c r="G586" s="3" t="s">
        <v>72</v>
      </c>
      <c r="H586" s="3">
        <v>10.0</v>
      </c>
      <c r="I586" s="3" t="s">
        <v>2646</v>
      </c>
      <c r="J586" s="3" t="s">
        <v>22</v>
      </c>
      <c r="K586" s="3" t="s">
        <v>145</v>
      </c>
      <c r="L586" s="3" t="s">
        <v>145</v>
      </c>
      <c r="M586" s="3" t="s">
        <v>597</v>
      </c>
      <c r="N586" s="3" t="s">
        <v>598</v>
      </c>
      <c r="O586" s="5">
        <v>363.56355</v>
      </c>
      <c r="P586" s="6" t="str">
        <f t="shared" si="2"/>
        <v>Food Products</v>
      </c>
    </row>
    <row r="587" hidden="1">
      <c r="A587" s="3" t="s">
        <v>2650</v>
      </c>
      <c r="B587" s="4">
        <v>507645.0</v>
      </c>
      <c r="C587" s="3" t="s">
        <v>2651</v>
      </c>
      <c r="D587" s="3" t="s">
        <v>2652</v>
      </c>
      <c r="E587" s="3" t="s">
        <v>2653</v>
      </c>
      <c r="F587" s="3" t="s">
        <v>19</v>
      </c>
      <c r="G587" s="3" t="s">
        <v>44</v>
      </c>
      <c r="H587" s="3">
        <v>50.0</v>
      </c>
      <c r="I587" s="3" t="s">
        <v>2650</v>
      </c>
      <c r="J587" s="3" t="s">
        <v>22</v>
      </c>
      <c r="K587" s="3" t="s">
        <v>23</v>
      </c>
      <c r="L587" s="3" t="s">
        <v>24</v>
      </c>
      <c r="M587" s="3" t="s">
        <v>25</v>
      </c>
      <c r="N587" s="3" t="s">
        <v>26</v>
      </c>
      <c r="O587" s="5">
        <v>178.9901548</v>
      </c>
      <c r="P587" s="6" t="str">
        <f t="shared" si="2"/>
        <v>Specialty Chemicals</v>
      </c>
    </row>
    <row r="588" hidden="1">
      <c r="A588" s="3" t="s">
        <v>2654</v>
      </c>
      <c r="B588" s="4">
        <v>507663.0</v>
      </c>
      <c r="C588" s="3" t="s">
        <v>2655</v>
      </c>
      <c r="D588" s="3" t="s">
        <v>2656</v>
      </c>
      <c r="E588" s="3" t="s">
        <v>2657</v>
      </c>
      <c r="F588" s="3" t="s">
        <v>19</v>
      </c>
      <c r="G588" s="3" t="s">
        <v>44</v>
      </c>
      <c r="H588" s="3">
        <v>10.0</v>
      </c>
      <c r="I588" s="3" t="s">
        <v>2654</v>
      </c>
      <c r="J588" s="3" t="s">
        <v>22</v>
      </c>
      <c r="K588" s="3" t="s">
        <v>145</v>
      </c>
      <c r="L588" s="3" t="s">
        <v>145</v>
      </c>
      <c r="M588" s="3" t="s">
        <v>146</v>
      </c>
      <c r="N588" s="3" t="s">
        <v>575</v>
      </c>
      <c r="O588" s="5">
        <v>1.0</v>
      </c>
      <c r="P588" s="6" t="str">
        <f t="shared" si="2"/>
        <v>Agricultural Food &amp; other Products</v>
      </c>
    </row>
    <row r="589">
      <c r="A589" s="3" t="s">
        <v>2658</v>
      </c>
      <c r="B589" s="4">
        <v>540073.0</v>
      </c>
      <c r="C589" s="3" t="s">
        <v>2659</v>
      </c>
      <c r="D589" s="3" t="s">
        <v>2660</v>
      </c>
      <c r="E589" s="3" t="s">
        <v>2659</v>
      </c>
      <c r="F589" s="3" t="s">
        <v>19</v>
      </c>
      <c r="G589" s="3" t="s">
        <v>20</v>
      </c>
      <c r="H589" s="3">
        <v>1.0</v>
      </c>
      <c r="I589" s="3" t="s">
        <v>2661</v>
      </c>
      <c r="J589" s="3" t="s">
        <v>22</v>
      </c>
      <c r="K589" s="3" t="s">
        <v>58</v>
      </c>
      <c r="L589" s="3" t="s">
        <v>73</v>
      </c>
      <c r="M589" s="3" t="s">
        <v>74</v>
      </c>
      <c r="N589" s="3" t="s">
        <v>565</v>
      </c>
      <c r="O589" s="5">
        <v>14270.4582298</v>
      </c>
      <c r="P589" s="6" t="str">
        <f t="shared" si="2"/>
        <v>Leisure Services</v>
      </c>
    </row>
    <row r="590" hidden="1">
      <c r="A590" s="3" t="s">
        <v>2662</v>
      </c>
      <c r="B590" s="4">
        <v>507690.0</v>
      </c>
      <c r="C590" s="3" t="s">
        <v>2663</v>
      </c>
      <c r="D590" s="3" t="s">
        <v>2664</v>
      </c>
      <c r="E590" s="3" t="s">
        <v>2665</v>
      </c>
      <c r="F590" s="3" t="s">
        <v>19</v>
      </c>
      <c r="G590" s="3" t="s">
        <v>44</v>
      </c>
      <c r="H590" s="3">
        <v>10.0</v>
      </c>
      <c r="I590" s="3" t="s">
        <v>2662</v>
      </c>
      <c r="J590" s="3" t="s">
        <v>22</v>
      </c>
      <c r="K590" s="3" t="s">
        <v>145</v>
      </c>
      <c r="L590" s="3" t="s">
        <v>145</v>
      </c>
      <c r="M590" s="3" t="s">
        <v>2558</v>
      </c>
      <c r="N590" s="3" t="s">
        <v>2666</v>
      </c>
      <c r="O590" s="5">
        <v>89.4295062</v>
      </c>
      <c r="P590" s="6" t="str">
        <f t="shared" si="2"/>
        <v>Beverages</v>
      </c>
    </row>
    <row r="591">
      <c r="A591" s="3" t="s">
        <v>418</v>
      </c>
      <c r="B591" s="4">
        <v>540153.0</v>
      </c>
      <c r="C591" s="3" t="s">
        <v>2667</v>
      </c>
      <c r="D591" s="3" t="s">
        <v>2668</v>
      </c>
      <c r="E591" s="3" t="s">
        <v>2669</v>
      </c>
      <c r="F591" s="3" t="s">
        <v>19</v>
      </c>
      <c r="G591" s="3" t="s">
        <v>20</v>
      </c>
      <c r="H591" s="3">
        <v>10.0</v>
      </c>
      <c r="I591" s="3" t="s">
        <v>2670</v>
      </c>
      <c r="J591" s="3" t="s">
        <v>22</v>
      </c>
      <c r="K591" s="3" t="s">
        <v>58</v>
      </c>
      <c r="L591" s="3" t="s">
        <v>133</v>
      </c>
      <c r="M591" s="3" t="s">
        <v>134</v>
      </c>
      <c r="N591" s="3" t="s">
        <v>135</v>
      </c>
      <c r="O591" s="5">
        <v>38257.891128</v>
      </c>
      <c r="P591" s="6" t="str">
        <f t="shared" si="2"/>
        <v>Auto Components &amp; Equipments</v>
      </c>
    </row>
    <row r="592" hidden="1">
      <c r="A592" s="3" t="s">
        <v>2671</v>
      </c>
      <c r="B592" s="4">
        <v>507747.0</v>
      </c>
      <c r="C592" s="3" t="s">
        <v>2672</v>
      </c>
      <c r="D592" s="3" t="s">
        <v>2673</v>
      </c>
      <c r="E592" s="3" t="s">
        <v>2674</v>
      </c>
      <c r="F592" s="3" t="s">
        <v>19</v>
      </c>
      <c r="G592" s="3" t="s">
        <v>112</v>
      </c>
      <c r="H592" s="3">
        <v>10.0</v>
      </c>
      <c r="I592" s="3" t="s">
        <v>2671</v>
      </c>
      <c r="J592" s="3" t="s">
        <v>22</v>
      </c>
      <c r="K592" s="3" t="s">
        <v>2675</v>
      </c>
      <c r="L592" s="3" t="s">
        <v>2675</v>
      </c>
      <c r="M592" s="3" t="s">
        <v>2675</v>
      </c>
      <c r="N592" s="3" t="s">
        <v>2675</v>
      </c>
      <c r="O592" s="5">
        <v>2072.0456478</v>
      </c>
      <c r="P592" s="6" t="str">
        <f t="shared" si="2"/>
        <v>Diversified</v>
      </c>
    </row>
    <row r="593" hidden="1">
      <c r="A593" s="3" t="s">
        <v>2676</v>
      </c>
      <c r="B593" s="4">
        <v>507753.0</v>
      </c>
      <c r="C593" s="3" t="s">
        <v>2677</v>
      </c>
      <c r="D593" s="3" t="s">
        <v>2678</v>
      </c>
      <c r="E593" s="3" t="s">
        <v>2679</v>
      </c>
      <c r="F593" s="3" t="s">
        <v>19</v>
      </c>
      <c r="G593" s="3" t="s">
        <v>112</v>
      </c>
      <c r="H593" s="3">
        <v>10.0</v>
      </c>
      <c r="I593" s="3" t="s">
        <v>2676</v>
      </c>
      <c r="J593" s="3" t="s">
        <v>22</v>
      </c>
      <c r="K593" s="3" t="s">
        <v>23</v>
      </c>
      <c r="L593" s="3" t="s">
        <v>24</v>
      </c>
      <c r="M593" s="3" t="s">
        <v>25</v>
      </c>
      <c r="N593" s="3" t="s">
        <v>52</v>
      </c>
      <c r="O593" s="5">
        <v>975.9777223</v>
      </c>
      <c r="P593" s="6" t="str">
        <f t="shared" si="2"/>
        <v>Chemicals &amp; Petrochemicals</v>
      </c>
    </row>
    <row r="594" hidden="1">
      <c r="A594" s="3" t="s">
        <v>2680</v>
      </c>
      <c r="B594" s="4">
        <v>507759.0</v>
      </c>
      <c r="C594" s="3" t="s">
        <v>2681</v>
      </c>
      <c r="D594" s="3" t="s">
        <v>2682</v>
      </c>
      <c r="E594" s="3" t="s">
        <v>2683</v>
      </c>
      <c r="F594" s="3" t="s">
        <v>19</v>
      </c>
      <c r="G594" s="3" t="s">
        <v>44</v>
      </c>
      <c r="H594" s="3">
        <v>10.0</v>
      </c>
      <c r="I594" s="3" t="s">
        <v>2680</v>
      </c>
      <c r="J594" s="3" t="s">
        <v>22</v>
      </c>
      <c r="K594" s="3" t="s">
        <v>23</v>
      </c>
      <c r="L594" s="3" t="s">
        <v>24</v>
      </c>
      <c r="M594" s="3" t="s">
        <v>25</v>
      </c>
      <c r="N594" s="3" t="s">
        <v>52</v>
      </c>
      <c r="O594" s="5">
        <v>1.0</v>
      </c>
      <c r="P594" s="6" t="str">
        <f t="shared" si="2"/>
        <v>Chemicals &amp; Petrochemicals</v>
      </c>
    </row>
    <row r="595" hidden="1">
      <c r="A595" s="3" t="s">
        <v>2684</v>
      </c>
      <c r="B595" s="4">
        <v>507779.0</v>
      </c>
      <c r="C595" s="3" t="s">
        <v>2685</v>
      </c>
      <c r="D595" s="3" t="s">
        <v>2686</v>
      </c>
      <c r="E595" s="3" t="s">
        <v>2687</v>
      </c>
      <c r="F595" s="3" t="s">
        <v>19</v>
      </c>
      <c r="G595" s="3" t="s">
        <v>112</v>
      </c>
      <c r="H595" s="3">
        <v>10.0</v>
      </c>
      <c r="I595" s="3" t="s">
        <v>2684</v>
      </c>
      <c r="J595" s="3" t="s">
        <v>22</v>
      </c>
      <c r="K595" s="3" t="s">
        <v>97</v>
      </c>
      <c r="L595" s="3" t="s">
        <v>98</v>
      </c>
      <c r="M595" s="3" t="s">
        <v>100</v>
      </c>
      <c r="N595" s="3" t="s">
        <v>373</v>
      </c>
      <c r="O595" s="5">
        <v>224.4925457</v>
      </c>
      <c r="P595" s="6" t="str">
        <f t="shared" si="2"/>
        <v>Industrial Products</v>
      </c>
    </row>
    <row r="596" hidden="1">
      <c r="A596" s="3" t="s">
        <v>2688</v>
      </c>
      <c r="B596" s="4">
        <v>507785.0</v>
      </c>
      <c r="C596" s="3" t="s">
        <v>2689</v>
      </c>
      <c r="D596" s="3" t="s">
        <v>2690</v>
      </c>
      <c r="E596" s="3" t="s">
        <v>2691</v>
      </c>
      <c r="F596" s="3" t="s">
        <v>19</v>
      </c>
      <c r="G596" s="3" t="s">
        <v>86</v>
      </c>
      <c r="H596" s="3">
        <v>10.0</v>
      </c>
      <c r="I596" s="3" t="s">
        <v>2688</v>
      </c>
      <c r="J596" s="3" t="s">
        <v>22</v>
      </c>
      <c r="K596" s="3" t="s">
        <v>97</v>
      </c>
      <c r="L596" s="3" t="s">
        <v>98</v>
      </c>
      <c r="M596" s="3" t="s">
        <v>100</v>
      </c>
      <c r="N596" s="3" t="s">
        <v>580</v>
      </c>
      <c r="O596" s="5">
        <v>178.238582</v>
      </c>
      <c r="P596" s="6" t="str">
        <f t="shared" si="2"/>
        <v>Industrial Products</v>
      </c>
    </row>
    <row r="597" hidden="1">
      <c r="A597" s="3" t="s">
        <v>2692</v>
      </c>
      <c r="B597" s="4">
        <v>507789.0</v>
      </c>
      <c r="C597" s="3" t="s">
        <v>2693</v>
      </c>
      <c r="D597" s="3" t="s">
        <v>2694</v>
      </c>
      <c r="E597" s="3" t="s">
        <v>2695</v>
      </c>
      <c r="F597" s="3" t="s">
        <v>19</v>
      </c>
      <c r="G597" s="3" t="s">
        <v>112</v>
      </c>
      <c r="H597" s="3">
        <v>5.0</v>
      </c>
      <c r="I597" s="3" t="s">
        <v>2692</v>
      </c>
      <c r="J597" s="3" t="s">
        <v>22</v>
      </c>
      <c r="K597" s="3" t="s">
        <v>45</v>
      </c>
      <c r="L597" s="3" t="s">
        <v>45</v>
      </c>
      <c r="M597" s="3" t="s">
        <v>46</v>
      </c>
      <c r="N597" s="3" t="s">
        <v>47</v>
      </c>
      <c r="O597" s="5">
        <v>888.5664563</v>
      </c>
      <c r="P597" s="6" t="str">
        <f t="shared" si="2"/>
        <v>Pharmaceuticals</v>
      </c>
    </row>
    <row r="598" hidden="1">
      <c r="A598" s="3" t="s">
        <v>2696</v>
      </c>
      <c r="B598" s="4">
        <v>507794.0</v>
      </c>
      <c r="C598" s="3" t="s">
        <v>2697</v>
      </c>
      <c r="D598" s="3" t="s">
        <v>2698</v>
      </c>
      <c r="E598" s="3" t="s">
        <v>2699</v>
      </c>
      <c r="F598" s="3" t="s">
        <v>19</v>
      </c>
      <c r="G598" s="3" t="s">
        <v>112</v>
      </c>
      <c r="H598" s="3">
        <v>1.0</v>
      </c>
      <c r="I598" s="3" t="s">
        <v>2696</v>
      </c>
      <c r="J598" s="3" t="s">
        <v>22</v>
      </c>
      <c r="K598" s="3" t="s">
        <v>23</v>
      </c>
      <c r="L598" s="3" t="s">
        <v>24</v>
      </c>
      <c r="M598" s="3" t="s">
        <v>91</v>
      </c>
      <c r="N598" s="3" t="s">
        <v>92</v>
      </c>
      <c r="O598" s="5">
        <v>706.040853</v>
      </c>
      <c r="P598" s="6" t="str">
        <f t="shared" si="2"/>
        <v>Fertilizers &amp; Agrochemicals</v>
      </c>
    </row>
    <row r="599" hidden="1">
      <c r="A599" s="3" t="s">
        <v>2700</v>
      </c>
      <c r="B599" s="4">
        <v>507808.0</v>
      </c>
      <c r="C599" s="3" t="s">
        <v>2701</v>
      </c>
      <c r="D599" s="3" t="s">
        <v>2702</v>
      </c>
      <c r="E599" s="3" t="s">
        <v>2703</v>
      </c>
      <c r="F599" s="3" t="s">
        <v>19</v>
      </c>
      <c r="G599" s="3" t="s">
        <v>1858</v>
      </c>
      <c r="H599" s="3">
        <v>10.0</v>
      </c>
      <c r="I599" s="3" t="s">
        <v>2700</v>
      </c>
      <c r="J599" s="3" t="s">
        <v>22</v>
      </c>
      <c r="K599" s="3" t="s">
        <v>58</v>
      </c>
      <c r="L599" s="3" t="s">
        <v>80</v>
      </c>
      <c r="M599" s="3" t="s">
        <v>81</v>
      </c>
      <c r="N599" s="3" t="s">
        <v>82</v>
      </c>
      <c r="O599" s="5">
        <v>6.788249</v>
      </c>
      <c r="P599" s="6" t="str">
        <f t="shared" si="2"/>
        <v>Textiles &amp; Apparels</v>
      </c>
    </row>
    <row r="600" hidden="1">
      <c r="A600" s="3" t="s">
        <v>2704</v>
      </c>
      <c r="B600" s="4">
        <v>507813.0</v>
      </c>
      <c r="C600" s="3" t="s">
        <v>2705</v>
      </c>
      <c r="D600" s="3" t="s">
        <v>2706</v>
      </c>
      <c r="E600" s="3" t="s">
        <v>2707</v>
      </c>
      <c r="F600" s="3" t="s">
        <v>19</v>
      </c>
      <c r="G600" s="3" t="s">
        <v>44</v>
      </c>
      <c r="H600" s="3">
        <v>10.0</v>
      </c>
      <c r="I600" s="3" t="s">
        <v>2704</v>
      </c>
      <c r="J600" s="3" t="s">
        <v>22</v>
      </c>
      <c r="K600" s="3" t="s">
        <v>23</v>
      </c>
      <c r="L600" s="3" t="s">
        <v>24</v>
      </c>
      <c r="M600" s="3" t="s">
        <v>25</v>
      </c>
      <c r="N600" s="3" t="s">
        <v>480</v>
      </c>
      <c r="O600" s="5">
        <v>71.7540292</v>
      </c>
      <c r="P600" s="6" t="str">
        <f t="shared" si="2"/>
        <v>Chemicals &amp; Petrochemicals</v>
      </c>
    </row>
    <row r="601">
      <c r="A601" s="3" t="s">
        <v>2708</v>
      </c>
      <c r="B601" s="4">
        <v>540203.0</v>
      </c>
      <c r="C601" s="3" t="s">
        <v>2709</v>
      </c>
      <c r="D601" s="3" t="s">
        <v>2710</v>
      </c>
      <c r="E601" s="3" t="s">
        <v>2711</v>
      </c>
      <c r="F601" s="3" t="s">
        <v>19</v>
      </c>
      <c r="G601" s="3" t="s">
        <v>20</v>
      </c>
      <c r="H601" s="3">
        <v>5.0</v>
      </c>
      <c r="I601" s="3" t="s">
        <v>2712</v>
      </c>
      <c r="J601" s="3" t="s">
        <v>22</v>
      </c>
      <c r="K601" s="3" t="s">
        <v>58</v>
      </c>
      <c r="L601" s="3" t="s">
        <v>211</v>
      </c>
      <c r="M601" s="3" t="s">
        <v>211</v>
      </c>
      <c r="N601" s="3" t="s">
        <v>1152</v>
      </c>
      <c r="O601" s="5">
        <v>10194.4063006</v>
      </c>
      <c r="P601" s="6" t="str">
        <f t="shared" si="2"/>
        <v>Consumer Durables</v>
      </c>
    </row>
    <row r="602" hidden="1">
      <c r="A602" s="3" t="s">
        <v>2713</v>
      </c>
      <c r="B602" s="4">
        <v>507817.0</v>
      </c>
      <c r="C602" s="3" t="s">
        <v>2714</v>
      </c>
      <c r="D602" s="3" t="s">
        <v>2715</v>
      </c>
      <c r="E602" s="3" t="s">
        <v>2716</v>
      </c>
      <c r="F602" s="3" t="s">
        <v>19</v>
      </c>
      <c r="G602" s="3" t="s">
        <v>44</v>
      </c>
      <c r="H602" s="3">
        <v>10.0</v>
      </c>
      <c r="I602" s="3" t="s">
        <v>2713</v>
      </c>
      <c r="J602" s="3" t="s">
        <v>22</v>
      </c>
      <c r="K602" s="3" t="s">
        <v>58</v>
      </c>
      <c r="L602" s="3" t="s">
        <v>80</v>
      </c>
      <c r="M602" s="3" t="s">
        <v>81</v>
      </c>
      <c r="N602" s="3" t="s">
        <v>82</v>
      </c>
      <c r="O602" s="5">
        <v>51.6353428</v>
      </c>
      <c r="P602" s="6" t="str">
        <f t="shared" si="2"/>
        <v>Textiles &amp; Apparels</v>
      </c>
    </row>
    <row r="603" hidden="1">
      <c r="A603" s="3" t="s">
        <v>2717</v>
      </c>
      <c r="B603" s="4">
        <v>507828.0</v>
      </c>
      <c r="C603" s="3" t="s">
        <v>2718</v>
      </c>
      <c r="D603" s="3" t="s">
        <v>2719</v>
      </c>
      <c r="E603" s="3" t="s">
        <v>2720</v>
      </c>
      <c r="F603" s="3" t="s">
        <v>19</v>
      </c>
      <c r="G603" s="3" t="s">
        <v>44</v>
      </c>
      <c r="H603" s="3">
        <v>10.0</v>
      </c>
      <c r="I603" s="3" t="s">
        <v>2717</v>
      </c>
      <c r="J603" s="3" t="s">
        <v>22</v>
      </c>
      <c r="K603" s="3" t="s">
        <v>58</v>
      </c>
      <c r="L603" s="3" t="s">
        <v>59</v>
      </c>
      <c r="M603" s="3" t="s">
        <v>59</v>
      </c>
      <c r="N603" s="3" t="s">
        <v>60</v>
      </c>
      <c r="O603" s="5">
        <v>112.1131778</v>
      </c>
      <c r="P603" s="6" t="str">
        <f t="shared" si="2"/>
        <v>Residential, Commercial Projects</v>
      </c>
    </row>
    <row r="604" hidden="1">
      <c r="A604" s="3" t="s">
        <v>2721</v>
      </c>
      <c r="B604" s="4">
        <v>507833.0</v>
      </c>
      <c r="C604" s="3" t="s">
        <v>2722</v>
      </c>
      <c r="D604" s="3" t="s">
        <v>2723</v>
      </c>
      <c r="E604" s="3" t="s">
        <v>2724</v>
      </c>
      <c r="F604" s="3" t="s">
        <v>19</v>
      </c>
      <c r="G604" s="3" t="s">
        <v>44</v>
      </c>
      <c r="H604" s="3">
        <v>10.0</v>
      </c>
      <c r="I604" s="3" t="s">
        <v>2721</v>
      </c>
      <c r="J604" s="3" t="s">
        <v>22</v>
      </c>
      <c r="K604" s="3" t="s">
        <v>473</v>
      </c>
      <c r="L604" s="3" t="s">
        <v>473</v>
      </c>
      <c r="M604" s="3" t="s">
        <v>474</v>
      </c>
      <c r="N604" s="3" t="s">
        <v>475</v>
      </c>
      <c r="O604" s="5">
        <v>28.7613902</v>
      </c>
      <c r="P604" s="6" t="str">
        <f t="shared" si="2"/>
        <v>IT - Hardware</v>
      </c>
    </row>
    <row r="605" hidden="1">
      <c r="A605" s="3" t="s">
        <v>2725</v>
      </c>
      <c r="B605" s="4">
        <v>507836.0</v>
      </c>
      <c r="C605" s="3" t="s">
        <v>2726</v>
      </c>
      <c r="D605" s="3" t="s">
        <v>2727</v>
      </c>
      <c r="E605" s="3" t="s">
        <v>2728</v>
      </c>
      <c r="F605" s="3" t="s">
        <v>19</v>
      </c>
      <c r="G605" s="3" t="s">
        <v>44</v>
      </c>
      <c r="H605" s="3">
        <v>10.0</v>
      </c>
      <c r="I605" s="3" t="s">
        <v>2725</v>
      </c>
      <c r="J605" s="3" t="s">
        <v>22</v>
      </c>
      <c r="K605" s="3" t="s">
        <v>58</v>
      </c>
      <c r="L605" s="3" t="s">
        <v>73</v>
      </c>
      <c r="M605" s="3" t="s">
        <v>74</v>
      </c>
      <c r="N605" s="3" t="s">
        <v>75</v>
      </c>
      <c r="O605" s="5">
        <v>602.208937</v>
      </c>
      <c r="P605" s="6" t="str">
        <f t="shared" si="2"/>
        <v>Leisure Services</v>
      </c>
    </row>
    <row r="606" hidden="1">
      <c r="A606" s="3" t="s">
        <v>2729</v>
      </c>
      <c r="B606" s="4">
        <v>507852.0</v>
      </c>
      <c r="C606" s="3" t="s">
        <v>2730</v>
      </c>
      <c r="D606" s="3" t="s">
        <v>2731</v>
      </c>
      <c r="E606" s="3" t="s">
        <v>2732</v>
      </c>
      <c r="F606" s="3" t="s">
        <v>19</v>
      </c>
      <c r="G606" s="3" t="s">
        <v>44</v>
      </c>
      <c r="H606" s="3">
        <v>5.0</v>
      </c>
      <c r="I606" s="3" t="s">
        <v>2729</v>
      </c>
      <c r="J606" s="3" t="s">
        <v>22</v>
      </c>
      <c r="K606" s="3" t="s">
        <v>58</v>
      </c>
      <c r="L606" s="3" t="s">
        <v>80</v>
      </c>
      <c r="M606" s="3" t="s">
        <v>81</v>
      </c>
      <c r="N606" s="3" t="s">
        <v>944</v>
      </c>
      <c r="O606" s="5">
        <v>55.2513017</v>
      </c>
      <c r="P606" s="6" t="str">
        <f t="shared" si="2"/>
        <v>Textiles &amp; Apparels</v>
      </c>
    </row>
    <row r="607" hidden="1">
      <c r="A607" s="3" t="s">
        <v>2733</v>
      </c>
      <c r="B607" s="4">
        <v>507864.0</v>
      </c>
      <c r="C607" s="3" t="s">
        <v>2734</v>
      </c>
      <c r="D607" s="3" t="s">
        <v>2735</v>
      </c>
      <c r="E607" s="3" t="s">
        <v>2736</v>
      </c>
      <c r="F607" s="3" t="s">
        <v>19</v>
      </c>
      <c r="G607" s="3" t="s">
        <v>72</v>
      </c>
      <c r="H607" s="3">
        <v>10.0</v>
      </c>
      <c r="I607" s="3" t="s">
        <v>2733</v>
      </c>
      <c r="J607" s="3" t="s">
        <v>22</v>
      </c>
      <c r="K607" s="3" t="s">
        <v>204</v>
      </c>
      <c r="L607" s="3" t="s">
        <v>204</v>
      </c>
      <c r="M607" s="3" t="s">
        <v>378</v>
      </c>
      <c r="N607" s="3" t="s">
        <v>468</v>
      </c>
      <c r="O607" s="5">
        <v>59.3838674</v>
      </c>
      <c r="P607" s="6" t="str">
        <f t="shared" si="2"/>
        <v>Finance</v>
      </c>
    </row>
    <row r="608" hidden="1">
      <c r="A608" s="3" t="s">
        <v>2737</v>
      </c>
      <c r="B608" s="4">
        <v>507872.0</v>
      </c>
      <c r="C608" s="3" t="s">
        <v>2738</v>
      </c>
      <c r="D608" s="3" t="s">
        <v>2739</v>
      </c>
      <c r="E608" s="3" t="s">
        <v>2740</v>
      </c>
      <c r="F608" s="3" t="s">
        <v>19</v>
      </c>
      <c r="G608" s="3" t="s">
        <v>72</v>
      </c>
      <c r="H608" s="3">
        <v>10.0</v>
      </c>
      <c r="I608" s="3" t="s">
        <v>2737</v>
      </c>
      <c r="J608" s="3" t="s">
        <v>22</v>
      </c>
      <c r="K608" s="3" t="s">
        <v>58</v>
      </c>
      <c r="L608" s="3" t="s">
        <v>80</v>
      </c>
      <c r="M608" s="3" t="s">
        <v>81</v>
      </c>
      <c r="N608" s="3" t="s">
        <v>82</v>
      </c>
      <c r="O608" s="5">
        <v>66.1863051</v>
      </c>
      <c r="P608" s="6" t="str">
        <f t="shared" si="2"/>
        <v>Textiles &amp; Apparels</v>
      </c>
    </row>
    <row r="609" hidden="1">
      <c r="A609" s="3" t="s">
        <v>2741</v>
      </c>
      <c r="B609" s="4">
        <v>507878.0</v>
      </c>
      <c r="C609" s="3" t="s">
        <v>2742</v>
      </c>
      <c r="D609" s="3" t="s">
        <v>2743</v>
      </c>
      <c r="E609" s="3" t="s">
        <v>2744</v>
      </c>
      <c r="F609" s="3" t="s">
        <v>19</v>
      </c>
      <c r="G609" s="3" t="s">
        <v>57</v>
      </c>
      <c r="H609" s="3">
        <v>2.0</v>
      </c>
      <c r="I609" s="3" t="s">
        <v>2741</v>
      </c>
      <c r="J609" s="3" t="s">
        <v>22</v>
      </c>
      <c r="K609" s="3" t="s">
        <v>58</v>
      </c>
      <c r="L609" s="3" t="s">
        <v>59</v>
      </c>
      <c r="M609" s="3" t="s">
        <v>59</v>
      </c>
      <c r="N609" s="3" t="s">
        <v>60</v>
      </c>
      <c r="O609" s="5">
        <v>2847.3687</v>
      </c>
      <c r="P609" s="6" t="str">
        <f t="shared" si="2"/>
        <v>Residential, Commercial Projects</v>
      </c>
    </row>
    <row r="610">
      <c r="A610" s="3" t="s">
        <v>1186</v>
      </c>
      <c r="B610" s="4">
        <v>540205.0</v>
      </c>
      <c r="C610" s="3" t="s">
        <v>2745</v>
      </c>
      <c r="D610" s="3" t="s">
        <v>2746</v>
      </c>
      <c r="E610" s="3" t="s">
        <v>2747</v>
      </c>
      <c r="F610" s="3" t="s">
        <v>19</v>
      </c>
      <c r="G610" s="3" t="s">
        <v>112</v>
      </c>
      <c r="H610" s="3">
        <v>10.0</v>
      </c>
      <c r="I610" s="3" t="s">
        <v>2748</v>
      </c>
      <c r="J610" s="3" t="s">
        <v>22</v>
      </c>
      <c r="K610" s="3" t="s">
        <v>58</v>
      </c>
      <c r="L610" s="3" t="s">
        <v>73</v>
      </c>
      <c r="M610" s="3" t="s">
        <v>988</v>
      </c>
      <c r="N610" s="3" t="s">
        <v>989</v>
      </c>
      <c r="O610" s="5">
        <v>5560.9778371</v>
      </c>
      <c r="P610" s="6" t="str">
        <f t="shared" si="2"/>
        <v>Retailing</v>
      </c>
    </row>
    <row r="611" hidden="1">
      <c r="A611" s="3" t="s">
        <v>2749</v>
      </c>
      <c r="B611" s="4">
        <v>507910.0</v>
      </c>
      <c r="C611" s="3" t="s">
        <v>2750</v>
      </c>
      <c r="D611" s="3" t="s">
        <v>2751</v>
      </c>
      <c r="E611" s="3" t="s">
        <v>2750</v>
      </c>
      <c r="F611" s="3" t="s">
        <v>19</v>
      </c>
      <c r="G611" s="3" t="s">
        <v>112</v>
      </c>
      <c r="H611" s="3">
        <v>10.0</v>
      </c>
      <c r="I611" s="3" t="s">
        <v>2749</v>
      </c>
      <c r="J611" s="3" t="s">
        <v>22</v>
      </c>
      <c r="K611" s="3" t="s">
        <v>58</v>
      </c>
      <c r="L611" s="3" t="s">
        <v>80</v>
      </c>
      <c r="M611" s="3" t="s">
        <v>81</v>
      </c>
      <c r="N611" s="3" t="s">
        <v>82</v>
      </c>
      <c r="O611" s="5">
        <v>126.1783219</v>
      </c>
      <c r="P611" s="6" t="str">
        <f t="shared" si="2"/>
        <v>Textiles &amp; Apparels</v>
      </c>
    </row>
    <row r="612" hidden="1">
      <c r="A612" s="3" t="s">
        <v>2752</v>
      </c>
      <c r="B612" s="4">
        <v>507912.0</v>
      </c>
      <c r="C612" s="3" t="s">
        <v>2753</v>
      </c>
      <c r="D612" s="3" t="s">
        <v>2754</v>
      </c>
      <c r="E612" s="3" t="s">
        <v>2753</v>
      </c>
      <c r="F612" s="3" t="s">
        <v>19</v>
      </c>
      <c r="G612" s="3" t="s">
        <v>44</v>
      </c>
      <c r="H612" s="3">
        <v>10.0</v>
      </c>
      <c r="I612" s="3" t="s">
        <v>2752</v>
      </c>
      <c r="J612" s="3" t="s">
        <v>22</v>
      </c>
      <c r="K612" s="3" t="s">
        <v>204</v>
      </c>
      <c r="L612" s="3" t="s">
        <v>204</v>
      </c>
      <c r="M612" s="3" t="s">
        <v>378</v>
      </c>
      <c r="N612" s="3" t="s">
        <v>468</v>
      </c>
      <c r="O612" s="5">
        <v>188.52166</v>
      </c>
      <c r="P612" s="6" t="str">
        <f t="shared" si="2"/>
        <v>Finance</v>
      </c>
    </row>
    <row r="613" hidden="1">
      <c r="A613" s="3" t="s">
        <v>2755</v>
      </c>
      <c r="B613" s="4">
        <v>507938.0</v>
      </c>
      <c r="C613" s="3" t="s">
        <v>2756</v>
      </c>
      <c r="D613" s="3" t="s">
        <v>2757</v>
      </c>
      <c r="E613" s="3" t="s">
        <v>2758</v>
      </c>
      <c r="F613" s="3" t="s">
        <v>19</v>
      </c>
      <c r="G613" s="3" t="s">
        <v>1858</v>
      </c>
      <c r="H613" s="3">
        <v>10.0</v>
      </c>
      <c r="I613" s="3" t="s">
        <v>2755</v>
      </c>
      <c r="J613" s="3" t="s">
        <v>22</v>
      </c>
      <c r="K613" s="3" t="s">
        <v>204</v>
      </c>
      <c r="L613" s="3" t="s">
        <v>204</v>
      </c>
      <c r="M613" s="3" t="s">
        <v>378</v>
      </c>
      <c r="N613" s="3" t="s">
        <v>379</v>
      </c>
      <c r="O613" s="5">
        <v>1.0</v>
      </c>
      <c r="P613" s="6" t="str">
        <f t="shared" si="2"/>
        <v>Non Banking Financial Company (NBFC)</v>
      </c>
    </row>
    <row r="614" hidden="1">
      <c r="A614" s="3" t="s">
        <v>2759</v>
      </c>
      <c r="B614" s="4">
        <v>507944.0</v>
      </c>
      <c r="C614" s="3" t="s">
        <v>2760</v>
      </c>
      <c r="D614" s="3" t="s">
        <v>2761</v>
      </c>
      <c r="E614" s="3" t="s">
        <v>2762</v>
      </c>
      <c r="F614" s="3" t="s">
        <v>19</v>
      </c>
      <c r="G614" s="3" t="s">
        <v>44</v>
      </c>
      <c r="H614" s="3">
        <v>5.0</v>
      </c>
      <c r="I614" s="3" t="s">
        <v>2759</v>
      </c>
      <c r="J614" s="3" t="s">
        <v>22</v>
      </c>
      <c r="K614" s="3" t="s">
        <v>97</v>
      </c>
      <c r="L614" s="3" t="s">
        <v>98</v>
      </c>
      <c r="M614" s="3" t="s">
        <v>99</v>
      </c>
      <c r="N614" s="3" t="s">
        <v>100</v>
      </c>
      <c r="O614" s="5">
        <v>888.0074003</v>
      </c>
      <c r="P614" s="6" t="str">
        <f t="shared" si="2"/>
        <v>Industrial Products</v>
      </c>
    </row>
    <row r="615" hidden="1">
      <c r="A615" s="3" t="s">
        <v>2763</v>
      </c>
      <c r="B615" s="4">
        <v>507946.0</v>
      </c>
      <c r="C615" s="3" t="s">
        <v>2764</v>
      </c>
      <c r="D615" s="3" t="s">
        <v>2765</v>
      </c>
      <c r="E615" s="3" t="s">
        <v>2766</v>
      </c>
      <c r="F615" s="3" t="s">
        <v>19</v>
      </c>
      <c r="G615" s="3" t="s">
        <v>44</v>
      </c>
      <c r="H615" s="3">
        <v>10.0</v>
      </c>
      <c r="I615" s="3" t="s">
        <v>2763</v>
      </c>
      <c r="J615" s="3" t="s">
        <v>22</v>
      </c>
      <c r="K615" s="3" t="s">
        <v>204</v>
      </c>
      <c r="L615" s="3" t="s">
        <v>204</v>
      </c>
      <c r="M615" s="3" t="s">
        <v>378</v>
      </c>
      <c r="N615" s="3" t="s">
        <v>379</v>
      </c>
      <c r="O615" s="5">
        <v>45.935949</v>
      </c>
      <c r="P615" s="6" t="str">
        <f t="shared" si="2"/>
        <v>Non Banking Financial Company (NBFC)</v>
      </c>
    </row>
    <row r="616" hidden="1">
      <c r="A616" s="3" t="s">
        <v>2767</v>
      </c>
      <c r="B616" s="4">
        <v>507948.0</v>
      </c>
      <c r="C616" s="3" t="s">
        <v>2768</v>
      </c>
      <c r="D616" s="3" t="s">
        <v>2769</v>
      </c>
      <c r="E616" s="3" t="s">
        <v>2770</v>
      </c>
      <c r="F616" s="3" t="s">
        <v>19</v>
      </c>
      <c r="G616" s="3" t="s">
        <v>72</v>
      </c>
      <c r="H616" s="3">
        <v>10.0</v>
      </c>
      <c r="I616" s="3" t="s">
        <v>2767</v>
      </c>
      <c r="J616" s="3" t="s">
        <v>22</v>
      </c>
      <c r="K616" s="3" t="s">
        <v>204</v>
      </c>
      <c r="L616" s="3" t="s">
        <v>204</v>
      </c>
      <c r="M616" s="3" t="s">
        <v>378</v>
      </c>
      <c r="N616" s="3" t="s">
        <v>379</v>
      </c>
      <c r="O616" s="5">
        <v>107.9507172</v>
      </c>
      <c r="P616" s="6" t="str">
        <f t="shared" si="2"/>
        <v>Non Banking Financial Company (NBFC)</v>
      </c>
    </row>
    <row r="617" hidden="1">
      <c r="A617" s="3" t="s">
        <v>2771</v>
      </c>
      <c r="B617" s="4">
        <v>507952.0</v>
      </c>
      <c r="C617" s="3" t="s">
        <v>2772</v>
      </c>
      <c r="D617" s="3" t="s">
        <v>2773</v>
      </c>
      <c r="E617" s="3" t="s">
        <v>2774</v>
      </c>
      <c r="F617" s="3" t="s">
        <v>19</v>
      </c>
      <c r="G617" s="3" t="s">
        <v>72</v>
      </c>
      <c r="H617" s="3">
        <v>10.0</v>
      </c>
      <c r="I617" s="3" t="s">
        <v>2771</v>
      </c>
      <c r="J617" s="3" t="s">
        <v>22</v>
      </c>
      <c r="K617" s="3" t="s">
        <v>204</v>
      </c>
      <c r="L617" s="3" t="s">
        <v>204</v>
      </c>
      <c r="M617" s="3" t="s">
        <v>378</v>
      </c>
      <c r="N617" s="3" t="s">
        <v>379</v>
      </c>
      <c r="O617" s="5">
        <v>1.0</v>
      </c>
      <c r="P617" s="6" t="str">
        <f t="shared" si="2"/>
        <v>Non Banking Financial Company (NBFC)</v>
      </c>
    </row>
    <row r="618" hidden="1">
      <c r="A618" s="3" t="s">
        <v>2775</v>
      </c>
      <c r="B618" s="4">
        <v>507960.0</v>
      </c>
      <c r="C618" s="3" t="s">
        <v>2776</v>
      </c>
      <c r="D618" s="3" t="s">
        <v>2777</v>
      </c>
      <c r="E618" s="3" t="s">
        <v>2778</v>
      </c>
      <c r="F618" s="3" t="s">
        <v>19</v>
      </c>
      <c r="G618" s="3" t="s">
        <v>44</v>
      </c>
      <c r="H618" s="3">
        <v>10.0</v>
      </c>
      <c r="I618" s="3" t="s">
        <v>2775</v>
      </c>
      <c r="J618" s="3" t="s">
        <v>22</v>
      </c>
      <c r="K618" s="3" t="s">
        <v>58</v>
      </c>
      <c r="L618" s="3" t="s">
        <v>73</v>
      </c>
      <c r="M618" s="3" t="s">
        <v>74</v>
      </c>
      <c r="N618" s="3" t="s">
        <v>75</v>
      </c>
      <c r="O618" s="5">
        <v>78.0870141</v>
      </c>
      <c r="P618" s="6" t="str">
        <f t="shared" si="2"/>
        <v>Leisure Services</v>
      </c>
    </row>
    <row r="619" hidden="1">
      <c r="A619" s="3" t="s">
        <v>2779</v>
      </c>
      <c r="B619" s="4">
        <v>507962.0</v>
      </c>
      <c r="C619" s="3" t="s">
        <v>2780</v>
      </c>
      <c r="D619" s="3" t="s">
        <v>2781</v>
      </c>
      <c r="E619" s="3" t="s">
        <v>2780</v>
      </c>
      <c r="F619" s="3" t="s">
        <v>19</v>
      </c>
      <c r="G619" s="3" t="s">
        <v>44</v>
      </c>
      <c r="H619" s="3">
        <v>10.0</v>
      </c>
      <c r="I619" s="3" t="s">
        <v>2779</v>
      </c>
      <c r="J619" s="3" t="s">
        <v>22</v>
      </c>
      <c r="K619" s="3" t="s">
        <v>204</v>
      </c>
      <c r="L619" s="3" t="s">
        <v>204</v>
      </c>
      <c r="M619" s="3" t="s">
        <v>378</v>
      </c>
      <c r="N619" s="3" t="s">
        <v>379</v>
      </c>
      <c r="O619" s="5">
        <v>8.716</v>
      </c>
      <c r="P619" s="6" t="str">
        <f t="shared" si="2"/>
        <v>Non Banking Financial Company (NBFC)</v>
      </c>
    </row>
    <row r="620" hidden="1">
      <c r="A620" s="3" t="s">
        <v>2782</v>
      </c>
      <c r="B620" s="4">
        <v>507966.0</v>
      </c>
      <c r="C620" s="3" t="s">
        <v>2783</v>
      </c>
      <c r="D620" s="3" t="s">
        <v>2784</v>
      </c>
      <c r="E620" s="3" t="s">
        <v>2785</v>
      </c>
      <c r="F620" s="3" t="s">
        <v>19</v>
      </c>
      <c r="G620" s="3" t="s">
        <v>72</v>
      </c>
      <c r="H620" s="3">
        <v>10.0</v>
      </c>
      <c r="I620" s="3" t="s">
        <v>2782</v>
      </c>
      <c r="J620" s="3" t="s">
        <v>22</v>
      </c>
      <c r="K620" s="3" t="s">
        <v>58</v>
      </c>
      <c r="L620" s="3" t="s">
        <v>73</v>
      </c>
      <c r="M620" s="3" t="s">
        <v>74</v>
      </c>
      <c r="N620" s="3" t="s">
        <v>75</v>
      </c>
      <c r="O620" s="5">
        <v>16.3618753</v>
      </c>
      <c r="P620" s="6" t="str">
        <f t="shared" si="2"/>
        <v>Leisure Services</v>
      </c>
    </row>
    <row r="621" hidden="1">
      <c r="A621" s="3" t="s">
        <v>2786</v>
      </c>
      <c r="B621" s="4">
        <v>507970.0</v>
      </c>
      <c r="C621" s="3" t="s">
        <v>2787</v>
      </c>
      <c r="D621" s="3" t="s">
        <v>2788</v>
      </c>
      <c r="E621" s="3" t="s">
        <v>2789</v>
      </c>
      <c r="F621" s="3" t="s">
        <v>19</v>
      </c>
      <c r="G621" s="3" t="s">
        <v>44</v>
      </c>
      <c r="H621" s="3">
        <v>10.0</v>
      </c>
      <c r="I621" s="3" t="s">
        <v>2786</v>
      </c>
      <c r="J621" s="3" t="s">
        <v>22</v>
      </c>
      <c r="K621" s="3" t="s">
        <v>145</v>
      </c>
      <c r="L621" s="3" t="s">
        <v>145</v>
      </c>
      <c r="M621" s="3" t="s">
        <v>2790</v>
      </c>
      <c r="N621" s="3" t="s">
        <v>2791</v>
      </c>
      <c r="O621" s="5">
        <v>20.4546549</v>
      </c>
      <c r="P621" s="6" t="str">
        <f t="shared" si="2"/>
        <v>Personal Products</v>
      </c>
    </row>
    <row r="622" hidden="1">
      <c r="A622" s="3" t="s">
        <v>2792</v>
      </c>
      <c r="B622" s="4">
        <v>507981.0</v>
      </c>
      <c r="C622" s="3" t="s">
        <v>2793</v>
      </c>
      <c r="D622" s="3" t="s">
        <v>2794</v>
      </c>
      <c r="E622" s="3" t="s">
        <v>2795</v>
      </c>
      <c r="F622" s="3" t="s">
        <v>19</v>
      </c>
      <c r="G622" s="3" t="s">
        <v>72</v>
      </c>
      <c r="H622" s="3">
        <v>10.0</v>
      </c>
      <c r="I622" s="3" t="s">
        <v>2792</v>
      </c>
      <c r="J622" s="3" t="s">
        <v>22</v>
      </c>
      <c r="K622" s="3" t="s">
        <v>58</v>
      </c>
      <c r="L622" s="3" t="s">
        <v>73</v>
      </c>
      <c r="M622" s="3" t="s">
        <v>74</v>
      </c>
      <c r="N622" s="3" t="s">
        <v>75</v>
      </c>
      <c r="O622" s="5">
        <v>87.8092618</v>
      </c>
      <c r="P622" s="6" t="str">
        <f t="shared" si="2"/>
        <v>Leisure Services</v>
      </c>
    </row>
    <row r="623" hidden="1">
      <c r="A623" s="3" t="s">
        <v>2796</v>
      </c>
      <c r="B623" s="4">
        <v>507987.0</v>
      </c>
      <c r="C623" s="3" t="s">
        <v>2797</v>
      </c>
      <c r="D623" s="3" t="s">
        <v>2798</v>
      </c>
      <c r="E623" s="3" t="s">
        <v>2799</v>
      </c>
      <c r="F623" s="3" t="s">
        <v>19</v>
      </c>
      <c r="G623" s="3" t="s">
        <v>1858</v>
      </c>
      <c r="H623" s="3">
        <v>10.0</v>
      </c>
      <c r="I623" s="3" t="s">
        <v>2796</v>
      </c>
      <c r="J623" s="3" t="s">
        <v>22</v>
      </c>
      <c r="K623" s="3" t="s">
        <v>204</v>
      </c>
      <c r="L623" s="3" t="s">
        <v>204</v>
      </c>
      <c r="M623" s="3" t="s">
        <v>378</v>
      </c>
      <c r="N623" s="3" t="s">
        <v>379</v>
      </c>
      <c r="O623" s="5">
        <v>1.0</v>
      </c>
      <c r="P623" s="6" t="str">
        <f t="shared" si="2"/>
        <v>Non Banking Financial Company (NBFC)</v>
      </c>
    </row>
    <row r="624" hidden="1">
      <c r="A624" s="3" t="s">
        <v>2800</v>
      </c>
      <c r="B624" s="4">
        <v>507998.0</v>
      </c>
      <c r="C624" s="3" t="s">
        <v>2801</v>
      </c>
      <c r="D624" s="3" t="s">
        <v>2802</v>
      </c>
      <c r="E624" s="3" t="s">
        <v>2803</v>
      </c>
      <c r="F624" s="3" t="s">
        <v>19</v>
      </c>
      <c r="G624" s="3" t="s">
        <v>44</v>
      </c>
      <c r="H624" s="3">
        <v>2.0</v>
      </c>
      <c r="I624" s="3" t="s">
        <v>2800</v>
      </c>
      <c r="J624" s="3" t="s">
        <v>22</v>
      </c>
      <c r="K624" s="3" t="s">
        <v>58</v>
      </c>
      <c r="L624" s="3" t="s">
        <v>133</v>
      </c>
      <c r="M624" s="3" t="s">
        <v>134</v>
      </c>
      <c r="N624" s="3" t="s">
        <v>135</v>
      </c>
      <c r="O624" s="5">
        <v>128.1370171</v>
      </c>
      <c r="P624" s="6" t="str">
        <f t="shared" si="2"/>
        <v>Auto Components &amp; Equipments</v>
      </c>
    </row>
    <row r="625" hidden="1">
      <c r="A625" s="3" t="s">
        <v>2804</v>
      </c>
      <c r="B625" s="4">
        <v>508136.0</v>
      </c>
      <c r="C625" s="3" t="s">
        <v>2805</v>
      </c>
      <c r="D625" s="3" t="s">
        <v>2806</v>
      </c>
      <c r="E625" s="3" t="s">
        <v>2807</v>
      </c>
      <c r="F625" s="3" t="s">
        <v>19</v>
      </c>
      <c r="G625" s="3" t="s">
        <v>44</v>
      </c>
      <c r="H625" s="3">
        <v>10.0</v>
      </c>
      <c r="I625" s="3" t="s">
        <v>2804</v>
      </c>
      <c r="J625" s="3" t="s">
        <v>22</v>
      </c>
      <c r="K625" s="3" t="s">
        <v>145</v>
      </c>
      <c r="L625" s="3" t="s">
        <v>145</v>
      </c>
      <c r="M625" s="3" t="s">
        <v>146</v>
      </c>
      <c r="N625" s="3" t="s">
        <v>444</v>
      </c>
      <c r="O625" s="5">
        <v>195.0492761</v>
      </c>
      <c r="P625" s="6" t="str">
        <f t="shared" si="2"/>
        <v>Agricultural Food &amp; other Products</v>
      </c>
    </row>
    <row r="626" hidden="1">
      <c r="A626" s="3" t="s">
        <v>2808</v>
      </c>
      <c r="B626" s="4">
        <v>508486.0</v>
      </c>
      <c r="C626" s="3" t="s">
        <v>2809</v>
      </c>
      <c r="D626" s="3" t="s">
        <v>2810</v>
      </c>
      <c r="E626" s="3" t="s">
        <v>2811</v>
      </c>
      <c r="F626" s="3" t="s">
        <v>19</v>
      </c>
      <c r="G626" s="3" t="s">
        <v>112</v>
      </c>
      <c r="H626" s="3">
        <v>10.0</v>
      </c>
      <c r="I626" s="3" t="s">
        <v>2808</v>
      </c>
      <c r="J626" s="3" t="s">
        <v>22</v>
      </c>
      <c r="K626" s="3" t="s">
        <v>58</v>
      </c>
      <c r="L626" s="3" t="s">
        <v>211</v>
      </c>
      <c r="M626" s="3" t="s">
        <v>211</v>
      </c>
      <c r="N626" s="3" t="s">
        <v>2812</v>
      </c>
      <c r="O626" s="5">
        <v>4091.8465827</v>
      </c>
      <c r="P626" s="6" t="str">
        <f t="shared" si="2"/>
        <v>Consumer Durables</v>
      </c>
    </row>
    <row r="627" hidden="1">
      <c r="A627" s="3" t="s">
        <v>2813</v>
      </c>
      <c r="B627" s="4">
        <v>508494.0</v>
      </c>
      <c r="C627" s="3" t="s">
        <v>2814</v>
      </c>
      <c r="D627" s="3" t="s">
        <v>2815</v>
      </c>
      <c r="E627" s="3" t="s">
        <v>2816</v>
      </c>
      <c r="F627" s="3" t="s">
        <v>19</v>
      </c>
      <c r="G627" s="3" t="s">
        <v>44</v>
      </c>
      <c r="H627" s="3">
        <v>10.0</v>
      </c>
      <c r="I627" s="3" t="s">
        <v>2813</v>
      </c>
      <c r="J627" s="3" t="s">
        <v>22</v>
      </c>
      <c r="K627" s="3" t="s">
        <v>145</v>
      </c>
      <c r="L627" s="3" t="s">
        <v>145</v>
      </c>
      <c r="M627" s="3" t="s">
        <v>146</v>
      </c>
      <c r="N627" s="3" t="s">
        <v>444</v>
      </c>
      <c r="O627" s="5">
        <v>58.618673</v>
      </c>
      <c r="P627" s="6" t="str">
        <f t="shared" si="2"/>
        <v>Agricultural Food &amp; other Products</v>
      </c>
    </row>
    <row r="628" hidden="1">
      <c r="A628" s="3" t="s">
        <v>2817</v>
      </c>
      <c r="B628" s="4">
        <v>508571.0</v>
      </c>
      <c r="C628" s="3" t="s">
        <v>2818</v>
      </c>
      <c r="D628" s="3" t="s">
        <v>2819</v>
      </c>
      <c r="E628" s="3" t="s">
        <v>2820</v>
      </c>
      <c r="F628" s="3" t="s">
        <v>19</v>
      </c>
      <c r="G628" s="3" t="s">
        <v>72</v>
      </c>
      <c r="H628" s="3">
        <v>10.0</v>
      </c>
      <c r="I628" s="3" t="s">
        <v>2817</v>
      </c>
      <c r="J628" s="3" t="s">
        <v>22</v>
      </c>
      <c r="K628" s="3" t="s">
        <v>58</v>
      </c>
      <c r="L628" s="3" t="s">
        <v>133</v>
      </c>
      <c r="M628" s="3" t="s">
        <v>134</v>
      </c>
      <c r="N628" s="3" t="s">
        <v>449</v>
      </c>
      <c r="O628" s="5">
        <v>37.1443321</v>
      </c>
      <c r="P628" s="6" t="str">
        <f t="shared" si="2"/>
        <v>Auto Components</v>
      </c>
    </row>
    <row r="629" hidden="1">
      <c r="A629" s="3" t="s">
        <v>2821</v>
      </c>
      <c r="B629" s="4">
        <v>508664.0</v>
      </c>
      <c r="C629" s="3" t="s">
        <v>2822</v>
      </c>
      <c r="D629" s="3" t="s">
        <v>2823</v>
      </c>
      <c r="E629" s="3" t="s">
        <v>2824</v>
      </c>
      <c r="F629" s="3" t="s">
        <v>19</v>
      </c>
      <c r="G629" s="3" t="s">
        <v>44</v>
      </c>
      <c r="H629" s="3">
        <v>1.0</v>
      </c>
      <c r="I629" s="3" t="s">
        <v>2821</v>
      </c>
      <c r="J629" s="3" t="s">
        <v>22</v>
      </c>
      <c r="K629" s="3" t="s">
        <v>58</v>
      </c>
      <c r="L629" s="3" t="s">
        <v>73</v>
      </c>
      <c r="M629" s="3" t="s">
        <v>74</v>
      </c>
      <c r="N629" s="3" t="s">
        <v>75</v>
      </c>
      <c r="O629" s="5">
        <v>29.520359</v>
      </c>
      <c r="P629" s="6" t="str">
        <f t="shared" si="2"/>
        <v>Leisure Services</v>
      </c>
    </row>
    <row r="630" hidden="1">
      <c r="A630" s="3" t="s">
        <v>2825</v>
      </c>
      <c r="B630" s="4">
        <v>508670.0</v>
      </c>
      <c r="C630" s="3" t="s">
        <v>2826</v>
      </c>
      <c r="D630" s="3" t="s">
        <v>2827</v>
      </c>
      <c r="E630" s="3" t="s">
        <v>2828</v>
      </c>
      <c r="F630" s="3" t="s">
        <v>19</v>
      </c>
      <c r="G630" s="3" t="s">
        <v>44</v>
      </c>
      <c r="H630" s="3">
        <v>10.0</v>
      </c>
      <c r="I630" s="3" t="s">
        <v>2825</v>
      </c>
      <c r="J630" s="3" t="s">
        <v>22</v>
      </c>
      <c r="K630" s="3" t="s">
        <v>145</v>
      </c>
      <c r="L630" s="3" t="s">
        <v>145</v>
      </c>
      <c r="M630" s="3" t="s">
        <v>146</v>
      </c>
      <c r="N630" s="3" t="s">
        <v>444</v>
      </c>
      <c r="O630" s="5">
        <v>263.0253751</v>
      </c>
      <c r="P630" s="6" t="str">
        <f t="shared" si="2"/>
        <v>Agricultural Food &amp; other Products</v>
      </c>
    </row>
    <row r="631" hidden="1">
      <c r="A631" s="3" t="s">
        <v>2829</v>
      </c>
      <c r="B631" s="4">
        <v>508807.0</v>
      </c>
      <c r="C631" s="3" t="s">
        <v>2830</v>
      </c>
      <c r="D631" s="3" t="s">
        <v>2831</v>
      </c>
      <c r="E631" s="3" t="s">
        <v>2832</v>
      </c>
      <c r="F631" s="3" t="s">
        <v>19</v>
      </c>
      <c r="G631" s="3" t="s">
        <v>112</v>
      </c>
      <c r="H631" s="3">
        <v>5.0</v>
      </c>
      <c r="I631" s="3" t="s">
        <v>2829</v>
      </c>
      <c r="J631" s="3" t="s">
        <v>22</v>
      </c>
      <c r="K631" s="3" t="s">
        <v>58</v>
      </c>
      <c r="L631" s="3" t="s">
        <v>133</v>
      </c>
      <c r="M631" s="3" t="s">
        <v>134</v>
      </c>
      <c r="N631" s="3" t="s">
        <v>135</v>
      </c>
      <c r="O631" s="5">
        <v>1130.1697389</v>
      </c>
      <c r="P631" s="6" t="str">
        <f t="shared" si="2"/>
        <v>Auto Components &amp; Equipments</v>
      </c>
    </row>
    <row r="632" hidden="1">
      <c r="A632" s="3" t="s">
        <v>2833</v>
      </c>
      <c r="B632" s="4">
        <v>508814.0</v>
      </c>
      <c r="C632" s="3" t="s">
        <v>2834</v>
      </c>
      <c r="D632" s="3" t="s">
        <v>2835</v>
      </c>
      <c r="E632" s="3" t="s">
        <v>2836</v>
      </c>
      <c r="F632" s="3" t="s">
        <v>19</v>
      </c>
      <c r="G632" s="3" t="s">
        <v>112</v>
      </c>
      <c r="H632" s="3">
        <v>10.0</v>
      </c>
      <c r="I632" s="3" t="s">
        <v>2833</v>
      </c>
      <c r="J632" s="3" t="s">
        <v>22</v>
      </c>
      <c r="K632" s="3" t="s">
        <v>97</v>
      </c>
      <c r="L632" s="3" t="s">
        <v>98</v>
      </c>
      <c r="M632" s="3" t="s">
        <v>100</v>
      </c>
      <c r="N632" s="3" t="s">
        <v>373</v>
      </c>
      <c r="O632" s="5">
        <v>2038.941</v>
      </c>
      <c r="P632" s="6" t="str">
        <f t="shared" si="2"/>
        <v>Industrial Products</v>
      </c>
    </row>
    <row r="633">
      <c r="A633" s="3" t="s">
        <v>2837</v>
      </c>
      <c r="B633" s="4">
        <v>540293.0</v>
      </c>
      <c r="C633" s="3" t="s">
        <v>2838</v>
      </c>
      <c r="D633" s="3" t="s">
        <v>2839</v>
      </c>
      <c r="E633" s="3" t="s">
        <v>2840</v>
      </c>
      <c r="F633" s="3" t="s">
        <v>19</v>
      </c>
      <c r="G633" s="3" t="s">
        <v>20</v>
      </c>
      <c r="H633" s="3">
        <v>1.0</v>
      </c>
      <c r="I633" s="3" t="s">
        <v>2841</v>
      </c>
      <c r="J633" s="3" t="s">
        <v>22</v>
      </c>
      <c r="K633" s="3" t="s">
        <v>58</v>
      </c>
      <c r="L633" s="3" t="s">
        <v>133</v>
      </c>
      <c r="M633" s="3" t="s">
        <v>134</v>
      </c>
      <c r="N633" s="3" t="s">
        <v>135</v>
      </c>
      <c r="O633" s="5">
        <v>5951.1884618</v>
      </c>
      <c r="P633" s="6" t="str">
        <f t="shared" si="2"/>
        <v>Auto Components &amp; Equipments</v>
      </c>
    </row>
    <row r="634" hidden="1">
      <c r="A634" s="3" t="s">
        <v>2842</v>
      </c>
      <c r="B634" s="4">
        <v>508875.0</v>
      </c>
      <c r="C634" s="3" t="s">
        <v>2843</v>
      </c>
      <c r="D634" s="3" t="s">
        <v>2844</v>
      </c>
      <c r="E634" s="3" t="s">
        <v>2845</v>
      </c>
      <c r="F634" s="3" t="s">
        <v>19</v>
      </c>
      <c r="G634" s="3" t="s">
        <v>44</v>
      </c>
      <c r="H634" s="3">
        <v>5.0</v>
      </c>
      <c r="I634" s="3" t="s">
        <v>2842</v>
      </c>
      <c r="J634" s="3" t="s">
        <v>22</v>
      </c>
      <c r="K634" s="3" t="s">
        <v>97</v>
      </c>
      <c r="L634" s="3" t="s">
        <v>98</v>
      </c>
      <c r="M634" s="3" t="s">
        <v>100</v>
      </c>
      <c r="N634" s="3" t="s">
        <v>1909</v>
      </c>
      <c r="O634" s="5">
        <v>435.295536</v>
      </c>
      <c r="P634" s="6" t="str">
        <f t="shared" si="2"/>
        <v>Industrial Products</v>
      </c>
    </row>
    <row r="635" hidden="1">
      <c r="A635" s="3" t="s">
        <v>2846</v>
      </c>
      <c r="B635" s="4">
        <v>508905.0</v>
      </c>
      <c r="C635" s="3" t="s">
        <v>2847</v>
      </c>
      <c r="D635" s="3" t="s">
        <v>2848</v>
      </c>
      <c r="E635" s="3" t="s">
        <v>2849</v>
      </c>
      <c r="F635" s="3" t="s">
        <v>19</v>
      </c>
      <c r="G635" s="3" t="s">
        <v>72</v>
      </c>
      <c r="H635" s="3">
        <v>10.0</v>
      </c>
      <c r="I635" s="3" t="s">
        <v>2846</v>
      </c>
      <c r="J635" s="3" t="s">
        <v>22</v>
      </c>
      <c r="K635" s="3" t="s">
        <v>204</v>
      </c>
      <c r="L635" s="3" t="s">
        <v>204</v>
      </c>
      <c r="M635" s="3" t="s">
        <v>378</v>
      </c>
      <c r="N635" s="3" t="s">
        <v>468</v>
      </c>
      <c r="O635" s="5">
        <v>31.8366361</v>
      </c>
      <c r="P635" s="6" t="str">
        <f t="shared" si="2"/>
        <v>Finance</v>
      </c>
    </row>
    <row r="636" hidden="1">
      <c r="A636" s="3" t="s">
        <v>2850</v>
      </c>
      <c r="B636" s="4">
        <v>508906.0</v>
      </c>
      <c r="C636" s="3" t="s">
        <v>2851</v>
      </c>
      <c r="D636" s="3" t="s">
        <v>2852</v>
      </c>
      <c r="E636" s="3" t="s">
        <v>2853</v>
      </c>
      <c r="F636" s="3" t="s">
        <v>19</v>
      </c>
      <c r="G636" s="3" t="s">
        <v>112</v>
      </c>
      <c r="H636" s="3">
        <v>10.0</v>
      </c>
      <c r="I636" s="3" t="s">
        <v>2850</v>
      </c>
      <c r="J636" s="3" t="s">
        <v>22</v>
      </c>
      <c r="K636" s="3" t="s">
        <v>23</v>
      </c>
      <c r="L636" s="3" t="s">
        <v>162</v>
      </c>
      <c r="M636" s="3" t="s">
        <v>1491</v>
      </c>
      <c r="N636" s="3" t="s">
        <v>1491</v>
      </c>
      <c r="O636" s="5">
        <v>1848.331888</v>
      </c>
      <c r="P636" s="6" t="str">
        <f t="shared" si="2"/>
        <v>Other Construction Materials</v>
      </c>
    </row>
    <row r="637" hidden="1">
      <c r="A637" s="3" t="s">
        <v>2854</v>
      </c>
      <c r="B637" s="4">
        <v>508918.0</v>
      </c>
      <c r="C637" s="3" t="s">
        <v>2855</v>
      </c>
      <c r="D637" s="3" t="s">
        <v>2856</v>
      </c>
      <c r="E637" s="3" t="s">
        <v>2857</v>
      </c>
      <c r="F637" s="3" t="s">
        <v>19</v>
      </c>
      <c r="G637" s="3" t="s">
        <v>44</v>
      </c>
      <c r="H637" s="3">
        <v>10.0</v>
      </c>
      <c r="I637" s="3" t="s">
        <v>2854</v>
      </c>
      <c r="J637" s="3" t="s">
        <v>22</v>
      </c>
      <c r="K637" s="3" t="s">
        <v>58</v>
      </c>
      <c r="L637" s="3" t="s">
        <v>73</v>
      </c>
      <c r="M637" s="3" t="s">
        <v>800</v>
      </c>
      <c r="N637" s="3" t="s">
        <v>801</v>
      </c>
      <c r="O637" s="5">
        <v>18.86781</v>
      </c>
      <c r="P637" s="6" t="str">
        <f t="shared" si="2"/>
        <v>Other Consumer Services</v>
      </c>
    </row>
    <row r="638" hidden="1">
      <c r="A638" s="3" t="s">
        <v>2858</v>
      </c>
      <c r="B638" s="4">
        <v>508922.0</v>
      </c>
      <c r="C638" s="3" t="s">
        <v>2859</v>
      </c>
      <c r="D638" s="3" t="s">
        <v>2860</v>
      </c>
      <c r="E638" s="3" t="s">
        <v>2861</v>
      </c>
      <c r="F638" s="3" t="s">
        <v>19</v>
      </c>
      <c r="G638" s="3" t="s">
        <v>44</v>
      </c>
      <c r="H638" s="3">
        <v>5.0</v>
      </c>
      <c r="I638" s="3" t="s">
        <v>2858</v>
      </c>
      <c r="J638" s="3" t="s">
        <v>22</v>
      </c>
      <c r="K638" s="3" t="s">
        <v>97</v>
      </c>
      <c r="L638" s="3" t="s">
        <v>98</v>
      </c>
      <c r="M638" s="3" t="s">
        <v>100</v>
      </c>
      <c r="N638" s="3" t="s">
        <v>221</v>
      </c>
      <c r="O638" s="5">
        <v>57.3465532</v>
      </c>
      <c r="P638" s="6" t="str">
        <f t="shared" si="2"/>
        <v>Industrial Products</v>
      </c>
    </row>
    <row r="639" hidden="1">
      <c r="A639" s="3" t="s">
        <v>2862</v>
      </c>
      <c r="B639" s="4">
        <v>508933.0</v>
      </c>
      <c r="C639" s="3" t="s">
        <v>2863</v>
      </c>
      <c r="D639" s="3" t="s">
        <v>2864</v>
      </c>
      <c r="E639" s="3" t="s">
        <v>2865</v>
      </c>
      <c r="F639" s="3" t="s">
        <v>19</v>
      </c>
      <c r="G639" s="3" t="s">
        <v>112</v>
      </c>
      <c r="H639" s="3">
        <v>10.0</v>
      </c>
      <c r="I639" s="3" t="s">
        <v>2862</v>
      </c>
      <c r="J639" s="3" t="s">
        <v>22</v>
      </c>
      <c r="K639" s="3" t="s">
        <v>58</v>
      </c>
      <c r="L639" s="3" t="s">
        <v>80</v>
      </c>
      <c r="M639" s="3" t="s">
        <v>81</v>
      </c>
      <c r="N639" s="3" t="s">
        <v>82</v>
      </c>
      <c r="O639" s="5">
        <v>501.704873</v>
      </c>
      <c r="P639" s="6" t="str">
        <f t="shared" si="2"/>
        <v>Textiles &amp; Apparels</v>
      </c>
    </row>
    <row r="640" hidden="1">
      <c r="A640" s="3" t="s">
        <v>2866</v>
      </c>
      <c r="B640" s="4">
        <v>508941.0</v>
      </c>
      <c r="C640" s="3" t="s">
        <v>2867</v>
      </c>
      <c r="D640" s="3" t="s">
        <v>2868</v>
      </c>
      <c r="E640" s="3" t="s">
        <v>2869</v>
      </c>
      <c r="F640" s="3" t="s">
        <v>19</v>
      </c>
      <c r="G640" s="3" t="s">
        <v>44</v>
      </c>
      <c r="H640" s="3">
        <v>10.0</v>
      </c>
      <c r="I640" s="3" t="s">
        <v>2866</v>
      </c>
      <c r="J640" s="3" t="s">
        <v>22</v>
      </c>
      <c r="K640" s="3" t="s">
        <v>97</v>
      </c>
      <c r="L640" s="3" t="s">
        <v>98</v>
      </c>
      <c r="M640" s="3" t="s">
        <v>100</v>
      </c>
      <c r="N640" s="3" t="s">
        <v>1500</v>
      </c>
      <c r="O640" s="5">
        <v>257.7535704</v>
      </c>
      <c r="P640" s="6" t="str">
        <f t="shared" si="2"/>
        <v>Industrial Products</v>
      </c>
    </row>
    <row r="641" hidden="1">
      <c r="A641" s="3" t="s">
        <v>2870</v>
      </c>
      <c r="B641" s="4">
        <v>508954.0</v>
      </c>
      <c r="C641" s="3" t="s">
        <v>2871</v>
      </c>
      <c r="D641" s="3" t="s">
        <v>2872</v>
      </c>
      <c r="E641" s="3" t="s">
        <v>2873</v>
      </c>
      <c r="F641" s="3" t="s">
        <v>19</v>
      </c>
      <c r="G641" s="3" t="s">
        <v>72</v>
      </c>
      <c r="H641" s="3">
        <v>1.0</v>
      </c>
      <c r="I641" s="3" t="s">
        <v>2870</v>
      </c>
      <c r="J641" s="3" t="s">
        <v>22</v>
      </c>
      <c r="K641" s="3" t="s">
        <v>204</v>
      </c>
      <c r="L641" s="3" t="s">
        <v>204</v>
      </c>
      <c r="M641" s="3" t="s">
        <v>378</v>
      </c>
      <c r="N641" s="3" t="s">
        <v>379</v>
      </c>
      <c r="O641" s="5">
        <v>722.82247</v>
      </c>
      <c r="P641" s="6" t="str">
        <f t="shared" si="2"/>
        <v>Non Banking Financial Company (NBFC)</v>
      </c>
    </row>
    <row r="642" hidden="1">
      <c r="A642" s="3" t="s">
        <v>2874</v>
      </c>
      <c r="B642" s="4">
        <v>508956.0</v>
      </c>
      <c r="C642" s="3" t="s">
        <v>2875</v>
      </c>
      <c r="D642" s="3" t="s">
        <v>2876</v>
      </c>
      <c r="E642" s="3" t="s">
        <v>2877</v>
      </c>
      <c r="F642" s="3" t="s">
        <v>19</v>
      </c>
      <c r="G642" s="3" t="s">
        <v>72</v>
      </c>
      <c r="H642" s="3">
        <v>10.0</v>
      </c>
      <c r="I642" s="3" t="s">
        <v>2874</v>
      </c>
      <c r="J642" s="3" t="s">
        <v>22</v>
      </c>
      <c r="K642" s="3" t="s">
        <v>204</v>
      </c>
      <c r="L642" s="3" t="s">
        <v>204</v>
      </c>
      <c r="M642" s="3" t="s">
        <v>378</v>
      </c>
      <c r="N642" s="3" t="s">
        <v>379</v>
      </c>
      <c r="O642" s="5">
        <v>1.0</v>
      </c>
      <c r="P642" s="6" t="str">
        <f t="shared" si="2"/>
        <v>Non Banking Financial Company (NBFC)</v>
      </c>
    </row>
    <row r="643" hidden="1">
      <c r="A643" s="3" t="s">
        <v>2878</v>
      </c>
      <c r="B643" s="4">
        <v>508961.0</v>
      </c>
      <c r="C643" s="3" t="s">
        <v>2879</v>
      </c>
      <c r="D643" s="3" t="s">
        <v>2880</v>
      </c>
      <c r="E643" s="3" t="s">
        <v>2881</v>
      </c>
      <c r="F643" s="3" t="s">
        <v>19</v>
      </c>
      <c r="G643" s="3" t="s">
        <v>72</v>
      </c>
      <c r="H643" s="3">
        <v>10.0</v>
      </c>
      <c r="I643" s="3" t="s">
        <v>2878</v>
      </c>
      <c r="J643" s="3" t="s">
        <v>22</v>
      </c>
      <c r="K643" s="3" t="s">
        <v>204</v>
      </c>
      <c r="L643" s="3" t="s">
        <v>204</v>
      </c>
      <c r="M643" s="3" t="s">
        <v>378</v>
      </c>
      <c r="N643" s="3" t="s">
        <v>379</v>
      </c>
      <c r="O643" s="5">
        <v>14.725</v>
      </c>
      <c r="P643" s="6" t="str">
        <f t="shared" si="2"/>
        <v>Non Banking Financial Company (NBFC)</v>
      </c>
    </row>
    <row r="644" hidden="1">
      <c r="A644" s="3" t="s">
        <v>2882</v>
      </c>
      <c r="B644" s="4">
        <v>508963.0</v>
      </c>
      <c r="C644" s="3" t="s">
        <v>2883</v>
      </c>
      <c r="D644" s="3" t="s">
        <v>2884</v>
      </c>
      <c r="E644" s="3" t="s">
        <v>2885</v>
      </c>
      <c r="F644" s="3" t="s">
        <v>19</v>
      </c>
      <c r="G644" s="3" t="s">
        <v>72</v>
      </c>
      <c r="H644" s="3">
        <v>10.0</v>
      </c>
      <c r="I644" s="3" t="s">
        <v>2882</v>
      </c>
      <c r="J644" s="3" t="s">
        <v>22</v>
      </c>
      <c r="K644" s="3" t="s">
        <v>204</v>
      </c>
      <c r="L644" s="3" t="s">
        <v>204</v>
      </c>
      <c r="M644" s="3" t="s">
        <v>378</v>
      </c>
      <c r="N644" s="3" t="s">
        <v>379</v>
      </c>
      <c r="O644" s="5">
        <v>1.0</v>
      </c>
      <c r="P644" s="6" t="str">
        <f t="shared" si="2"/>
        <v>Non Banking Financial Company (NBFC)</v>
      </c>
    </row>
    <row r="645" hidden="1">
      <c r="A645" s="3" t="s">
        <v>2886</v>
      </c>
      <c r="B645" s="4">
        <v>508969.0</v>
      </c>
      <c r="C645" s="3" t="s">
        <v>2887</v>
      </c>
      <c r="D645" s="3" t="s">
        <v>2888</v>
      </c>
      <c r="E645" s="3" t="s">
        <v>2889</v>
      </c>
      <c r="F645" s="3" t="s">
        <v>19</v>
      </c>
      <c r="G645" s="3" t="s">
        <v>44</v>
      </c>
      <c r="H645" s="3">
        <v>1.0</v>
      </c>
      <c r="I645" s="3" t="s">
        <v>2886</v>
      </c>
      <c r="J645" s="3" t="s">
        <v>22</v>
      </c>
      <c r="K645" s="3" t="s">
        <v>204</v>
      </c>
      <c r="L645" s="3" t="s">
        <v>204</v>
      </c>
      <c r="M645" s="3" t="s">
        <v>378</v>
      </c>
      <c r="N645" s="3" t="s">
        <v>379</v>
      </c>
      <c r="O645" s="5">
        <v>53.9820949</v>
      </c>
      <c r="P645" s="6" t="str">
        <f t="shared" si="2"/>
        <v>Non Banking Financial Company (NBFC)</v>
      </c>
    </row>
    <row r="646" hidden="1">
      <c r="A646" s="3" t="s">
        <v>2890</v>
      </c>
      <c r="B646" s="4">
        <v>512038.0</v>
      </c>
      <c r="C646" s="3" t="s">
        <v>2891</v>
      </c>
      <c r="D646" s="3" t="s">
        <v>2892</v>
      </c>
      <c r="E646" s="3" t="s">
        <v>2893</v>
      </c>
      <c r="F646" s="3" t="s">
        <v>19</v>
      </c>
      <c r="G646" s="3" t="s">
        <v>72</v>
      </c>
      <c r="H646" s="3">
        <v>10.0</v>
      </c>
      <c r="I646" s="3" t="s">
        <v>2894</v>
      </c>
      <c r="J646" s="3" t="s">
        <v>22</v>
      </c>
      <c r="K646" s="3" t="s">
        <v>1673</v>
      </c>
      <c r="L646" s="3" t="s">
        <v>1673</v>
      </c>
      <c r="M646" s="3" t="s">
        <v>1674</v>
      </c>
      <c r="N646" s="3" t="s">
        <v>1915</v>
      </c>
      <c r="O646" s="5">
        <v>1293.568</v>
      </c>
      <c r="P646" s="6" t="str">
        <f t="shared" si="2"/>
        <v>Commercial Services &amp; Supplies</v>
      </c>
    </row>
    <row r="647" hidden="1">
      <c r="A647" s="3" t="s">
        <v>2895</v>
      </c>
      <c r="B647" s="4">
        <v>508989.0</v>
      </c>
      <c r="C647" s="3" t="s">
        <v>2896</v>
      </c>
      <c r="D647" s="3" t="s">
        <v>2897</v>
      </c>
      <c r="E647" s="3" t="s">
        <v>2896</v>
      </c>
      <c r="F647" s="3" t="s">
        <v>19</v>
      </c>
      <c r="G647" s="3" t="s">
        <v>112</v>
      </c>
      <c r="H647" s="3">
        <v>2.0</v>
      </c>
      <c r="I647" s="3" t="s">
        <v>2895</v>
      </c>
      <c r="J647" s="3" t="s">
        <v>22</v>
      </c>
      <c r="K647" s="3" t="s">
        <v>58</v>
      </c>
      <c r="L647" s="3" t="s">
        <v>182</v>
      </c>
      <c r="M647" s="3" t="s">
        <v>2898</v>
      </c>
      <c r="N647" s="3" t="s">
        <v>2898</v>
      </c>
      <c r="O647" s="5">
        <v>3699.0876509</v>
      </c>
      <c r="P647" s="6" t="str">
        <f t="shared" si="2"/>
        <v>Printing &amp; Publication</v>
      </c>
    </row>
    <row r="648" hidden="1">
      <c r="A648" s="3" t="s">
        <v>2899</v>
      </c>
      <c r="B648" s="4">
        <v>508993.0</v>
      </c>
      <c r="C648" s="3" t="s">
        <v>2900</v>
      </c>
      <c r="D648" s="3" t="s">
        <v>2901</v>
      </c>
      <c r="E648" s="3" t="s">
        <v>2902</v>
      </c>
      <c r="F648" s="3" t="s">
        <v>19</v>
      </c>
      <c r="G648" s="3" t="s">
        <v>72</v>
      </c>
      <c r="H648" s="3">
        <v>5.0</v>
      </c>
      <c r="I648" s="3" t="s">
        <v>2899</v>
      </c>
      <c r="J648" s="3" t="s">
        <v>22</v>
      </c>
      <c r="K648" s="3" t="s">
        <v>58</v>
      </c>
      <c r="L648" s="3" t="s">
        <v>59</v>
      </c>
      <c r="M648" s="3" t="s">
        <v>59</v>
      </c>
      <c r="N648" s="3" t="s">
        <v>60</v>
      </c>
      <c r="O648" s="5">
        <v>1.0</v>
      </c>
      <c r="P648" s="6" t="str">
        <f t="shared" si="2"/>
        <v>Residential, Commercial Projects</v>
      </c>
    </row>
    <row r="649" hidden="1">
      <c r="A649" s="3" t="s">
        <v>2903</v>
      </c>
      <c r="B649" s="4">
        <v>508996.0</v>
      </c>
      <c r="C649" s="3" t="s">
        <v>2904</v>
      </c>
      <c r="D649" s="3" t="s">
        <v>2905</v>
      </c>
      <c r="E649" s="3" t="s">
        <v>2906</v>
      </c>
      <c r="F649" s="3" t="s">
        <v>19</v>
      </c>
      <c r="G649" s="3" t="s">
        <v>57</v>
      </c>
      <c r="H649" s="3">
        <v>2.0</v>
      </c>
      <c r="I649" s="3" t="s">
        <v>2903</v>
      </c>
      <c r="J649" s="3" t="s">
        <v>22</v>
      </c>
      <c r="K649" s="3" t="s">
        <v>58</v>
      </c>
      <c r="L649" s="3" t="s">
        <v>59</v>
      </c>
      <c r="M649" s="3" t="s">
        <v>59</v>
      </c>
      <c r="N649" s="3" t="s">
        <v>60</v>
      </c>
      <c r="O649" s="5">
        <v>18.37087</v>
      </c>
      <c r="P649" s="6" t="str">
        <f t="shared" si="2"/>
        <v>Residential, Commercial Projects</v>
      </c>
    </row>
    <row r="650" hidden="1">
      <c r="A650" s="3" t="s">
        <v>2907</v>
      </c>
      <c r="B650" s="4">
        <v>543954.0</v>
      </c>
      <c r="C650" s="3" t="s">
        <v>2908</v>
      </c>
      <c r="D650" s="3" t="s">
        <v>2909</v>
      </c>
      <c r="E650" s="3" t="s">
        <v>2910</v>
      </c>
      <c r="F650" s="3" t="s">
        <v>19</v>
      </c>
      <c r="G650" s="3" t="s">
        <v>112</v>
      </c>
      <c r="H650" s="3">
        <v>2.0</v>
      </c>
      <c r="I650" s="3" t="s">
        <v>2911</v>
      </c>
      <c r="J650" s="3" t="s">
        <v>22</v>
      </c>
      <c r="K650" s="3" t="s">
        <v>1673</v>
      </c>
      <c r="L650" s="3" t="s">
        <v>1673</v>
      </c>
      <c r="M650" s="3" t="s">
        <v>1879</v>
      </c>
      <c r="N650" s="3" t="s">
        <v>2912</v>
      </c>
      <c r="O650" s="5">
        <v>1242.6905225</v>
      </c>
      <c r="P650" s="6" t="str">
        <f t="shared" si="2"/>
        <v>Transport Infrastructure</v>
      </c>
    </row>
    <row r="651" hidden="1">
      <c r="A651" s="3" t="s">
        <v>2913</v>
      </c>
      <c r="B651" s="4">
        <v>509009.0</v>
      </c>
      <c r="C651" s="3" t="s">
        <v>2914</v>
      </c>
      <c r="D651" s="3" t="s">
        <v>2915</v>
      </c>
      <c r="E651" s="3" t="s">
        <v>2914</v>
      </c>
      <c r="F651" s="3" t="s">
        <v>19</v>
      </c>
      <c r="G651" s="3" t="s">
        <v>86</v>
      </c>
      <c r="H651" s="3">
        <v>10.0</v>
      </c>
      <c r="I651" s="3" t="s">
        <v>2913</v>
      </c>
      <c r="J651" s="3" t="s">
        <v>22</v>
      </c>
      <c r="K651" s="3" t="s">
        <v>58</v>
      </c>
      <c r="L651" s="3" t="s">
        <v>211</v>
      </c>
      <c r="M651" s="3" t="s">
        <v>211</v>
      </c>
      <c r="N651" s="3" t="s">
        <v>947</v>
      </c>
      <c r="O651" s="5">
        <v>128.373757</v>
      </c>
      <c r="P651" s="6" t="str">
        <f t="shared" si="2"/>
        <v>Consumer Durables</v>
      </c>
    </row>
    <row r="652" hidden="1">
      <c r="A652" s="3" t="s">
        <v>2916</v>
      </c>
      <c r="B652" s="4">
        <v>509015.0</v>
      </c>
      <c r="C652" s="3" t="s">
        <v>2917</v>
      </c>
      <c r="D652" s="3" t="s">
        <v>2918</v>
      </c>
      <c r="E652" s="3" t="s">
        <v>2919</v>
      </c>
      <c r="F652" s="3" t="s">
        <v>19</v>
      </c>
      <c r="G652" s="3" t="s">
        <v>72</v>
      </c>
      <c r="H652" s="3">
        <v>3.0</v>
      </c>
      <c r="I652" s="3" t="s">
        <v>2916</v>
      </c>
      <c r="J652" s="3" t="s">
        <v>22</v>
      </c>
      <c r="K652" s="3" t="s">
        <v>97</v>
      </c>
      <c r="L652" s="3" t="s">
        <v>98</v>
      </c>
      <c r="M652" s="3" t="s">
        <v>99</v>
      </c>
      <c r="N652" s="3" t="s">
        <v>100</v>
      </c>
      <c r="O652" s="5">
        <v>56.6826855</v>
      </c>
      <c r="P652" s="6" t="str">
        <f t="shared" si="2"/>
        <v>Industrial Products</v>
      </c>
    </row>
    <row r="653" hidden="1">
      <c r="A653" s="3" t="s">
        <v>2920</v>
      </c>
      <c r="B653" s="4">
        <v>539841.0</v>
      </c>
      <c r="C653" s="3" t="s">
        <v>2921</v>
      </c>
      <c r="D653" s="3" t="s">
        <v>2922</v>
      </c>
      <c r="E653" s="3" t="s">
        <v>2923</v>
      </c>
      <c r="F653" s="3" t="s">
        <v>19</v>
      </c>
      <c r="G653" s="3" t="s">
        <v>112</v>
      </c>
      <c r="H653" s="3">
        <v>5.0</v>
      </c>
      <c r="I653" s="3" t="s">
        <v>2924</v>
      </c>
      <c r="J653" s="3" t="s">
        <v>22</v>
      </c>
      <c r="K653" s="3" t="s">
        <v>1673</v>
      </c>
      <c r="L653" s="3" t="s">
        <v>1673</v>
      </c>
      <c r="M653" s="3" t="s">
        <v>1689</v>
      </c>
      <c r="N653" s="3" t="s">
        <v>1690</v>
      </c>
      <c r="O653" s="5">
        <v>1191.4026346</v>
      </c>
      <c r="P653" s="6" t="str">
        <f t="shared" si="2"/>
        <v>Transport Services</v>
      </c>
    </row>
    <row r="654" hidden="1">
      <c r="A654" s="3" t="s">
        <v>2925</v>
      </c>
      <c r="B654" s="4">
        <v>509026.0</v>
      </c>
      <c r="C654" s="3" t="s">
        <v>2926</v>
      </c>
      <c r="D654" s="3" t="s">
        <v>2927</v>
      </c>
      <c r="E654" s="3" t="s">
        <v>2928</v>
      </c>
      <c r="F654" s="3" t="s">
        <v>19</v>
      </c>
      <c r="G654" s="3" t="s">
        <v>72</v>
      </c>
      <c r="H654" s="3">
        <v>10.0</v>
      </c>
      <c r="I654" s="3" t="s">
        <v>2925</v>
      </c>
      <c r="J654" s="3" t="s">
        <v>22</v>
      </c>
      <c r="K654" s="3" t="s">
        <v>58</v>
      </c>
      <c r="L654" s="3" t="s">
        <v>73</v>
      </c>
      <c r="M654" s="3" t="s">
        <v>800</v>
      </c>
      <c r="N654" s="3" t="s">
        <v>801</v>
      </c>
      <c r="O654" s="5">
        <v>159.28</v>
      </c>
      <c r="P654" s="6" t="str">
        <f t="shared" si="2"/>
        <v>Other Consumer Services</v>
      </c>
    </row>
    <row r="655" hidden="1">
      <c r="A655" s="3" t="s">
        <v>2929</v>
      </c>
      <c r="B655" s="4">
        <v>509038.0</v>
      </c>
      <c r="C655" s="3" t="s">
        <v>2930</v>
      </c>
      <c r="D655" s="3" t="s">
        <v>2931</v>
      </c>
      <c r="E655" s="3" t="s">
        <v>2932</v>
      </c>
      <c r="F655" s="3" t="s">
        <v>19</v>
      </c>
      <c r="G655" s="3" t="s">
        <v>44</v>
      </c>
      <c r="H655" s="3">
        <v>10.0</v>
      </c>
      <c r="I655" s="3" t="s">
        <v>2929</v>
      </c>
      <c r="J655" s="3" t="s">
        <v>22</v>
      </c>
      <c r="K655" s="3" t="s">
        <v>204</v>
      </c>
      <c r="L655" s="3" t="s">
        <v>204</v>
      </c>
      <c r="M655" s="3" t="s">
        <v>378</v>
      </c>
      <c r="N655" s="3" t="s">
        <v>379</v>
      </c>
      <c r="O655" s="5">
        <v>1.0</v>
      </c>
      <c r="P655" s="6" t="str">
        <f t="shared" si="2"/>
        <v>Non Banking Financial Company (NBFC)</v>
      </c>
    </row>
    <row r="656" hidden="1">
      <c r="A656" s="3" t="s">
        <v>2933</v>
      </c>
      <c r="B656" s="4">
        <v>509040.0</v>
      </c>
      <c r="C656" s="3" t="s">
        <v>2934</v>
      </c>
      <c r="D656" s="3" t="s">
        <v>2935</v>
      </c>
      <c r="E656" s="3" t="s">
        <v>2936</v>
      </c>
      <c r="F656" s="3" t="s">
        <v>19</v>
      </c>
      <c r="G656" s="3" t="s">
        <v>72</v>
      </c>
      <c r="H656" s="3">
        <v>10.0</v>
      </c>
      <c r="I656" s="3" t="s">
        <v>2933</v>
      </c>
      <c r="J656" s="3" t="s">
        <v>22</v>
      </c>
      <c r="K656" s="3" t="s">
        <v>473</v>
      </c>
      <c r="L656" s="3" t="s">
        <v>473</v>
      </c>
      <c r="M656" s="3" t="s">
        <v>1391</v>
      </c>
      <c r="N656" s="3" t="s">
        <v>1392</v>
      </c>
      <c r="O656" s="5">
        <v>39.8652605</v>
      </c>
      <c r="P656" s="6" t="str">
        <f t="shared" si="2"/>
        <v>IT - Software</v>
      </c>
    </row>
    <row r="657" hidden="1">
      <c r="A657" s="3" t="s">
        <v>2937</v>
      </c>
      <c r="B657" s="4">
        <v>544149.0</v>
      </c>
      <c r="C657" s="3" t="s">
        <v>2938</v>
      </c>
      <c r="D657" s="3" t="s">
        <v>2939</v>
      </c>
      <c r="E657" s="3" t="s">
        <v>2940</v>
      </c>
      <c r="F657" s="3" t="s">
        <v>19</v>
      </c>
      <c r="G657" s="3" t="s">
        <v>112</v>
      </c>
      <c r="H657" s="3">
        <v>10.0</v>
      </c>
      <c r="I657" s="3" t="s">
        <v>2941</v>
      </c>
      <c r="J657" s="3" t="s">
        <v>22</v>
      </c>
      <c r="K657" s="3" t="s">
        <v>1673</v>
      </c>
      <c r="L657" s="3" t="s">
        <v>1673</v>
      </c>
      <c r="M657" s="3" t="s">
        <v>1674</v>
      </c>
      <c r="N657" s="3" t="s">
        <v>1675</v>
      </c>
      <c r="O657" s="5">
        <v>1185.7323831</v>
      </c>
      <c r="P657" s="6" t="str">
        <f t="shared" si="2"/>
        <v>Commercial Services &amp; Supplies</v>
      </c>
    </row>
    <row r="658" hidden="1">
      <c r="A658" s="3" t="s">
        <v>2942</v>
      </c>
      <c r="B658" s="4">
        <v>509048.0</v>
      </c>
      <c r="C658" s="3" t="s">
        <v>2943</v>
      </c>
      <c r="D658" s="3" t="s">
        <v>2944</v>
      </c>
      <c r="E658" s="3" t="s">
        <v>2945</v>
      </c>
      <c r="F658" s="3" t="s">
        <v>19</v>
      </c>
      <c r="G658" s="3" t="s">
        <v>112</v>
      </c>
      <c r="H658" s="3">
        <v>2.0</v>
      </c>
      <c r="I658" s="3" t="s">
        <v>2942</v>
      </c>
      <c r="J658" s="3" t="s">
        <v>22</v>
      </c>
      <c r="K658" s="3" t="s">
        <v>58</v>
      </c>
      <c r="L658" s="3" t="s">
        <v>59</v>
      </c>
      <c r="M658" s="3" t="s">
        <v>59</v>
      </c>
      <c r="N658" s="3" t="s">
        <v>60</v>
      </c>
      <c r="O658" s="5">
        <v>303.9730436</v>
      </c>
      <c r="P658" s="6" t="str">
        <f t="shared" si="2"/>
        <v>Residential, Commercial Projects</v>
      </c>
    </row>
    <row r="659" hidden="1">
      <c r="A659" s="3" t="s">
        <v>2946</v>
      </c>
      <c r="B659" s="4">
        <v>509051.0</v>
      </c>
      <c r="C659" s="3" t="s">
        <v>2947</v>
      </c>
      <c r="D659" s="3" t="s">
        <v>2948</v>
      </c>
      <c r="E659" s="3" t="s">
        <v>2949</v>
      </c>
      <c r="F659" s="3" t="s">
        <v>19</v>
      </c>
      <c r="G659" s="3" t="s">
        <v>44</v>
      </c>
      <c r="H659" s="3">
        <v>1.0</v>
      </c>
      <c r="I659" s="3" t="s">
        <v>2946</v>
      </c>
      <c r="J659" s="3" t="s">
        <v>22</v>
      </c>
      <c r="K659" s="3" t="s">
        <v>204</v>
      </c>
      <c r="L659" s="3" t="s">
        <v>204</v>
      </c>
      <c r="M659" s="3" t="s">
        <v>378</v>
      </c>
      <c r="N659" s="3" t="s">
        <v>384</v>
      </c>
      <c r="O659" s="5">
        <v>198.3263945</v>
      </c>
      <c r="P659" s="6" t="str">
        <f t="shared" si="2"/>
        <v>Finance</v>
      </c>
    </row>
    <row r="660" hidden="1">
      <c r="A660" s="3" t="s">
        <v>2950</v>
      </c>
      <c r="B660" s="4">
        <v>509053.0</v>
      </c>
      <c r="C660" s="3" t="s">
        <v>2951</v>
      </c>
      <c r="D660" s="3" t="s">
        <v>2952</v>
      </c>
      <c r="E660" s="3" t="s">
        <v>2953</v>
      </c>
      <c r="F660" s="3" t="s">
        <v>19</v>
      </c>
      <c r="G660" s="3" t="s">
        <v>72</v>
      </c>
      <c r="H660" s="3">
        <v>10.0</v>
      </c>
      <c r="I660" s="3" t="s">
        <v>2950</v>
      </c>
      <c r="J660" s="3" t="s">
        <v>22</v>
      </c>
      <c r="K660" s="3" t="s">
        <v>204</v>
      </c>
      <c r="L660" s="3" t="s">
        <v>204</v>
      </c>
      <c r="M660" s="3" t="s">
        <v>378</v>
      </c>
      <c r="N660" s="3" t="s">
        <v>384</v>
      </c>
      <c r="O660" s="5">
        <v>89.9287293</v>
      </c>
      <c r="P660" s="6" t="str">
        <f t="shared" si="2"/>
        <v>Finance</v>
      </c>
    </row>
    <row r="661" hidden="1">
      <c r="A661" s="3" t="s">
        <v>2954</v>
      </c>
      <c r="B661" s="4">
        <v>509055.0</v>
      </c>
      <c r="C661" s="3" t="s">
        <v>2955</v>
      </c>
      <c r="D661" s="3" t="s">
        <v>2956</v>
      </c>
      <c r="E661" s="3" t="s">
        <v>2957</v>
      </c>
      <c r="F661" s="3" t="s">
        <v>19</v>
      </c>
      <c r="G661" s="3" t="s">
        <v>112</v>
      </c>
      <c r="H661" s="3">
        <v>2.0</v>
      </c>
      <c r="I661" s="3" t="s">
        <v>2954</v>
      </c>
      <c r="J661" s="3" t="s">
        <v>22</v>
      </c>
      <c r="K661" s="3" t="s">
        <v>23</v>
      </c>
      <c r="L661" s="3" t="s">
        <v>162</v>
      </c>
      <c r="M661" s="3" t="s">
        <v>163</v>
      </c>
      <c r="N661" s="3" t="s">
        <v>163</v>
      </c>
      <c r="O661" s="5">
        <v>1009.0360497</v>
      </c>
      <c r="P661" s="6" t="str">
        <f t="shared" si="2"/>
        <v>Cement &amp; Cement Products</v>
      </c>
    </row>
    <row r="662" hidden="1">
      <c r="A662" s="3" t="s">
        <v>2958</v>
      </c>
      <c r="B662" s="4">
        <v>509073.0</v>
      </c>
      <c r="C662" s="3" t="s">
        <v>2959</v>
      </c>
      <c r="D662" s="3" t="s">
        <v>2960</v>
      </c>
      <c r="E662" s="3" t="s">
        <v>2961</v>
      </c>
      <c r="F662" s="3" t="s">
        <v>19</v>
      </c>
      <c r="G662" s="3" t="s">
        <v>44</v>
      </c>
      <c r="H662" s="3">
        <v>10.0</v>
      </c>
      <c r="I662" s="3" t="s">
        <v>2958</v>
      </c>
      <c r="J662" s="3" t="s">
        <v>22</v>
      </c>
      <c r="K662" s="3" t="s">
        <v>58</v>
      </c>
      <c r="L662" s="3" t="s">
        <v>182</v>
      </c>
      <c r="M662" s="3" t="s">
        <v>1168</v>
      </c>
      <c r="N662" s="3" t="s">
        <v>1169</v>
      </c>
      <c r="O662" s="5">
        <v>16.2642807</v>
      </c>
      <c r="P662" s="6" t="str">
        <f t="shared" si="2"/>
        <v>Entertainment</v>
      </c>
    </row>
    <row r="663" hidden="1">
      <c r="A663" s="3" t="s">
        <v>2962</v>
      </c>
      <c r="B663" s="4">
        <v>509079.0</v>
      </c>
      <c r="C663" s="3" t="s">
        <v>2963</v>
      </c>
      <c r="D663" s="3" t="s">
        <v>2964</v>
      </c>
      <c r="E663" s="3" t="s">
        <v>2965</v>
      </c>
      <c r="F663" s="3" t="s">
        <v>19</v>
      </c>
      <c r="G663" s="3" t="s">
        <v>112</v>
      </c>
      <c r="H663" s="3">
        <v>1.0</v>
      </c>
      <c r="I663" s="3" t="s">
        <v>2962</v>
      </c>
      <c r="J663" s="3" t="s">
        <v>22</v>
      </c>
      <c r="K663" s="3" t="s">
        <v>45</v>
      </c>
      <c r="L663" s="3" t="s">
        <v>45</v>
      </c>
      <c r="M663" s="3" t="s">
        <v>46</v>
      </c>
      <c r="N663" s="3" t="s">
        <v>47</v>
      </c>
      <c r="O663" s="5">
        <v>3537.2012235</v>
      </c>
      <c r="P663" s="6" t="str">
        <f t="shared" si="2"/>
        <v>Pharmaceuticals</v>
      </c>
    </row>
    <row r="664" hidden="1">
      <c r="A664" s="3" t="s">
        <v>2966</v>
      </c>
      <c r="B664" s="4">
        <v>543955.0</v>
      </c>
      <c r="C664" s="3" t="s">
        <v>2967</v>
      </c>
      <c r="D664" s="3" t="s">
        <v>2968</v>
      </c>
      <c r="E664" s="3" t="s">
        <v>2969</v>
      </c>
      <c r="F664" s="3" t="s">
        <v>19</v>
      </c>
      <c r="G664" s="3" t="s">
        <v>112</v>
      </c>
      <c r="H664" s="3">
        <v>2.0</v>
      </c>
      <c r="I664" s="3" t="s">
        <v>2970</v>
      </c>
      <c r="J664" s="3" t="s">
        <v>22</v>
      </c>
      <c r="K664" s="3" t="s">
        <v>1673</v>
      </c>
      <c r="L664" s="3" t="s">
        <v>1673</v>
      </c>
      <c r="M664" s="3" t="s">
        <v>1689</v>
      </c>
      <c r="N664" s="3" t="s">
        <v>1690</v>
      </c>
      <c r="O664" s="5">
        <v>1125.4545124</v>
      </c>
      <c r="P664" s="6" t="str">
        <f t="shared" si="2"/>
        <v>Transport Services</v>
      </c>
    </row>
    <row r="665" hidden="1">
      <c r="A665" s="3" t="s">
        <v>2971</v>
      </c>
      <c r="B665" s="4">
        <v>509152.0</v>
      </c>
      <c r="C665" s="3" t="s">
        <v>2972</v>
      </c>
      <c r="D665" s="3" t="s">
        <v>2973</v>
      </c>
      <c r="E665" s="3" t="s">
        <v>2974</v>
      </c>
      <c r="F665" s="3" t="s">
        <v>19</v>
      </c>
      <c r="G665" s="3" t="s">
        <v>112</v>
      </c>
      <c r="H665" s="3">
        <v>10.0</v>
      </c>
      <c r="I665" s="3" t="s">
        <v>2971</v>
      </c>
      <c r="J665" s="3" t="s">
        <v>22</v>
      </c>
      <c r="K665" s="3" t="s">
        <v>97</v>
      </c>
      <c r="L665" s="3" t="s">
        <v>98</v>
      </c>
      <c r="M665" s="3" t="s">
        <v>100</v>
      </c>
      <c r="N665" s="3" t="s">
        <v>862</v>
      </c>
      <c r="O665" s="5">
        <v>1666.0746294</v>
      </c>
      <c r="P665" s="6" t="str">
        <f t="shared" si="2"/>
        <v>Industrial Products</v>
      </c>
    </row>
    <row r="666" hidden="1">
      <c r="A666" s="3" t="s">
        <v>2975</v>
      </c>
      <c r="B666" s="4">
        <v>509162.0</v>
      </c>
      <c r="C666" s="3" t="s">
        <v>2976</v>
      </c>
      <c r="D666" s="3" t="s">
        <v>2977</v>
      </c>
      <c r="E666" s="3" t="s">
        <v>2978</v>
      </c>
      <c r="F666" s="3" t="s">
        <v>19</v>
      </c>
      <c r="G666" s="3" t="s">
        <v>44</v>
      </c>
      <c r="H666" s="3">
        <v>2.0</v>
      </c>
      <c r="I666" s="3" t="s">
        <v>2975</v>
      </c>
      <c r="J666" s="3" t="s">
        <v>22</v>
      </c>
      <c r="K666" s="3" t="s">
        <v>58</v>
      </c>
      <c r="L666" s="3" t="s">
        <v>133</v>
      </c>
      <c r="M666" s="3" t="s">
        <v>134</v>
      </c>
      <c r="N666" s="3" t="s">
        <v>449</v>
      </c>
      <c r="O666" s="5">
        <v>672.4708738</v>
      </c>
      <c r="P666" s="6" t="str">
        <f t="shared" si="2"/>
        <v>Auto Components</v>
      </c>
    </row>
    <row r="667" hidden="1">
      <c r="A667" s="3" t="s">
        <v>2979</v>
      </c>
      <c r="B667" s="4">
        <v>509196.0</v>
      </c>
      <c r="C667" s="3" t="s">
        <v>2980</v>
      </c>
      <c r="D667" s="3" t="s">
        <v>2981</v>
      </c>
      <c r="E667" s="3" t="s">
        <v>2982</v>
      </c>
      <c r="F667" s="3" t="s">
        <v>19</v>
      </c>
      <c r="G667" s="3" t="s">
        <v>44</v>
      </c>
      <c r="H667" s="3">
        <v>2.0</v>
      </c>
      <c r="I667" s="3" t="s">
        <v>2979</v>
      </c>
      <c r="J667" s="3" t="s">
        <v>22</v>
      </c>
      <c r="K667" s="3" t="s">
        <v>58</v>
      </c>
      <c r="L667" s="3" t="s">
        <v>133</v>
      </c>
      <c r="M667" s="3" t="s">
        <v>134</v>
      </c>
      <c r="N667" s="3" t="s">
        <v>449</v>
      </c>
      <c r="O667" s="5">
        <v>67.2757479</v>
      </c>
      <c r="P667" s="6" t="str">
        <f t="shared" si="2"/>
        <v>Auto Components</v>
      </c>
    </row>
    <row r="668" hidden="1">
      <c r="A668" s="3" t="s">
        <v>2983</v>
      </c>
      <c r="B668" s="4">
        <v>520086.0</v>
      </c>
      <c r="C668" s="3" t="s">
        <v>2984</v>
      </c>
      <c r="D668" s="3" t="s">
        <v>2985</v>
      </c>
      <c r="E668" s="3" t="s">
        <v>2986</v>
      </c>
      <c r="F668" s="3" t="s">
        <v>19</v>
      </c>
      <c r="G668" s="3" t="s">
        <v>86</v>
      </c>
      <c r="H668" s="3">
        <v>10.0</v>
      </c>
      <c r="I668" s="3" t="s">
        <v>2987</v>
      </c>
      <c r="J668" s="3" t="s">
        <v>22</v>
      </c>
      <c r="K668" s="3" t="s">
        <v>1673</v>
      </c>
      <c r="L668" s="3" t="s">
        <v>1673</v>
      </c>
      <c r="M668" s="3" t="s">
        <v>1689</v>
      </c>
      <c r="N668" s="3" t="s">
        <v>1690</v>
      </c>
      <c r="O668" s="5">
        <v>1110.539</v>
      </c>
      <c r="P668" s="6" t="str">
        <f t="shared" si="2"/>
        <v>Transport Services</v>
      </c>
    </row>
    <row r="669" hidden="1">
      <c r="A669" s="3" t="s">
        <v>2988</v>
      </c>
      <c r="B669" s="4">
        <v>509243.0</v>
      </c>
      <c r="C669" s="3" t="s">
        <v>2989</v>
      </c>
      <c r="D669" s="3" t="s">
        <v>2990</v>
      </c>
      <c r="E669" s="3" t="s">
        <v>2991</v>
      </c>
      <c r="F669" s="3" t="s">
        <v>19</v>
      </c>
      <c r="G669" s="3" t="s">
        <v>20</v>
      </c>
      <c r="H669" s="3">
        <v>10.0</v>
      </c>
      <c r="I669" s="3" t="s">
        <v>2988</v>
      </c>
      <c r="J669" s="3" t="s">
        <v>22</v>
      </c>
      <c r="K669" s="3" t="s">
        <v>58</v>
      </c>
      <c r="L669" s="3" t="s">
        <v>133</v>
      </c>
      <c r="M669" s="3" t="s">
        <v>134</v>
      </c>
      <c r="N669" s="3" t="s">
        <v>449</v>
      </c>
      <c r="O669" s="5">
        <v>3250.940335</v>
      </c>
      <c r="P669" s="6" t="str">
        <f t="shared" si="2"/>
        <v>Auto Components</v>
      </c>
    </row>
    <row r="670" hidden="1">
      <c r="A670" s="3" t="s">
        <v>2992</v>
      </c>
      <c r="B670" s="4">
        <v>509423.0</v>
      </c>
      <c r="C670" s="3" t="s">
        <v>2993</v>
      </c>
      <c r="D670" s="3" t="s">
        <v>2994</v>
      </c>
      <c r="E670" s="3" t="s">
        <v>2993</v>
      </c>
      <c r="F670" s="3" t="s">
        <v>19</v>
      </c>
      <c r="G670" s="3" t="s">
        <v>72</v>
      </c>
      <c r="H670" s="3">
        <v>10.0</v>
      </c>
      <c r="I670" s="3" t="s">
        <v>2992</v>
      </c>
      <c r="J670" s="3" t="s">
        <v>22</v>
      </c>
      <c r="K670" s="3" t="s">
        <v>58</v>
      </c>
      <c r="L670" s="3" t="s">
        <v>59</v>
      </c>
      <c r="M670" s="3" t="s">
        <v>59</v>
      </c>
      <c r="N670" s="3" t="s">
        <v>60</v>
      </c>
      <c r="O670" s="5">
        <v>1.0</v>
      </c>
      <c r="P670" s="6" t="str">
        <f t="shared" si="2"/>
        <v>Residential, Commercial Projects</v>
      </c>
    </row>
    <row r="671" hidden="1">
      <c r="A671" s="3" t="s">
        <v>2995</v>
      </c>
      <c r="B671" s="4">
        <v>509438.0</v>
      </c>
      <c r="C671" s="3" t="s">
        <v>2996</v>
      </c>
      <c r="D671" s="3" t="s">
        <v>2997</v>
      </c>
      <c r="E671" s="3" t="s">
        <v>2998</v>
      </c>
      <c r="F671" s="3" t="s">
        <v>19</v>
      </c>
      <c r="G671" s="3" t="s">
        <v>112</v>
      </c>
      <c r="H671" s="3">
        <v>10.0</v>
      </c>
      <c r="I671" s="3" t="s">
        <v>2995</v>
      </c>
      <c r="J671" s="3" t="s">
        <v>22</v>
      </c>
      <c r="K671" s="3" t="s">
        <v>58</v>
      </c>
      <c r="L671" s="3" t="s">
        <v>73</v>
      </c>
      <c r="M671" s="3" t="s">
        <v>74</v>
      </c>
      <c r="N671" s="3" t="s">
        <v>75</v>
      </c>
      <c r="O671" s="5">
        <v>1123.3494633</v>
      </c>
      <c r="P671" s="6" t="str">
        <f t="shared" si="2"/>
        <v>Leisure Services</v>
      </c>
    </row>
    <row r="672" hidden="1">
      <c r="A672" s="3" t="s">
        <v>2999</v>
      </c>
      <c r="B672" s="4">
        <v>509449.0</v>
      </c>
      <c r="C672" s="3" t="s">
        <v>3000</v>
      </c>
      <c r="D672" s="3" t="s">
        <v>3001</v>
      </c>
      <c r="E672" s="3" t="s">
        <v>3002</v>
      </c>
      <c r="F672" s="3" t="s">
        <v>19</v>
      </c>
      <c r="G672" s="3" t="s">
        <v>44</v>
      </c>
      <c r="H672" s="3">
        <v>10.0</v>
      </c>
      <c r="I672" s="3" t="s">
        <v>2999</v>
      </c>
      <c r="J672" s="3" t="s">
        <v>22</v>
      </c>
      <c r="K672" s="3" t="s">
        <v>23</v>
      </c>
      <c r="L672" s="3" t="s">
        <v>24</v>
      </c>
      <c r="M672" s="3" t="s">
        <v>25</v>
      </c>
      <c r="N672" s="3" t="s">
        <v>52</v>
      </c>
      <c r="O672" s="5">
        <v>1.0</v>
      </c>
      <c r="P672" s="6" t="str">
        <f t="shared" si="2"/>
        <v>Chemicals &amp; Petrochemicals</v>
      </c>
    </row>
    <row r="673" hidden="1">
      <c r="A673" s="3" t="s">
        <v>3003</v>
      </c>
      <c r="B673" s="4">
        <v>509470.0</v>
      </c>
      <c r="C673" s="3" t="s">
        <v>3004</v>
      </c>
      <c r="D673" s="3" t="s">
        <v>3005</v>
      </c>
      <c r="E673" s="3" t="s">
        <v>3006</v>
      </c>
      <c r="F673" s="3" t="s">
        <v>19</v>
      </c>
      <c r="G673" s="3" t="s">
        <v>44</v>
      </c>
      <c r="H673" s="3">
        <v>100.0</v>
      </c>
      <c r="I673" s="3" t="s">
        <v>3003</v>
      </c>
      <c r="J673" s="3" t="s">
        <v>22</v>
      </c>
      <c r="K673" s="3" t="s">
        <v>204</v>
      </c>
      <c r="L673" s="3" t="s">
        <v>204</v>
      </c>
      <c r="M673" s="3" t="s">
        <v>378</v>
      </c>
      <c r="N673" s="3" t="s">
        <v>379</v>
      </c>
      <c r="O673" s="5">
        <v>406.2953462</v>
      </c>
      <c r="P673" s="6" t="str">
        <f t="shared" si="2"/>
        <v>Non Banking Financial Company (NBFC)</v>
      </c>
    </row>
    <row r="674" hidden="1">
      <c r="A674" s="3" t="s">
        <v>3007</v>
      </c>
      <c r="B674" s="4">
        <v>532713.0</v>
      </c>
      <c r="C674" s="3" t="s">
        <v>3008</v>
      </c>
      <c r="D674" s="3" t="s">
        <v>3009</v>
      </c>
      <c r="E674" s="3" t="s">
        <v>3010</v>
      </c>
      <c r="F674" s="3" t="s">
        <v>19</v>
      </c>
      <c r="G674" s="3" t="s">
        <v>112</v>
      </c>
      <c r="H674" s="3">
        <v>1.0</v>
      </c>
      <c r="I674" s="3" t="s">
        <v>3011</v>
      </c>
      <c r="J674" s="3" t="s">
        <v>22</v>
      </c>
      <c r="K674" s="3" t="s">
        <v>1673</v>
      </c>
      <c r="L674" s="3" t="s">
        <v>1673</v>
      </c>
      <c r="M674" s="3" t="s">
        <v>1674</v>
      </c>
      <c r="N674" s="3" t="s">
        <v>1915</v>
      </c>
      <c r="O674" s="5">
        <v>1095.2407853</v>
      </c>
      <c r="P674" s="6" t="str">
        <f t="shared" si="2"/>
        <v>Commercial Services &amp; Supplies</v>
      </c>
    </row>
    <row r="675">
      <c r="A675" s="3" t="s">
        <v>1195</v>
      </c>
      <c r="B675" s="4">
        <v>540376.0</v>
      </c>
      <c r="C675" s="3" t="s">
        <v>3012</v>
      </c>
      <c r="D675" s="3" t="s">
        <v>3013</v>
      </c>
      <c r="E675" s="3" t="s">
        <v>3014</v>
      </c>
      <c r="F675" s="3" t="s">
        <v>19</v>
      </c>
      <c r="G675" s="3" t="s">
        <v>20</v>
      </c>
      <c r="H675" s="3">
        <v>10.0</v>
      </c>
      <c r="I675" s="3" t="s">
        <v>3015</v>
      </c>
      <c r="J675" s="3" t="s">
        <v>22</v>
      </c>
      <c r="K675" s="3" t="s">
        <v>58</v>
      </c>
      <c r="L675" s="3" t="s">
        <v>73</v>
      </c>
      <c r="M675" s="3" t="s">
        <v>988</v>
      </c>
      <c r="N675" s="3" t="s">
        <v>1509</v>
      </c>
      <c r="O675" s="5">
        <v>310062.3911812</v>
      </c>
      <c r="P675" s="6" t="str">
        <f t="shared" si="2"/>
        <v>Retailing</v>
      </c>
    </row>
    <row r="676" hidden="1">
      <c r="A676" s="3" t="s">
        <v>3016</v>
      </c>
      <c r="B676" s="4">
        <v>509486.0</v>
      </c>
      <c r="C676" s="3" t="s">
        <v>3017</v>
      </c>
      <c r="D676" s="3" t="s">
        <v>3018</v>
      </c>
      <c r="E676" s="3" t="s">
        <v>3019</v>
      </c>
      <c r="F676" s="3" t="s">
        <v>19</v>
      </c>
      <c r="G676" s="3" t="s">
        <v>44</v>
      </c>
      <c r="H676" s="3">
        <v>10.0</v>
      </c>
      <c r="I676" s="3" t="s">
        <v>3016</v>
      </c>
      <c r="J676" s="3" t="s">
        <v>22</v>
      </c>
      <c r="K676" s="3" t="s">
        <v>97</v>
      </c>
      <c r="L676" s="3" t="s">
        <v>98</v>
      </c>
      <c r="M676" s="3" t="s">
        <v>100</v>
      </c>
      <c r="N676" s="3" t="s">
        <v>580</v>
      </c>
      <c r="O676" s="5">
        <v>202.2627555</v>
      </c>
      <c r="P676" s="6" t="str">
        <f t="shared" si="2"/>
        <v>Industrial Products</v>
      </c>
    </row>
    <row r="677">
      <c r="A677" s="3" t="s">
        <v>3020</v>
      </c>
      <c r="B677" s="4">
        <v>540699.0</v>
      </c>
      <c r="C677" s="3" t="s">
        <v>3021</v>
      </c>
      <c r="D677" s="3" t="s">
        <v>3022</v>
      </c>
      <c r="E677" s="3" t="s">
        <v>3023</v>
      </c>
      <c r="F677" s="3" t="s">
        <v>19</v>
      </c>
      <c r="G677" s="3" t="s">
        <v>20</v>
      </c>
      <c r="H677" s="3">
        <v>2.0</v>
      </c>
      <c r="I677" s="3" t="s">
        <v>3024</v>
      </c>
      <c r="J677" s="3" t="s">
        <v>22</v>
      </c>
      <c r="K677" s="3" t="s">
        <v>58</v>
      </c>
      <c r="L677" s="3" t="s">
        <v>211</v>
      </c>
      <c r="M677" s="3" t="s">
        <v>211</v>
      </c>
      <c r="N677" s="3" t="s">
        <v>212</v>
      </c>
      <c r="O677" s="5">
        <v>73806.0875825</v>
      </c>
      <c r="P677" s="6" t="str">
        <f t="shared" si="2"/>
        <v>Consumer Durables</v>
      </c>
    </row>
    <row r="678">
      <c r="A678" s="3" t="s">
        <v>3025</v>
      </c>
      <c r="B678" s="4">
        <v>540762.0</v>
      </c>
      <c r="C678" s="3" t="s">
        <v>3026</v>
      </c>
      <c r="D678" s="3" t="s">
        <v>3027</v>
      </c>
      <c r="E678" s="3" t="s">
        <v>3026</v>
      </c>
      <c r="F678" s="3" t="s">
        <v>19</v>
      </c>
      <c r="G678" s="3" t="s">
        <v>20</v>
      </c>
      <c r="H678" s="3">
        <v>1.0</v>
      </c>
      <c r="I678" s="3" t="s">
        <v>3028</v>
      </c>
      <c r="J678" s="3" t="s">
        <v>22</v>
      </c>
      <c r="K678" s="3" t="s">
        <v>58</v>
      </c>
      <c r="L678" s="3" t="s">
        <v>133</v>
      </c>
      <c r="M678" s="3" t="s">
        <v>134</v>
      </c>
      <c r="N678" s="3" t="s">
        <v>135</v>
      </c>
      <c r="O678" s="5">
        <v>80725.302</v>
      </c>
      <c r="P678" s="6" t="str">
        <f t="shared" si="2"/>
        <v>Auto Components &amp; Equipments</v>
      </c>
    </row>
    <row r="679" hidden="1">
      <c r="A679" s="3" t="s">
        <v>3029</v>
      </c>
      <c r="B679" s="4">
        <v>509525.0</v>
      </c>
      <c r="C679" s="3" t="s">
        <v>3030</v>
      </c>
      <c r="D679" s="3" t="s">
        <v>3031</v>
      </c>
      <c r="E679" s="3" t="s">
        <v>3032</v>
      </c>
      <c r="F679" s="3" t="s">
        <v>19</v>
      </c>
      <c r="G679" s="3" t="s">
        <v>44</v>
      </c>
      <c r="H679" s="3">
        <v>10.0</v>
      </c>
      <c r="I679" s="3" t="s">
        <v>3029</v>
      </c>
      <c r="J679" s="3" t="s">
        <v>22</v>
      </c>
      <c r="K679" s="3" t="s">
        <v>2675</v>
      </c>
      <c r="L679" s="3" t="s">
        <v>2675</v>
      </c>
      <c r="M679" s="3" t="s">
        <v>2675</v>
      </c>
      <c r="N679" s="3" t="s">
        <v>2675</v>
      </c>
      <c r="O679" s="5">
        <v>642.0069786</v>
      </c>
      <c r="P679" s="6" t="str">
        <f t="shared" si="2"/>
        <v>Diversified</v>
      </c>
    </row>
    <row r="680" hidden="1">
      <c r="A680" s="3" t="s">
        <v>3033</v>
      </c>
      <c r="B680" s="4">
        <v>509546.0</v>
      </c>
      <c r="C680" s="3" t="s">
        <v>3034</v>
      </c>
      <c r="D680" s="3" t="s">
        <v>3035</v>
      </c>
      <c r="E680" s="3" t="s">
        <v>3036</v>
      </c>
      <c r="F680" s="3" t="s">
        <v>19</v>
      </c>
      <c r="G680" s="3" t="s">
        <v>44</v>
      </c>
      <c r="H680" s="3">
        <v>2.0</v>
      </c>
      <c r="I680" s="3" t="s">
        <v>3033</v>
      </c>
      <c r="J680" s="3" t="s">
        <v>22</v>
      </c>
      <c r="K680" s="3" t="s">
        <v>58</v>
      </c>
      <c r="L680" s="3" t="s">
        <v>73</v>
      </c>
      <c r="M680" s="3" t="s">
        <v>74</v>
      </c>
      <c r="N680" s="3" t="s">
        <v>75</v>
      </c>
      <c r="O680" s="5">
        <v>304.0902497</v>
      </c>
      <c r="P680" s="6" t="str">
        <f t="shared" si="2"/>
        <v>Leisure Services</v>
      </c>
    </row>
    <row r="681">
      <c r="A681" s="3" t="s">
        <v>1200</v>
      </c>
      <c r="B681" s="4">
        <v>540902.0</v>
      </c>
      <c r="C681" s="3" t="s">
        <v>3037</v>
      </c>
      <c r="D681" s="3" t="s">
        <v>3038</v>
      </c>
      <c r="E681" s="3" t="s">
        <v>3039</v>
      </c>
      <c r="F681" s="3" t="s">
        <v>19</v>
      </c>
      <c r="G681" s="3" t="s">
        <v>20</v>
      </c>
      <c r="H681" s="3">
        <v>10.0</v>
      </c>
      <c r="I681" s="3" t="s">
        <v>3040</v>
      </c>
      <c r="J681" s="3" t="s">
        <v>22</v>
      </c>
      <c r="K681" s="3" t="s">
        <v>58</v>
      </c>
      <c r="L681" s="3" t="s">
        <v>211</v>
      </c>
      <c r="M681" s="3" t="s">
        <v>211</v>
      </c>
      <c r="N681" s="3" t="s">
        <v>882</v>
      </c>
      <c r="O681" s="5">
        <v>15492.073548</v>
      </c>
      <c r="P681" s="6" t="str">
        <f t="shared" si="2"/>
        <v>Consumer Durables</v>
      </c>
    </row>
    <row r="682" hidden="1">
      <c r="A682" s="3" t="s">
        <v>3041</v>
      </c>
      <c r="B682" s="4">
        <v>509563.0</v>
      </c>
      <c r="C682" s="3" t="s">
        <v>3042</v>
      </c>
      <c r="D682" s="3" t="s">
        <v>3043</v>
      </c>
      <c r="E682" s="3" t="s">
        <v>3044</v>
      </c>
      <c r="F682" s="3" t="s">
        <v>19</v>
      </c>
      <c r="G682" s="3" t="s">
        <v>72</v>
      </c>
      <c r="H682" s="3">
        <v>10.0</v>
      </c>
      <c r="I682" s="3" t="s">
        <v>3041</v>
      </c>
      <c r="J682" s="3" t="s">
        <v>22</v>
      </c>
      <c r="K682" s="3" t="s">
        <v>58</v>
      </c>
      <c r="L682" s="3" t="s">
        <v>80</v>
      </c>
      <c r="M682" s="3" t="s">
        <v>81</v>
      </c>
      <c r="N682" s="3" t="s">
        <v>82</v>
      </c>
      <c r="O682" s="5">
        <v>7.4447522</v>
      </c>
      <c r="P682" s="6" t="str">
        <f t="shared" si="2"/>
        <v>Textiles &amp; Apparels</v>
      </c>
    </row>
    <row r="683" hidden="1">
      <c r="A683" s="3" t="s">
        <v>3045</v>
      </c>
      <c r="B683" s="4">
        <v>509567.0</v>
      </c>
      <c r="C683" s="3" t="s">
        <v>3046</v>
      </c>
      <c r="D683" s="3" t="s">
        <v>3047</v>
      </c>
      <c r="E683" s="3" t="s">
        <v>3048</v>
      </c>
      <c r="F683" s="3" t="s">
        <v>19</v>
      </c>
      <c r="G683" s="3" t="s">
        <v>112</v>
      </c>
      <c r="H683" s="3">
        <v>10.0</v>
      </c>
      <c r="I683" s="3" t="s">
        <v>3045</v>
      </c>
      <c r="J683" s="3" t="s">
        <v>22</v>
      </c>
      <c r="K683" s="3" t="s">
        <v>23</v>
      </c>
      <c r="L683" s="3" t="s">
        <v>65</v>
      </c>
      <c r="M683" s="3" t="s">
        <v>522</v>
      </c>
      <c r="N683" s="3" t="s">
        <v>523</v>
      </c>
      <c r="O683" s="5">
        <v>751.5662649</v>
      </c>
      <c r="P683" s="6" t="str">
        <f t="shared" si="2"/>
        <v>Minerals &amp; Mining</v>
      </c>
    </row>
    <row r="684" hidden="1">
      <c r="A684" s="3" t="s">
        <v>3049</v>
      </c>
      <c r="B684" s="4">
        <v>509597.0</v>
      </c>
      <c r="C684" s="3" t="s">
        <v>3050</v>
      </c>
      <c r="D684" s="3" t="s">
        <v>3051</v>
      </c>
      <c r="E684" s="3" t="s">
        <v>3052</v>
      </c>
      <c r="F684" s="3" t="s">
        <v>19</v>
      </c>
      <c r="G684" s="3" t="s">
        <v>44</v>
      </c>
      <c r="H684" s="3">
        <v>10.0</v>
      </c>
      <c r="I684" s="3" t="s">
        <v>3049</v>
      </c>
      <c r="J684" s="3" t="s">
        <v>22</v>
      </c>
      <c r="K684" s="3" t="s">
        <v>23</v>
      </c>
      <c r="L684" s="3" t="s">
        <v>24</v>
      </c>
      <c r="M684" s="3" t="s">
        <v>25</v>
      </c>
      <c r="N684" s="3" t="s">
        <v>26</v>
      </c>
      <c r="O684" s="5">
        <v>80.0001647</v>
      </c>
      <c r="P684" s="6" t="str">
        <f t="shared" si="2"/>
        <v>Specialty Chemicals</v>
      </c>
    </row>
    <row r="685">
      <c r="A685" s="3" t="s">
        <v>3053</v>
      </c>
      <c r="B685" s="4">
        <v>541233.0</v>
      </c>
      <c r="C685" s="3" t="s">
        <v>3054</v>
      </c>
      <c r="D685" s="3" t="s">
        <v>3055</v>
      </c>
      <c r="E685" s="3" t="s">
        <v>3056</v>
      </c>
      <c r="F685" s="3" t="s">
        <v>19</v>
      </c>
      <c r="G685" s="3" t="s">
        <v>20</v>
      </c>
      <c r="H685" s="3">
        <v>10.0</v>
      </c>
      <c r="I685" s="3" t="s">
        <v>3057</v>
      </c>
      <c r="J685" s="3" t="s">
        <v>22</v>
      </c>
      <c r="K685" s="3" t="s">
        <v>58</v>
      </c>
      <c r="L685" s="3" t="s">
        <v>73</v>
      </c>
      <c r="M685" s="3" t="s">
        <v>74</v>
      </c>
      <c r="N685" s="3" t="s">
        <v>75</v>
      </c>
      <c r="O685" s="5">
        <v>11458.4789571</v>
      </c>
      <c r="P685" s="6" t="str">
        <f t="shared" si="2"/>
        <v>Leisure Services</v>
      </c>
    </row>
    <row r="686" hidden="1">
      <c r="A686" s="3" t="s">
        <v>3058</v>
      </c>
      <c r="B686" s="4">
        <v>509635.0</v>
      </c>
      <c r="C686" s="3" t="s">
        <v>3059</v>
      </c>
      <c r="D686" s="3" t="s">
        <v>3060</v>
      </c>
      <c r="E686" s="3" t="s">
        <v>3061</v>
      </c>
      <c r="F686" s="3" t="s">
        <v>19</v>
      </c>
      <c r="G686" s="3" t="s">
        <v>112</v>
      </c>
      <c r="H686" s="3">
        <v>5.0</v>
      </c>
      <c r="I686" s="3" t="s">
        <v>3058</v>
      </c>
      <c r="J686" s="3" t="s">
        <v>22</v>
      </c>
      <c r="K686" s="3" t="s">
        <v>58</v>
      </c>
      <c r="L686" s="3" t="s">
        <v>133</v>
      </c>
      <c r="M686" s="3" t="s">
        <v>134</v>
      </c>
      <c r="N686" s="3" t="s">
        <v>135</v>
      </c>
      <c r="O686" s="5">
        <v>758.260709</v>
      </c>
      <c r="P686" s="6" t="str">
        <f t="shared" si="2"/>
        <v>Auto Components &amp; Equipments</v>
      </c>
    </row>
    <row r="687" hidden="1">
      <c r="A687" s="3" t="s">
        <v>3062</v>
      </c>
      <c r="B687" s="4">
        <v>509650.0</v>
      </c>
      <c r="C687" s="3" t="s">
        <v>3063</v>
      </c>
      <c r="D687" s="3" t="s">
        <v>3064</v>
      </c>
      <c r="E687" s="3" t="s">
        <v>3065</v>
      </c>
      <c r="F687" s="3" t="s">
        <v>19</v>
      </c>
      <c r="G687" s="3" t="s">
        <v>72</v>
      </c>
      <c r="H687" s="3">
        <v>25.0</v>
      </c>
      <c r="I687" s="3" t="s">
        <v>3062</v>
      </c>
      <c r="J687" s="3" t="s">
        <v>22</v>
      </c>
      <c r="K687" s="3" t="s">
        <v>204</v>
      </c>
      <c r="L687" s="3" t="s">
        <v>204</v>
      </c>
      <c r="M687" s="3" t="s">
        <v>378</v>
      </c>
      <c r="N687" s="3" t="s">
        <v>3066</v>
      </c>
      <c r="O687" s="5">
        <v>1.0</v>
      </c>
      <c r="P687" s="6" t="str">
        <f t="shared" si="2"/>
        <v>Finance</v>
      </c>
    </row>
    <row r="688" hidden="1">
      <c r="A688" s="3" t="s">
        <v>3067</v>
      </c>
      <c r="B688" s="4">
        <v>509675.0</v>
      </c>
      <c r="C688" s="3" t="s">
        <v>3068</v>
      </c>
      <c r="D688" s="3" t="s">
        <v>3069</v>
      </c>
      <c r="E688" s="3" t="s">
        <v>3070</v>
      </c>
      <c r="F688" s="3" t="s">
        <v>19</v>
      </c>
      <c r="G688" s="3" t="s">
        <v>112</v>
      </c>
      <c r="H688" s="3">
        <v>10.0</v>
      </c>
      <c r="I688" s="3" t="s">
        <v>3067</v>
      </c>
      <c r="J688" s="3" t="s">
        <v>22</v>
      </c>
      <c r="K688" s="3" t="s">
        <v>58</v>
      </c>
      <c r="L688" s="3" t="s">
        <v>211</v>
      </c>
      <c r="M688" s="3" t="s">
        <v>211</v>
      </c>
      <c r="N688" s="3" t="s">
        <v>1152</v>
      </c>
      <c r="O688" s="5">
        <v>2193.4500168</v>
      </c>
      <c r="P688" s="6" t="str">
        <f t="shared" si="2"/>
        <v>Consumer Durables</v>
      </c>
    </row>
    <row r="689" hidden="1">
      <c r="A689" s="3" t="s">
        <v>3071</v>
      </c>
      <c r="B689" s="4">
        <v>509692.0</v>
      </c>
      <c r="C689" s="3" t="s">
        <v>3072</v>
      </c>
      <c r="D689" s="3" t="s">
        <v>3073</v>
      </c>
      <c r="E689" s="3" t="s">
        <v>3074</v>
      </c>
      <c r="F689" s="3" t="s">
        <v>19</v>
      </c>
      <c r="G689" s="3" t="s">
        <v>112</v>
      </c>
      <c r="H689" s="3">
        <v>10.0</v>
      </c>
      <c r="I689" s="3" t="s">
        <v>3071</v>
      </c>
      <c r="J689" s="3" t="s">
        <v>22</v>
      </c>
      <c r="K689" s="3" t="s">
        <v>58</v>
      </c>
      <c r="L689" s="3" t="s">
        <v>80</v>
      </c>
      <c r="M689" s="3" t="s">
        <v>81</v>
      </c>
      <c r="N689" s="3" t="s">
        <v>82</v>
      </c>
      <c r="O689" s="5">
        <v>159.6810236</v>
      </c>
      <c r="P689" s="6" t="str">
        <f t="shared" si="2"/>
        <v>Textiles &amp; Apparels</v>
      </c>
    </row>
    <row r="690" hidden="1">
      <c r="A690" s="3" t="s">
        <v>3075</v>
      </c>
      <c r="B690" s="4">
        <v>509709.0</v>
      </c>
      <c r="C690" s="3" t="s">
        <v>3076</v>
      </c>
      <c r="D690" s="3" t="s">
        <v>3077</v>
      </c>
      <c r="E690" s="3" t="s">
        <v>3078</v>
      </c>
      <c r="F690" s="3" t="s">
        <v>19</v>
      </c>
      <c r="G690" s="3" t="s">
        <v>112</v>
      </c>
      <c r="H690" s="3">
        <v>1.0</v>
      </c>
      <c r="I690" s="3" t="s">
        <v>3075</v>
      </c>
      <c r="J690" s="3" t="s">
        <v>22</v>
      </c>
      <c r="K690" s="3" t="s">
        <v>97</v>
      </c>
      <c r="L690" s="3" t="s">
        <v>98</v>
      </c>
      <c r="M690" s="3" t="s">
        <v>99</v>
      </c>
      <c r="N690" s="3" t="s">
        <v>100</v>
      </c>
      <c r="O690" s="5">
        <v>527.7387817</v>
      </c>
      <c r="P690" s="6" t="str">
        <f t="shared" si="2"/>
        <v>Industrial Products</v>
      </c>
    </row>
    <row r="691" hidden="1">
      <c r="A691" s="3" t="s">
        <v>3079</v>
      </c>
      <c r="B691" s="4">
        <v>509715.0</v>
      </c>
      <c r="C691" s="3" t="s">
        <v>3080</v>
      </c>
      <c r="D691" s="3" t="s">
        <v>3081</v>
      </c>
      <c r="E691" s="3" t="s">
        <v>3082</v>
      </c>
      <c r="F691" s="3" t="s">
        <v>19</v>
      </c>
      <c r="G691" s="3" t="s">
        <v>112</v>
      </c>
      <c r="H691" s="3">
        <v>5.0</v>
      </c>
      <c r="I691" s="3" t="s">
        <v>3079</v>
      </c>
      <c r="J691" s="3" t="s">
        <v>22</v>
      </c>
      <c r="K691" s="3" t="s">
        <v>145</v>
      </c>
      <c r="L691" s="3" t="s">
        <v>145</v>
      </c>
      <c r="M691" s="3" t="s">
        <v>146</v>
      </c>
      <c r="N691" s="3" t="s">
        <v>444</v>
      </c>
      <c r="O691" s="5">
        <v>329.4116006</v>
      </c>
      <c r="P691" s="6" t="str">
        <f t="shared" si="2"/>
        <v>Agricultural Food &amp; other Products</v>
      </c>
    </row>
    <row r="692" hidden="1">
      <c r="A692" s="3" t="s">
        <v>3083</v>
      </c>
      <c r="B692" s="4">
        <v>509732.0</v>
      </c>
      <c r="C692" s="3" t="s">
        <v>3084</v>
      </c>
      <c r="D692" s="3" t="s">
        <v>3085</v>
      </c>
      <c r="E692" s="3" t="s">
        <v>3086</v>
      </c>
      <c r="F692" s="3" t="s">
        <v>19</v>
      </c>
      <c r="G692" s="3" t="s">
        <v>72</v>
      </c>
      <c r="H692" s="3">
        <v>5.0</v>
      </c>
      <c r="I692" s="3" t="s">
        <v>3083</v>
      </c>
      <c r="J692" s="3" t="s">
        <v>22</v>
      </c>
      <c r="K692" s="3" t="s">
        <v>23</v>
      </c>
      <c r="L692" s="3" t="s">
        <v>24</v>
      </c>
      <c r="M692" s="3" t="s">
        <v>91</v>
      </c>
      <c r="N692" s="3" t="s">
        <v>92</v>
      </c>
      <c r="O692" s="5">
        <v>1.0</v>
      </c>
      <c r="P692" s="6" t="str">
        <f t="shared" si="2"/>
        <v>Fertilizers &amp; Agrochemicals</v>
      </c>
    </row>
    <row r="693" hidden="1">
      <c r="A693" s="3" t="s">
        <v>3087</v>
      </c>
      <c r="B693" s="4">
        <v>509760.0</v>
      </c>
      <c r="C693" s="3" t="s">
        <v>3088</v>
      </c>
      <c r="D693" s="3" t="s">
        <v>3089</v>
      </c>
      <c r="E693" s="3" t="s">
        <v>3090</v>
      </c>
      <c r="F693" s="3" t="s">
        <v>19</v>
      </c>
      <c r="G693" s="3" t="s">
        <v>44</v>
      </c>
      <c r="H693" s="3">
        <v>10.0</v>
      </c>
      <c r="I693" s="3" t="s">
        <v>3087</v>
      </c>
      <c r="J693" s="3" t="s">
        <v>22</v>
      </c>
      <c r="K693" s="3" t="s">
        <v>204</v>
      </c>
      <c r="L693" s="3" t="s">
        <v>204</v>
      </c>
      <c r="M693" s="3" t="s">
        <v>378</v>
      </c>
      <c r="N693" s="3" t="s">
        <v>468</v>
      </c>
      <c r="O693" s="5">
        <v>1.0</v>
      </c>
      <c r="P693" s="6" t="str">
        <f t="shared" si="2"/>
        <v>Finance</v>
      </c>
    </row>
    <row r="694" hidden="1">
      <c r="A694" s="3" t="s">
        <v>3091</v>
      </c>
      <c r="B694" s="4">
        <v>512531.0</v>
      </c>
      <c r="C694" s="3" t="s">
        <v>3092</v>
      </c>
      <c r="D694" s="3" t="s">
        <v>3093</v>
      </c>
      <c r="E694" s="3" t="s">
        <v>3094</v>
      </c>
      <c r="F694" s="3" t="s">
        <v>19</v>
      </c>
      <c r="G694" s="3" t="s">
        <v>112</v>
      </c>
      <c r="H694" s="3">
        <v>10.0</v>
      </c>
      <c r="I694" s="3" t="s">
        <v>3095</v>
      </c>
      <c r="J694" s="3" t="s">
        <v>22</v>
      </c>
      <c r="K694" s="3" t="s">
        <v>1673</v>
      </c>
      <c r="L694" s="3" t="s">
        <v>1673</v>
      </c>
      <c r="M694" s="3" t="s">
        <v>1674</v>
      </c>
      <c r="N694" s="3" t="s">
        <v>1915</v>
      </c>
      <c r="O694" s="5">
        <v>1066.5342525</v>
      </c>
      <c r="P694" s="6" t="str">
        <f t="shared" si="2"/>
        <v>Commercial Services &amp; Supplies</v>
      </c>
    </row>
    <row r="695" hidden="1">
      <c r="A695" s="3" t="s">
        <v>3096</v>
      </c>
      <c r="B695" s="4">
        <v>509820.0</v>
      </c>
      <c r="C695" s="3" t="s">
        <v>3097</v>
      </c>
      <c r="D695" s="3" t="s">
        <v>3098</v>
      </c>
      <c r="E695" s="3" t="s">
        <v>3099</v>
      </c>
      <c r="F695" s="3" t="s">
        <v>19</v>
      </c>
      <c r="G695" s="3" t="s">
        <v>112</v>
      </c>
      <c r="H695" s="3">
        <v>2.0</v>
      </c>
      <c r="I695" s="3" t="s">
        <v>3096</v>
      </c>
      <c r="J695" s="3" t="s">
        <v>22</v>
      </c>
      <c r="K695" s="3" t="s">
        <v>97</v>
      </c>
      <c r="L695" s="3" t="s">
        <v>98</v>
      </c>
      <c r="M695" s="3" t="s">
        <v>100</v>
      </c>
      <c r="N695" s="3" t="s">
        <v>373</v>
      </c>
      <c r="O695" s="5">
        <v>2893.1956491</v>
      </c>
      <c r="P695" s="6" t="str">
        <f t="shared" si="2"/>
        <v>Industrial Products</v>
      </c>
    </row>
    <row r="696" hidden="1">
      <c r="A696" s="3" t="s">
        <v>3100</v>
      </c>
      <c r="B696" s="4">
        <v>509835.0</v>
      </c>
      <c r="C696" s="3" t="s">
        <v>3101</v>
      </c>
      <c r="D696" s="3" t="s">
        <v>3102</v>
      </c>
      <c r="E696" s="3" t="s">
        <v>3103</v>
      </c>
      <c r="F696" s="3" t="s">
        <v>19</v>
      </c>
      <c r="G696" s="3" t="s">
        <v>44</v>
      </c>
      <c r="H696" s="3">
        <v>10.0</v>
      </c>
      <c r="I696" s="3" t="s">
        <v>3100</v>
      </c>
      <c r="J696" s="3" t="s">
        <v>22</v>
      </c>
      <c r="K696" s="3" t="s">
        <v>58</v>
      </c>
      <c r="L696" s="3" t="s">
        <v>80</v>
      </c>
      <c r="M696" s="3" t="s">
        <v>81</v>
      </c>
      <c r="N696" s="3" t="s">
        <v>82</v>
      </c>
      <c r="O696" s="5">
        <v>7.8061449</v>
      </c>
      <c r="P696" s="6" t="str">
        <f t="shared" si="2"/>
        <v>Textiles &amp; Apparels</v>
      </c>
    </row>
    <row r="697" hidden="1">
      <c r="A697" s="3" t="s">
        <v>3104</v>
      </c>
      <c r="B697" s="4">
        <v>509845.0</v>
      </c>
      <c r="C697" s="3" t="s">
        <v>3105</v>
      </c>
      <c r="D697" s="3" t="s">
        <v>3106</v>
      </c>
      <c r="E697" s="3" t="s">
        <v>3107</v>
      </c>
      <c r="F697" s="3" t="s">
        <v>19</v>
      </c>
      <c r="G697" s="3" t="s">
        <v>1858</v>
      </c>
      <c r="H697" s="3">
        <v>10.0</v>
      </c>
      <c r="I697" s="3" t="s">
        <v>3104</v>
      </c>
      <c r="J697" s="3" t="s">
        <v>22</v>
      </c>
      <c r="K697" s="3" t="s">
        <v>58</v>
      </c>
      <c r="L697" s="3" t="s">
        <v>59</v>
      </c>
      <c r="M697" s="3" t="s">
        <v>59</v>
      </c>
      <c r="N697" s="3" t="s">
        <v>60</v>
      </c>
      <c r="O697" s="5">
        <v>1.0</v>
      </c>
      <c r="P697" s="6" t="str">
        <f t="shared" si="2"/>
        <v>Residential, Commercial Projects</v>
      </c>
    </row>
    <row r="698" hidden="1">
      <c r="A698" s="3" t="s">
        <v>3108</v>
      </c>
      <c r="B698" s="4">
        <v>509870.0</v>
      </c>
      <c r="C698" s="3" t="s">
        <v>3109</v>
      </c>
      <c r="D698" s="3" t="s">
        <v>3110</v>
      </c>
      <c r="E698" s="3" t="s">
        <v>3111</v>
      </c>
      <c r="F698" s="3" t="s">
        <v>19</v>
      </c>
      <c r="G698" s="3" t="s">
        <v>44</v>
      </c>
      <c r="H698" s="3">
        <v>100.0</v>
      </c>
      <c r="I698" s="3" t="s">
        <v>3108</v>
      </c>
      <c r="J698" s="3" t="s">
        <v>22</v>
      </c>
      <c r="K698" s="3" t="s">
        <v>58</v>
      </c>
      <c r="L698" s="3" t="s">
        <v>59</v>
      </c>
      <c r="M698" s="3" t="s">
        <v>59</v>
      </c>
      <c r="N698" s="3" t="s">
        <v>60</v>
      </c>
      <c r="O698" s="5">
        <v>1.0</v>
      </c>
      <c r="P698" s="6" t="str">
        <f t="shared" si="2"/>
        <v>Residential, Commercial Projects</v>
      </c>
    </row>
    <row r="699" hidden="1">
      <c r="A699" s="3" t="s">
        <v>3112</v>
      </c>
      <c r="B699" s="4">
        <v>509874.0</v>
      </c>
      <c r="C699" s="3" t="s">
        <v>3113</v>
      </c>
      <c r="D699" s="3" t="s">
        <v>3114</v>
      </c>
      <c r="E699" s="3" t="s">
        <v>3115</v>
      </c>
      <c r="F699" s="3" t="s">
        <v>19</v>
      </c>
      <c r="G699" s="3" t="s">
        <v>112</v>
      </c>
      <c r="H699" s="3">
        <v>2.0</v>
      </c>
      <c r="I699" s="3" t="s">
        <v>3112</v>
      </c>
      <c r="J699" s="3" t="s">
        <v>22</v>
      </c>
      <c r="K699" s="3" t="s">
        <v>58</v>
      </c>
      <c r="L699" s="3" t="s">
        <v>211</v>
      </c>
      <c r="M699" s="3" t="s">
        <v>211</v>
      </c>
      <c r="N699" s="3" t="s">
        <v>956</v>
      </c>
      <c r="O699" s="5">
        <v>1160.0954062</v>
      </c>
      <c r="P699" s="6" t="str">
        <f t="shared" si="2"/>
        <v>Consumer Durables</v>
      </c>
    </row>
    <row r="700" hidden="1">
      <c r="A700" s="3" t="s">
        <v>3116</v>
      </c>
      <c r="B700" s="4">
        <v>509887.0</v>
      </c>
      <c r="C700" s="3" t="s">
        <v>3117</v>
      </c>
      <c r="D700" s="3" t="s">
        <v>3118</v>
      </c>
      <c r="E700" s="3" t="s">
        <v>3119</v>
      </c>
      <c r="F700" s="3" t="s">
        <v>19</v>
      </c>
      <c r="G700" s="3" t="s">
        <v>72</v>
      </c>
      <c r="H700" s="3">
        <v>5.0</v>
      </c>
      <c r="I700" s="3" t="s">
        <v>3116</v>
      </c>
      <c r="J700" s="3" t="s">
        <v>22</v>
      </c>
      <c r="K700" s="3" t="s">
        <v>145</v>
      </c>
      <c r="L700" s="3" t="s">
        <v>145</v>
      </c>
      <c r="M700" s="3" t="s">
        <v>3120</v>
      </c>
      <c r="N700" s="3" t="s">
        <v>3120</v>
      </c>
      <c r="O700" s="5">
        <v>30.2297235</v>
      </c>
      <c r="P700" s="6" t="str">
        <f t="shared" si="2"/>
        <v>Cigarettes &amp; Tobacco Products</v>
      </c>
    </row>
    <row r="701" hidden="1">
      <c r="A701" s="3" t="s">
        <v>3121</v>
      </c>
      <c r="B701" s="4">
        <v>509895.0</v>
      </c>
      <c r="C701" s="3" t="s">
        <v>3122</v>
      </c>
      <c r="D701" s="3" t="s">
        <v>3123</v>
      </c>
      <c r="E701" s="3" t="s">
        <v>3124</v>
      </c>
      <c r="F701" s="3" t="s">
        <v>19</v>
      </c>
      <c r="G701" s="3" t="s">
        <v>44</v>
      </c>
      <c r="H701" s="3">
        <v>10.0</v>
      </c>
      <c r="I701" s="3" t="s">
        <v>3121</v>
      </c>
      <c r="J701" s="3" t="s">
        <v>22</v>
      </c>
      <c r="K701" s="3" t="s">
        <v>58</v>
      </c>
      <c r="L701" s="3" t="s">
        <v>80</v>
      </c>
      <c r="M701" s="3" t="s">
        <v>81</v>
      </c>
      <c r="N701" s="3" t="s">
        <v>82</v>
      </c>
      <c r="O701" s="5">
        <v>56.8299892</v>
      </c>
      <c r="P701" s="6" t="str">
        <f t="shared" si="2"/>
        <v>Textiles &amp; Apparels</v>
      </c>
    </row>
    <row r="702" hidden="1">
      <c r="A702" s="3" t="s">
        <v>3125</v>
      </c>
      <c r="B702" s="4">
        <v>509910.0</v>
      </c>
      <c r="C702" s="3" t="s">
        <v>3126</v>
      </c>
      <c r="D702" s="3" t="s">
        <v>3127</v>
      </c>
      <c r="E702" s="3" t="s">
        <v>3128</v>
      </c>
      <c r="F702" s="3" t="s">
        <v>19</v>
      </c>
      <c r="G702" s="3" t="s">
        <v>1858</v>
      </c>
      <c r="H702" s="3">
        <v>100.0</v>
      </c>
      <c r="I702" s="3" t="s">
        <v>3125</v>
      </c>
      <c r="J702" s="3" t="s">
        <v>22</v>
      </c>
      <c r="K702" s="3" t="s">
        <v>23</v>
      </c>
      <c r="L702" s="3" t="s">
        <v>24</v>
      </c>
      <c r="M702" s="3" t="s">
        <v>25</v>
      </c>
      <c r="N702" s="3" t="s">
        <v>52</v>
      </c>
      <c r="O702" s="5">
        <v>1.0</v>
      </c>
      <c r="P702" s="6" t="str">
        <f t="shared" si="2"/>
        <v>Chemicals &amp; Petrochemicals</v>
      </c>
    </row>
    <row r="703" hidden="1">
      <c r="A703" s="3" t="s">
        <v>3129</v>
      </c>
      <c r="B703" s="4">
        <v>533704.0</v>
      </c>
      <c r="C703" s="3" t="s">
        <v>3130</v>
      </c>
      <c r="D703" s="3" t="s">
        <v>3131</v>
      </c>
      <c r="E703" s="3" t="s">
        <v>3132</v>
      </c>
      <c r="F703" s="3" t="s">
        <v>19</v>
      </c>
      <c r="G703" s="3" t="s">
        <v>112</v>
      </c>
      <c r="H703" s="3">
        <v>10.0</v>
      </c>
      <c r="I703" s="3" t="s">
        <v>3133</v>
      </c>
      <c r="J703" s="3" t="s">
        <v>22</v>
      </c>
      <c r="K703" s="3" t="s">
        <v>1673</v>
      </c>
      <c r="L703" s="3" t="s">
        <v>1673</v>
      </c>
      <c r="M703" s="3" t="s">
        <v>1689</v>
      </c>
      <c r="N703" s="3" t="s">
        <v>2055</v>
      </c>
      <c r="O703" s="5">
        <v>1024.1050801</v>
      </c>
      <c r="P703" s="6" t="str">
        <f t="shared" si="2"/>
        <v>Transport Services</v>
      </c>
    </row>
    <row r="704">
      <c r="A704" s="3" t="s">
        <v>3134</v>
      </c>
      <c r="B704" s="4">
        <v>541301.0</v>
      </c>
      <c r="C704" s="3" t="s">
        <v>3135</v>
      </c>
      <c r="D704" s="3" t="s">
        <v>3136</v>
      </c>
      <c r="E704" s="3" t="s">
        <v>3137</v>
      </c>
      <c r="F704" s="3" t="s">
        <v>19</v>
      </c>
      <c r="G704" s="3" t="s">
        <v>20</v>
      </c>
      <c r="H704" s="3">
        <v>1.0</v>
      </c>
      <c r="I704" s="3" t="s">
        <v>3138</v>
      </c>
      <c r="J704" s="3" t="s">
        <v>22</v>
      </c>
      <c r="K704" s="3" t="s">
        <v>58</v>
      </c>
      <c r="L704" s="3" t="s">
        <v>211</v>
      </c>
      <c r="M704" s="3" t="s">
        <v>211</v>
      </c>
      <c r="N704" s="3" t="s">
        <v>882</v>
      </c>
      <c r="O704" s="5">
        <v>5713.8801352</v>
      </c>
      <c r="P704" s="6" t="str">
        <f t="shared" si="2"/>
        <v>Consumer Durables</v>
      </c>
    </row>
    <row r="705" hidden="1">
      <c r="A705" s="3" t="s">
        <v>3139</v>
      </c>
      <c r="B705" s="4">
        <v>509945.0</v>
      </c>
      <c r="C705" s="3" t="s">
        <v>3140</v>
      </c>
      <c r="D705" s="3" t="s">
        <v>3141</v>
      </c>
      <c r="E705" s="3" t="s">
        <v>3142</v>
      </c>
      <c r="F705" s="3" t="s">
        <v>19</v>
      </c>
      <c r="G705" s="3" t="s">
        <v>72</v>
      </c>
      <c r="H705" s="3">
        <v>1.0</v>
      </c>
      <c r="I705" s="3" t="s">
        <v>3139</v>
      </c>
      <c r="J705" s="3" t="s">
        <v>22</v>
      </c>
      <c r="K705" s="3" t="s">
        <v>204</v>
      </c>
      <c r="L705" s="3" t="s">
        <v>204</v>
      </c>
      <c r="M705" s="3" t="s">
        <v>378</v>
      </c>
      <c r="N705" s="3" t="s">
        <v>468</v>
      </c>
      <c r="O705" s="5">
        <v>109.3157595</v>
      </c>
      <c r="P705" s="6" t="str">
        <f t="shared" si="2"/>
        <v>Finance</v>
      </c>
    </row>
    <row r="706" hidden="1">
      <c r="A706" s="3" t="s">
        <v>3143</v>
      </c>
      <c r="B706" s="4">
        <v>509960.0</v>
      </c>
      <c r="C706" s="3" t="s">
        <v>3144</v>
      </c>
      <c r="D706" s="3" t="s">
        <v>3145</v>
      </c>
      <c r="E706" s="3" t="s">
        <v>3146</v>
      </c>
      <c r="F706" s="3" t="s">
        <v>19</v>
      </c>
      <c r="G706" s="3" t="s">
        <v>44</v>
      </c>
      <c r="H706" s="3">
        <v>10.0</v>
      </c>
      <c r="I706" s="3" t="s">
        <v>3143</v>
      </c>
      <c r="J706" s="3" t="s">
        <v>22</v>
      </c>
      <c r="K706" s="3" t="s">
        <v>58</v>
      </c>
      <c r="L706" s="3" t="s">
        <v>73</v>
      </c>
      <c r="M706" s="3" t="s">
        <v>74</v>
      </c>
      <c r="N706" s="3" t="s">
        <v>75</v>
      </c>
      <c r="O706" s="5">
        <v>877.374875</v>
      </c>
      <c r="P706" s="6" t="str">
        <f t="shared" si="2"/>
        <v>Leisure Services</v>
      </c>
    </row>
    <row r="707">
      <c r="A707" s="3" t="s">
        <v>3147</v>
      </c>
      <c r="B707" s="4">
        <v>541578.0</v>
      </c>
      <c r="C707" s="3" t="s">
        <v>3148</v>
      </c>
      <c r="D707" s="3" t="s">
        <v>3149</v>
      </c>
      <c r="E707" s="3" t="s">
        <v>3150</v>
      </c>
      <c r="F707" s="3" t="s">
        <v>19</v>
      </c>
      <c r="G707" s="3" t="s">
        <v>20</v>
      </c>
      <c r="H707" s="3">
        <v>1.0</v>
      </c>
      <c r="I707" s="3" t="s">
        <v>3151</v>
      </c>
      <c r="J707" s="3" t="s">
        <v>22</v>
      </c>
      <c r="K707" s="3" t="s">
        <v>58</v>
      </c>
      <c r="L707" s="3" t="s">
        <v>133</v>
      </c>
      <c r="M707" s="3" t="s">
        <v>134</v>
      </c>
      <c r="N707" s="3" t="s">
        <v>135</v>
      </c>
      <c r="O707" s="5">
        <v>9884.8670181</v>
      </c>
      <c r="P707" s="6" t="str">
        <f t="shared" si="2"/>
        <v>Auto Components &amp; Equipments</v>
      </c>
    </row>
    <row r="708" hidden="1">
      <c r="A708" s="3" t="s">
        <v>3152</v>
      </c>
      <c r="B708" s="4">
        <v>510245.0</v>
      </c>
      <c r="C708" s="3" t="s">
        <v>3153</v>
      </c>
      <c r="D708" s="3" t="s">
        <v>3154</v>
      </c>
      <c r="E708" s="3" t="s">
        <v>3155</v>
      </c>
      <c r="F708" s="3" t="s">
        <v>19</v>
      </c>
      <c r="G708" s="3" t="s">
        <v>44</v>
      </c>
      <c r="H708" s="3">
        <v>1.0</v>
      </c>
      <c r="I708" s="3" t="s">
        <v>3152</v>
      </c>
      <c r="J708" s="3" t="s">
        <v>22</v>
      </c>
      <c r="K708" s="3" t="s">
        <v>58</v>
      </c>
      <c r="L708" s="3" t="s">
        <v>80</v>
      </c>
      <c r="M708" s="3" t="s">
        <v>81</v>
      </c>
      <c r="N708" s="3" t="s">
        <v>82</v>
      </c>
      <c r="O708" s="5">
        <v>59.6132192</v>
      </c>
      <c r="P708" s="6" t="str">
        <f t="shared" si="2"/>
        <v>Textiles &amp; Apparels</v>
      </c>
    </row>
    <row r="709" hidden="1">
      <c r="A709" s="3" t="s">
        <v>3156</v>
      </c>
      <c r="B709" s="4">
        <v>511000.0</v>
      </c>
      <c r="C709" s="3" t="s">
        <v>3157</v>
      </c>
      <c r="D709" s="3" t="s">
        <v>3158</v>
      </c>
      <c r="E709" s="3" t="s">
        <v>3159</v>
      </c>
      <c r="F709" s="3" t="s">
        <v>19</v>
      </c>
      <c r="G709" s="3" t="s">
        <v>72</v>
      </c>
      <c r="H709" s="3">
        <v>10.0</v>
      </c>
      <c r="I709" s="3" t="s">
        <v>3156</v>
      </c>
      <c r="J709" s="3" t="s">
        <v>22</v>
      </c>
      <c r="K709" s="3" t="s">
        <v>204</v>
      </c>
      <c r="L709" s="3" t="s">
        <v>204</v>
      </c>
      <c r="M709" s="3" t="s">
        <v>378</v>
      </c>
      <c r="N709" s="3" t="s">
        <v>379</v>
      </c>
      <c r="O709" s="5">
        <v>1.0</v>
      </c>
      <c r="P709" s="6" t="str">
        <f t="shared" si="2"/>
        <v>Non Banking Financial Company (NBFC)</v>
      </c>
    </row>
    <row r="710" hidden="1">
      <c r="A710" s="3" t="s">
        <v>3160</v>
      </c>
      <c r="B710" s="4">
        <v>511012.0</v>
      </c>
      <c r="C710" s="3" t="s">
        <v>3161</v>
      </c>
      <c r="D710" s="3" t="s">
        <v>3162</v>
      </c>
      <c r="E710" s="3" t="s">
        <v>3163</v>
      </c>
      <c r="F710" s="3" t="s">
        <v>19</v>
      </c>
      <c r="G710" s="3" t="s">
        <v>72</v>
      </c>
      <c r="H710" s="3">
        <v>1.0</v>
      </c>
      <c r="I710" s="3" t="s">
        <v>3160</v>
      </c>
      <c r="J710" s="3" t="s">
        <v>22</v>
      </c>
      <c r="K710" s="3" t="s">
        <v>204</v>
      </c>
      <c r="L710" s="3" t="s">
        <v>204</v>
      </c>
      <c r="M710" s="3" t="s">
        <v>378</v>
      </c>
      <c r="N710" s="3" t="s">
        <v>384</v>
      </c>
      <c r="O710" s="5">
        <v>59.4070716</v>
      </c>
      <c r="P710" s="6" t="str">
        <f t="shared" si="2"/>
        <v>Finance</v>
      </c>
    </row>
    <row r="711" hidden="1">
      <c r="A711" s="3" t="s">
        <v>3164</v>
      </c>
      <c r="B711" s="4">
        <v>511016.0</v>
      </c>
      <c r="C711" s="3" t="s">
        <v>3165</v>
      </c>
      <c r="D711" s="3" t="s">
        <v>3166</v>
      </c>
      <c r="E711" s="3" t="s">
        <v>3167</v>
      </c>
      <c r="F711" s="3" t="s">
        <v>19</v>
      </c>
      <c r="G711" s="3" t="s">
        <v>44</v>
      </c>
      <c r="H711" s="3">
        <v>1.0</v>
      </c>
      <c r="I711" s="3" t="s">
        <v>3164</v>
      </c>
      <c r="J711" s="3" t="s">
        <v>22</v>
      </c>
      <c r="K711" s="3" t="s">
        <v>97</v>
      </c>
      <c r="L711" s="3" t="s">
        <v>98</v>
      </c>
      <c r="M711" s="3" t="s">
        <v>1747</v>
      </c>
      <c r="N711" s="3" t="s">
        <v>1748</v>
      </c>
      <c r="O711" s="5">
        <v>17.2441662</v>
      </c>
      <c r="P711" s="6" t="str">
        <f t="shared" si="2"/>
        <v>Electrical Equipment</v>
      </c>
    </row>
    <row r="712" hidden="1">
      <c r="A712" s="3" t="s">
        <v>3168</v>
      </c>
      <c r="B712" s="4">
        <v>542655.0</v>
      </c>
      <c r="C712" s="3" t="s">
        <v>3169</v>
      </c>
      <c r="D712" s="3" t="s">
        <v>3170</v>
      </c>
      <c r="E712" s="3" t="s">
        <v>3171</v>
      </c>
      <c r="F712" s="3" t="s">
        <v>19</v>
      </c>
      <c r="G712" s="3" t="s">
        <v>112</v>
      </c>
      <c r="H712" s="3">
        <v>1.0</v>
      </c>
      <c r="I712" s="3" t="s">
        <v>3172</v>
      </c>
      <c r="J712" s="3" t="s">
        <v>22</v>
      </c>
      <c r="K712" s="3" t="s">
        <v>1673</v>
      </c>
      <c r="L712" s="3" t="s">
        <v>1673</v>
      </c>
      <c r="M712" s="3" t="s">
        <v>1674</v>
      </c>
      <c r="N712" s="3" t="s">
        <v>1915</v>
      </c>
      <c r="O712" s="5">
        <v>1016.2240157</v>
      </c>
      <c r="P712" s="6" t="str">
        <f t="shared" si="2"/>
        <v>Commercial Services &amp; Supplies</v>
      </c>
    </row>
    <row r="713" hidden="1">
      <c r="A713" s="3" t="s">
        <v>3173</v>
      </c>
      <c r="B713" s="4">
        <v>511034.0</v>
      </c>
      <c r="C713" s="3" t="s">
        <v>3174</v>
      </c>
      <c r="D713" s="3" t="s">
        <v>3175</v>
      </c>
      <c r="E713" s="3" t="s">
        <v>3176</v>
      </c>
      <c r="F713" s="3" t="s">
        <v>19</v>
      </c>
      <c r="G713" s="3" t="s">
        <v>112</v>
      </c>
      <c r="H713" s="3">
        <v>5.0</v>
      </c>
      <c r="I713" s="3" t="s">
        <v>3173</v>
      </c>
      <c r="J713" s="3" t="s">
        <v>22</v>
      </c>
      <c r="K713" s="3" t="s">
        <v>410</v>
      </c>
      <c r="L713" s="3" t="s">
        <v>411</v>
      </c>
      <c r="M713" s="3" t="s">
        <v>412</v>
      </c>
      <c r="N713" s="3" t="s">
        <v>3177</v>
      </c>
      <c r="O713" s="5">
        <v>1838.0395912</v>
      </c>
      <c r="P713" s="6" t="str">
        <f t="shared" si="2"/>
        <v>Oil</v>
      </c>
    </row>
    <row r="714" hidden="1">
      <c r="A714" s="3" t="s">
        <v>3178</v>
      </c>
      <c r="B714" s="4">
        <v>543638.0</v>
      </c>
      <c r="C714" s="3" t="s">
        <v>3179</v>
      </c>
      <c r="D714" s="3" t="s">
        <v>3180</v>
      </c>
      <c r="E714" s="3" t="s">
        <v>3181</v>
      </c>
      <c r="F714" s="3" t="s">
        <v>19</v>
      </c>
      <c r="G714" s="3" t="s">
        <v>112</v>
      </c>
      <c r="H714" s="3">
        <v>1.0</v>
      </c>
      <c r="I714" s="3" t="s">
        <v>3182</v>
      </c>
      <c r="J714" s="3" t="s">
        <v>22</v>
      </c>
      <c r="K714" s="3" t="s">
        <v>1673</v>
      </c>
      <c r="L714" s="3" t="s">
        <v>1673</v>
      </c>
      <c r="M714" s="3" t="s">
        <v>1674</v>
      </c>
      <c r="N714" s="3" t="s">
        <v>3183</v>
      </c>
      <c r="O714" s="5">
        <v>915.7136513</v>
      </c>
      <c r="P714" s="6" t="str">
        <f t="shared" si="2"/>
        <v>Commercial Services &amp; Supplies</v>
      </c>
    </row>
    <row r="715" hidden="1">
      <c r="A715" s="3" t="s">
        <v>3184</v>
      </c>
      <c r="B715" s="4">
        <v>543284.0</v>
      </c>
      <c r="C715" s="3" t="s">
        <v>3185</v>
      </c>
      <c r="D715" s="3" t="s">
        <v>3186</v>
      </c>
      <c r="E715" s="3" t="s">
        <v>3187</v>
      </c>
      <c r="F715" s="3" t="s">
        <v>19</v>
      </c>
      <c r="G715" s="3" t="s">
        <v>112</v>
      </c>
      <c r="H715" s="3">
        <v>10.0</v>
      </c>
      <c r="I715" s="3" t="s">
        <v>3188</v>
      </c>
      <c r="J715" s="3" t="s">
        <v>22</v>
      </c>
      <c r="K715" s="3" t="s">
        <v>1673</v>
      </c>
      <c r="L715" s="3" t="s">
        <v>1673</v>
      </c>
      <c r="M715" s="3" t="s">
        <v>1674</v>
      </c>
      <c r="N715" s="3" t="s">
        <v>3189</v>
      </c>
      <c r="O715" s="5">
        <v>912.255831</v>
      </c>
      <c r="P715" s="6" t="str">
        <f t="shared" si="2"/>
        <v>Commercial Services &amp; Supplies</v>
      </c>
    </row>
    <row r="716" hidden="1">
      <c r="A716" s="3" t="s">
        <v>3190</v>
      </c>
      <c r="B716" s="4">
        <v>511066.0</v>
      </c>
      <c r="C716" s="3" t="s">
        <v>3191</v>
      </c>
      <c r="D716" s="3" t="s">
        <v>3192</v>
      </c>
      <c r="E716" s="3" t="s">
        <v>3193</v>
      </c>
      <c r="F716" s="3" t="s">
        <v>19</v>
      </c>
      <c r="G716" s="3" t="s">
        <v>44</v>
      </c>
      <c r="H716" s="3">
        <v>10.0</v>
      </c>
      <c r="I716" s="3" t="s">
        <v>3190</v>
      </c>
      <c r="J716" s="3" t="s">
        <v>22</v>
      </c>
      <c r="K716" s="3" t="s">
        <v>204</v>
      </c>
      <c r="L716" s="3" t="s">
        <v>204</v>
      </c>
      <c r="M716" s="3" t="s">
        <v>378</v>
      </c>
      <c r="N716" s="3" t="s">
        <v>384</v>
      </c>
      <c r="O716" s="5">
        <v>1.0</v>
      </c>
      <c r="P716" s="6" t="str">
        <f t="shared" si="2"/>
        <v>Finance</v>
      </c>
    </row>
    <row r="717" hidden="1">
      <c r="A717" s="3" t="s">
        <v>3194</v>
      </c>
      <c r="B717" s="4">
        <v>511074.0</v>
      </c>
      <c r="C717" s="3" t="s">
        <v>3195</v>
      </c>
      <c r="D717" s="3" t="s">
        <v>3196</v>
      </c>
      <c r="E717" s="3" t="s">
        <v>3197</v>
      </c>
      <c r="F717" s="3" t="s">
        <v>19</v>
      </c>
      <c r="G717" s="3" t="s">
        <v>57</v>
      </c>
      <c r="H717" s="3">
        <v>10.0</v>
      </c>
      <c r="I717" s="3" t="s">
        <v>3194</v>
      </c>
      <c r="J717" s="3" t="s">
        <v>22</v>
      </c>
      <c r="K717" s="3" t="s">
        <v>204</v>
      </c>
      <c r="L717" s="3" t="s">
        <v>204</v>
      </c>
      <c r="M717" s="3" t="s">
        <v>378</v>
      </c>
      <c r="N717" s="3" t="s">
        <v>384</v>
      </c>
      <c r="O717" s="5">
        <v>23.00305</v>
      </c>
      <c r="P717" s="6" t="str">
        <f t="shared" si="2"/>
        <v>Finance</v>
      </c>
    </row>
    <row r="718" hidden="1">
      <c r="A718" s="3" t="s">
        <v>3198</v>
      </c>
      <c r="B718" s="4">
        <v>511076.0</v>
      </c>
      <c r="C718" s="3" t="s">
        <v>3199</v>
      </c>
      <c r="D718" s="3" t="s">
        <v>3200</v>
      </c>
      <c r="E718" s="3" t="s">
        <v>3201</v>
      </c>
      <c r="F718" s="3" t="s">
        <v>19</v>
      </c>
      <c r="G718" s="3" t="s">
        <v>112</v>
      </c>
      <c r="H718" s="3">
        <v>2.0</v>
      </c>
      <c r="I718" s="3" t="s">
        <v>3198</v>
      </c>
      <c r="J718" s="3" t="s">
        <v>22</v>
      </c>
      <c r="K718" s="3" t="s">
        <v>97</v>
      </c>
      <c r="L718" s="3" t="s">
        <v>98</v>
      </c>
      <c r="M718" s="3" t="s">
        <v>100</v>
      </c>
      <c r="N718" s="3" t="s">
        <v>612</v>
      </c>
      <c r="O718" s="5">
        <v>1020.8261632</v>
      </c>
      <c r="P718" s="6" t="str">
        <f t="shared" si="2"/>
        <v>Industrial Products</v>
      </c>
    </row>
    <row r="719" hidden="1">
      <c r="A719" s="3" t="s">
        <v>3202</v>
      </c>
      <c r="B719" s="4">
        <v>511092.0</v>
      </c>
      <c r="C719" s="3" t="s">
        <v>3203</v>
      </c>
      <c r="D719" s="3" t="s">
        <v>3204</v>
      </c>
      <c r="E719" s="3" t="s">
        <v>3205</v>
      </c>
      <c r="F719" s="3" t="s">
        <v>19</v>
      </c>
      <c r="G719" s="3" t="s">
        <v>72</v>
      </c>
      <c r="H719" s="3">
        <v>10.0</v>
      </c>
      <c r="I719" s="3" t="s">
        <v>3202</v>
      </c>
      <c r="J719" s="3" t="s">
        <v>22</v>
      </c>
      <c r="K719" s="3" t="s">
        <v>58</v>
      </c>
      <c r="L719" s="3" t="s">
        <v>182</v>
      </c>
      <c r="M719" s="3" t="s">
        <v>1168</v>
      </c>
      <c r="N719" s="3" t="s">
        <v>1568</v>
      </c>
      <c r="O719" s="5">
        <v>38.1790375</v>
      </c>
      <c r="P719" s="6" t="str">
        <f t="shared" si="2"/>
        <v>Entertainment</v>
      </c>
    </row>
    <row r="720" hidden="1">
      <c r="A720" s="3" t="s">
        <v>3206</v>
      </c>
      <c r="B720" s="4">
        <v>511096.0</v>
      </c>
      <c r="C720" s="3" t="s">
        <v>3207</v>
      </c>
      <c r="D720" s="3" t="s">
        <v>3208</v>
      </c>
      <c r="E720" s="3" t="s">
        <v>3209</v>
      </c>
      <c r="F720" s="3" t="s">
        <v>19</v>
      </c>
      <c r="G720" s="3" t="s">
        <v>72</v>
      </c>
      <c r="H720" s="3">
        <v>10.0</v>
      </c>
      <c r="I720" s="3" t="s">
        <v>3206</v>
      </c>
      <c r="J720" s="3" t="s">
        <v>22</v>
      </c>
      <c r="K720" s="3" t="s">
        <v>58</v>
      </c>
      <c r="L720" s="3" t="s">
        <v>59</v>
      </c>
      <c r="M720" s="3" t="s">
        <v>59</v>
      </c>
      <c r="N720" s="3" t="s">
        <v>60</v>
      </c>
      <c r="O720" s="5">
        <v>1.0</v>
      </c>
      <c r="P720" s="6" t="str">
        <f t="shared" si="2"/>
        <v>Residential, Commercial Projects</v>
      </c>
    </row>
    <row r="721" hidden="1">
      <c r="A721" s="3" t="s">
        <v>3210</v>
      </c>
      <c r="B721" s="4">
        <v>511108.0</v>
      </c>
      <c r="C721" s="3" t="s">
        <v>3211</v>
      </c>
      <c r="D721" s="3" t="s">
        <v>3212</v>
      </c>
      <c r="E721" s="3" t="s">
        <v>3213</v>
      </c>
      <c r="F721" s="3" t="s">
        <v>19</v>
      </c>
      <c r="G721" s="3" t="s">
        <v>112</v>
      </c>
      <c r="H721" s="3">
        <v>10.0</v>
      </c>
      <c r="I721" s="3" t="s">
        <v>3210</v>
      </c>
      <c r="J721" s="3" t="s">
        <v>22</v>
      </c>
      <c r="K721" s="3" t="s">
        <v>58</v>
      </c>
      <c r="L721" s="3" t="s">
        <v>80</v>
      </c>
      <c r="M721" s="3" t="s">
        <v>81</v>
      </c>
      <c r="N721" s="3" t="s">
        <v>82</v>
      </c>
      <c r="O721" s="5">
        <v>218.235067</v>
      </c>
      <c r="P721" s="6" t="str">
        <f t="shared" si="2"/>
        <v>Textiles &amp; Apparels</v>
      </c>
    </row>
    <row r="722" hidden="1">
      <c r="A722" s="3" t="s">
        <v>3214</v>
      </c>
      <c r="B722" s="4">
        <v>511110.0</v>
      </c>
      <c r="C722" s="3" t="s">
        <v>3215</v>
      </c>
      <c r="D722" s="3" t="s">
        <v>3216</v>
      </c>
      <c r="E722" s="3" t="s">
        <v>3217</v>
      </c>
      <c r="F722" s="3" t="s">
        <v>19</v>
      </c>
      <c r="G722" s="3" t="s">
        <v>44</v>
      </c>
      <c r="H722" s="3">
        <v>10.0</v>
      </c>
      <c r="I722" s="3" t="s">
        <v>3214</v>
      </c>
      <c r="J722" s="3" t="s">
        <v>22</v>
      </c>
      <c r="K722" s="3" t="s">
        <v>204</v>
      </c>
      <c r="L722" s="3" t="s">
        <v>204</v>
      </c>
      <c r="M722" s="3" t="s">
        <v>378</v>
      </c>
      <c r="N722" s="3" t="s">
        <v>468</v>
      </c>
      <c r="O722" s="5">
        <v>1.0</v>
      </c>
      <c r="P722" s="6" t="str">
        <f t="shared" si="2"/>
        <v>Finance</v>
      </c>
    </row>
    <row r="723" hidden="1">
      <c r="A723" s="3" t="s">
        <v>3218</v>
      </c>
      <c r="B723" s="4">
        <v>511116.0</v>
      </c>
      <c r="C723" s="3" t="s">
        <v>3219</v>
      </c>
      <c r="D723" s="3" t="s">
        <v>3220</v>
      </c>
      <c r="E723" s="3" t="s">
        <v>3221</v>
      </c>
      <c r="F723" s="3" t="s">
        <v>19</v>
      </c>
      <c r="G723" s="3" t="s">
        <v>72</v>
      </c>
      <c r="H723" s="3">
        <v>1.0</v>
      </c>
      <c r="I723" s="3" t="s">
        <v>3218</v>
      </c>
      <c r="J723" s="3" t="s">
        <v>22</v>
      </c>
      <c r="K723" s="3" t="s">
        <v>189</v>
      </c>
      <c r="L723" s="3" t="s">
        <v>189</v>
      </c>
      <c r="M723" s="3" t="s">
        <v>291</v>
      </c>
      <c r="N723" s="3" t="s">
        <v>292</v>
      </c>
      <c r="O723" s="5">
        <v>154.4673565</v>
      </c>
      <c r="P723" s="6" t="str">
        <f t="shared" si="2"/>
        <v>Telecom - Services</v>
      </c>
    </row>
    <row r="724" hidden="1">
      <c r="A724" s="3" t="s">
        <v>3222</v>
      </c>
      <c r="B724" s="4">
        <v>511122.0</v>
      </c>
      <c r="C724" s="3" t="s">
        <v>3223</v>
      </c>
      <c r="D724" s="3" t="s">
        <v>3224</v>
      </c>
      <c r="E724" s="3" t="s">
        <v>3225</v>
      </c>
      <c r="F724" s="3" t="s">
        <v>19</v>
      </c>
      <c r="G724" s="3" t="s">
        <v>72</v>
      </c>
      <c r="H724" s="3">
        <v>10.0</v>
      </c>
      <c r="I724" s="3" t="s">
        <v>3222</v>
      </c>
      <c r="J724" s="3" t="s">
        <v>22</v>
      </c>
      <c r="K724" s="3" t="s">
        <v>204</v>
      </c>
      <c r="L724" s="3" t="s">
        <v>204</v>
      </c>
      <c r="M724" s="3" t="s">
        <v>378</v>
      </c>
      <c r="N724" s="3" t="s">
        <v>379</v>
      </c>
      <c r="O724" s="5">
        <v>18.8241906</v>
      </c>
      <c r="P724" s="6" t="str">
        <f t="shared" si="2"/>
        <v>Non Banking Financial Company (NBFC)</v>
      </c>
    </row>
    <row r="725" hidden="1">
      <c r="A725" s="3" t="s">
        <v>3226</v>
      </c>
      <c r="B725" s="4">
        <v>511131.0</v>
      </c>
      <c r="C725" s="3" t="s">
        <v>3227</v>
      </c>
      <c r="D725" s="3" t="s">
        <v>3228</v>
      </c>
      <c r="E725" s="3" t="s">
        <v>3229</v>
      </c>
      <c r="F725" s="3" t="s">
        <v>19</v>
      </c>
      <c r="G725" s="3" t="s">
        <v>44</v>
      </c>
      <c r="H725" s="3">
        <v>10.0</v>
      </c>
      <c r="I725" s="3" t="s">
        <v>3226</v>
      </c>
      <c r="J725" s="3" t="s">
        <v>22</v>
      </c>
      <c r="K725" s="3" t="s">
        <v>58</v>
      </c>
      <c r="L725" s="3" t="s">
        <v>59</v>
      </c>
      <c r="M725" s="3" t="s">
        <v>59</v>
      </c>
      <c r="N725" s="3" t="s">
        <v>60</v>
      </c>
      <c r="O725" s="5">
        <v>22.976877</v>
      </c>
      <c r="P725" s="6" t="str">
        <f t="shared" si="2"/>
        <v>Residential, Commercial Projects</v>
      </c>
    </row>
    <row r="726" hidden="1">
      <c r="A726" s="3" t="s">
        <v>3230</v>
      </c>
      <c r="B726" s="4">
        <v>511147.0</v>
      </c>
      <c r="C726" s="3" t="s">
        <v>3231</v>
      </c>
      <c r="D726" s="3" t="s">
        <v>3232</v>
      </c>
      <c r="E726" s="3" t="s">
        <v>3233</v>
      </c>
      <c r="F726" s="3" t="s">
        <v>19</v>
      </c>
      <c r="G726" s="3" t="s">
        <v>72</v>
      </c>
      <c r="H726" s="3">
        <v>10.0</v>
      </c>
      <c r="I726" s="3" t="s">
        <v>3230</v>
      </c>
      <c r="J726" s="3" t="s">
        <v>22</v>
      </c>
      <c r="K726" s="3" t="s">
        <v>204</v>
      </c>
      <c r="L726" s="3" t="s">
        <v>204</v>
      </c>
      <c r="M726" s="3" t="s">
        <v>3234</v>
      </c>
      <c r="N726" s="3" t="s">
        <v>3234</v>
      </c>
      <c r="O726" s="5">
        <v>122.5798</v>
      </c>
      <c r="P726" s="6" t="str">
        <f t="shared" si="2"/>
        <v>Financial Technology (Fintech)</v>
      </c>
    </row>
    <row r="727" hidden="1">
      <c r="A727" s="3" t="s">
        <v>3235</v>
      </c>
      <c r="B727" s="4">
        <v>511153.0</v>
      </c>
      <c r="C727" s="3" t="s">
        <v>3236</v>
      </c>
      <c r="D727" s="3" t="s">
        <v>3237</v>
      </c>
      <c r="E727" s="3" t="s">
        <v>3238</v>
      </c>
      <c r="F727" s="3" t="s">
        <v>19</v>
      </c>
      <c r="G727" s="3" t="s">
        <v>72</v>
      </c>
      <c r="H727" s="3">
        <v>2.0</v>
      </c>
      <c r="I727" s="3" t="s">
        <v>3235</v>
      </c>
      <c r="J727" s="3" t="s">
        <v>22</v>
      </c>
      <c r="K727" s="3" t="s">
        <v>145</v>
      </c>
      <c r="L727" s="3" t="s">
        <v>145</v>
      </c>
      <c r="M727" s="3" t="s">
        <v>597</v>
      </c>
      <c r="N727" s="3" t="s">
        <v>2344</v>
      </c>
      <c r="O727" s="5">
        <v>122.287227</v>
      </c>
      <c r="P727" s="6" t="str">
        <f t="shared" si="2"/>
        <v>Food Products</v>
      </c>
    </row>
    <row r="728" hidden="1">
      <c r="A728" s="3" t="s">
        <v>3239</v>
      </c>
      <c r="B728" s="4">
        <v>511176.0</v>
      </c>
      <c r="C728" s="3" t="s">
        <v>3240</v>
      </c>
      <c r="D728" s="3" t="s">
        <v>3241</v>
      </c>
      <c r="E728" s="3" t="s">
        <v>3242</v>
      </c>
      <c r="F728" s="3" t="s">
        <v>19</v>
      </c>
      <c r="G728" s="3" t="s">
        <v>44</v>
      </c>
      <c r="H728" s="3">
        <v>10.0</v>
      </c>
      <c r="I728" s="3" t="s">
        <v>3239</v>
      </c>
      <c r="J728" s="3" t="s">
        <v>22</v>
      </c>
      <c r="K728" s="3" t="s">
        <v>58</v>
      </c>
      <c r="L728" s="3" t="s">
        <v>59</v>
      </c>
      <c r="M728" s="3" t="s">
        <v>59</v>
      </c>
      <c r="N728" s="3" t="s">
        <v>60</v>
      </c>
      <c r="O728" s="5">
        <v>1.0</v>
      </c>
      <c r="P728" s="6" t="str">
        <f t="shared" si="2"/>
        <v>Residential, Commercial Projects</v>
      </c>
    </row>
    <row r="729" hidden="1">
      <c r="A729" s="3" t="s">
        <v>3243</v>
      </c>
      <c r="B729" s="4">
        <v>539956.0</v>
      </c>
      <c r="C729" s="3" t="s">
        <v>3244</v>
      </c>
      <c r="D729" s="3" t="s">
        <v>3245</v>
      </c>
      <c r="E729" s="3" t="s">
        <v>3246</v>
      </c>
      <c r="F729" s="3" t="s">
        <v>19</v>
      </c>
      <c r="G729" s="3" t="s">
        <v>44</v>
      </c>
      <c r="H729" s="3">
        <v>10.0</v>
      </c>
      <c r="I729" s="3" t="s">
        <v>3247</v>
      </c>
      <c r="J729" s="3" t="s">
        <v>22</v>
      </c>
      <c r="K729" s="3" t="s">
        <v>1673</v>
      </c>
      <c r="L729" s="3" t="s">
        <v>1673</v>
      </c>
      <c r="M729" s="3" t="s">
        <v>1689</v>
      </c>
      <c r="N729" s="3" t="s">
        <v>1695</v>
      </c>
      <c r="O729" s="5">
        <v>897.704304</v>
      </c>
      <c r="P729" s="6" t="str">
        <f t="shared" si="2"/>
        <v>Transport Services</v>
      </c>
    </row>
    <row r="730" hidden="1">
      <c r="A730" s="3" t="s">
        <v>3248</v>
      </c>
      <c r="B730" s="4">
        <v>531959.0</v>
      </c>
      <c r="C730" s="3" t="s">
        <v>3249</v>
      </c>
      <c r="D730" s="3" t="s">
        <v>3250</v>
      </c>
      <c r="E730" s="3" t="s">
        <v>3249</v>
      </c>
      <c r="F730" s="3" t="s">
        <v>19</v>
      </c>
      <c r="G730" s="3" t="s">
        <v>44</v>
      </c>
      <c r="H730" s="3">
        <v>1.0</v>
      </c>
      <c r="I730" s="3" t="s">
        <v>3251</v>
      </c>
      <c r="J730" s="3" t="s">
        <v>22</v>
      </c>
      <c r="K730" s="3" t="s">
        <v>1673</v>
      </c>
      <c r="L730" s="3" t="s">
        <v>1673</v>
      </c>
      <c r="M730" s="3" t="s">
        <v>1674</v>
      </c>
      <c r="N730" s="3" t="s">
        <v>1915</v>
      </c>
      <c r="O730" s="5">
        <v>895.630225</v>
      </c>
      <c r="P730" s="6" t="str">
        <f t="shared" si="2"/>
        <v>Commercial Services &amp; Supplies</v>
      </c>
    </row>
    <row r="731" hidden="1">
      <c r="A731" s="3" t="s">
        <v>3252</v>
      </c>
      <c r="B731" s="4">
        <v>543732.0</v>
      </c>
      <c r="C731" s="3" t="s">
        <v>3253</v>
      </c>
      <c r="D731" s="3" t="s">
        <v>3254</v>
      </c>
      <c r="E731" s="3" t="s">
        <v>3255</v>
      </c>
      <c r="F731" s="3" t="s">
        <v>19</v>
      </c>
      <c r="G731" s="3" t="s">
        <v>112</v>
      </c>
      <c r="H731" s="3">
        <v>1.0</v>
      </c>
      <c r="I731" s="3" t="s">
        <v>3256</v>
      </c>
      <c r="J731" s="3" t="s">
        <v>22</v>
      </c>
      <c r="K731" s="3" t="s">
        <v>1673</v>
      </c>
      <c r="L731" s="3" t="s">
        <v>1673</v>
      </c>
      <c r="M731" s="3" t="s">
        <v>1674</v>
      </c>
      <c r="N731" s="3" t="s">
        <v>1675</v>
      </c>
      <c r="O731" s="5">
        <v>842.7266494</v>
      </c>
      <c r="P731" s="6" t="str">
        <f t="shared" si="2"/>
        <v>Commercial Services &amp; Supplies</v>
      </c>
    </row>
    <row r="732">
      <c r="A732" s="3" t="s">
        <v>3257</v>
      </c>
      <c r="B732" s="4">
        <v>542399.0</v>
      </c>
      <c r="C732" s="3" t="s">
        <v>3258</v>
      </c>
      <c r="D732" s="3" t="s">
        <v>3259</v>
      </c>
      <c r="E732" s="3" t="s">
        <v>3260</v>
      </c>
      <c r="F732" s="3" t="s">
        <v>19</v>
      </c>
      <c r="G732" s="3" t="s">
        <v>20</v>
      </c>
      <c r="H732" s="3">
        <v>10.0</v>
      </c>
      <c r="I732" s="3" t="s">
        <v>3261</v>
      </c>
      <c r="J732" s="3" t="s">
        <v>22</v>
      </c>
      <c r="K732" s="3" t="s">
        <v>58</v>
      </c>
      <c r="L732" s="3" t="s">
        <v>73</v>
      </c>
      <c r="M732" s="3" t="s">
        <v>74</v>
      </c>
      <c r="N732" s="3" t="s">
        <v>75</v>
      </c>
      <c r="O732" s="5">
        <v>17512.9457973</v>
      </c>
      <c r="P732" s="6" t="str">
        <f t="shared" si="2"/>
        <v>Leisure Services</v>
      </c>
    </row>
    <row r="733" hidden="1">
      <c r="A733" s="3" t="s">
        <v>3262</v>
      </c>
      <c r="B733" s="4">
        <v>511200.0</v>
      </c>
      <c r="C733" s="3" t="s">
        <v>3263</v>
      </c>
      <c r="D733" s="3" t="s">
        <v>3264</v>
      </c>
      <c r="E733" s="3" t="s">
        <v>3265</v>
      </c>
      <c r="F733" s="3" t="s">
        <v>19</v>
      </c>
      <c r="G733" s="3" t="s">
        <v>72</v>
      </c>
      <c r="H733" s="3">
        <v>5.0</v>
      </c>
      <c r="I733" s="3" t="s">
        <v>3262</v>
      </c>
      <c r="J733" s="3" t="s">
        <v>22</v>
      </c>
      <c r="K733" s="3" t="s">
        <v>204</v>
      </c>
      <c r="L733" s="3" t="s">
        <v>204</v>
      </c>
      <c r="M733" s="3" t="s">
        <v>205</v>
      </c>
      <c r="N733" s="3" t="s">
        <v>2109</v>
      </c>
      <c r="O733" s="5">
        <v>89.8268</v>
      </c>
      <c r="P733" s="6" t="str">
        <f t="shared" si="2"/>
        <v>Capital Markets</v>
      </c>
    </row>
    <row r="734" hidden="1">
      <c r="A734" s="3" t="s">
        <v>3266</v>
      </c>
      <c r="B734" s="4">
        <v>511208.0</v>
      </c>
      <c r="C734" s="3" t="s">
        <v>3267</v>
      </c>
      <c r="D734" s="3" t="s">
        <v>3268</v>
      </c>
      <c r="E734" s="3" t="s">
        <v>3269</v>
      </c>
      <c r="F734" s="3" t="s">
        <v>19</v>
      </c>
      <c r="G734" s="3" t="s">
        <v>112</v>
      </c>
      <c r="H734" s="3">
        <v>2.0</v>
      </c>
      <c r="I734" s="3" t="s">
        <v>3266</v>
      </c>
      <c r="J734" s="3" t="s">
        <v>22</v>
      </c>
      <c r="K734" s="3" t="s">
        <v>204</v>
      </c>
      <c r="L734" s="3" t="s">
        <v>204</v>
      </c>
      <c r="M734" s="3" t="s">
        <v>205</v>
      </c>
      <c r="N734" s="3" t="s">
        <v>3270</v>
      </c>
      <c r="O734" s="5">
        <v>399.788284</v>
      </c>
      <c r="P734" s="6" t="str">
        <f t="shared" si="2"/>
        <v>Capital Markets</v>
      </c>
    </row>
    <row r="735">
      <c r="A735" s="3" t="s">
        <v>3271</v>
      </c>
      <c r="B735" s="4">
        <v>542484.0</v>
      </c>
      <c r="C735" s="3" t="s">
        <v>3272</v>
      </c>
      <c r="D735" s="3" t="s">
        <v>3273</v>
      </c>
      <c r="E735" s="3" t="s">
        <v>3274</v>
      </c>
      <c r="F735" s="3" t="s">
        <v>19</v>
      </c>
      <c r="G735" s="3" t="s">
        <v>20</v>
      </c>
      <c r="H735" s="3">
        <v>4.0</v>
      </c>
      <c r="I735" s="3" t="s">
        <v>3275</v>
      </c>
      <c r="J735" s="3" t="s">
        <v>22</v>
      </c>
      <c r="K735" s="3" t="s">
        <v>58</v>
      </c>
      <c r="L735" s="3" t="s">
        <v>73</v>
      </c>
      <c r="M735" s="3" t="s">
        <v>988</v>
      </c>
      <c r="N735" s="3" t="s">
        <v>989</v>
      </c>
      <c r="O735" s="5">
        <v>6965.9676739</v>
      </c>
      <c r="P735" s="6" t="str">
        <f t="shared" si="2"/>
        <v>Retailing</v>
      </c>
    </row>
    <row r="736">
      <c r="A736" s="3" t="s">
        <v>3276</v>
      </c>
      <c r="B736" s="4">
        <v>542726.0</v>
      </c>
      <c r="C736" s="3" t="s">
        <v>3277</v>
      </c>
      <c r="D736" s="3" t="s">
        <v>3278</v>
      </c>
      <c r="E736" s="3" t="s">
        <v>3279</v>
      </c>
      <c r="F736" s="3" t="s">
        <v>19</v>
      </c>
      <c r="G736" s="3" t="s">
        <v>20</v>
      </c>
      <c r="H736" s="3">
        <v>10.0</v>
      </c>
      <c r="I736" s="3" t="s">
        <v>3280</v>
      </c>
      <c r="J736" s="3" t="s">
        <v>22</v>
      </c>
      <c r="K736" s="3" t="s">
        <v>58</v>
      </c>
      <c r="L736" s="3" t="s">
        <v>73</v>
      </c>
      <c r="M736" s="3" t="s">
        <v>988</v>
      </c>
      <c r="N736" s="3" t="s">
        <v>1614</v>
      </c>
      <c r="O736" s="5">
        <v>16192.327465</v>
      </c>
      <c r="P736" s="6" t="str">
        <f t="shared" si="2"/>
        <v>Retailing</v>
      </c>
    </row>
    <row r="737" hidden="1">
      <c r="A737" s="3" t="s">
        <v>3281</v>
      </c>
      <c r="B737" s="4">
        <v>511246.0</v>
      </c>
      <c r="C737" s="3" t="s">
        <v>3282</v>
      </c>
      <c r="D737" s="3" t="s">
        <v>3283</v>
      </c>
      <c r="E737" s="3" t="s">
        <v>3284</v>
      </c>
      <c r="F737" s="3" t="s">
        <v>19</v>
      </c>
      <c r="G737" s="3" t="s">
        <v>72</v>
      </c>
      <c r="H737" s="3">
        <v>1.0</v>
      </c>
      <c r="I737" s="3" t="s">
        <v>3281</v>
      </c>
      <c r="J737" s="3" t="s">
        <v>22</v>
      </c>
      <c r="K737" s="3" t="s">
        <v>58</v>
      </c>
      <c r="L737" s="3" t="s">
        <v>182</v>
      </c>
      <c r="M737" s="3" t="s">
        <v>1168</v>
      </c>
      <c r="N737" s="3" t="s">
        <v>1568</v>
      </c>
      <c r="O737" s="5">
        <v>43.4579653</v>
      </c>
      <c r="P737" s="6" t="str">
        <f t="shared" si="2"/>
        <v>Entertainment</v>
      </c>
    </row>
    <row r="738" hidden="1">
      <c r="A738" s="3" t="s">
        <v>3285</v>
      </c>
      <c r="B738" s="4">
        <v>511254.0</v>
      </c>
      <c r="C738" s="3" t="s">
        <v>3286</v>
      </c>
      <c r="D738" s="3" t="s">
        <v>3287</v>
      </c>
      <c r="E738" s="3" t="s">
        <v>3288</v>
      </c>
      <c r="F738" s="3" t="s">
        <v>19</v>
      </c>
      <c r="G738" s="3" t="s">
        <v>72</v>
      </c>
      <c r="H738" s="3">
        <v>10.0</v>
      </c>
      <c r="I738" s="3" t="s">
        <v>3285</v>
      </c>
      <c r="J738" s="3" t="s">
        <v>22</v>
      </c>
      <c r="K738" s="3" t="s">
        <v>204</v>
      </c>
      <c r="L738" s="3" t="s">
        <v>204</v>
      </c>
      <c r="M738" s="3" t="s">
        <v>378</v>
      </c>
      <c r="N738" s="3" t="s">
        <v>379</v>
      </c>
      <c r="O738" s="5">
        <v>1.0</v>
      </c>
      <c r="P738" s="6" t="str">
        <f t="shared" si="2"/>
        <v>Non Banking Financial Company (NBFC)</v>
      </c>
    </row>
    <row r="739" hidden="1">
      <c r="A739" s="3" t="s">
        <v>3289</v>
      </c>
      <c r="B739" s="4">
        <v>511260.0</v>
      </c>
      <c r="C739" s="3" t="s">
        <v>3290</v>
      </c>
      <c r="D739" s="3" t="s">
        <v>3291</v>
      </c>
      <c r="E739" s="3" t="s">
        <v>3292</v>
      </c>
      <c r="F739" s="3" t="s">
        <v>19</v>
      </c>
      <c r="G739" s="3" t="s">
        <v>72</v>
      </c>
      <c r="H739" s="3">
        <v>10.0</v>
      </c>
      <c r="I739" s="3" t="s">
        <v>3289</v>
      </c>
      <c r="J739" s="3" t="s">
        <v>22</v>
      </c>
      <c r="K739" s="3" t="s">
        <v>204</v>
      </c>
      <c r="L739" s="3" t="s">
        <v>204</v>
      </c>
      <c r="M739" s="3" t="s">
        <v>378</v>
      </c>
      <c r="N739" s="3" t="s">
        <v>468</v>
      </c>
      <c r="O739" s="5">
        <v>1.0</v>
      </c>
      <c r="P739" s="6" t="str">
        <f t="shared" si="2"/>
        <v>Finance</v>
      </c>
    </row>
    <row r="740" hidden="1">
      <c r="A740" s="3" t="s">
        <v>3293</v>
      </c>
      <c r="B740" s="4">
        <v>511333.0</v>
      </c>
      <c r="C740" s="3" t="s">
        <v>3294</v>
      </c>
      <c r="D740" s="3" t="s">
        <v>3295</v>
      </c>
      <c r="E740" s="3" t="s">
        <v>3296</v>
      </c>
      <c r="F740" s="3" t="s">
        <v>19</v>
      </c>
      <c r="G740" s="3" t="s">
        <v>112</v>
      </c>
      <c r="H740" s="3">
        <v>10.0</v>
      </c>
      <c r="I740" s="3" t="s">
        <v>3293</v>
      </c>
      <c r="J740" s="3" t="s">
        <v>22</v>
      </c>
      <c r="K740" s="3" t="s">
        <v>204</v>
      </c>
      <c r="L740" s="3" t="s">
        <v>204</v>
      </c>
      <c r="M740" s="3" t="s">
        <v>378</v>
      </c>
      <c r="N740" s="3" t="s">
        <v>384</v>
      </c>
      <c r="O740" s="5">
        <v>1017.6326365</v>
      </c>
      <c r="P740" s="6" t="str">
        <f t="shared" si="2"/>
        <v>Finance</v>
      </c>
    </row>
    <row r="741" hidden="1">
      <c r="A741" s="3" t="s">
        <v>3297</v>
      </c>
      <c r="B741" s="4">
        <v>511355.0</v>
      </c>
      <c r="C741" s="3" t="s">
        <v>3298</v>
      </c>
      <c r="D741" s="3" t="s">
        <v>3299</v>
      </c>
      <c r="E741" s="3" t="s">
        <v>3300</v>
      </c>
      <c r="F741" s="3" t="s">
        <v>19</v>
      </c>
      <c r="G741" s="3" t="s">
        <v>72</v>
      </c>
      <c r="H741" s="3">
        <v>10.0</v>
      </c>
      <c r="I741" s="3" t="s">
        <v>3297</v>
      </c>
      <c r="J741" s="3" t="s">
        <v>22</v>
      </c>
      <c r="K741" s="3" t="s">
        <v>204</v>
      </c>
      <c r="L741" s="3" t="s">
        <v>204</v>
      </c>
      <c r="M741" s="3" t="s">
        <v>378</v>
      </c>
      <c r="N741" s="3" t="s">
        <v>379</v>
      </c>
      <c r="O741" s="5">
        <v>47.6023208</v>
      </c>
      <c r="P741" s="6" t="str">
        <f t="shared" si="2"/>
        <v>Non Banking Financial Company (NBFC)</v>
      </c>
    </row>
    <row r="742" hidden="1">
      <c r="A742" s="3" t="s">
        <v>3301</v>
      </c>
      <c r="B742" s="4">
        <v>511359.0</v>
      </c>
      <c r="C742" s="3" t="s">
        <v>3302</v>
      </c>
      <c r="D742" s="3" t="s">
        <v>3303</v>
      </c>
      <c r="E742" s="3" t="s">
        <v>3304</v>
      </c>
      <c r="F742" s="3" t="s">
        <v>19</v>
      </c>
      <c r="G742" s="3" t="s">
        <v>72</v>
      </c>
      <c r="H742" s="3">
        <v>10.0</v>
      </c>
      <c r="I742" s="3" t="s">
        <v>3301</v>
      </c>
      <c r="J742" s="3" t="s">
        <v>22</v>
      </c>
      <c r="K742" s="3" t="s">
        <v>204</v>
      </c>
      <c r="L742" s="3" t="s">
        <v>204</v>
      </c>
      <c r="M742" s="3" t="s">
        <v>378</v>
      </c>
      <c r="N742" s="3" t="s">
        <v>379</v>
      </c>
      <c r="O742" s="5">
        <v>61.3283868</v>
      </c>
      <c r="P742" s="6" t="str">
        <f t="shared" si="2"/>
        <v>Non Banking Financial Company (NBFC)</v>
      </c>
    </row>
    <row r="743" hidden="1">
      <c r="A743" s="3" t="s">
        <v>3305</v>
      </c>
      <c r="B743" s="4">
        <v>511377.0</v>
      </c>
      <c r="C743" s="3" t="s">
        <v>3306</v>
      </c>
      <c r="D743" s="3" t="s">
        <v>3307</v>
      </c>
      <c r="E743" s="3" t="s">
        <v>3308</v>
      </c>
      <c r="F743" s="3" t="s">
        <v>19</v>
      </c>
      <c r="G743" s="3" t="s">
        <v>72</v>
      </c>
      <c r="H743" s="3">
        <v>10.0</v>
      </c>
      <c r="I743" s="3" t="s">
        <v>3305</v>
      </c>
      <c r="J743" s="3" t="s">
        <v>22</v>
      </c>
      <c r="K743" s="3" t="s">
        <v>204</v>
      </c>
      <c r="L743" s="3" t="s">
        <v>204</v>
      </c>
      <c r="M743" s="3" t="s">
        <v>378</v>
      </c>
      <c r="N743" s="3" t="s">
        <v>379</v>
      </c>
      <c r="O743" s="5">
        <v>16.754997</v>
      </c>
      <c r="P743" s="6" t="str">
        <f t="shared" si="2"/>
        <v>Non Banking Financial Company (NBFC)</v>
      </c>
    </row>
    <row r="744" hidden="1">
      <c r="A744" s="3" t="s">
        <v>3309</v>
      </c>
      <c r="B744" s="4">
        <v>511391.0</v>
      </c>
      <c r="C744" s="3" t="s">
        <v>3310</v>
      </c>
      <c r="D744" s="3" t="s">
        <v>3311</v>
      </c>
      <c r="E744" s="3" t="s">
        <v>3312</v>
      </c>
      <c r="F744" s="3" t="s">
        <v>19</v>
      </c>
      <c r="G744" s="3" t="s">
        <v>72</v>
      </c>
      <c r="H744" s="3">
        <v>10.0</v>
      </c>
      <c r="I744" s="3" t="s">
        <v>3309</v>
      </c>
      <c r="J744" s="3" t="s">
        <v>22</v>
      </c>
      <c r="K744" s="3" t="s">
        <v>204</v>
      </c>
      <c r="L744" s="3" t="s">
        <v>204</v>
      </c>
      <c r="M744" s="3" t="s">
        <v>378</v>
      </c>
      <c r="N744" s="3" t="s">
        <v>379</v>
      </c>
      <c r="O744" s="5">
        <v>59.3671913</v>
      </c>
      <c r="P744" s="6" t="str">
        <f t="shared" si="2"/>
        <v>Non Banking Financial Company (NBFC)</v>
      </c>
    </row>
    <row r="745" hidden="1">
      <c r="A745" s="3" t="s">
        <v>3313</v>
      </c>
      <c r="B745" s="4">
        <v>511401.0</v>
      </c>
      <c r="C745" s="3" t="s">
        <v>3314</v>
      </c>
      <c r="D745" s="3" t="s">
        <v>3315</v>
      </c>
      <c r="E745" s="3" t="s">
        <v>3316</v>
      </c>
      <c r="F745" s="3" t="s">
        <v>19</v>
      </c>
      <c r="G745" s="3" t="s">
        <v>44</v>
      </c>
      <c r="H745" s="3">
        <v>10.0</v>
      </c>
      <c r="I745" s="3" t="s">
        <v>3313</v>
      </c>
      <c r="J745" s="3" t="s">
        <v>22</v>
      </c>
      <c r="K745" s="3" t="s">
        <v>204</v>
      </c>
      <c r="L745" s="3" t="s">
        <v>204</v>
      </c>
      <c r="M745" s="3" t="s">
        <v>378</v>
      </c>
      <c r="N745" s="3" t="s">
        <v>468</v>
      </c>
      <c r="O745" s="5">
        <v>1.0</v>
      </c>
      <c r="P745" s="6" t="str">
        <f t="shared" si="2"/>
        <v>Finance</v>
      </c>
    </row>
    <row r="746" hidden="1">
      <c r="A746" s="3" t="s">
        <v>3317</v>
      </c>
      <c r="B746" s="4">
        <v>511411.0</v>
      </c>
      <c r="C746" s="3" t="s">
        <v>3318</v>
      </c>
      <c r="D746" s="3" t="s">
        <v>3319</v>
      </c>
      <c r="E746" s="3" t="s">
        <v>3318</v>
      </c>
      <c r="F746" s="3" t="s">
        <v>19</v>
      </c>
      <c r="G746" s="3" t="s">
        <v>44</v>
      </c>
      <c r="H746" s="3">
        <v>10.0</v>
      </c>
      <c r="I746" s="3" t="s">
        <v>3317</v>
      </c>
      <c r="J746" s="3" t="s">
        <v>22</v>
      </c>
      <c r="K746" s="3" t="s">
        <v>58</v>
      </c>
      <c r="L746" s="3" t="s">
        <v>59</v>
      </c>
      <c r="M746" s="3" t="s">
        <v>59</v>
      </c>
      <c r="N746" s="3" t="s">
        <v>60</v>
      </c>
      <c r="O746" s="5">
        <v>92.006713</v>
      </c>
      <c r="P746" s="6" t="str">
        <f t="shared" si="2"/>
        <v>Residential, Commercial Projects</v>
      </c>
    </row>
    <row r="747" hidden="1">
      <c r="A747" s="3" t="s">
        <v>3320</v>
      </c>
      <c r="B747" s="4">
        <v>511413.0</v>
      </c>
      <c r="C747" s="3" t="s">
        <v>3321</v>
      </c>
      <c r="D747" s="3" t="s">
        <v>3322</v>
      </c>
      <c r="E747" s="3" t="s">
        <v>3321</v>
      </c>
      <c r="F747" s="3" t="s">
        <v>19</v>
      </c>
      <c r="G747" s="3" t="s">
        <v>112</v>
      </c>
      <c r="H747" s="3">
        <v>10.0</v>
      </c>
      <c r="I747" s="3" t="s">
        <v>3320</v>
      </c>
      <c r="J747" s="3" t="s">
        <v>22</v>
      </c>
      <c r="K747" s="3" t="s">
        <v>204</v>
      </c>
      <c r="L747" s="3" t="s">
        <v>204</v>
      </c>
      <c r="M747" s="3" t="s">
        <v>378</v>
      </c>
      <c r="N747" s="3" t="s">
        <v>379</v>
      </c>
      <c r="O747" s="5">
        <v>1138.8841895</v>
      </c>
      <c r="P747" s="6" t="str">
        <f t="shared" si="2"/>
        <v>Non Banking Financial Company (NBFC)</v>
      </c>
    </row>
    <row r="748" hidden="1">
      <c r="A748" s="3" t="s">
        <v>3323</v>
      </c>
      <c r="B748" s="4">
        <v>511431.0</v>
      </c>
      <c r="C748" s="3" t="s">
        <v>3324</v>
      </c>
      <c r="D748" s="3" t="s">
        <v>3325</v>
      </c>
      <c r="E748" s="3" t="s">
        <v>3326</v>
      </c>
      <c r="F748" s="3" t="s">
        <v>19</v>
      </c>
      <c r="G748" s="3" t="s">
        <v>20</v>
      </c>
      <c r="H748" s="3">
        <v>1.0</v>
      </c>
      <c r="I748" s="3" t="s">
        <v>3323</v>
      </c>
      <c r="J748" s="3" t="s">
        <v>22</v>
      </c>
      <c r="K748" s="3" t="s">
        <v>473</v>
      </c>
      <c r="L748" s="3" t="s">
        <v>473</v>
      </c>
      <c r="M748" s="3" t="s">
        <v>1538</v>
      </c>
      <c r="N748" s="3" t="s">
        <v>1539</v>
      </c>
      <c r="O748" s="5">
        <v>2438.9769984</v>
      </c>
      <c r="P748" s="6" t="str">
        <f t="shared" si="2"/>
        <v>IT - Services</v>
      </c>
    </row>
    <row r="749" hidden="1">
      <c r="A749" s="3" t="s">
        <v>3327</v>
      </c>
      <c r="B749" s="4">
        <v>511441.0</v>
      </c>
      <c r="C749" s="3" t="s">
        <v>3328</v>
      </c>
      <c r="D749" s="3" t="s">
        <v>3329</v>
      </c>
      <c r="E749" s="3" t="s">
        <v>3330</v>
      </c>
      <c r="F749" s="3" t="s">
        <v>19</v>
      </c>
      <c r="G749" s="3" t="s">
        <v>72</v>
      </c>
      <c r="H749" s="3">
        <v>10.0</v>
      </c>
      <c r="I749" s="3" t="s">
        <v>3327</v>
      </c>
      <c r="J749" s="3" t="s">
        <v>22</v>
      </c>
      <c r="K749" s="3" t="s">
        <v>204</v>
      </c>
      <c r="L749" s="3" t="s">
        <v>204</v>
      </c>
      <c r="M749" s="3" t="s">
        <v>378</v>
      </c>
      <c r="N749" s="3" t="s">
        <v>468</v>
      </c>
      <c r="O749" s="5">
        <v>51.652159</v>
      </c>
      <c r="P749" s="6" t="str">
        <f t="shared" si="2"/>
        <v>Finance</v>
      </c>
    </row>
    <row r="750" hidden="1">
      <c r="A750" s="3" t="s">
        <v>3331</v>
      </c>
      <c r="B750" s="4">
        <v>511447.0</v>
      </c>
      <c r="C750" s="3" t="s">
        <v>3332</v>
      </c>
      <c r="D750" s="3" t="s">
        <v>3333</v>
      </c>
      <c r="E750" s="3" t="s">
        <v>3334</v>
      </c>
      <c r="F750" s="3" t="s">
        <v>19</v>
      </c>
      <c r="G750" s="3" t="s">
        <v>72</v>
      </c>
      <c r="H750" s="3">
        <v>1.0</v>
      </c>
      <c r="I750" s="3" t="s">
        <v>3331</v>
      </c>
      <c r="J750" s="3" t="s">
        <v>22</v>
      </c>
      <c r="K750" s="3" t="s">
        <v>473</v>
      </c>
      <c r="L750" s="3" t="s">
        <v>473</v>
      </c>
      <c r="M750" s="3" t="s">
        <v>1538</v>
      </c>
      <c r="N750" s="3" t="s">
        <v>1539</v>
      </c>
      <c r="O750" s="5">
        <v>67.7707931</v>
      </c>
      <c r="P750" s="6" t="str">
        <f t="shared" si="2"/>
        <v>IT - Services</v>
      </c>
    </row>
    <row r="751" hidden="1">
      <c r="A751" s="3" t="s">
        <v>3335</v>
      </c>
      <c r="B751" s="4">
        <v>511451.0</v>
      </c>
      <c r="C751" s="3" t="s">
        <v>3336</v>
      </c>
      <c r="D751" s="3" t="s">
        <v>3337</v>
      </c>
      <c r="E751" s="3" t="s">
        <v>3338</v>
      </c>
      <c r="F751" s="3" t="s">
        <v>19</v>
      </c>
      <c r="G751" s="3" t="s">
        <v>44</v>
      </c>
      <c r="H751" s="3">
        <v>10.0</v>
      </c>
      <c r="I751" s="3" t="s">
        <v>3335</v>
      </c>
      <c r="J751" s="3" t="s">
        <v>22</v>
      </c>
      <c r="K751" s="3" t="s">
        <v>204</v>
      </c>
      <c r="L751" s="3" t="s">
        <v>204</v>
      </c>
      <c r="M751" s="3" t="s">
        <v>378</v>
      </c>
      <c r="N751" s="3" t="s">
        <v>379</v>
      </c>
      <c r="O751" s="5">
        <v>1.0</v>
      </c>
      <c r="P751" s="6" t="str">
        <f t="shared" si="2"/>
        <v>Non Banking Financial Company (NBFC)</v>
      </c>
    </row>
    <row r="752" hidden="1">
      <c r="A752" s="3" t="s">
        <v>3339</v>
      </c>
      <c r="B752" s="4">
        <v>511463.0</v>
      </c>
      <c r="C752" s="3" t="s">
        <v>3340</v>
      </c>
      <c r="D752" s="3" t="s">
        <v>3341</v>
      </c>
      <c r="E752" s="3" t="s">
        <v>3342</v>
      </c>
      <c r="F752" s="3" t="s">
        <v>19</v>
      </c>
      <c r="G752" s="3" t="s">
        <v>44</v>
      </c>
      <c r="H752" s="3">
        <v>10.0</v>
      </c>
      <c r="I752" s="3" t="s">
        <v>3339</v>
      </c>
      <c r="J752" s="3" t="s">
        <v>22</v>
      </c>
      <c r="K752" s="3" t="s">
        <v>2675</v>
      </c>
      <c r="L752" s="3" t="s">
        <v>2675</v>
      </c>
      <c r="M752" s="3" t="s">
        <v>2675</v>
      </c>
      <c r="N752" s="3" t="s">
        <v>2675</v>
      </c>
      <c r="O752" s="5">
        <v>13.4855794</v>
      </c>
      <c r="P752" s="6" t="str">
        <f t="shared" si="2"/>
        <v>Diversified</v>
      </c>
    </row>
    <row r="753" hidden="1">
      <c r="A753" s="3" t="s">
        <v>3343</v>
      </c>
      <c r="B753" s="4">
        <v>511473.0</v>
      </c>
      <c r="C753" s="3" t="s">
        <v>3344</v>
      </c>
      <c r="D753" s="3" t="s">
        <v>3345</v>
      </c>
      <c r="E753" s="3" t="s">
        <v>3346</v>
      </c>
      <c r="F753" s="3" t="s">
        <v>19</v>
      </c>
      <c r="G753" s="3" t="s">
        <v>112</v>
      </c>
      <c r="H753" s="3">
        <v>10.0</v>
      </c>
      <c r="I753" s="3" t="s">
        <v>3343</v>
      </c>
      <c r="J753" s="3" t="s">
        <v>22</v>
      </c>
      <c r="K753" s="3" t="s">
        <v>204</v>
      </c>
      <c r="L753" s="3" t="s">
        <v>204</v>
      </c>
      <c r="M753" s="3" t="s">
        <v>205</v>
      </c>
      <c r="N753" s="3" t="s">
        <v>2109</v>
      </c>
      <c r="O753" s="5">
        <v>225.0715566</v>
      </c>
      <c r="P753" s="6" t="str">
        <f t="shared" si="2"/>
        <v>Capital Markets</v>
      </c>
    </row>
    <row r="754" hidden="1">
      <c r="A754" s="3" t="s">
        <v>3347</v>
      </c>
      <c r="B754" s="4">
        <v>511493.0</v>
      </c>
      <c r="C754" s="3" t="s">
        <v>3348</v>
      </c>
      <c r="D754" s="3" t="s">
        <v>3349</v>
      </c>
      <c r="E754" s="3" t="s">
        <v>3350</v>
      </c>
      <c r="F754" s="3" t="s">
        <v>19</v>
      </c>
      <c r="G754" s="3" t="s">
        <v>44</v>
      </c>
      <c r="H754" s="3">
        <v>10.0</v>
      </c>
      <c r="I754" s="3" t="s">
        <v>3347</v>
      </c>
      <c r="J754" s="3" t="s">
        <v>22</v>
      </c>
      <c r="K754" s="3" t="s">
        <v>204</v>
      </c>
      <c r="L754" s="3" t="s">
        <v>204</v>
      </c>
      <c r="M754" s="3" t="s">
        <v>378</v>
      </c>
      <c r="N754" s="3" t="s">
        <v>379</v>
      </c>
      <c r="O754" s="5">
        <v>22.3475456</v>
      </c>
      <c r="P754" s="6" t="str">
        <f t="shared" si="2"/>
        <v>Non Banking Financial Company (NBFC)</v>
      </c>
    </row>
    <row r="755" hidden="1">
      <c r="A755" s="3" t="s">
        <v>3351</v>
      </c>
      <c r="B755" s="4">
        <v>511501.0</v>
      </c>
      <c r="C755" s="3" t="s">
        <v>3352</v>
      </c>
      <c r="D755" s="3" t="s">
        <v>3353</v>
      </c>
      <c r="E755" s="3" t="s">
        <v>3354</v>
      </c>
      <c r="F755" s="3" t="s">
        <v>19</v>
      </c>
      <c r="G755" s="3" t="s">
        <v>44</v>
      </c>
      <c r="H755" s="3">
        <v>10.0</v>
      </c>
      <c r="I755" s="3" t="s">
        <v>3351</v>
      </c>
      <c r="J755" s="3" t="s">
        <v>22</v>
      </c>
      <c r="K755" s="3" t="s">
        <v>204</v>
      </c>
      <c r="L755" s="3" t="s">
        <v>204</v>
      </c>
      <c r="M755" s="3" t="s">
        <v>378</v>
      </c>
      <c r="N755" s="3" t="s">
        <v>468</v>
      </c>
      <c r="O755" s="5">
        <v>12.3851146</v>
      </c>
      <c r="P755" s="6" t="str">
        <f t="shared" si="2"/>
        <v>Finance</v>
      </c>
    </row>
    <row r="756" hidden="1">
      <c r="A756" s="3" t="s">
        <v>3355</v>
      </c>
      <c r="B756" s="4">
        <v>511505.0</v>
      </c>
      <c r="C756" s="3" t="s">
        <v>3356</v>
      </c>
      <c r="D756" s="3" t="s">
        <v>3357</v>
      </c>
      <c r="E756" s="3" t="s">
        <v>3358</v>
      </c>
      <c r="F756" s="3" t="s">
        <v>19</v>
      </c>
      <c r="G756" s="3" t="s">
        <v>112</v>
      </c>
      <c r="H756" s="3">
        <v>10.0</v>
      </c>
      <c r="I756" s="3" t="s">
        <v>3355</v>
      </c>
      <c r="J756" s="3" t="s">
        <v>22</v>
      </c>
      <c r="K756" s="3" t="s">
        <v>204</v>
      </c>
      <c r="L756" s="3" t="s">
        <v>204</v>
      </c>
      <c r="M756" s="3" t="s">
        <v>378</v>
      </c>
      <c r="N756" s="3" t="s">
        <v>379</v>
      </c>
      <c r="O756" s="5">
        <v>186.4055816</v>
      </c>
      <c r="P756" s="6" t="str">
        <f t="shared" si="2"/>
        <v>Non Banking Financial Company (NBFC)</v>
      </c>
    </row>
    <row r="757" hidden="1">
      <c r="A757" s="3" t="s">
        <v>3359</v>
      </c>
      <c r="B757" s="4">
        <v>511507.0</v>
      </c>
      <c r="C757" s="3" t="s">
        <v>3360</v>
      </c>
      <c r="D757" s="3" t="s">
        <v>3361</v>
      </c>
      <c r="E757" s="3" t="s">
        <v>3362</v>
      </c>
      <c r="F757" s="3" t="s">
        <v>19</v>
      </c>
      <c r="G757" s="3" t="s">
        <v>72</v>
      </c>
      <c r="H757" s="3">
        <v>10.0</v>
      </c>
      <c r="I757" s="3" t="s">
        <v>3359</v>
      </c>
      <c r="J757" s="3" t="s">
        <v>22</v>
      </c>
      <c r="K757" s="3" t="s">
        <v>204</v>
      </c>
      <c r="L757" s="3" t="s">
        <v>204</v>
      </c>
      <c r="M757" s="3" t="s">
        <v>378</v>
      </c>
      <c r="N757" s="3" t="s">
        <v>379</v>
      </c>
      <c r="O757" s="5">
        <v>1.0</v>
      </c>
      <c r="P757" s="6" t="str">
        <f t="shared" si="2"/>
        <v>Non Banking Financial Company (NBFC)</v>
      </c>
    </row>
    <row r="758" hidden="1">
      <c r="A758" s="3" t="s">
        <v>3363</v>
      </c>
      <c r="B758" s="4">
        <v>511509.0</v>
      </c>
      <c r="C758" s="3" t="s">
        <v>3364</v>
      </c>
      <c r="D758" s="3" t="s">
        <v>3365</v>
      </c>
      <c r="E758" s="3" t="s">
        <v>3366</v>
      </c>
      <c r="F758" s="3" t="s">
        <v>19</v>
      </c>
      <c r="G758" s="3" t="s">
        <v>44</v>
      </c>
      <c r="H758" s="3">
        <v>10.0</v>
      </c>
      <c r="I758" s="3" t="s">
        <v>3363</v>
      </c>
      <c r="J758" s="3" t="s">
        <v>22</v>
      </c>
      <c r="K758" s="3" t="s">
        <v>45</v>
      </c>
      <c r="L758" s="3" t="s">
        <v>45</v>
      </c>
      <c r="M758" s="3" t="s">
        <v>46</v>
      </c>
      <c r="N758" s="3" t="s">
        <v>3367</v>
      </c>
      <c r="O758" s="5">
        <v>60.5529627</v>
      </c>
      <c r="P758" s="6" t="str">
        <f t="shared" si="2"/>
        <v>Pharmaceuticals &amp; Biotechnology</v>
      </c>
    </row>
    <row r="759" hidden="1">
      <c r="A759" s="3" t="s">
        <v>3368</v>
      </c>
      <c r="B759" s="4">
        <v>511523.0</v>
      </c>
      <c r="C759" s="3" t="s">
        <v>3369</v>
      </c>
      <c r="D759" s="3" t="s">
        <v>3370</v>
      </c>
      <c r="E759" s="3" t="s">
        <v>3369</v>
      </c>
      <c r="F759" s="3" t="s">
        <v>19</v>
      </c>
      <c r="G759" s="3" t="s">
        <v>44</v>
      </c>
      <c r="H759" s="3">
        <v>10.0</v>
      </c>
      <c r="I759" s="3" t="s">
        <v>3368</v>
      </c>
      <c r="J759" s="3" t="s">
        <v>22</v>
      </c>
      <c r="K759" s="3" t="s">
        <v>45</v>
      </c>
      <c r="L759" s="3" t="s">
        <v>45</v>
      </c>
      <c r="M759" s="3" t="s">
        <v>46</v>
      </c>
      <c r="N759" s="3" t="s">
        <v>47</v>
      </c>
      <c r="O759" s="5">
        <v>41.4817903</v>
      </c>
      <c r="P759" s="6" t="str">
        <f t="shared" si="2"/>
        <v>Pharmaceuticals</v>
      </c>
    </row>
    <row r="760" hidden="1">
      <c r="A760" s="3" t="s">
        <v>3371</v>
      </c>
      <c r="B760" s="4">
        <v>511525.0</v>
      </c>
      <c r="C760" s="3" t="s">
        <v>3372</v>
      </c>
      <c r="D760" s="3" t="s">
        <v>3373</v>
      </c>
      <c r="E760" s="3" t="s">
        <v>3374</v>
      </c>
      <c r="F760" s="3" t="s">
        <v>19</v>
      </c>
      <c r="G760" s="3" t="s">
        <v>44</v>
      </c>
      <c r="H760" s="3">
        <v>10.0</v>
      </c>
      <c r="I760" s="3" t="s">
        <v>3371</v>
      </c>
      <c r="J760" s="3" t="s">
        <v>22</v>
      </c>
      <c r="K760" s="3" t="s">
        <v>204</v>
      </c>
      <c r="L760" s="3" t="s">
        <v>204</v>
      </c>
      <c r="M760" s="3" t="s">
        <v>378</v>
      </c>
      <c r="N760" s="3" t="s">
        <v>384</v>
      </c>
      <c r="O760" s="5">
        <v>54.9329799</v>
      </c>
      <c r="P760" s="6" t="str">
        <f t="shared" si="2"/>
        <v>Finance</v>
      </c>
    </row>
    <row r="761" hidden="1">
      <c r="A761" s="3" t="s">
        <v>3375</v>
      </c>
      <c r="B761" s="4">
        <v>511533.0</v>
      </c>
      <c r="C761" s="3" t="s">
        <v>3376</v>
      </c>
      <c r="D761" s="3" t="s">
        <v>3377</v>
      </c>
      <c r="E761" s="3" t="s">
        <v>3378</v>
      </c>
      <c r="F761" s="3" t="s">
        <v>19</v>
      </c>
      <c r="G761" s="3" t="s">
        <v>44</v>
      </c>
      <c r="H761" s="3">
        <v>10.0</v>
      </c>
      <c r="I761" s="3" t="s">
        <v>3375</v>
      </c>
      <c r="J761" s="3" t="s">
        <v>22</v>
      </c>
      <c r="K761" s="3" t="s">
        <v>204</v>
      </c>
      <c r="L761" s="3" t="s">
        <v>204</v>
      </c>
      <c r="M761" s="3" t="s">
        <v>378</v>
      </c>
      <c r="N761" s="3" t="s">
        <v>3066</v>
      </c>
      <c r="O761" s="5">
        <v>24.7161931</v>
      </c>
      <c r="P761" s="6" t="str">
        <f t="shared" si="2"/>
        <v>Finance</v>
      </c>
    </row>
    <row r="762" hidden="1">
      <c r="A762" s="3" t="s">
        <v>3379</v>
      </c>
      <c r="B762" s="4">
        <v>511535.0</v>
      </c>
      <c r="C762" s="3" t="s">
        <v>3380</v>
      </c>
      <c r="D762" s="3" t="s">
        <v>3381</v>
      </c>
      <c r="E762" s="3" t="s">
        <v>3382</v>
      </c>
      <c r="F762" s="3" t="s">
        <v>19</v>
      </c>
      <c r="G762" s="3" t="s">
        <v>72</v>
      </c>
      <c r="H762" s="3">
        <v>10.0</v>
      </c>
      <c r="I762" s="3" t="s">
        <v>3379</v>
      </c>
      <c r="J762" s="3" t="s">
        <v>22</v>
      </c>
      <c r="K762" s="3" t="s">
        <v>204</v>
      </c>
      <c r="L762" s="3" t="s">
        <v>204</v>
      </c>
      <c r="M762" s="3" t="s">
        <v>378</v>
      </c>
      <c r="N762" s="3" t="s">
        <v>468</v>
      </c>
      <c r="O762" s="5">
        <v>1.0</v>
      </c>
      <c r="P762" s="6" t="str">
        <f t="shared" si="2"/>
        <v>Finance</v>
      </c>
    </row>
    <row r="763" hidden="1">
      <c r="A763" s="3" t="s">
        <v>3383</v>
      </c>
      <c r="B763" s="4">
        <v>511543.0</v>
      </c>
      <c r="C763" s="3" t="s">
        <v>3384</v>
      </c>
      <c r="D763" s="3" t="s">
        <v>3385</v>
      </c>
      <c r="E763" s="3" t="s">
        <v>3386</v>
      </c>
      <c r="F763" s="3" t="s">
        <v>19</v>
      </c>
      <c r="G763" s="3" t="s">
        <v>44</v>
      </c>
      <c r="H763" s="3">
        <v>10.0</v>
      </c>
      <c r="I763" s="3" t="s">
        <v>3383</v>
      </c>
      <c r="J763" s="3" t="s">
        <v>22</v>
      </c>
      <c r="K763" s="3" t="s">
        <v>204</v>
      </c>
      <c r="L763" s="3" t="s">
        <v>204</v>
      </c>
      <c r="M763" s="3" t="s">
        <v>378</v>
      </c>
      <c r="N763" s="3" t="s">
        <v>379</v>
      </c>
      <c r="O763" s="5">
        <v>1.0</v>
      </c>
      <c r="P763" s="6" t="str">
        <f t="shared" si="2"/>
        <v>Non Banking Financial Company (NBFC)</v>
      </c>
    </row>
    <row r="764" hidden="1">
      <c r="A764" s="3" t="s">
        <v>3387</v>
      </c>
      <c r="B764" s="4">
        <v>511549.0</v>
      </c>
      <c r="C764" s="3" t="s">
        <v>3388</v>
      </c>
      <c r="D764" s="3" t="s">
        <v>3389</v>
      </c>
      <c r="E764" s="3" t="s">
        <v>3390</v>
      </c>
      <c r="F764" s="3" t="s">
        <v>19</v>
      </c>
      <c r="G764" s="3" t="s">
        <v>44</v>
      </c>
      <c r="H764" s="3">
        <v>10.0</v>
      </c>
      <c r="I764" s="3" t="s">
        <v>3387</v>
      </c>
      <c r="J764" s="3" t="s">
        <v>22</v>
      </c>
      <c r="K764" s="3" t="s">
        <v>204</v>
      </c>
      <c r="L764" s="3" t="s">
        <v>204</v>
      </c>
      <c r="M764" s="3" t="s">
        <v>378</v>
      </c>
      <c r="N764" s="3" t="s">
        <v>379</v>
      </c>
      <c r="O764" s="5">
        <v>66.3877774</v>
      </c>
      <c r="P764" s="6" t="str">
        <f t="shared" si="2"/>
        <v>Non Banking Financial Company (NBFC)</v>
      </c>
    </row>
    <row r="765" hidden="1">
      <c r="A765" s="3" t="s">
        <v>3391</v>
      </c>
      <c r="B765" s="4">
        <v>511551.0</v>
      </c>
      <c r="C765" s="3" t="s">
        <v>3392</v>
      </c>
      <c r="D765" s="3" t="s">
        <v>3393</v>
      </c>
      <c r="E765" s="3" t="s">
        <v>3394</v>
      </c>
      <c r="F765" s="3" t="s">
        <v>19</v>
      </c>
      <c r="G765" s="3" t="s">
        <v>112</v>
      </c>
      <c r="H765" s="3">
        <v>10.0</v>
      </c>
      <c r="I765" s="3" t="s">
        <v>3391</v>
      </c>
      <c r="J765" s="3" t="s">
        <v>22</v>
      </c>
      <c r="K765" s="3" t="s">
        <v>204</v>
      </c>
      <c r="L765" s="3" t="s">
        <v>204</v>
      </c>
      <c r="M765" s="3" t="s">
        <v>205</v>
      </c>
      <c r="N765" s="3" t="s">
        <v>2109</v>
      </c>
      <c r="O765" s="5">
        <v>1730.1879577</v>
      </c>
      <c r="P765" s="6" t="str">
        <f t="shared" si="2"/>
        <v>Capital Markets</v>
      </c>
    </row>
    <row r="766" hidden="1">
      <c r="A766" s="3" t="s">
        <v>3395</v>
      </c>
      <c r="B766" s="4">
        <v>538920.0</v>
      </c>
      <c r="C766" s="3" t="s">
        <v>3396</v>
      </c>
      <c r="D766" s="3" t="s">
        <v>3397</v>
      </c>
      <c r="E766" s="3" t="s">
        <v>3398</v>
      </c>
      <c r="F766" s="3" t="s">
        <v>19</v>
      </c>
      <c r="G766" s="3" t="s">
        <v>44</v>
      </c>
      <c r="H766" s="3">
        <v>10.0</v>
      </c>
      <c r="I766" s="3" t="s">
        <v>3399</v>
      </c>
      <c r="J766" s="3" t="s">
        <v>22</v>
      </c>
      <c r="K766" s="3" t="s">
        <v>1673</v>
      </c>
      <c r="L766" s="3" t="s">
        <v>1673</v>
      </c>
      <c r="M766" s="3" t="s">
        <v>1674</v>
      </c>
      <c r="N766" s="3" t="s">
        <v>1915</v>
      </c>
      <c r="O766" s="5">
        <v>826.6747</v>
      </c>
      <c r="P766" s="6" t="str">
        <f t="shared" si="2"/>
        <v>Commercial Services &amp; Supplies</v>
      </c>
    </row>
    <row r="767" hidden="1">
      <c r="A767" s="3" t="s">
        <v>3400</v>
      </c>
      <c r="B767" s="4">
        <v>511559.0</v>
      </c>
      <c r="C767" s="3" t="s">
        <v>3401</v>
      </c>
      <c r="D767" s="3" t="s">
        <v>3402</v>
      </c>
      <c r="E767" s="3" t="s">
        <v>3403</v>
      </c>
      <c r="F767" s="3" t="s">
        <v>19</v>
      </c>
      <c r="G767" s="3" t="s">
        <v>112</v>
      </c>
      <c r="H767" s="3">
        <v>10.0</v>
      </c>
      <c r="I767" s="3" t="s">
        <v>3400</v>
      </c>
      <c r="J767" s="3" t="s">
        <v>22</v>
      </c>
      <c r="K767" s="3" t="s">
        <v>204</v>
      </c>
      <c r="L767" s="3" t="s">
        <v>204</v>
      </c>
      <c r="M767" s="3" t="s">
        <v>378</v>
      </c>
      <c r="N767" s="3" t="s">
        <v>379</v>
      </c>
      <c r="O767" s="5">
        <v>120.4769611</v>
      </c>
      <c r="P767" s="6" t="str">
        <f t="shared" si="2"/>
        <v>Non Banking Financial Company (NBFC)</v>
      </c>
    </row>
    <row r="768" hidden="1">
      <c r="A768" s="3" t="s">
        <v>3404</v>
      </c>
      <c r="B768" s="4">
        <v>542383.0</v>
      </c>
      <c r="C768" s="3" t="s">
        <v>3405</v>
      </c>
      <c r="D768" s="3" t="s">
        <v>3406</v>
      </c>
      <c r="E768" s="3" t="s">
        <v>3407</v>
      </c>
      <c r="F768" s="3" t="s">
        <v>19</v>
      </c>
      <c r="G768" s="3" t="s">
        <v>112</v>
      </c>
      <c r="H768" s="3">
        <v>10.0</v>
      </c>
      <c r="I768" s="3" t="s">
        <v>3408</v>
      </c>
      <c r="J768" s="3" t="s">
        <v>22</v>
      </c>
      <c r="K768" s="3" t="s">
        <v>1673</v>
      </c>
      <c r="L768" s="3" t="s">
        <v>1673</v>
      </c>
      <c r="M768" s="3" t="s">
        <v>1689</v>
      </c>
      <c r="N768" s="3" t="s">
        <v>1690</v>
      </c>
      <c r="O768" s="5">
        <v>743.6578229</v>
      </c>
      <c r="P768" s="6" t="str">
        <f t="shared" si="2"/>
        <v>Transport Services</v>
      </c>
    </row>
    <row r="769" hidden="1">
      <c r="A769" s="3" t="s">
        <v>3409</v>
      </c>
      <c r="B769" s="4">
        <v>511571.0</v>
      </c>
      <c r="C769" s="3" t="s">
        <v>3410</v>
      </c>
      <c r="D769" s="3" t="s">
        <v>3411</v>
      </c>
      <c r="E769" s="3" t="s">
        <v>3412</v>
      </c>
      <c r="F769" s="3" t="s">
        <v>19</v>
      </c>
      <c r="G769" s="3" t="s">
        <v>72</v>
      </c>
      <c r="H769" s="3">
        <v>10.0</v>
      </c>
      <c r="I769" s="3" t="s">
        <v>3409</v>
      </c>
      <c r="J769" s="3" t="s">
        <v>22</v>
      </c>
      <c r="K769" s="3" t="s">
        <v>204</v>
      </c>
      <c r="L769" s="3" t="s">
        <v>204</v>
      </c>
      <c r="M769" s="3" t="s">
        <v>378</v>
      </c>
      <c r="N769" s="3" t="s">
        <v>379</v>
      </c>
      <c r="O769" s="5">
        <v>123.4151912</v>
      </c>
      <c r="P769" s="6" t="str">
        <f t="shared" si="2"/>
        <v>Non Banking Financial Company (NBFC)</v>
      </c>
    </row>
    <row r="770" hidden="1">
      <c r="A770" s="3" t="s">
        <v>3413</v>
      </c>
      <c r="B770" s="4">
        <v>520151.0</v>
      </c>
      <c r="C770" s="3" t="s">
        <v>3414</v>
      </c>
      <c r="D770" s="3" t="s">
        <v>3415</v>
      </c>
      <c r="E770" s="3" t="s">
        <v>3416</v>
      </c>
      <c r="F770" s="3" t="s">
        <v>19</v>
      </c>
      <c r="G770" s="3" t="s">
        <v>112</v>
      </c>
      <c r="H770" s="3">
        <v>10.0</v>
      </c>
      <c r="I770" s="3" t="s">
        <v>3417</v>
      </c>
      <c r="J770" s="3" t="s">
        <v>22</v>
      </c>
      <c r="K770" s="3" t="s">
        <v>1673</v>
      </c>
      <c r="L770" s="3" t="s">
        <v>1673</v>
      </c>
      <c r="M770" s="3" t="s">
        <v>1689</v>
      </c>
      <c r="N770" s="3" t="s">
        <v>2055</v>
      </c>
      <c r="O770" s="5">
        <v>726.8083481</v>
      </c>
      <c r="P770" s="6" t="str">
        <f t="shared" si="2"/>
        <v>Transport Services</v>
      </c>
    </row>
    <row r="771" hidden="1">
      <c r="A771" s="3" t="s">
        <v>3418</v>
      </c>
      <c r="B771" s="4">
        <v>511589.0</v>
      </c>
      <c r="C771" s="3" t="s">
        <v>3419</v>
      </c>
      <c r="D771" s="3" t="s">
        <v>3420</v>
      </c>
      <c r="E771" s="3" t="s">
        <v>3419</v>
      </c>
      <c r="F771" s="3" t="s">
        <v>19</v>
      </c>
      <c r="G771" s="3" t="s">
        <v>86</v>
      </c>
      <c r="H771" s="3">
        <v>1.0</v>
      </c>
      <c r="I771" s="3" t="s">
        <v>3418</v>
      </c>
      <c r="J771" s="3" t="s">
        <v>22</v>
      </c>
      <c r="K771" s="3" t="s">
        <v>204</v>
      </c>
      <c r="L771" s="3" t="s">
        <v>204</v>
      </c>
      <c r="M771" s="3" t="s">
        <v>378</v>
      </c>
      <c r="N771" s="3" t="s">
        <v>379</v>
      </c>
      <c r="O771" s="5">
        <v>309.533389</v>
      </c>
      <c r="P771" s="6" t="str">
        <f t="shared" si="2"/>
        <v>Non Banking Financial Company (NBFC)</v>
      </c>
    </row>
    <row r="772" hidden="1">
      <c r="A772" s="3" t="s">
        <v>3421</v>
      </c>
      <c r="B772" s="4">
        <v>511593.0</v>
      </c>
      <c r="C772" s="3" t="s">
        <v>3422</v>
      </c>
      <c r="D772" s="3" t="s">
        <v>3423</v>
      </c>
      <c r="E772" s="3" t="s">
        <v>3424</v>
      </c>
      <c r="F772" s="3" t="s">
        <v>19</v>
      </c>
      <c r="G772" s="3" t="s">
        <v>72</v>
      </c>
      <c r="H772" s="3">
        <v>10.0</v>
      </c>
      <c r="I772" s="3" t="s">
        <v>3421</v>
      </c>
      <c r="J772" s="3" t="s">
        <v>22</v>
      </c>
      <c r="K772" s="3" t="s">
        <v>204</v>
      </c>
      <c r="L772" s="3" t="s">
        <v>204</v>
      </c>
      <c r="M772" s="3" t="s">
        <v>378</v>
      </c>
      <c r="N772" s="3" t="s">
        <v>379</v>
      </c>
      <c r="O772" s="5">
        <v>1.0</v>
      </c>
      <c r="P772" s="6" t="str">
        <f t="shared" si="2"/>
        <v>Non Banking Financial Company (NBFC)</v>
      </c>
    </row>
    <row r="773" hidden="1">
      <c r="A773" s="3" t="s">
        <v>3425</v>
      </c>
      <c r="B773" s="4">
        <v>532686.0</v>
      </c>
      <c r="C773" s="3" t="s">
        <v>3426</v>
      </c>
      <c r="D773" s="3" t="s">
        <v>3427</v>
      </c>
      <c r="E773" s="3" t="s">
        <v>3428</v>
      </c>
      <c r="F773" s="3" t="s">
        <v>19</v>
      </c>
      <c r="G773" s="3" t="s">
        <v>112</v>
      </c>
      <c r="H773" s="3">
        <v>10.0</v>
      </c>
      <c r="I773" s="3" t="s">
        <v>3429</v>
      </c>
      <c r="J773" s="3" t="s">
        <v>22</v>
      </c>
      <c r="K773" s="3" t="s">
        <v>1673</v>
      </c>
      <c r="L773" s="3" t="s">
        <v>1673</v>
      </c>
      <c r="M773" s="3" t="s">
        <v>1689</v>
      </c>
      <c r="N773" s="3" t="s">
        <v>3430</v>
      </c>
      <c r="O773" s="5">
        <v>706.5539116</v>
      </c>
      <c r="P773" s="6" t="str">
        <f t="shared" si="2"/>
        <v>Transport Services</v>
      </c>
    </row>
    <row r="774" hidden="1">
      <c r="A774" s="3" t="s">
        <v>3431</v>
      </c>
      <c r="B774" s="4">
        <v>511605.0</v>
      </c>
      <c r="C774" s="3" t="s">
        <v>3432</v>
      </c>
      <c r="D774" s="3" t="s">
        <v>3433</v>
      </c>
      <c r="E774" s="3" t="s">
        <v>3434</v>
      </c>
      <c r="F774" s="3" t="s">
        <v>19</v>
      </c>
      <c r="G774" s="3" t="s">
        <v>112</v>
      </c>
      <c r="H774" s="3">
        <v>1.0</v>
      </c>
      <c r="I774" s="3" t="s">
        <v>3431</v>
      </c>
      <c r="J774" s="3" t="s">
        <v>22</v>
      </c>
      <c r="K774" s="3" t="s">
        <v>204</v>
      </c>
      <c r="L774" s="3" t="s">
        <v>204</v>
      </c>
      <c r="M774" s="3" t="s">
        <v>205</v>
      </c>
      <c r="N774" s="3" t="s">
        <v>2109</v>
      </c>
      <c r="O774" s="5">
        <v>740.378205</v>
      </c>
      <c r="P774" s="6" t="str">
        <f t="shared" si="2"/>
        <v>Capital Markets</v>
      </c>
    </row>
    <row r="775" hidden="1">
      <c r="A775" s="3" t="s">
        <v>3435</v>
      </c>
      <c r="B775" s="4">
        <v>511609.0</v>
      </c>
      <c r="C775" s="3" t="s">
        <v>3436</v>
      </c>
      <c r="D775" s="3" t="s">
        <v>3437</v>
      </c>
      <c r="E775" s="3" t="s">
        <v>3438</v>
      </c>
      <c r="F775" s="3" t="s">
        <v>19</v>
      </c>
      <c r="G775" s="3" t="s">
        <v>44</v>
      </c>
      <c r="H775" s="3">
        <v>5.0</v>
      </c>
      <c r="I775" s="3" t="s">
        <v>3435</v>
      </c>
      <c r="J775" s="3" t="s">
        <v>22</v>
      </c>
      <c r="K775" s="3" t="s">
        <v>204</v>
      </c>
      <c r="L775" s="3" t="s">
        <v>204</v>
      </c>
      <c r="M775" s="3" t="s">
        <v>378</v>
      </c>
      <c r="N775" s="3" t="s">
        <v>468</v>
      </c>
      <c r="O775" s="5">
        <v>68.0722625</v>
      </c>
      <c r="P775" s="6" t="str">
        <f t="shared" si="2"/>
        <v>Finance</v>
      </c>
    </row>
    <row r="776" hidden="1">
      <c r="A776" s="3" t="s">
        <v>3439</v>
      </c>
      <c r="B776" s="4">
        <v>511611.0</v>
      </c>
      <c r="C776" s="3" t="s">
        <v>3440</v>
      </c>
      <c r="D776" s="3" t="s">
        <v>3441</v>
      </c>
      <c r="E776" s="3" t="s">
        <v>3442</v>
      </c>
      <c r="F776" s="3" t="s">
        <v>19</v>
      </c>
      <c r="G776" s="3" t="s">
        <v>86</v>
      </c>
      <c r="H776" s="3">
        <v>10.0</v>
      </c>
      <c r="I776" s="3" t="s">
        <v>3439</v>
      </c>
      <c r="J776" s="3" t="s">
        <v>22</v>
      </c>
      <c r="K776" s="3" t="s">
        <v>204</v>
      </c>
      <c r="L776" s="3" t="s">
        <v>204</v>
      </c>
      <c r="M776" s="3" t="s">
        <v>378</v>
      </c>
      <c r="N776" s="3" t="s">
        <v>384</v>
      </c>
      <c r="O776" s="5">
        <v>13.8338331</v>
      </c>
      <c r="P776" s="6" t="str">
        <f t="shared" si="2"/>
        <v>Finance</v>
      </c>
    </row>
    <row r="777" hidden="1">
      <c r="A777" s="3" t="s">
        <v>3443</v>
      </c>
      <c r="B777" s="4">
        <v>511626.0</v>
      </c>
      <c r="C777" s="3" t="s">
        <v>3444</v>
      </c>
      <c r="D777" s="3" t="s">
        <v>3445</v>
      </c>
      <c r="E777" s="3" t="s">
        <v>3446</v>
      </c>
      <c r="F777" s="3" t="s">
        <v>19</v>
      </c>
      <c r="G777" s="3" t="s">
        <v>72</v>
      </c>
      <c r="H777" s="3">
        <v>10.0</v>
      </c>
      <c r="I777" s="3" t="s">
        <v>3443</v>
      </c>
      <c r="J777" s="3" t="s">
        <v>22</v>
      </c>
      <c r="K777" s="3" t="s">
        <v>204</v>
      </c>
      <c r="L777" s="3" t="s">
        <v>204</v>
      </c>
      <c r="M777" s="3" t="s">
        <v>378</v>
      </c>
      <c r="N777" s="3" t="s">
        <v>379</v>
      </c>
      <c r="O777" s="5">
        <v>19.6773069</v>
      </c>
      <c r="P777" s="6" t="str">
        <f t="shared" si="2"/>
        <v>Non Banking Financial Company (NBFC)</v>
      </c>
    </row>
    <row r="778" hidden="1">
      <c r="A778" s="3" t="s">
        <v>3447</v>
      </c>
      <c r="B778" s="4">
        <v>511628.0</v>
      </c>
      <c r="C778" s="3" t="s">
        <v>3448</v>
      </c>
      <c r="D778" s="3" t="s">
        <v>3449</v>
      </c>
      <c r="E778" s="3" t="s">
        <v>3448</v>
      </c>
      <c r="F778" s="3" t="s">
        <v>19</v>
      </c>
      <c r="G778" s="3" t="s">
        <v>44</v>
      </c>
      <c r="H778" s="3">
        <v>10.0</v>
      </c>
      <c r="I778" s="3" t="s">
        <v>3447</v>
      </c>
      <c r="J778" s="3" t="s">
        <v>22</v>
      </c>
      <c r="K778" s="3" t="s">
        <v>204</v>
      </c>
      <c r="L778" s="3" t="s">
        <v>204</v>
      </c>
      <c r="M778" s="3" t="s">
        <v>378</v>
      </c>
      <c r="N778" s="3" t="s">
        <v>379</v>
      </c>
      <c r="O778" s="5">
        <v>961.800959</v>
      </c>
      <c r="P778" s="6" t="str">
        <f t="shared" si="2"/>
        <v>Non Banking Financial Company (NBFC)</v>
      </c>
    </row>
    <row r="779" hidden="1">
      <c r="A779" s="3" t="s">
        <v>3450</v>
      </c>
      <c r="B779" s="4">
        <v>511630.0</v>
      </c>
      <c r="C779" s="3" t="s">
        <v>3451</v>
      </c>
      <c r="D779" s="3" t="s">
        <v>3452</v>
      </c>
      <c r="E779" s="3" t="s">
        <v>3453</v>
      </c>
      <c r="F779" s="3" t="s">
        <v>19</v>
      </c>
      <c r="G779" s="3" t="s">
        <v>112</v>
      </c>
      <c r="H779" s="3">
        <v>1.0</v>
      </c>
      <c r="I779" s="3" t="s">
        <v>3450</v>
      </c>
      <c r="J779" s="3" t="s">
        <v>22</v>
      </c>
      <c r="K779" s="3" t="s">
        <v>58</v>
      </c>
      <c r="L779" s="3" t="s">
        <v>182</v>
      </c>
      <c r="M779" s="3" t="s">
        <v>183</v>
      </c>
      <c r="N779" s="3" t="s">
        <v>3454</v>
      </c>
      <c r="O779" s="5">
        <v>88.2729157</v>
      </c>
      <c r="P779" s="6" t="str">
        <f t="shared" si="2"/>
        <v>Media</v>
      </c>
    </row>
    <row r="780" hidden="1">
      <c r="A780" s="3" t="s">
        <v>3455</v>
      </c>
      <c r="B780" s="4">
        <v>511634.0</v>
      </c>
      <c r="C780" s="3" t="s">
        <v>3456</v>
      </c>
      <c r="D780" s="3" t="s">
        <v>3457</v>
      </c>
      <c r="E780" s="3" t="s">
        <v>3458</v>
      </c>
      <c r="F780" s="3" t="s">
        <v>19</v>
      </c>
      <c r="G780" s="3" t="s">
        <v>72</v>
      </c>
      <c r="H780" s="3">
        <v>10.0</v>
      </c>
      <c r="I780" s="3" t="s">
        <v>3455</v>
      </c>
      <c r="J780" s="3" t="s">
        <v>22</v>
      </c>
      <c r="K780" s="3" t="s">
        <v>97</v>
      </c>
      <c r="L780" s="3" t="s">
        <v>965</v>
      </c>
      <c r="M780" s="3" t="s">
        <v>965</v>
      </c>
      <c r="N780" s="3" t="s">
        <v>966</v>
      </c>
      <c r="O780" s="5">
        <v>1.0</v>
      </c>
      <c r="P780" s="6" t="str">
        <f t="shared" si="2"/>
        <v>Civil Construction</v>
      </c>
    </row>
    <row r="781" hidden="1">
      <c r="A781" s="3" t="s">
        <v>3459</v>
      </c>
      <c r="B781" s="4">
        <v>511644.0</v>
      </c>
      <c r="C781" s="3" t="s">
        <v>3460</v>
      </c>
      <c r="D781" s="3" t="s">
        <v>3461</v>
      </c>
      <c r="E781" s="3" t="s">
        <v>3462</v>
      </c>
      <c r="F781" s="3" t="s">
        <v>19</v>
      </c>
      <c r="G781" s="3" t="s">
        <v>72</v>
      </c>
      <c r="H781" s="3">
        <v>10.0</v>
      </c>
      <c r="I781" s="3" t="s">
        <v>3459</v>
      </c>
      <c r="J781" s="3" t="s">
        <v>22</v>
      </c>
      <c r="K781" s="3" t="s">
        <v>473</v>
      </c>
      <c r="L781" s="3" t="s">
        <v>473</v>
      </c>
      <c r="M781" s="3" t="s">
        <v>1391</v>
      </c>
      <c r="N781" s="3" t="s">
        <v>1392</v>
      </c>
      <c r="O781" s="5">
        <v>1.0</v>
      </c>
      <c r="P781" s="6" t="str">
        <f t="shared" si="2"/>
        <v>IT - Software</v>
      </c>
    </row>
    <row r="782" hidden="1">
      <c r="A782" s="3" t="s">
        <v>3463</v>
      </c>
      <c r="B782" s="4">
        <v>511654.0</v>
      </c>
      <c r="C782" s="3" t="s">
        <v>3464</v>
      </c>
      <c r="D782" s="3" t="s">
        <v>3465</v>
      </c>
      <c r="E782" s="3" t="s">
        <v>3466</v>
      </c>
      <c r="F782" s="3" t="s">
        <v>19</v>
      </c>
      <c r="G782" s="3" t="s">
        <v>44</v>
      </c>
      <c r="H782" s="3">
        <v>10.0</v>
      </c>
      <c r="I782" s="3" t="s">
        <v>3463</v>
      </c>
      <c r="J782" s="3" t="s">
        <v>22</v>
      </c>
      <c r="K782" s="3" t="s">
        <v>204</v>
      </c>
      <c r="L782" s="3" t="s">
        <v>204</v>
      </c>
      <c r="M782" s="3" t="s">
        <v>378</v>
      </c>
      <c r="N782" s="3" t="s">
        <v>379</v>
      </c>
      <c r="O782" s="5">
        <v>1.0</v>
      </c>
      <c r="P782" s="6" t="str">
        <f t="shared" si="2"/>
        <v>Non Banking Financial Company (NBFC)</v>
      </c>
    </row>
    <row r="783" hidden="1">
      <c r="A783" s="3" t="s">
        <v>3467</v>
      </c>
      <c r="B783" s="4">
        <v>511658.0</v>
      </c>
      <c r="C783" s="3" t="s">
        <v>3468</v>
      </c>
      <c r="D783" s="3" t="s">
        <v>3469</v>
      </c>
      <c r="E783" s="3" t="s">
        <v>3470</v>
      </c>
      <c r="F783" s="3" t="s">
        <v>19</v>
      </c>
      <c r="G783" s="3" t="s">
        <v>44</v>
      </c>
      <c r="H783" s="3">
        <v>10.0</v>
      </c>
      <c r="I783" s="3" t="s">
        <v>3467</v>
      </c>
      <c r="J783" s="3" t="s">
        <v>22</v>
      </c>
      <c r="K783" s="3" t="s">
        <v>189</v>
      </c>
      <c r="L783" s="3" t="s">
        <v>189</v>
      </c>
      <c r="M783" s="3" t="s">
        <v>291</v>
      </c>
      <c r="N783" s="3" t="s">
        <v>423</v>
      </c>
      <c r="O783" s="5">
        <v>264.4202125</v>
      </c>
      <c r="P783" s="6" t="str">
        <f t="shared" si="2"/>
        <v>Telecom - Services</v>
      </c>
    </row>
    <row r="784" hidden="1">
      <c r="A784" s="3" t="s">
        <v>3471</v>
      </c>
      <c r="B784" s="4">
        <v>511664.0</v>
      </c>
      <c r="C784" s="3" t="s">
        <v>3472</v>
      </c>
      <c r="D784" s="3" t="s">
        <v>3473</v>
      </c>
      <c r="E784" s="3" t="s">
        <v>3474</v>
      </c>
      <c r="F784" s="3" t="s">
        <v>19</v>
      </c>
      <c r="G784" s="3" t="s">
        <v>72</v>
      </c>
      <c r="H784" s="3">
        <v>10.0</v>
      </c>
      <c r="I784" s="3" t="s">
        <v>3471</v>
      </c>
      <c r="J784" s="3" t="s">
        <v>22</v>
      </c>
      <c r="K784" s="3" t="s">
        <v>58</v>
      </c>
      <c r="L784" s="3" t="s">
        <v>182</v>
      </c>
      <c r="M784" s="3" t="s">
        <v>1168</v>
      </c>
      <c r="N784" s="3" t="s">
        <v>1568</v>
      </c>
      <c r="O784" s="5">
        <v>1.0</v>
      </c>
      <c r="P784" s="6" t="str">
        <f t="shared" si="2"/>
        <v>Entertainment</v>
      </c>
    </row>
    <row r="785" hidden="1">
      <c r="A785" s="3" t="s">
        <v>3475</v>
      </c>
      <c r="B785" s="4">
        <v>511672.0</v>
      </c>
      <c r="C785" s="3" t="s">
        <v>3476</v>
      </c>
      <c r="D785" s="3" t="s">
        <v>3477</v>
      </c>
      <c r="E785" s="3" t="s">
        <v>3476</v>
      </c>
      <c r="F785" s="3" t="s">
        <v>19</v>
      </c>
      <c r="G785" s="3" t="s">
        <v>44</v>
      </c>
      <c r="H785" s="3">
        <v>10.0</v>
      </c>
      <c r="I785" s="3" t="s">
        <v>3475</v>
      </c>
      <c r="J785" s="3" t="s">
        <v>22</v>
      </c>
      <c r="K785" s="3" t="s">
        <v>23</v>
      </c>
      <c r="L785" s="3" t="s">
        <v>65</v>
      </c>
      <c r="M785" s="3" t="s">
        <v>106</v>
      </c>
      <c r="N785" s="3" t="s">
        <v>107</v>
      </c>
      <c r="O785" s="5">
        <v>337.3474682</v>
      </c>
      <c r="P785" s="6" t="str">
        <f t="shared" si="2"/>
        <v>Ferrous Metals</v>
      </c>
    </row>
    <row r="786" hidden="1">
      <c r="A786" s="3" t="s">
        <v>3478</v>
      </c>
      <c r="B786" s="4">
        <v>511676.0</v>
      </c>
      <c r="C786" s="3" t="s">
        <v>3479</v>
      </c>
      <c r="D786" s="3" t="s">
        <v>3480</v>
      </c>
      <c r="E786" s="3" t="s">
        <v>3481</v>
      </c>
      <c r="F786" s="3" t="s">
        <v>19</v>
      </c>
      <c r="G786" s="3" t="s">
        <v>112</v>
      </c>
      <c r="H786" s="3">
        <v>10.0</v>
      </c>
      <c r="I786" s="3" t="s">
        <v>3478</v>
      </c>
      <c r="J786" s="3" t="s">
        <v>22</v>
      </c>
      <c r="K786" s="3" t="s">
        <v>204</v>
      </c>
      <c r="L786" s="3" t="s">
        <v>204</v>
      </c>
      <c r="M786" s="3" t="s">
        <v>378</v>
      </c>
      <c r="N786" s="3" t="s">
        <v>3066</v>
      </c>
      <c r="O786" s="5">
        <v>1354.3091141</v>
      </c>
      <c r="P786" s="6" t="str">
        <f t="shared" si="2"/>
        <v>Finance</v>
      </c>
    </row>
    <row r="787" hidden="1">
      <c r="A787" s="3" t="s">
        <v>3482</v>
      </c>
      <c r="B787" s="4">
        <v>511688.0</v>
      </c>
      <c r="C787" s="3" t="s">
        <v>3483</v>
      </c>
      <c r="D787" s="3" t="s">
        <v>3484</v>
      </c>
      <c r="E787" s="3" t="s">
        <v>3485</v>
      </c>
      <c r="F787" s="3" t="s">
        <v>19</v>
      </c>
      <c r="G787" s="3" t="s">
        <v>44</v>
      </c>
      <c r="H787" s="3">
        <v>10.0</v>
      </c>
      <c r="I787" s="3" t="s">
        <v>3482</v>
      </c>
      <c r="J787" s="3" t="s">
        <v>22</v>
      </c>
      <c r="K787" s="3" t="s">
        <v>204</v>
      </c>
      <c r="L787" s="3" t="s">
        <v>204</v>
      </c>
      <c r="M787" s="3" t="s">
        <v>378</v>
      </c>
      <c r="N787" s="3" t="s">
        <v>379</v>
      </c>
      <c r="O787" s="5">
        <v>6.3182633</v>
      </c>
      <c r="P787" s="6" t="str">
        <f t="shared" si="2"/>
        <v>Non Banking Financial Company (NBFC)</v>
      </c>
    </row>
    <row r="788" hidden="1">
      <c r="A788" s="3" t="s">
        <v>3486</v>
      </c>
      <c r="B788" s="4">
        <v>511692.0</v>
      </c>
      <c r="C788" s="3" t="s">
        <v>3487</v>
      </c>
      <c r="D788" s="3" t="s">
        <v>3488</v>
      </c>
      <c r="E788" s="3" t="s">
        <v>3489</v>
      </c>
      <c r="F788" s="3" t="s">
        <v>19</v>
      </c>
      <c r="G788" s="3" t="s">
        <v>44</v>
      </c>
      <c r="H788" s="3">
        <v>10.0</v>
      </c>
      <c r="I788" s="3" t="s">
        <v>3486</v>
      </c>
      <c r="J788" s="3" t="s">
        <v>22</v>
      </c>
      <c r="K788" s="3" t="s">
        <v>204</v>
      </c>
      <c r="L788" s="3" t="s">
        <v>204</v>
      </c>
      <c r="M788" s="3" t="s">
        <v>378</v>
      </c>
      <c r="N788" s="3" t="s">
        <v>468</v>
      </c>
      <c r="O788" s="5">
        <v>20.6125871</v>
      </c>
      <c r="P788" s="6" t="str">
        <f t="shared" si="2"/>
        <v>Finance</v>
      </c>
    </row>
    <row r="789" hidden="1">
      <c r="A789" s="3" t="s">
        <v>3490</v>
      </c>
      <c r="B789" s="4">
        <v>511696.0</v>
      </c>
      <c r="C789" s="3" t="s">
        <v>3491</v>
      </c>
      <c r="D789" s="3" t="s">
        <v>3492</v>
      </c>
      <c r="E789" s="3" t="s">
        <v>3493</v>
      </c>
      <c r="F789" s="3" t="s">
        <v>19</v>
      </c>
      <c r="G789" s="3" t="s">
        <v>44</v>
      </c>
      <c r="H789" s="3">
        <v>10.0</v>
      </c>
      <c r="I789" s="3" t="s">
        <v>3490</v>
      </c>
      <c r="J789" s="3" t="s">
        <v>22</v>
      </c>
      <c r="K789" s="3" t="s">
        <v>204</v>
      </c>
      <c r="L789" s="3" t="s">
        <v>204</v>
      </c>
      <c r="M789" s="3" t="s">
        <v>378</v>
      </c>
      <c r="N789" s="3" t="s">
        <v>468</v>
      </c>
      <c r="O789" s="5">
        <v>77.9567435</v>
      </c>
      <c r="P789" s="6" t="str">
        <f t="shared" si="2"/>
        <v>Finance</v>
      </c>
    </row>
    <row r="790" hidden="1">
      <c r="A790" s="3" t="s">
        <v>3494</v>
      </c>
      <c r="B790" s="4">
        <v>511700.0</v>
      </c>
      <c r="C790" s="3" t="s">
        <v>3495</v>
      </c>
      <c r="D790" s="3" t="s">
        <v>3496</v>
      </c>
      <c r="E790" s="3" t="s">
        <v>3497</v>
      </c>
      <c r="F790" s="3" t="s">
        <v>19</v>
      </c>
      <c r="G790" s="3" t="s">
        <v>72</v>
      </c>
      <c r="H790" s="3">
        <v>1.0</v>
      </c>
      <c r="I790" s="3" t="s">
        <v>3494</v>
      </c>
      <c r="J790" s="3" t="s">
        <v>22</v>
      </c>
      <c r="K790" s="3" t="s">
        <v>204</v>
      </c>
      <c r="L790" s="3" t="s">
        <v>204</v>
      </c>
      <c r="M790" s="3" t="s">
        <v>378</v>
      </c>
      <c r="N790" s="3" t="s">
        <v>379</v>
      </c>
      <c r="O790" s="5">
        <v>276.6536958</v>
      </c>
      <c r="P790" s="6" t="str">
        <f t="shared" si="2"/>
        <v>Non Banking Financial Company (NBFC)</v>
      </c>
    </row>
    <row r="791" hidden="1">
      <c r="A791" s="3" t="s">
        <v>3498</v>
      </c>
      <c r="B791" s="4">
        <v>511702.0</v>
      </c>
      <c r="C791" s="3" t="s">
        <v>3499</v>
      </c>
      <c r="D791" s="3" t="s">
        <v>3500</v>
      </c>
      <c r="E791" s="3" t="s">
        <v>3501</v>
      </c>
      <c r="F791" s="3" t="s">
        <v>19</v>
      </c>
      <c r="G791" s="3" t="s">
        <v>44</v>
      </c>
      <c r="H791" s="3">
        <v>10.0</v>
      </c>
      <c r="I791" s="3" t="s">
        <v>3498</v>
      </c>
      <c r="J791" s="3" t="s">
        <v>22</v>
      </c>
      <c r="K791" s="3" t="s">
        <v>204</v>
      </c>
      <c r="L791" s="3" t="s">
        <v>204</v>
      </c>
      <c r="M791" s="3" t="s">
        <v>378</v>
      </c>
      <c r="N791" s="3" t="s">
        <v>379</v>
      </c>
      <c r="O791" s="5">
        <v>109.9954</v>
      </c>
      <c r="P791" s="6" t="str">
        <f t="shared" si="2"/>
        <v>Non Banking Financial Company (NBFC)</v>
      </c>
    </row>
    <row r="792" hidden="1">
      <c r="A792" s="3" t="s">
        <v>3502</v>
      </c>
      <c r="B792" s="4">
        <v>511710.0</v>
      </c>
      <c r="C792" s="3" t="s">
        <v>3503</v>
      </c>
      <c r="D792" s="3" t="s">
        <v>3504</v>
      </c>
      <c r="E792" s="3" t="s">
        <v>3505</v>
      </c>
      <c r="F792" s="3" t="s">
        <v>19</v>
      </c>
      <c r="G792" s="3" t="s">
        <v>44</v>
      </c>
      <c r="H792" s="3">
        <v>2.0</v>
      </c>
      <c r="I792" s="3" t="s">
        <v>3502</v>
      </c>
      <c r="J792" s="3" t="s">
        <v>22</v>
      </c>
      <c r="K792" s="3" t="s">
        <v>204</v>
      </c>
      <c r="L792" s="3" t="s">
        <v>204</v>
      </c>
      <c r="M792" s="3" t="s">
        <v>378</v>
      </c>
      <c r="N792" s="3" t="s">
        <v>379</v>
      </c>
      <c r="O792" s="5">
        <v>1.0</v>
      </c>
      <c r="P792" s="6" t="str">
        <f t="shared" si="2"/>
        <v>Non Banking Financial Company (NBFC)</v>
      </c>
    </row>
    <row r="793" hidden="1">
      <c r="A793" s="3" t="s">
        <v>3506</v>
      </c>
      <c r="B793" s="4">
        <v>511712.0</v>
      </c>
      <c r="C793" s="3" t="s">
        <v>3507</v>
      </c>
      <c r="D793" s="3" t="s">
        <v>3508</v>
      </c>
      <c r="E793" s="3" t="s">
        <v>3509</v>
      </c>
      <c r="F793" s="3" t="s">
        <v>19</v>
      </c>
      <c r="G793" s="3" t="s">
        <v>44</v>
      </c>
      <c r="H793" s="3">
        <v>10.0</v>
      </c>
      <c r="I793" s="3" t="s">
        <v>3506</v>
      </c>
      <c r="J793" s="3" t="s">
        <v>22</v>
      </c>
      <c r="K793" s="3" t="s">
        <v>204</v>
      </c>
      <c r="L793" s="3" t="s">
        <v>204</v>
      </c>
      <c r="M793" s="3" t="s">
        <v>378</v>
      </c>
      <c r="N793" s="3" t="s">
        <v>468</v>
      </c>
      <c r="O793" s="5">
        <v>1.0</v>
      </c>
      <c r="P793" s="6" t="str">
        <f t="shared" si="2"/>
        <v>Finance</v>
      </c>
    </row>
    <row r="794" hidden="1">
      <c r="A794" s="3" t="s">
        <v>3510</v>
      </c>
      <c r="B794" s="4">
        <v>511714.0</v>
      </c>
      <c r="C794" s="3" t="s">
        <v>3511</v>
      </c>
      <c r="D794" s="3" t="s">
        <v>3512</v>
      </c>
      <c r="E794" s="3" t="s">
        <v>3513</v>
      </c>
      <c r="F794" s="3" t="s">
        <v>19</v>
      </c>
      <c r="G794" s="3" t="s">
        <v>44</v>
      </c>
      <c r="H794" s="3">
        <v>10.0</v>
      </c>
      <c r="I794" s="3" t="s">
        <v>3510</v>
      </c>
      <c r="J794" s="3" t="s">
        <v>22</v>
      </c>
      <c r="K794" s="3" t="s">
        <v>58</v>
      </c>
      <c r="L794" s="3" t="s">
        <v>59</v>
      </c>
      <c r="M794" s="3" t="s">
        <v>59</v>
      </c>
      <c r="N794" s="3" t="s">
        <v>60</v>
      </c>
      <c r="O794" s="5">
        <v>55.897289</v>
      </c>
      <c r="P794" s="6" t="str">
        <f t="shared" si="2"/>
        <v>Residential, Commercial Projects</v>
      </c>
    </row>
    <row r="795" hidden="1">
      <c r="A795" s="3" t="s">
        <v>3514</v>
      </c>
      <c r="B795" s="4">
        <v>511724.0</v>
      </c>
      <c r="C795" s="3" t="s">
        <v>3515</v>
      </c>
      <c r="D795" s="3" t="s">
        <v>3516</v>
      </c>
      <c r="E795" s="3" t="s">
        <v>3517</v>
      </c>
      <c r="F795" s="3" t="s">
        <v>19</v>
      </c>
      <c r="G795" s="3" t="s">
        <v>112</v>
      </c>
      <c r="H795" s="3">
        <v>2.0</v>
      </c>
      <c r="I795" s="3" t="s">
        <v>3514</v>
      </c>
      <c r="J795" s="3" t="s">
        <v>22</v>
      </c>
      <c r="K795" s="3" t="s">
        <v>204</v>
      </c>
      <c r="L795" s="3" t="s">
        <v>204</v>
      </c>
      <c r="M795" s="3" t="s">
        <v>378</v>
      </c>
      <c r="N795" s="3" t="s">
        <v>379</v>
      </c>
      <c r="O795" s="5">
        <v>212.7313081</v>
      </c>
      <c r="P795" s="6" t="str">
        <f t="shared" si="2"/>
        <v>Non Banking Financial Company (NBFC)</v>
      </c>
    </row>
    <row r="796" hidden="1">
      <c r="A796" s="3" t="s">
        <v>3518</v>
      </c>
      <c r="B796" s="4">
        <v>511726.0</v>
      </c>
      <c r="C796" s="3" t="s">
        <v>3519</v>
      </c>
      <c r="D796" s="3" t="s">
        <v>3520</v>
      </c>
      <c r="E796" s="3" t="s">
        <v>3521</v>
      </c>
      <c r="F796" s="3" t="s">
        <v>19</v>
      </c>
      <c r="G796" s="3" t="s">
        <v>86</v>
      </c>
      <c r="H796" s="3">
        <v>1.0</v>
      </c>
      <c r="I796" s="3" t="s">
        <v>3518</v>
      </c>
      <c r="J796" s="3" t="s">
        <v>22</v>
      </c>
      <c r="K796" s="3" t="s">
        <v>58</v>
      </c>
      <c r="L796" s="3" t="s">
        <v>59</v>
      </c>
      <c r="M796" s="3" t="s">
        <v>59</v>
      </c>
      <c r="N796" s="3" t="s">
        <v>60</v>
      </c>
      <c r="O796" s="5">
        <v>699.1173817</v>
      </c>
      <c r="P796" s="6" t="str">
        <f t="shared" si="2"/>
        <v>Residential, Commercial Projects</v>
      </c>
    </row>
    <row r="797" hidden="1">
      <c r="A797" s="3" t="s">
        <v>3522</v>
      </c>
      <c r="B797" s="4">
        <v>511728.0</v>
      </c>
      <c r="C797" s="3" t="s">
        <v>3523</v>
      </c>
      <c r="D797" s="3" t="s">
        <v>3524</v>
      </c>
      <c r="E797" s="3" t="s">
        <v>3525</v>
      </c>
      <c r="F797" s="3" t="s">
        <v>19</v>
      </c>
      <c r="G797" s="3" t="s">
        <v>44</v>
      </c>
      <c r="H797" s="3">
        <v>10.0</v>
      </c>
      <c r="I797" s="3" t="s">
        <v>3522</v>
      </c>
      <c r="J797" s="3" t="s">
        <v>22</v>
      </c>
      <c r="K797" s="3" t="s">
        <v>204</v>
      </c>
      <c r="L797" s="3" t="s">
        <v>204</v>
      </c>
      <c r="M797" s="3" t="s">
        <v>378</v>
      </c>
      <c r="N797" s="3" t="s">
        <v>379</v>
      </c>
      <c r="O797" s="5">
        <v>1.0</v>
      </c>
      <c r="P797" s="6" t="str">
        <f t="shared" si="2"/>
        <v>Non Banking Financial Company (NBFC)</v>
      </c>
    </row>
    <row r="798" hidden="1">
      <c r="A798" s="3" t="s">
        <v>3526</v>
      </c>
      <c r="B798" s="4">
        <v>511734.0</v>
      </c>
      <c r="C798" s="3" t="s">
        <v>3527</v>
      </c>
      <c r="D798" s="3" t="s">
        <v>3528</v>
      </c>
      <c r="E798" s="3" t="s">
        <v>3529</v>
      </c>
      <c r="F798" s="3" t="s">
        <v>19</v>
      </c>
      <c r="G798" s="3" t="s">
        <v>44</v>
      </c>
      <c r="H798" s="3">
        <v>10.0</v>
      </c>
      <c r="I798" s="3" t="s">
        <v>3526</v>
      </c>
      <c r="J798" s="3" t="s">
        <v>22</v>
      </c>
      <c r="K798" s="3" t="s">
        <v>204</v>
      </c>
      <c r="L798" s="3" t="s">
        <v>204</v>
      </c>
      <c r="M798" s="3" t="s">
        <v>378</v>
      </c>
      <c r="N798" s="3" t="s">
        <v>379</v>
      </c>
      <c r="O798" s="5">
        <v>1.0</v>
      </c>
      <c r="P798" s="6" t="str">
        <f t="shared" si="2"/>
        <v>Non Banking Financial Company (NBFC)</v>
      </c>
    </row>
    <row r="799" hidden="1">
      <c r="A799" s="3" t="s">
        <v>3530</v>
      </c>
      <c r="B799" s="4">
        <v>511738.0</v>
      </c>
      <c r="C799" s="3" t="s">
        <v>3531</v>
      </c>
      <c r="D799" s="3" t="s">
        <v>3532</v>
      </c>
      <c r="E799" s="3" t="s">
        <v>3533</v>
      </c>
      <c r="F799" s="3" t="s">
        <v>19</v>
      </c>
      <c r="G799" s="3" t="s">
        <v>44</v>
      </c>
      <c r="H799" s="3">
        <v>10.0</v>
      </c>
      <c r="I799" s="3" t="s">
        <v>3530</v>
      </c>
      <c r="J799" s="3" t="s">
        <v>22</v>
      </c>
      <c r="K799" s="3" t="s">
        <v>204</v>
      </c>
      <c r="L799" s="3" t="s">
        <v>204</v>
      </c>
      <c r="M799" s="3" t="s">
        <v>378</v>
      </c>
      <c r="N799" s="3" t="s">
        <v>468</v>
      </c>
      <c r="O799" s="5">
        <v>1.0</v>
      </c>
      <c r="P799" s="6" t="str">
        <f t="shared" si="2"/>
        <v>Finance</v>
      </c>
    </row>
    <row r="800" hidden="1">
      <c r="A800" s="3" t="s">
        <v>3534</v>
      </c>
      <c r="B800" s="4">
        <v>511740.0</v>
      </c>
      <c r="C800" s="3" t="s">
        <v>3535</v>
      </c>
      <c r="D800" s="3" t="s">
        <v>3536</v>
      </c>
      <c r="E800" s="3" t="s">
        <v>3537</v>
      </c>
      <c r="F800" s="3" t="s">
        <v>19</v>
      </c>
      <c r="G800" s="3" t="s">
        <v>44</v>
      </c>
      <c r="H800" s="3">
        <v>10.0</v>
      </c>
      <c r="I800" s="3" t="s">
        <v>3534</v>
      </c>
      <c r="J800" s="3" t="s">
        <v>22</v>
      </c>
      <c r="K800" s="3" t="s">
        <v>204</v>
      </c>
      <c r="L800" s="3" t="s">
        <v>204</v>
      </c>
      <c r="M800" s="3" t="s">
        <v>378</v>
      </c>
      <c r="N800" s="3" t="s">
        <v>3066</v>
      </c>
      <c r="O800" s="5">
        <v>49.312</v>
      </c>
      <c r="P800" s="6" t="str">
        <f t="shared" si="2"/>
        <v>Finance</v>
      </c>
    </row>
    <row r="801" hidden="1">
      <c r="A801" s="3" t="s">
        <v>3538</v>
      </c>
      <c r="B801" s="4">
        <v>511742.0</v>
      </c>
      <c r="C801" s="3" t="s">
        <v>3539</v>
      </c>
      <c r="D801" s="3" t="s">
        <v>3540</v>
      </c>
      <c r="E801" s="3" t="s">
        <v>3541</v>
      </c>
      <c r="F801" s="3" t="s">
        <v>19</v>
      </c>
      <c r="G801" s="3" t="s">
        <v>112</v>
      </c>
      <c r="H801" s="3">
        <v>10.0</v>
      </c>
      <c r="I801" s="3" t="s">
        <v>3538</v>
      </c>
      <c r="J801" s="3" t="s">
        <v>22</v>
      </c>
      <c r="K801" s="3" t="s">
        <v>204</v>
      </c>
      <c r="L801" s="3" t="s">
        <v>204</v>
      </c>
      <c r="M801" s="3" t="s">
        <v>378</v>
      </c>
      <c r="N801" s="3" t="s">
        <v>379</v>
      </c>
      <c r="O801" s="5">
        <v>2671.5974501</v>
      </c>
      <c r="P801" s="6" t="str">
        <f t="shared" si="2"/>
        <v>Non Banking Financial Company (NBFC)</v>
      </c>
    </row>
    <row r="802" hidden="1">
      <c r="A802" s="3" t="s">
        <v>3542</v>
      </c>
      <c r="B802" s="4">
        <v>511754.0</v>
      </c>
      <c r="C802" s="3" t="s">
        <v>3543</v>
      </c>
      <c r="D802" s="3" t="s">
        <v>3544</v>
      </c>
      <c r="E802" s="3" t="s">
        <v>3545</v>
      </c>
      <c r="F802" s="3" t="s">
        <v>19</v>
      </c>
      <c r="G802" s="3" t="s">
        <v>72</v>
      </c>
      <c r="H802" s="3">
        <v>10.0</v>
      </c>
      <c r="I802" s="3" t="s">
        <v>3542</v>
      </c>
      <c r="J802" s="3" t="s">
        <v>22</v>
      </c>
      <c r="K802" s="3" t="s">
        <v>204</v>
      </c>
      <c r="L802" s="3" t="s">
        <v>204</v>
      </c>
      <c r="M802" s="3" t="s">
        <v>378</v>
      </c>
      <c r="N802" s="3" t="s">
        <v>379</v>
      </c>
      <c r="O802" s="5">
        <v>440.6979162</v>
      </c>
      <c r="P802" s="6" t="str">
        <f t="shared" si="2"/>
        <v>Non Banking Financial Company (NBFC)</v>
      </c>
    </row>
    <row r="803" hidden="1">
      <c r="A803" s="3" t="s">
        <v>3546</v>
      </c>
      <c r="B803" s="4">
        <v>511756.0</v>
      </c>
      <c r="C803" s="3" t="s">
        <v>3547</v>
      </c>
      <c r="D803" s="3" t="s">
        <v>3548</v>
      </c>
      <c r="E803" s="3" t="s">
        <v>3549</v>
      </c>
      <c r="F803" s="3" t="s">
        <v>19</v>
      </c>
      <c r="G803" s="3" t="s">
        <v>57</v>
      </c>
      <c r="H803" s="3">
        <v>10.0</v>
      </c>
      <c r="I803" s="3" t="s">
        <v>3546</v>
      </c>
      <c r="J803" s="3" t="s">
        <v>22</v>
      </c>
      <c r="K803" s="3" t="s">
        <v>204</v>
      </c>
      <c r="L803" s="3" t="s">
        <v>204</v>
      </c>
      <c r="M803" s="3" t="s">
        <v>378</v>
      </c>
      <c r="N803" s="3" t="s">
        <v>379</v>
      </c>
      <c r="O803" s="5">
        <v>1.0</v>
      </c>
      <c r="P803" s="6" t="str">
        <f t="shared" si="2"/>
        <v>Non Banking Financial Company (NBFC)</v>
      </c>
    </row>
    <row r="804" hidden="1">
      <c r="A804" s="3" t="s">
        <v>3550</v>
      </c>
      <c r="B804" s="4">
        <v>511758.0</v>
      </c>
      <c r="C804" s="3" t="s">
        <v>3551</v>
      </c>
      <c r="D804" s="3" t="s">
        <v>3552</v>
      </c>
      <c r="E804" s="3" t="s">
        <v>3553</v>
      </c>
      <c r="F804" s="3" t="s">
        <v>19</v>
      </c>
      <c r="G804" s="3" t="s">
        <v>44</v>
      </c>
      <c r="H804" s="3">
        <v>10.0</v>
      </c>
      <c r="I804" s="3" t="s">
        <v>3550</v>
      </c>
      <c r="J804" s="3" t="s">
        <v>22</v>
      </c>
      <c r="K804" s="3" t="s">
        <v>204</v>
      </c>
      <c r="L804" s="3" t="s">
        <v>204</v>
      </c>
      <c r="M804" s="3" t="s">
        <v>378</v>
      </c>
      <c r="N804" s="3" t="s">
        <v>379</v>
      </c>
      <c r="O804" s="5">
        <v>1.0</v>
      </c>
      <c r="P804" s="6" t="str">
        <f t="shared" si="2"/>
        <v>Non Banking Financial Company (NBFC)</v>
      </c>
    </row>
    <row r="805" hidden="1">
      <c r="A805" s="3" t="s">
        <v>3554</v>
      </c>
      <c r="B805" s="4">
        <v>511760.0</v>
      </c>
      <c r="C805" s="3" t="s">
        <v>3555</v>
      </c>
      <c r="D805" s="3" t="s">
        <v>3556</v>
      </c>
      <c r="E805" s="3" t="s">
        <v>3555</v>
      </c>
      <c r="F805" s="3" t="s">
        <v>19</v>
      </c>
      <c r="G805" s="3" t="s">
        <v>44</v>
      </c>
      <c r="H805" s="3">
        <v>1.0</v>
      </c>
      <c r="I805" s="3" t="s">
        <v>3554</v>
      </c>
      <c r="J805" s="3" t="s">
        <v>22</v>
      </c>
      <c r="K805" s="3" t="s">
        <v>204</v>
      </c>
      <c r="L805" s="3" t="s">
        <v>204</v>
      </c>
      <c r="M805" s="3" t="s">
        <v>378</v>
      </c>
      <c r="N805" s="3" t="s">
        <v>379</v>
      </c>
      <c r="O805" s="5">
        <v>1.0</v>
      </c>
      <c r="P805" s="6" t="str">
        <f t="shared" si="2"/>
        <v>Non Banking Financial Company (NBFC)</v>
      </c>
    </row>
    <row r="806" hidden="1">
      <c r="A806" s="3" t="s">
        <v>3557</v>
      </c>
      <c r="B806" s="4">
        <v>511764.0</v>
      </c>
      <c r="C806" s="3" t="s">
        <v>3558</v>
      </c>
      <c r="D806" s="3" t="s">
        <v>3559</v>
      </c>
      <c r="E806" s="3" t="s">
        <v>3560</v>
      </c>
      <c r="F806" s="3" t="s">
        <v>19</v>
      </c>
      <c r="G806" s="3" t="s">
        <v>44</v>
      </c>
      <c r="H806" s="3">
        <v>10.0</v>
      </c>
      <c r="I806" s="3" t="s">
        <v>3557</v>
      </c>
      <c r="J806" s="3" t="s">
        <v>22</v>
      </c>
      <c r="K806" s="3" t="s">
        <v>204</v>
      </c>
      <c r="L806" s="3" t="s">
        <v>204</v>
      </c>
      <c r="M806" s="3" t="s">
        <v>378</v>
      </c>
      <c r="N806" s="3" t="s">
        <v>379</v>
      </c>
      <c r="O806" s="5">
        <v>1.0</v>
      </c>
      <c r="P806" s="6" t="str">
        <f t="shared" si="2"/>
        <v>Non Banking Financial Company (NBFC)</v>
      </c>
    </row>
    <row r="807" hidden="1">
      <c r="A807" s="3" t="s">
        <v>3561</v>
      </c>
      <c r="B807" s="4">
        <v>511766.0</v>
      </c>
      <c r="C807" s="3" t="s">
        <v>3562</v>
      </c>
      <c r="D807" s="3" t="s">
        <v>3563</v>
      </c>
      <c r="E807" s="3" t="s">
        <v>3564</v>
      </c>
      <c r="F807" s="3" t="s">
        <v>19</v>
      </c>
      <c r="G807" s="3" t="s">
        <v>112</v>
      </c>
      <c r="H807" s="3">
        <v>10.0</v>
      </c>
      <c r="I807" s="3" t="s">
        <v>3561</v>
      </c>
      <c r="J807" s="3" t="s">
        <v>22</v>
      </c>
      <c r="K807" s="3" t="s">
        <v>204</v>
      </c>
      <c r="L807" s="3" t="s">
        <v>204</v>
      </c>
      <c r="M807" s="3" t="s">
        <v>378</v>
      </c>
      <c r="N807" s="3" t="s">
        <v>379</v>
      </c>
      <c r="O807" s="5">
        <v>504.281968</v>
      </c>
      <c r="P807" s="6" t="str">
        <f t="shared" si="2"/>
        <v>Non Banking Financial Company (NBFC)</v>
      </c>
    </row>
    <row r="808" hidden="1">
      <c r="A808" s="3" t="s">
        <v>3565</v>
      </c>
      <c r="B808" s="4">
        <v>511768.0</v>
      </c>
      <c r="C808" s="3" t="s">
        <v>3566</v>
      </c>
      <c r="D808" s="3" t="s">
        <v>3567</v>
      </c>
      <c r="E808" s="3" t="s">
        <v>3568</v>
      </c>
      <c r="F808" s="3" t="s">
        <v>19</v>
      </c>
      <c r="G808" s="3" t="s">
        <v>112</v>
      </c>
      <c r="H808" s="3">
        <v>5.0</v>
      </c>
      <c r="I808" s="3" t="s">
        <v>3565</v>
      </c>
      <c r="J808" s="3" t="s">
        <v>22</v>
      </c>
      <c r="K808" s="3" t="s">
        <v>204</v>
      </c>
      <c r="L808" s="3" t="s">
        <v>204</v>
      </c>
      <c r="M808" s="3" t="s">
        <v>378</v>
      </c>
      <c r="N808" s="3" t="s">
        <v>379</v>
      </c>
      <c r="O808" s="5">
        <v>1746.9186844</v>
      </c>
      <c r="P808" s="6" t="str">
        <f t="shared" si="2"/>
        <v>Non Banking Financial Company (NBFC)</v>
      </c>
    </row>
    <row r="809" hidden="1">
      <c r="A809" s="3" t="s">
        <v>3569</v>
      </c>
      <c r="B809" s="4">
        <v>539561.0</v>
      </c>
      <c r="C809" s="3" t="s">
        <v>3570</v>
      </c>
      <c r="D809" s="3" t="s">
        <v>3571</v>
      </c>
      <c r="E809" s="3" t="s">
        <v>3572</v>
      </c>
      <c r="F809" s="3" t="s">
        <v>19</v>
      </c>
      <c r="G809" s="3" t="s">
        <v>112</v>
      </c>
      <c r="H809" s="3">
        <v>1.0</v>
      </c>
      <c r="I809" s="3" t="s">
        <v>3573</v>
      </c>
      <c r="J809" s="3" t="s">
        <v>22</v>
      </c>
      <c r="K809" s="3" t="s">
        <v>1673</v>
      </c>
      <c r="L809" s="3" t="s">
        <v>1673</v>
      </c>
      <c r="M809" s="3" t="s">
        <v>1674</v>
      </c>
      <c r="N809" s="3" t="s">
        <v>1915</v>
      </c>
      <c r="O809" s="5">
        <v>673.3252956</v>
      </c>
      <c r="P809" s="6" t="str">
        <f t="shared" si="2"/>
        <v>Commercial Services &amp; Supplies</v>
      </c>
    </row>
    <row r="810" hidden="1">
      <c r="A810" s="3" t="s">
        <v>3574</v>
      </c>
      <c r="B810" s="4">
        <v>512008.0</v>
      </c>
      <c r="C810" s="3" t="s">
        <v>3575</v>
      </c>
      <c r="D810" s="3" t="s">
        <v>3576</v>
      </c>
      <c r="E810" s="3" t="s">
        <v>3577</v>
      </c>
      <c r="F810" s="3" t="s">
        <v>19</v>
      </c>
      <c r="G810" s="3" t="s">
        <v>44</v>
      </c>
      <c r="H810" s="3">
        <v>2.0</v>
      </c>
      <c r="I810" s="3" t="s">
        <v>3574</v>
      </c>
      <c r="J810" s="3" t="s">
        <v>22</v>
      </c>
      <c r="K810" s="3" t="s">
        <v>58</v>
      </c>
      <c r="L810" s="3" t="s">
        <v>59</v>
      </c>
      <c r="M810" s="3" t="s">
        <v>59</v>
      </c>
      <c r="N810" s="3" t="s">
        <v>3578</v>
      </c>
      <c r="O810" s="5">
        <v>2747.673</v>
      </c>
      <c r="P810" s="6" t="str">
        <f t="shared" si="2"/>
        <v>Realty</v>
      </c>
    </row>
    <row r="811" hidden="1">
      <c r="A811" s="3" t="s">
        <v>3579</v>
      </c>
      <c r="B811" s="4">
        <v>543910.0</v>
      </c>
      <c r="C811" s="3" t="s">
        <v>3580</v>
      </c>
      <c r="D811" s="3" t="s">
        <v>3581</v>
      </c>
      <c r="E811" s="3" t="s">
        <v>3582</v>
      </c>
      <c r="F811" s="3" t="s">
        <v>19</v>
      </c>
      <c r="G811" s="3" t="s">
        <v>112</v>
      </c>
      <c r="H811" s="3">
        <v>10.0</v>
      </c>
      <c r="I811" s="3" t="s">
        <v>3583</v>
      </c>
      <c r="J811" s="3" t="s">
        <v>22</v>
      </c>
      <c r="K811" s="3" t="s">
        <v>1673</v>
      </c>
      <c r="L811" s="3" t="s">
        <v>1673</v>
      </c>
      <c r="M811" s="3" t="s">
        <v>1689</v>
      </c>
      <c r="N811" s="3" t="s">
        <v>1690</v>
      </c>
      <c r="O811" s="5">
        <v>664.0921472</v>
      </c>
      <c r="P811" s="6" t="str">
        <f t="shared" si="2"/>
        <v>Transport Services</v>
      </c>
    </row>
    <row r="812" hidden="1">
      <c r="A812" s="3" t="s">
        <v>3584</v>
      </c>
      <c r="B812" s="4">
        <v>512018.0</v>
      </c>
      <c r="C812" s="3" t="s">
        <v>3585</v>
      </c>
      <c r="D812" s="3" t="s">
        <v>3586</v>
      </c>
      <c r="E812" s="3" t="s">
        <v>3587</v>
      </c>
      <c r="F812" s="3" t="s">
        <v>19</v>
      </c>
      <c r="G812" s="3" t="s">
        <v>72</v>
      </c>
      <c r="H812" s="3">
        <v>1.0</v>
      </c>
      <c r="I812" s="3" t="s">
        <v>3584</v>
      </c>
      <c r="J812" s="3" t="s">
        <v>22</v>
      </c>
      <c r="K812" s="3" t="s">
        <v>204</v>
      </c>
      <c r="L812" s="3" t="s">
        <v>204</v>
      </c>
      <c r="M812" s="3" t="s">
        <v>378</v>
      </c>
      <c r="N812" s="3" t="s">
        <v>468</v>
      </c>
      <c r="O812" s="5">
        <v>90.1652267</v>
      </c>
      <c r="P812" s="6" t="str">
        <f t="shared" si="2"/>
        <v>Finance</v>
      </c>
    </row>
    <row r="813" hidden="1">
      <c r="A813" s="3" t="s">
        <v>3588</v>
      </c>
      <c r="B813" s="4">
        <v>512020.0</v>
      </c>
      <c r="C813" s="3" t="s">
        <v>3589</v>
      </c>
      <c r="D813" s="3" t="s">
        <v>3590</v>
      </c>
      <c r="E813" s="3" t="s">
        <v>3591</v>
      </c>
      <c r="F813" s="3" t="s">
        <v>19</v>
      </c>
      <c r="G813" s="3" t="s">
        <v>44</v>
      </c>
      <c r="H813" s="3">
        <v>10.0</v>
      </c>
      <c r="I813" s="3" t="s">
        <v>3588</v>
      </c>
      <c r="J813" s="3" t="s">
        <v>22</v>
      </c>
      <c r="K813" s="3" t="s">
        <v>204</v>
      </c>
      <c r="L813" s="3" t="s">
        <v>204</v>
      </c>
      <c r="M813" s="3" t="s">
        <v>378</v>
      </c>
      <c r="N813" s="3" t="s">
        <v>379</v>
      </c>
      <c r="O813" s="5">
        <v>849.4488348</v>
      </c>
      <c r="P813" s="6" t="str">
        <f t="shared" si="2"/>
        <v>Non Banking Financial Company (NBFC)</v>
      </c>
    </row>
    <row r="814" hidden="1">
      <c r="A814" s="3" t="s">
        <v>3592</v>
      </c>
      <c r="B814" s="4">
        <v>512022.0</v>
      </c>
      <c r="C814" s="3" t="s">
        <v>3593</v>
      </c>
      <c r="D814" s="3" t="s">
        <v>3594</v>
      </c>
      <c r="E814" s="3" t="s">
        <v>3595</v>
      </c>
      <c r="F814" s="3" t="s">
        <v>19</v>
      </c>
      <c r="G814" s="3" t="s">
        <v>72</v>
      </c>
      <c r="H814" s="3">
        <v>10.0</v>
      </c>
      <c r="I814" s="3" t="s">
        <v>3592</v>
      </c>
      <c r="J814" s="3" t="s">
        <v>22</v>
      </c>
      <c r="K814" s="3" t="s">
        <v>204</v>
      </c>
      <c r="L814" s="3" t="s">
        <v>204</v>
      </c>
      <c r="M814" s="3" t="s">
        <v>378</v>
      </c>
      <c r="N814" s="3" t="s">
        <v>379</v>
      </c>
      <c r="O814" s="5">
        <v>1.0</v>
      </c>
      <c r="P814" s="6" t="str">
        <f t="shared" si="2"/>
        <v>Non Banking Financial Company (NBFC)</v>
      </c>
    </row>
    <row r="815" hidden="1">
      <c r="A815" s="3" t="s">
        <v>3596</v>
      </c>
      <c r="B815" s="4">
        <v>509220.0</v>
      </c>
      <c r="C815" s="3" t="s">
        <v>3597</v>
      </c>
      <c r="D815" s="3" t="s">
        <v>3598</v>
      </c>
      <c r="E815" s="3" t="s">
        <v>3599</v>
      </c>
      <c r="F815" s="3" t="s">
        <v>19</v>
      </c>
      <c r="G815" s="3" t="s">
        <v>112</v>
      </c>
      <c r="H815" s="3">
        <v>1.0</v>
      </c>
      <c r="I815" s="3" t="s">
        <v>2983</v>
      </c>
      <c r="J815" s="3" t="s">
        <v>22</v>
      </c>
      <c r="K815" s="3" t="s">
        <v>1673</v>
      </c>
      <c r="L815" s="3" t="s">
        <v>1673</v>
      </c>
      <c r="M815" s="3" t="s">
        <v>1674</v>
      </c>
      <c r="N815" s="3" t="s">
        <v>1675</v>
      </c>
      <c r="O815" s="5">
        <v>608.6488963</v>
      </c>
      <c r="P815" s="6" t="str">
        <f t="shared" si="2"/>
        <v>Commercial Services &amp; Supplies</v>
      </c>
    </row>
    <row r="816" hidden="1">
      <c r="A816" s="3" t="s">
        <v>3600</v>
      </c>
      <c r="B816" s="4">
        <v>500317.0</v>
      </c>
      <c r="C816" s="3" t="s">
        <v>3601</v>
      </c>
      <c r="D816" s="3" t="s">
        <v>3602</v>
      </c>
      <c r="E816" s="3" t="s">
        <v>3603</v>
      </c>
      <c r="F816" s="3" t="s">
        <v>19</v>
      </c>
      <c r="G816" s="3" t="s">
        <v>112</v>
      </c>
      <c r="H816" s="3">
        <v>10.0</v>
      </c>
      <c r="I816" s="3" t="s">
        <v>826</v>
      </c>
      <c r="J816" s="3" t="s">
        <v>22</v>
      </c>
      <c r="K816" s="3" t="s">
        <v>1673</v>
      </c>
      <c r="L816" s="3" t="s">
        <v>1673</v>
      </c>
      <c r="M816" s="3" t="s">
        <v>1674</v>
      </c>
      <c r="N816" s="3" t="s">
        <v>1915</v>
      </c>
      <c r="O816" s="5">
        <v>578.0667163</v>
      </c>
      <c r="P816" s="6" t="str">
        <f t="shared" si="2"/>
        <v>Commercial Services &amp; Supplies</v>
      </c>
    </row>
    <row r="817" hidden="1">
      <c r="A817" s="3" t="s">
        <v>3604</v>
      </c>
      <c r="B817" s="4">
        <v>512036.0</v>
      </c>
      <c r="C817" s="3" t="s">
        <v>3605</v>
      </c>
      <c r="D817" s="3" t="s">
        <v>3606</v>
      </c>
      <c r="E817" s="3" t="s">
        <v>3607</v>
      </c>
      <c r="F817" s="3" t="s">
        <v>19</v>
      </c>
      <c r="G817" s="3" t="s">
        <v>72</v>
      </c>
      <c r="H817" s="3">
        <v>10.0</v>
      </c>
      <c r="I817" s="3" t="s">
        <v>3604</v>
      </c>
      <c r="J817" s="3" t="s">
        <v>22</v>
      </c>
      <c r="K817" s="3" t="s">
        <v>58</v>
      </c>
      <c r="L817" s="3" t="s">
        <v>80</v>
      </c>
      <c r="M817" s="3" t="s">
        <v>81</v>
      </c>
      <c r="N817" s="3" t="s">
        <v>82</v>
      </c>
      <c r="O817" s="5">
        <v>1.0</v>
      </c>
      <c r="P817" s="6" t="str">
        <f t="shared" si="2"/>
        <v>Textiles &amp; Apparels</v>
      </c>
    </row>
    <row r="818" hidden="1">
      <c r="A818" s="3" t="s">
        <v>2894</v>
      </c>
      <c r="B818" s="4">
        <v>531082.0</v>
      </c>
      <c r="C818" s="3" t="s">
        <v>3608</v>
      </c>
      <c r="D818" s="3" t="s">
        <v>3609</v>
      </c>
      <c r="E818" s="3" t="s">
        <v>3610</v>
      </c>
      <c r="F818" s="3" t="s">
        <v>19</v>
      </c>
      <c r="G818" s="3" t="s">
        <v>112</v>
      </c>
      <c r="H818" s="3">
        <v>1.0</v>
      </c>
      <c r="I818" s="3" t="s">
        <v>3611</v>
      </c>
      <c r="J818" s="3" t="s">
        <v>22</v>
      </c>
      <c r="K818" s="3" t="s">
        <v>1673</v>
      </c>
      <c r="L818" s="3" t="s">
        <v>1673</v>
      </c>
      <c r="M818" s="3" t="s">
        <v>1674</v>
      </c>
      <c r="N818" s="3" t="s">
        <v>1675</v>
      </c>
      <c r="O818" s="5">
        <v>556.6322564</v>
      </c>
      <c r="P818" s="6" t="str">
        <f t="shared" si="2"/>
        <v>Commercial Services &amp; Supplies</v>
      </c>
    </row>
    <row r="819" hidden="1">
      <c r="A819" s="3" t="s">
        <v>3612</v>
      </c>
      <c r="B819" s="4">
        <v>512047.0</v>
      </c>
      <c r="C819" s="3" t="s">
        <v>3613</v>
      </c>
      <c r="D819" s="3" t="s">
        <v>3614</v>
      </c>
      <c r="E819" s="3" t="s">
        <v>3613</v>
      </c>
      <c r="F819" s="3" t="s">
        <v>19</v>
      </c>
      <c r="G819" s="3" t="s">
        <v>72</v>
      </c>
      <c r="H819" s="3">
        <v>10.0</v>
      </c>
      <c r="I819" s="3" t="s">
        <v>3612</v>
      </c>
      <c r="J819" s="3" t="s">
        <v>22</v>
      </c>
      <c r="K819" s="3" t="s">
        <v>58</v>
      </c>
      <c r="L819" s="3" t="s">
        <v>211</v>
      </c>
      <c r="M819" s="3" t="s">
        <v>211</v>
      </c>
      <c r="N819" s="3" t="s">
        <v>947</v>
      </c>
      <c r="O819" s="5">
        <v>1.0</v>
      </c>
      <c r="P819" s="6" t="str">
        <f t="shared" si="2"/>
        <v>Consumer Durables</v>
      </c>
    </row>
    <row r="820" hidden="1">
      <c r="A820" s="3" t="s">
        <v>3615</v>
      </c>
      <c r="B820" s="4">
        <v>512048.0</v>
      </c>
      <c r="C820" s="3" t="s">
        <v>3616</v>
      </c>
      <c r="D820" s="3" t="s">
        <v>3617</v>
      </c>
      <c r="E820" s="3" t="s">
        <v>3618</v>
      </c>
      <c r="F820" s="3" t="s">
        <v>19</v>
      </c>
      <c r="G820" s="3" t="s">
        <v>44</v>
      </c>
      <c r="H820" s="3">
        <v>1.0</v>
      </c>
      <c r="I820" s="3" t="s">
        <v>3615</v>
      </c>
      <c r="J820" s="3" t="s">
        <v>22</v>
      </c>
      <c r="K820" s="3" t="s">
        <v>58</v>
      </c>
      <c r="L820" s="3" t="s">
        <v>59</v>
      </c>
      <c r="M820" s="3" t="s">
        <v>59</v>
      </c>
      <c r="N820" s="3" t="s">
        <v>60</v>
      </c>
      <c r="O820" s="5">
        <v>43.6735185</v>
      </c>
      <c r="P820" s="6" t="str">
        <f t="shared" si="2"/>
        <v>Residential, Commercial Projects</v>
      </c>
    </row>
    <row r="821" hidden="1">
      <c r="A821" s="3" t="s">
        <v>3619</v>
      </c>
      <c r="B821" s="4">
        <v>532617.0</v>
      </c>
      <c r="C821" s="3" t="s">
        <v>3620</v>
      </c>
      <c r="D821" s="3" t="s">
        <v>3621</v>
      </c>
      <c r="E821" s="3" t="s">
        <v>3622</v>
      </c>
      <c r="F821" s="3" t="s">
        <v>19</v>
      </c>
      <c r="G821" s="3" t="s">
        <v>57</v>
      </c>
      <c r="H821" s="3">
        <v>10.0</v>
      </c>
      <c r="I821" s="3" t="s">
        <v>3623</v>
      </c>
      <c r="J821" s="3" t="s">
        <v>22</v>
      </c>
      <c r="K821" s="3" t="s">
        <v>1673</v>
      </c>
      <c r="L821" s="3" t="s">
        <v>1673</v>
      </c>
      <c r="M821" s="3" t="s">
        <v>1689</v>
      </c>
      <c r="N821" s="3" t="s">
        <v>1695</v>
      </c>
      <c r="O821" s="5">
        <v>477.6812399</v>
      </c>
      <c r="P821" s="6" t="str">
        <f t="shared" si="2"/>
        <v>Transport Services</v>
      </c>
    </row>
    <row r="822" hidden="1">
      <c r="A822" s="3" t="s">
        <v>3624</v>
      </c>
      <c r="B822" s="4">
        <v>524480.0</v>
      </c>
      <c r="C822" s="3" t="s">
        <v>3625</v>
      </c>
      <c r="D822" s="3" t="s">
        <v>3626</v>
      </c>
      <c r="E822" s="3" t="s">
        <v>3627</v>
      </c>
      <c r="F822" s="3" t="s">
        <v>19</v>
      </c>
      <c r="G822" s="3" t="s">
        <v>44</v>
      </c>
      <c r="H822" s="3">
        <v>10.0</v>
      </c>
      <c r="I822" s="3" t="s">
        <v>3628</v>
      </c>
      <c r="J822" s="3" t="s">
        <v>22</v>
      </c>
      <c r="K822" s="3" t="s">
        <v>1673</v>
      </c>
      <c r="L822" s="3" t="s">
        <v>1673</v>
      </c>
      <c r="M822" s="3" t="s">
        <v>1674</v>
      </c>
      <c r="N822" s="3" t="s">
        <v>1915</v>
      </c>
      <c r="O822" s="5">
        <v>416.2139119</v>
      </c>
      <c r="P822" s="6" t="str">
        <f t="shared" si="2"/>
        <v>Commercial Services &amp; Supplies</v>
      </c>
    </row>
    <row r="823" hidden="1">
      <c r="A823" s="3" t="s">
        <v>3629</v>
      </c>
      <c r="B823" s="4">
        <v>530299.0</v>
      </c>
      <c r="C823" s="3" t="s">
        <v>3630</v>
      </c>
      <c r="D823" s="3" t="s">
        <v>3631</v>
      </c>
      <c r="E823" s="3" t="s">
        <v>3632</v>
      </c>
      <c r="F823" s="3" t="s">
        <v>19</v>
      </c>
      <c r="G823" s="3" t="s">
        <v>112</v>
      </c>
      <c r="H823" s="3">
        <v>10.0</v>
      </c>
      <c r="I823" s="3" t="s">
        <v>3633</v>
      </c>
      <c r="J823" s="3" t="s">
        <v>22</v>
      </c>
      <c r="K823" s="3" t="s">
        <v>1673</v>
      </c>
      <c r="L823" s="3" t="s">
        <v>1673</v>
      </c>
      <c r="M823" s="3" t="s">
        <v>1674</v>
      </c>
      <c r="N823" s="3" t="s">
        <v>1915</v>
      </c>
      <c r="O823" s="5">
        <v>415.0545317</v>
      </c>
      <c r="P823" s="6" t="str">
        <f t="shared" si="2"/>
        <v>Commercial Services &amp; Supplies</v>
      </c>
    </row>
    <row r="824" hidden="1">
      <c r="A824" s="3" t="s">
        <v>3634</v>
      </c>
      <c r="B824" s="4">
        <v>536264.0</v>
      </c>
      <c r="C824" s="3" t="s">
        <v>3635</v>
      </c>
      <c r="D824" s="3" t="s">
        <v>3636</v>
      </c>
      <c r="E824" s="3" t="s">
        <v>3637</v>
      </c>
      <c r="F824" s="3" t="s">
        <v>19</v>
      </c>
      <c r="G824" s="3" t="s">
        <v>72</v>
      </c>
      <c r="H824" s="3">
        <v>1.0</v>
      </c>
      <c r="I824" s="3" t="s">
        <v>3638</v>
      </c>
      <c r="J824" s="3" t="s">
        <v>22</v>
      </c>
      <c r="K824" s="3" t="s">
        <v>1673</v>
      </c>
      <c r="L824" s="3" t="s">
        <v>1673</v>
      </c>
      <c r="M824" s="3" t="s">
        <v>1689</v>
      </c>
      <c r="N824" s="3" t="s">
        <v>1690</v>
      </c>
      <c r="O824" s="5">
        <v>379.27015</v>
      </c>
      <c r="P824" s="6" t="str">
        <f t="shared" si="2"/>
        <v>Transport Services</v>
      </c>
    </row>
    <row r="825" hidden="1">
      <c r="A825" s="3" t="s">
        <v>3639</v>
      </c>
      <c r="B825" s="4">
        <v>512065.0</v>
      </c>
      <c r="C825" s="3" t="s">
        <v>3640</v>
      </c>
      <c r="D825" s="3" t="s">
        <v>3641</v>
      </c>
      <c r="E825" s="3" t="s">
        <v>3642</v>
      </c>
      <c r="F825" s="3" t="s">
        <v>19</v>
      </c>
      <c r="G825" s="3" t="s">
        <v>72</v>
      </c>
      <c r="H825" s="3">
        <v>10.0</v>
      </c>
      <c r="I825" s="3" t="s">
        <v>3639</v>
      </c>
      <c r="J825" s="3" t="s">
        <v>22</v>
      </c>
      <c r="K825" s="3" t="s">
        <v>204</v>
      </c>
      <c r="L825" s="3" t="s">
        <v>204</v>
      </c>
      <c r="M825" s="3" t="s">
        <v>378</v>
      </c>
      <c r="N825" s="3" t="s">
        <v>379</v>
      </c>
      <c r="O825" s="5">
        <v>1.0</v>
      </c>
      <c r="P825" s="6" t="str">
        <f t="shared" si="2"/>
        <v>Non Banking Financial Company (NBFC)</v>
      </c>
    </row>
    <row r="826" hidden="1">
      <c r="A826" s="3" t="s">
        <v>3643</v>
      </c>
      <c r="B826" s="4">
        <v>512068.0</v>
      </c>
      <c r="C826" s="3" t="s">
        <v>3644</v>
      </c>
      <c r="D826" s="3" t="s">
        <v>3645</v>
      </c>
      <c r="E826" s="3" t="s">
        <v>3646</v>
      </c>
      <c r="F826" s="3" t="s">
        <v>19</v>
      </c>
      <c r="G826" s="3" t="s">
        <v>112</v>
      </c>
      <c r="H826" s="3">
        <v>1.0</v>
      </c>
      <c r="I826" s="3" t="s">
        <v>3643</v>
      </c>
      <c r="J826" s="3" t="s">
        <v>22</v>
      </c>
      <c r="K826" s="3" t="s">
        <v>23</v>
      </c>
      <c r="L826" s="3" t="s">
        <v>65</v>
      </c>
      <c r="M826" s="3" t="s">
        <v>66</v>
      </c>
      <c r="N826" s="3" t="s">
        <v>67</v>
      </c>
      <c r="O826" s="5">
        <v>1589.34636</v>
      </c>
      <c r="P826" s="6" t="str">
        <f t="shared" si="2"/>
        <v>Non - Ferrous Metals</v>
      </c>
    </row>
    <row r="827">
      <c r="A827" s="3" t="s">
        <v>427</v>
      </c>
      <c r="B827" s="4">
        <v>542830.0</v>
      </c>
      <c r="C827" s="3" t="s">
        <v>3647</v>
      </c>
      <c r="D827" s="3" t="s">
        <v>3648</v>
      </c>
      <c r="E827" s="3" t="s">
        <v>3649</v>
      </c>
      <c r="F827" s="3" t="s">
        <v>19</v>
      </c>
      <c r="G827" s="3" t="s">
        <v>20</v>
      </c>
      <c r="H827" s="3">
        <v>2.0</v>
      </c>
      <c r="I827" s="3" t="s">
        <v>3650</v>
      </c>
      <c r="J827" s="3" t="s">
        <v>22</v>
      </c>
      <c r="K827" s="3" t="s">
        <v>58</v>
      </c>
      <c r="L827" s="3" t="s">
        <v>73</v>
      </c>
      <c r="M827" s="3" t="s">
        <v>74</v>
      </c>
      <c r="N827" s="3" t="s">
        <v>565</v>
      </c>
      <c r="O827" s="5">
        <v>80100.500554</v>
      </c>
      <c r="P827" s="6" t="str">
        <f t="shared" si="2"/>
        <v>Leisure Services</v>
      </c>
    </row>
    <row r="828" hidden="1">
      <c r="A828" s="3" t="s">
        <v>3651</v>
      </c>
      <c r="B828" s="4">
        <v>512091.0</v>
      </c>
      <c r="C828" s="3" t="s">
        <v>3652</v>
      </c>
      <c r="D828" s="3" t="s">
        <v>3653</v>
      </c>
      <c r="E828" s="3" t="s">
        <v>3654</v>
      </c>
      <c r="F828" s="3" t="s">
        <v>19</v>
      </c>
      <c r="G828" s="3" t="s">
        <v>72</v>
      </c>
      <c r="H828" s="3">
        <v>10.0</v>
      </c>
      <c r="I828" s="3" t="s">
        <v>3651</v>
      </c>
      <c r="J828" s="3" t="s">
        <v>22</v>
      </c>
      <c r="K828" s="3" t="s">
        <v>58</v>
      </c>
      <c r="L828" s="3" t="s">
        <v>211</v>
      </c>
      <c r="M828" s="3" t="s">
        <v>211</v>
      </c>
      <c r="N828" s="3" t="s">
        <v>947</v>
      </c>
      <c r="O828" s="5">
        <v>1.0</v>
      </c>
      <c r="P828" s="6" t="str">
        <f t="shared" si="2"/>
        <v>Consumer Durables</v>
      </c>
    </row>
    <row r="829" hidden="1">
      <c r="A829" s="3" t="s">
        <v>3655</v>
      </c>
      <c r="B829" s="4">
        <v>512093.0</v>
      </c>
      <c r="C829" s="3" t="s">
        <v>3656</v>
      </c>
      <c r="D829" s="3" t="s">
        <v>3657</v>
      </c>
      <c r="E829" s="3" t="s">
        <v>3658</v>
      </c>
      <c r="F829" s="3" t="s">
        <v>19</v>
      </c>
      <c r="G829" s="3" t="s">
        <v>57</v>
      </c>
      <c r="H829" s="3">
        <v>2.0</v>
      </c>
      <c r="I829" s="3" t="s">
        <v>3655</v>
      </c>
      <c r="J829" s="3" t="s">
        <v>22</v>
      </c>
      <c r="K829" s="3" t="s">
        <v>473</v>
      </c>
      <c r="L829" s="3" t="s">
        <v>473</v>
      </c>
      <c r="M829" s="3" t="s">
        <v>1391</v>
      </c>
      <c r="N829" s="3" t="s">
        <v>1392</v>
      </c>
      <c r="O829" s="5">
        <v>92.727465</v>
      </c>
      <c r="P829" s="6" t="str">
        <f t="shared" si="2"/>
        <v>IT - Software</v>
      </c>
    </row>
    <row r="830" hidden="1">
      <c r="A830" s="3" t="s">
        <v>3659</v>
      </c>
      <c r="B830" s="4">
        <v>500267.0</v>
      </c>
      <c r="C830" s="3" t="s">
        <v>3660</v>
      </c>
      <c r="D830" s="3" t="s">
        <v>3661</v>
      </c>
      <c r="E830" s="3" t="s">
        <v>3662</v>
      </c>
      <c r="F830" s="3" t="s">
        <v>19</v>
      </c>
      <c r="G830" s="3" t="s">
        <v>44</v>
      </c>
      <c r="H830" s="3">
        <v>10.0</v>
      </c>
      <c r="I830" s="3" t="s">
        <v>714</v>
      </c>
      <c r="J830" s="3" t="s">
        <v>22</v>
      </c>
      <c r="K830" s="3" t="s">
        <v>1673</v>
      </c>
      <c r="L830" s="3" t="s">
        <v>1673</v>
      </c>
      <c r="M830" s="3" t="s">
        <v>1674</v>
      </c>
      <c r="N830" s="3" t="s">
        <v>1675</v>
      </c>
      <c r="O830" s="5">
        <v>370.3961211</v>
      </c>
      <c r="P830" s="6" t="str">
        <f t="shared" si="2"/>
        <v>Commercial Services &amp; Supplies</v>
      </c>
    </row>
    <row r="831" hidden="1">
      <c r="A831" s="3" t="s">
        <v>3663</v>
      </c>
      <c r="B831" s="4">
        <v>512099.0</v>
      </c>
      <c r="C831" s="3" t="s">
        <v>3664</v>
      </c>
      <c r="D831" s="3" t="s">
        <v>3665</v>
      </c>
      <c r="E831" s="3" t="s">
        <v>3666</v>
      </c>
      <c r="F831" s="3" t="s">
        <v>19</v>
      </c>
      <c r="G831" s="3" t="s">
        <v>44</v>
      </c>
      <c r="H831" s="3">
        <v>10.0</v>
      </c>
      <c r="I831" s="3" t="s">
        <v>3663</v>
      </c>
      <c r="J831" s="3" t="s">
        <v>22</v>
      </c>
      <c r="K831" s="3" t="s">
        <v>58</v>
      </c>
      <c r="L831" s="3" t="s">
        <v>211</v>
      </c>
      <c r="M831" s="3" t="s">
        <v>211</v>
      </c>
      <c r="N831" s="3" t="s">
        <v>947</v>
      </c>
      <c r="O831" s="5">
        <v>166.9548246</v>
      </c>
      <c r="P831" s="6" t="str">
        <f t="shared" si="2"/>
        <v>Consumer Durables</v>
      </c>
    </row>
    <row r="832" hidden="1">
      <c r="A832" s="3" t="s">
        <v>3667</v>
      </c>
      <c r="B832" s="4">
        <v>512101.0</v>
      </c>
      <c r="C832" s="3" t="s">
        <v>3668</v>
      </c>
      <c r="D832" s="3" t="s">
        <v>3669</v>
      </c>
      <c r="E832" s="3" t="s">
        <v>3670</v>
      </c>
      <c r="F832" s="3" t="s">
        <v>19</v>
      </c>
      <c r="G832" s="3" t="s">
        <v>72</v>
      </c>
      <c r="H832" s="3">
        <v>10.0</v>
      </c>
      <c r="I832" s="3" t="s">
        <v>3667</v>
      </c>
      <c r="J832" s="3" t="s">
        <v>22</v>
      </c>
      <c r="K832" s="3" t="s">
        <v>45</v>
      </c>
      <c r="L832" s="3" t="s">
        <v>45</v>
      </c>
      <c r="M832" s="3" t="s">
        <v>46</v>
      </c>
      <c r="N832" s="3" t="s">
        <v>47</v>
      </c>
      <c r="O832" s="5">
        <v>1.0</v>
      </c>
      <c r="P832" s="6" t="str">
        <f t="shared" si="2"/>
        <v>Pharmaceuticals</v>
      </c>
    </row>
    <row r="833" hidden="1">
      <c r="A833" s="3" t="s">
        <v>3671</v>
      </c>
      <c r="B833" s="4">
        <v>512103.0</v>
      </c>
      <c r="C833" s="3" t="s">
        <v>3672</v>
      </c>
      <c r="D833" s="3" t="s">
        <v>3673</v>
      </c>
      <c r="E833" s="3" t="s">
        <v>3674</v>
      </c>
      <c r="F833" s="3" t="s">
        <v>19</v>
      </c>
      <c r="G833" s="3" t="s">
        <v>72</v>
      </c>
      <c r="H833" s="3">
        <v>10.0</v>
      </c>
      <c r="I833" s="3" t="s">
        <v>3671</v>
      </c>
      <c r="J833" s="3" t="s">
        <v>22</v>
      </c>
      <c r="K833" s="3" t="s">
        <v>23</v>
      </c>
      <c r="L833" s="3" t="s">
        <v>162</v>
      </c>
      <c r="M833" s="3" t="s">
        <v>1491</v>
      </c>
      <c r="N833" s="3" t="s">
        <v>1491</v>
      </c>
      <c r="O833" s="5">
        <v>112.1199951</v>
      </c>
      <c r="P833" s="6" t="str">
        <f t="shared" si="2"/>
        <v>Other Construction Materials</v>
      </c>
    </row>
    <row r="834" hidden="1">
      <c r="A834" s="3" t="s">
        <v>3675</v>
      </c>
      <c r="B834" s="4">
        <v>540570.0</v>
      </c>
      <c r="C834" s="3" t="s">
        <v>3676</v>
      </c>
      <c r="D834" s="3" t="s">
        <v>3677</v>
      </c>
      <c r="E834" s="3" t="s">
        <v>3678</v>
      </c>
      <c r="F834" s="3" t="s">
        <v>19</v>
      </c>
      <c r="G834" s="3" t="s">
        <v>44</v>
      </c>
      <c r="H834" s="3">
        <v>1.0</v>
      </c>
      <c r="I834" s="3" t="s">
        <v>3679</v>
      </c>
      <c r="J834" s="3" t="s">
        <v>22</v>
      </c>
      <c r="K834" s="3" t="s">
        <v>1673</v>
      </c>
      <c r="L834" s="3" t="s">
        <v>1673</v>
      </c>
      <c r="M834" s="3" t="s">
        <v>1674</v>
      </c>
      <c r="N834" s="3" t="s">
        <v>1915</v>
      </c>
      <c r="O834" s="5">
        <v>369.3366</v>
      </c>
      <c r="P834" s="6" t="str">
        <f t="shared" si="2"/>
        <v>Commercial Services &amp; Supplies</v>
      </c>
    </row>
    <row r="835" hidden="1">
      <c r="A835" s="3" t="s">
        <v>3680</v>
      </c>
      <c r="B835" s="4">
        <v>532759.0</v>
      </c>
      <c r="C835" s="3" t="s">
        <v>3681</v>
      </c>
      <c r="D835" s="3" t="s">
        <v>3682</v>
      </c>
      <c r="E835" s="3" t="s">
        <v>3683</v>
      </c>
      <c r="F835" s="3" t="s">
        <v>19</v>
      </c>
      <c r="G835" s="3" t="s">
        <v>86</v>
      </c>
      <c r="H835" s="3">
        <v>2.0</v>
      </c>
      <c r="I835" s="3" t="s">
        <v>3684</v>
      </c>
      <c r="J835" s="3" t="s">
        <v>22</v>
      </c>
      <c r="K835" s="3" t="s">
        <v>1673</v>
      </c>
      <c r="L835" s="3" t="s">
        <v>1673</v>
      </c>
      <c r="M835" s="3" t="s">
        <v>1879</v>
      </c>
      <c r="N835" s="3" t="s">
        <v>1880</v>
      </c>
      <c r="O835" s="5">
        <v>363.327</v>
      </c>
      <c r="P835" s="6" t="str">
        <f t="shared" si="2"/>
        <v>Transport Infrastructure</v>
      </c>
    </row>
    <row r="836" hidden="1">
      <c r="A836" s="3" t="s">
        <v>3685</v>
      </c>
      <c r="B836" s="4">
        <v>543193.0</v>
      </c>
      <c r="C836" s="3" t="s">
        <v>3686</v>
      </c>
      <c r="D836" s="3" t="s">
        <v>3687</v>
      </c>
      <c r="E836" s="3" t="s">
        <v>3688</v>
      </c>
      <c r="F836" s="3" t="s">
        <v>19</v>
      </c>
      <c r="G836" s="3" t="s">
        <v>86</v>
      </c>
      <c r="H836" s="3">
        <v>10.0</v>
      </c>
      <c r="I836" s="3" t="s">
        <v>3689</v>
      </c>
      <c r="J836" s="3" t="s">
        <v>22</v>
      </c>
      <c r="K836" s="3" t="s">
        <v>1673</v>
      </c>
      <c r="L836" s="3" t="s">
        <v>1673</v>
      </c>
      <c r="M836" s="3" t="s">
        <v>1689</v>
      </c>
      <c r="N836" s="3" t="s">
        <v>1690</v>
      </c>
      <c r="O836" s="5">
        <v>352.6431166</v>
      </c>
      <c r="P836" s="6" t="str">
        <f t="shared" si="2"/>
        <v>Transport Services</v>
      </c>
    </row>
    <row r="837" hidden="1">
      <c r="A837" s="3" t="s">
        <v>3690</v>
      </c>
      <c r="B837" s="4">
        <v>512147.0</v>
      </c>
      <c r="C837" s="3" t="s">
        <v>3691</v>
      </c>
      <c r="D837" s="3" t="s">
        <v>3692</v>
      </c>
      <c r="E837" s="3" t="s">
        <v>3693</v>
      </c>
      <c r="F837" s="3" t="s">
        <v>19</v>
      </c>
      <c r="G837" s="3" t="s">
        <v>72</v>
      </c>
      <c r="H837" s="3">
        <v>10.0</v>
      </c>
      <c r="I837" s="3" t="s">
        <v>3690</v>
      </c>
      <c r="J837" s="3" t="s">
        <v>22</v>
      </c>
      <c r="K837" s="3" t="s">
        <v>204</v>
      </c>
      <c r="L837" s="3" t="s">
        <v>204</v>
      </c>
      <c r="M837" s="3" t="s">
        <v>378</v>
      </c>
      <c r="N837" s="3" t="s">
        <v>468</v>
      </c>
      <c r="O837" s="5">
        <v>1.0</v>
      </c>
      <c r="P837" s="6" t="str">
        <f t="shared" si="2"/>
        <v>Finance</v>
      </c>
    </row>
    <row r="838" hidden="1">
      <c r="A838" s="3" t="s">
        <v>3694</v>
      </c>
      <c r="B838" s="4">
        <v>512149.0</v>
      </c>
      <c r="C838" s="3" t="s">
        <v>3695</v>
      </c>
      <c r="D838" s="3" t="s">
        <v>3696</v>
      </c>
      <c r="E838" s="3" t="s">
        <v>3697</v>
      </c>
      <c r="F838" s="3" t="s">
        <v>19</v>
      </c>
      <c r="G838" s="3" t="s">
        <v>72</v>
      </c>
      <c r="H838" s="3">
        <v>1.0</v>
      </c>
      <c r="I838" s="3" t="s">
        <v>3694</v>
      </c>
      <c r="J838" s="3" t="s">
        <v>22</v>
      </c>
      <c r="K838" s="3" t="s">
        <v>473</v>
      </c>
      <c r="L838" s="3" t="s">
        <v>473</v>
      </c>
      <c r="M838" s="3" t="s">
        <v>1391</v>
      </c>
      <c r="N838" s="3" t="s">
        <v>1392</v>
      </c>
      <c r="O838" s="5">
        <v>182.7287959</v>
      </c>
      <c r="P838" s="6" t="str">
        <f t="shared" si="2"/>
        <v>IT - Software</v>
      </c>
    </row>
    <row r="839" hidden="1">
      <c r="A839" s="3" t="s">
        <v>3698</v>
      </c>
      <c r="B839" s="4">
        <v>543713.0</v>
      </c>
      <c r="C839" s="3" t="s">
        <v>3699</v>
      </c>
      <c r="D839" s="3" t="s">
        <v>3700</v>
      </c>
      <c r="E839" s="3" t="s">
        <v>3701</v>
      </c>
      <c r="F839" s="3" t="s">
        <v>19</v>
      </c>
      <c r="G839" s="3" t="s">
        <v>2428</v>
      </c>
      <c r="H839" s="3">
        <v>10.0</v>
      </c>
      <c r="I839" s="3" t="s">
        <v>3702</v>
      </c>
      <c r="J839" s="3" t="s">
        <v>22</v>
      </c>
      <c r="K839" s="3" t="s">
        <v>1673</v>
      </c>
      <c r="L839" s="3" t="s">
        <v>1673</v>
      </c>
      <c r="M839" s="3" t="s">
        <v>1674</v>
      </c>
      <c r="N839" s="3" t="s">
        <v>1675</v>
      </c>
      <c r="O839" s="5">
        <v>350.23596</v>
      </c>
      <c r="P839" s="6" t="str">
        <f t="shared" si="2"/>
        <v>Commercial Services &amp; Supplies</v>
      </c>
    </row>
    <row r="840" hidden="1">
      <c r="A840" s="3" t="s">
        <v>3703</v>
      </c>
      <c r="B840" s="4">
        <v>542628.0</v>
      </c>
      <c r="C840" s="3" t="s">
        <v>3704</v>
      </c>
      <c r="D840" s="3" t="s">
        <v>3705</v>
      </c>
      <c r="E840" s="3" t="s">
        <v>3706</v>
      </c>
      <c r="F840" s="3" t="s">
        <v>19</v>
      </c>
      <c r="G840" s="3" t="s">
        <v>2428</v>
      </c>
      <c r="H840" s="3">
        <v>10.0</v>
      </c>
      <c r="I840" s="3" t="s">
        <v>3707</v>
      </c>
      <c r="J840" s="3" t="s">
        <v>22</v>
      </c>
      <c r="K840" s="3" t="s">
        <v>1673</v>
      </c>
      <c r="L840" s="3" t="s">
        <v>1673</v>
      </c>
      <c r="M840" s="3" t="s">
        <v>1674</v>
      </c>
      <c r="N840" s="3" t="s">
        <v>1915</v>
      </c>
      <c r="O840" s="5">
        <v>325.1131427</v>
      </c>
      <c r="P840" s="6" t="str">
        <f t="shared" si="2"/>
        <v>Commercial Services &amp; Supplies</v>
      </c>
    </row>
    <row r="841" hidden="1">
      <c r="A841" s="3" t="s">
        <v>3708</v>
      </c>
      <c r="B841" s="4">
        <v>512161.0</v>
      </c>
      <c r="C841" s="3" t="s">
        <v>3709</v>
      </c>
      <c r="D841" s="3" t="s">
        <v>3710</v>
      </c>
      <c r="E841" s="3" t="s">
        <v>3711</v>
      </c>
      <c r="F841" s="3" t="s">
        <v>19</v>
      </c>
      <c r="G841" s="3" t="s">
        <v>86</v>
      </c>
      <c r="H841" s="3">
        <v>5.0</v>
      </c>
      <c r="I841" s="3" t="s">
        <v>3708</v>
      </c>
      <c r="J841" s="3" t="s">
        <v>22</v>
      </c>
      <c r="K841" s="3" t="s">
        <v>473</v>
      </c>
      <c r="L841" s="3" t="s">
        <v>473</v>
      </c>
      <c r="M841" s="3" t="s">
        <v>1538</v>
      </c>
      <c r="N841" s="3" t="s">
        <v>1539</v>
      </c>
      <c r="O841" s="5">
        <v>122.7506</v>
      </c>
      <c r="P841" s="6" t="str">
        <f t="shared" si="2"/>
        <v>IT - Services</v>
      </c>
    </row>
    <row r="842" hidden="1">
      <c r="A842" s="3" t="s">
        <v>3712</v>
      </c>
      <c r="B842" s="4">
        <v>512165.0</v>
      </c>
      <c r="C842" s="3" t="s">
        <v>3713</v>
      </c>
      <c r="D842" s="3" t="s">
        <v>3714</v>
      </c>
      <c r="E842" s="3" t="s">
        <v>3715</v>
      </c>
      <c r="F842" s="3" t="s">
        <v>19</v>
      </c>
      <c r="G842" s="3" t="s">
        <v>44</v>
      </c>
      <c r="H842" s="3">
        <v>10.0</v>
      </c>
      <c r="I842" s="3" t="s">
        <v>3712</v>
      </c>
      <c r="J842" s="3" t="s">
        <v>22</v>
      </c>
      <c r="K842" s="3" t="s">
        <v>23</v>
      </c>
      <c r="L842" s="3" t="s">
        <v>65</v>
      </c>
      <c r="M842" s="3" t="s">
        <v>438</v>
      </c>
      <c r="N842" s="3" t="s">
        <v>2155</v>
      </c>
      <c r="O842" s="5">
        <v>185.718015</v>
      </c>
      <c r="P842" s="6" t="str">
        <f t="shared" si="2"/>
        <v>Metals &amp; Minerals Trading</v>
      </c>
    </row>
    <row r="843" hidden="1">
      <c r="A843" s="3" t="s">
        <v>3716</v>
      </c>
      <c r="B843" s="4">
        <v>512175.0</v>
      </c>
      <c r="C843" s="3" t="s">
        <v>3717</v>
      </c>
      <c r="D843" s="3" t="s">
        <v>3718</v>
      </c>
      <c r="E843" s="3" t="s">
        <v>3719</v>
      </c>
      <c r="F843" s="3" t="s">
        <v>19</v>
      </c>
      <c r="G843" s="3" t="s">
        <v>44</v>
      </c>
      <c r="H843" s="3">
        <v>2.0</v>
      </c>
      <c r="I843" s="3" t="s">
        <v>3716</v>
      </c>
      <c r="J843" s="3" t="s">
        <v>22</v>
      </c>
      <c r="K843" s="3" t="s">
        <v>473</v>
      </c>
      <c r="L843" s="3" t="s">
        <v>473</v>
      </c>
      <c r="M843" s="3" t="s">
        <v>474</v>
      </c>
      <c r="N843" s="3" t="s">
        <v>475</v>
      </c>
      <c r="O843" s="5">
        <v>46.3947183</v>
      </c>
      <c r="P843" s="6" t="str">
        <f t="shared" si="2"/>
        <v>IT - Hardware</v>
      </c>
    </row>
    <row r="844">
      <c r="A844" s="3" t="s">
        <v>1204</v>
      </c>
      <c r="B844" s="4">
        <v>543249.0</v>
      </c>
      <c r="C844" s="3" t="s">
        <v>3720</v>
      </c>
      <c r="D844" s="3" t="s">
        <v>3721</v>
      </c>
      <c r="E844" s="3" t="s">
        <v>3722</v>
      </c>
      <c r="F844" s="3" t="s">
        <v>19</v>
      </c>
      <c r="G844" s="3" t="s">
        <v>112</v>
      </c>
      <c r="H844" s="3">
        <v>2.0</v>
      </c>
      <c r="I844" s="3" t="s">
        <v>3723</v>
      </c>
      <c r="J844" s="3" t="s">
        <v>22</v>
      </c>
      <c r="K844" s="3" t="s">
        <v>58</v>
      </c>
      <c r="L844" s="3" t="s">
        <v>59</v>
      </c>
      <c r="M844" s="3" t="s">
        <v>59</v>
      </c>
      <c r="N844" s="3" t="s">
        <v>60</v>
      </c>
      <c r="O844" s="5">
        <v>6230.6504763</v>
      </c>
      <c r="P844" s="6" t="str">
        <f t="shared" si="2"/>
        <v>Residential, Commercial Projects</v>
      </c>
    </row>
    <row r="845" hidden="1">
      <c r="A845" s="3" t="s">
        <v>3724</v>
      </c>
      <c r="B845" s="4">
        <v>538942.0</v>
      </c>
      <c r="C845" s="3" t="s">
        <v>3725</v>
      </c>
      <c r="D845" s="3" t="s">
        <v>3726</v>
      </c>
      <c r="E845" s="3" t="s">
        <v>3727</v>
      </c>
      <c r="F845" s="3" t="s">
        <v>19</v>
      </c>
      <c r="G845" s="3" t="s">
        <v>44</v>
      </c>
      <c r="H845" s="3">
        <v>10.0</v>
      </c>
      <c r="I845" s="3" t="s">
        <v>3728</v>
      </c>
      <c r="J845" s="3" t="s">
        <v>22</v>
      </c>
      <c r="K845" s="3" t="s">
        <v>1673</v>
      </c>
      <c r="L845" s="3" t="s">
        <v>1673</v>
      </c>
      <c r="M845" s="3" t="s">
        <v>1674</v>
      </c>
      <c r="N845" s="3" t="s">
        <v>1675</v>
      </c>
      <c r="O845" s="5">
        <v>307.9250104</v>
      </c>
      <c r="P845" s="6" t="str">
        <f t="shared" si="2"/>
        <v>Commercial Services &amp; Supplies</v>
      </c>
    </row>
    <row r="846" hidden="1">
      <c r="A846" s="3" t="s">
        <v>3729</v>
      </c>
      <c r="B846" s="4">
        <v>543513.0</v>
      </c>
      <c r="C846" s="3" t="s">
        <v>3730</v>
      </c>
      <c r="D846" s="3" t="s">
        <v>3731</v>
      </c>
      <c r="E846" s="3" t="s">
        <v>3732</v>
      </c>
      <c r="F846" s="3" t="s">
        <v>19</v>
      </c>
      <c r="G846" s="3" t="s">
        <v>86</v>
      </c>
      <c r="H846" s="3">
        <v>10.0</v>
      </c>
      <c r="I846" s="3" t="s">
        <v>3733</v>
      </c>
      <c r="J846" s="3" t="s">
        <v>22</v>
      </c>
      <c r="K846" s="3" t="s">
        <v>1673</v>
      </c>
      <c r="L846" s="3" t="s">
        <v>1673</v>
      </c>
      <c r="M846" s="3" t="s">
        <v>1674</v>
      </c>
      <c r="N846" s="3" t="s">
        <v>1915</v>
      </c>
      <c r="O846" s="5">
        <v>304.2276541</v>
      </c>
      <c r="P846" s="6" t="str">
        <f t="shared" si="2"/>
        <v>Commercial Services &amp; Supplies</v>
      </c>
    </row>
    <row r="847" hidden="1">
      <c r="A847" s="3" t="s">
        <v>3734</v>
      </c>
      <c r="B847" s="4">
        <v>512217.0</v>
      </c>
      <c r="C847" s="3" t="s">
        <v>3735</v>
      </c>
      <c r="D847" s="3" t="s">
        <v>3736</v>
      </c>
      <c r="E847" s="3" t="s">
        <v>3737</v>
      </c>
      <c r="F847" s="3" t="s">
        <v>19</v>
      </c>
      <c r="G847" s="3" t="s">
        <v>44</v>
      </c>
      <c r="H847" s="3">
        <v>10.0</v>
      </c>
      <c r="I847" s="3" t="s">
        <v>3734</v>
      </c>
      <c r="J847" s="3" t="s">
        <v>22</v>
      </c>
      <c r="K847" s="3" t="s">
        <v>204</v>
      </c>
      <c r="L847" s="3" t="s">
        <v>204</v>
      </c>
      <c r="M847" s="3" t="s">
        <v>378</v>
      </c>
      <c r="N847" s="3" t="s">
        <v>379</v>
      </c>
      <c r="O847" s="5">
        <v>13.6233173</v>
      </c>
      <c r="P847" s="6" t="str">
        <f t="shared" si="2"/>
        <v>Non Banking Financial Company (NBFC)</v>
      </c>
    </row>
    <row r="848" hidden="1">
      <c r="A848" s="3" t="s">
        <v>3738</v>
      </c>
      <c r="B848" s="4">
        <v>512221.0</v>
      </c>
      <c r="C848" s="3" t="s">
        <v>3739</v>
      </c>
      <c r="D848" s="3" t="s">
        <v>3740</v>
      </c>
      <c r="E848" s="3" t="s">
        <v>3741</v>
      </c>
      <c r="F848" s="3" t="s">
        <v>19</v>
      </c>
      <c r="G848" s="3" t="s">
        <v>72</v>
      </c>
      <c r="H848" s="3">
        <v>10.0</v>
      </c>
      <c r="I848" s="3" t="s">
        <v>3738</v>
      </c>
      <c r="J848" s="3" t="s">
        <v>22</v>
      </c>
      <c r="K848" s="3" t="s">
        <v>204</v>
      </c>
      <c r="L848" s="3" t="s">
        <v>204</v>
      </c>
      <c r="M848" s="3" t="s">
        <v>378</v>
      </c>
      <c r="N848" s="3" t="s">
        <v>379</v>
      </c>
      <c r="O848" s="5">
        <v>1.0</v>
      </c>
      <c r="P848" s="6" t="str">
        <f t="shared" si="2"/>
        <v>Non Banking Financial Company (NBFC)</v>
      </c>
    </row>
    <row r="849" hidden="1">
      <c r="A849" s="3" t="s">
        <v>1914</v>
      </c>
      <c r="B849" s="4">
        <v>532773.0</v>
      </c>
      <c r="C849" s="3" t="s">
        <v>3742</v>
      </c>
      <c r="D849" s="3" t="s">
        <v>3743</v>
      </c>
      <c r="E849" s="3" t="s">
        <v>3744</v>
      </c>
      <c r="F849" s="3" t="s">
        <v>19</v>
      </c>
      <c r="G849" s="3" t="s">
        <v>86</v>
      </c>
      <c r="H849" s="3">
        <v>10.0</v>
      </c>
      <c r="I849" s="3" t="s">
        <v>3745</v>
      </c>
      <c r="J849" s="3" t="s">
        <v>22</v>
      </c>
      <c r="K849" s="3" t="s">
        <v>1673</v>
      </c>
      <c r="L849" s="3" t="s">
        <v>1673</v>
      </c>
      <c r="M849" s="3" t="s">
        <v>1689</v>
      </c>
      <c r="N849" s="3" t="s">
        <v>1695</v>
      </c>
      <c r="O849" s="5">
        <v>297.8630177</v>
      </c>
      <c r="P849" s="6" t="str">
        <f t="shared" si="2"/>
        <v>Transport Services</v>
      </c>
    </row>
    <row r="850">
      <c r="A850" s="3" t="s">
        <v>3746</v>
      </c>
      <c r="B850" s="4">
        <v>543258.0</v>
      </c>
      <c r="C850" s="3" t="s">
        <v>3747</v>
      </c>
      <c r="D850" s="3" t="s">
        <v>3748</v>
      </c>
      <c r="E850" s="3" t="s">
        <v>3749</v>
      </c>
      <c r="F850" s="3" t="s">
        <v>19</v>
      </c>
      <c r="G850" s="3" t="s">
        <v>20</v>
      </c>
      <c r="H850" s="3">
        <v>10.0</v>
      </c>
      <c r="I850" s="3" t="s">
        <v>3750</v>
      </c>
      <c r="J850" s="3" t="s">
        <v>22</v>
      </c>
      <c r="K850" s="3" t="s">
        <v>58</v>
      </c>
      <c r="L850" s="3" t="s">
        <v>211</v>
      </c>
      <c r="M850" s="3" t="s">
        <v>211</v>
      </c>
      <c r="N850" s="3" t="s">
        <v>956</v>
      </c>
      <c r="O850" s="5">
        <v>6551.903372</v>
      </c>
      <c r="P850" s="6" t="str">
        <f t="shared" si="2"/>
        <v>Consumer Durables</v>
      </c>
    </row>
    <row r="851" hidden="1">
      <c r="A851" s="3" t="s">
        <v>3751</v>
      </c>
      <c r="B851" s="4">
        <v>509020.0</v>
      </c>
      <c r="C851" s="3" t="s">
        <v>3752</v>
      </c>
      <c r="D851" s="3" t="s">
        <v>3753</v>
      </c>
      <c r="E851" s="3" t="s">
        <v>3754</v>
      </c>
      <c r="F851" s="3" t="s">
        <v>19</v>
      </c>
      <c r="G851" s="3" t="s">
        <v>112</v>
      </c>
      <c r="H851" s="3">
        <v>1.0</v>
      </c>
      <c r="I851" s="3" t="s">
        <v>2920</v>
      </c>
      <c r="J851" s="3" t="s">
        <v>22</v>
      </c>
      <c r="K851" s="3" t="s">
        <v>1673</v>
      </c>
      <c r="L851" s="3" t="s">
        <v>1673</v>
      </c>
      <c r="M851" s="3" t="s">
        <v>1674</v>
      </c>
      <c r="N851" s="3" t="s">
        <v>1675</v>
      </c>
      <c r="O851" s="5">
        <v>279.3022622</v>
      </c>
      <c r="P851" s="6" t="str">
        <f t="shared" si="2"/>
        <v>Commercial Services &amp; Supplies</v>
      </c>
    </row>
    <row r="852" hidden="1">
      <c r="A852" s="3" t="s">
        <v>3755</v>
      </c>
      <c r="B852" s="4">
        <v>512247.0</v>
      </c>
      <c r="C852" s="3" t="s">
        <v>3756</v>
      </c>
      <c r="D852" s="3" t="s">
        <v>3757</v>
      </c>
      <c r="E852" s="3" t="s">
        <v>3758</v>
      </c>
      <c r="F852" s="3" t="s">
        <v>19</v>
      </c>
      <c r="G852" s="3" t="s">
        <v>72</v>
      </c>
      <c r="H852" s="3">
        <v>1.0</v>
      </c>
      <c r="I852" s="3" t="s">
        <v>3755</v>
      </c>
      <c r="J852" s="3" t="s">
        <v>22</v>
      </c>
      <c r="K852" s="3" t="s">
        <v>204</v>
      </c>
      <c r="L852" s="3" t="s">
        <v>204</v>
      </c>
      <c r="M852" s="3" t="s">
        <v>378</v>
      </c>
      <c r="N852" s="3" t="s">
        <v>468</v>
      </c>
      <c r="O852" s="5">
        <v>49.6086761</v>
      </c>
      <c r="P852" s="6" t="str">
        <f t="shared" si="2"/>
        <v>Finance</v>
      </c>
    </row>
    <row r="853" hidden="1">
      <c r="A853" s="3" t="s">
        <v>3759</v>
      </c>
      <c r="B853" s="4">
        <v>512257.0</v>
      </c>
      <c r="C853" s="3" t="s">
        <v>3760</v>
      </c>
      <c r="D853" s="3" t="s">
        <v>3761</v>
      </c>
      <c r="E853" s="3" t="s">
        <v>3760</v>
      </c>
      <c r="F853" s="3" t="s">
        <v>19</v>
      </c>
      <c r="G853" s="3" t="s">
        <v>44</v>
      </c>
      <c r="H853" s="3">
        <v>1.0</v>
      </c>
      <c r="I853" s="3" t="s">
        <v>3759</v>
      </c>
      <c r="J853" s="3" t="s">
        <v>22</v>
      </c>
      <c r="K853" s="3" t="s">
        <v>2675</v>
      </c>
      <c r="L853" s="3" t="s">
        <v>2675</v>
      </c>
      <c r="M853" s="3" t="s">
        <v>2675</v>
      </c>
      <c r="N853" s="3" t="s">
        <v>2675</v>
      </c>
      <c r="O853" s="5">
        <v>38.9660153</v>
      </c>
      <c r="P853" s="6" t="str">
        <f t="shared" si="2"/>
        <v>Diversified</v>
      </c>
    </row>
    <row r="854" hidden="1">
      <c r="A854" s="3" t="s">
        <v>3762</v>
      </c>
      <c r="B854" s="4">
        <v>539991.0</v>
      </c>
      <c r="C854" s="3" t="s">
        <v>3763</v>
      </c>
      <c r="D854" s="3" t="s">
        <v>3764</v>
      </c>
      <c r="E854" s="3" t="s">
        <v>3765</v>
      </c>
      <c r="F854" s="3" t="s">
        <v>19</v>
      </c>
      <c r="G854" s="3" t="s">
        <v>44</v>
      </c>
      <c r="H854" s="3">
        <v>5.0</v>
      </c>
      <c r="I854" s="3" t="s">
        <v>3766</v>
      </c>
      <c r="J854" s="3" t="s">
        <v>22</v>
      </c>
      <c r="K854" s="3" t="s">
        <v>1673</v>
      </c>
      <c r="L854" s="3" t="s">
        <v>1673</v>
      </c>
      <c r="M854" s="3" t="s">
        <v>1674</v>
      </c>
      <c r="N854" s="3" t="s">
        <v>1915</v>
      </c>
      <c r="O854" s="5">
        <v>266.9697259</v>
      </c>
      <c r="P854" s="6" t="str">
        <f t="shared" si="2"/>
        <v>Commercial Services &amp; Supplies</v>
      </c>
    </row>
    <row r="855" hidden="1">
      <c r="A855" s="3" t="s">
        <v>3767</v>
      </c>
      <c r="B855" s="4">
        <v>512267.0</v>
      </c>
      <c r="C855" s="3" t="s">
        <v>3768</v>
      </c>
      <c r="D855" s="3" t="s">
        <v>3769</v>
      </c>
      <c r="E855" s="3" t="s">
        <v>3770</v>
      </c>
      <c r="F855" s="3" t="s">
        <v>19</v>
      </c>
      <c r="G855" s="3" t="s">
        <v>112</v>
      </c>
      <c r="H855" s="3">
        <v>1.0</v>
      </c>
      <c r="I855" s="3" t="s">
        <v>3767</v>
      </c>
      <c r="J855" s="3" t="s">
        <v>22</v>
      </c>
      <c r="K855" s="3" t="s">
        <v>58</v>
      </c>
      <c r="L855" s="3" t="s">
        <v>182</v>
      </c>
      <c r="M855" s="3" t="s">
        <v>1168</v>
      </c>
      <c r="N855" s="3" t="s">
        <v>1568</v>
      </c>
      <c r="O855" s="5">
        <v>2028.6902593</v>
      </c>
      <c r="P855" s="6" t="str">
        <f t="shared" si="2"/>
        <v>Entertainment</v>
      </c>
    </row>
    <row r="856" hidden="1">
      <c r="A856" s="3" t="s">
        <v>3771</v>
      </c>
      <c r="B856" s="4">
        <v>542753.0</v>
      </c>
      <c r="C856" s="3" t="s">
        <v>3772</v>
      </c>
      <c r="D856" s="3" t="s">
        <v>3773</v>
      </c>
      <c r="E856" s="3" t="s">
        <v>3774</v>
      </c>
      <c r="F856" s="3" t="s">
        <v>19</v>
      </c>
      <c r="G856" s="3" t="s">
        <v>72</v>
      </c>
      <c r="H856" s="3">
        <v>1.0</v>
      </c>
      <c r="I856" s="3" t="s">
        <v>3775</v>
      </c>
      <c r="J856" s="3" t="s">
        <v>22</v>
      </c>
      <c r="K856" s="3" t="s">
        <v>1673</v>
      </c>
      <c r="L856" s="3" t="s">
        <v>1673</v>
      </c>
      <c r="M856" s="3" t="s">
        <v>1689</v>
      </c>
      <c r="N856" s="3" t="s">
        <v>1690</v>
      </c>
      <c r="O856" s="5">
        <v>261.6253236</v>
      </c>
      <c r="P856" s="6" t="str">
        <f t="shared" si="2"/>
        <v>Transport Services</v>
      </c>
    </row>
    <row r="857" hidden="1">
      <c r="A857" s="3" t="s">
        <v>3776</v>
      </c>
      <c r="B857" s="4">
        <v>512131.0</v>
      </c>
      <c r="C857" s="3" t="s">
        <v>3777</v>
      </c>
      <c r="D857" s="3" t="s">
        <v>3778</v>
      </c>
      <c r="E857" s="3" t="s">
        <v>3777</v>
      </c>
      <c r="F857" s="3" t="s">
        <v>19</v>
      </c>
      <c r="G857" s="3" t="s">
        <v>112</v>
      </c>
      <c r="H857" s="3">
        <v>10.0</v>
      </c>
      <c r="I857" s="3" t="s">
        <v>3685</v>
      </c>
      <c r="J857" s="3" t="s">
        <v>22</v>
      </c>
      <c r="K857" s="3" t="s">
        <v>1673</v>
      </c>
      <c r="L857" s="3" t="s">
        <v>1673</v>
      </c>
      <c r="M857" s="3" t="s">
        <v>1674</v>
      </c>
      <c r="N857" s="3" t="s">
        <v>1915</v>
      </c>
      <c r="O857" s="5">
        <v>256.6878468</v>
      </c>
      <c r="P857" s="6" t="str">
        <f t="shared" si="2"/>
        <v>Commercial Services &amp; Supplies</v>
      </c>
    </row>
    <row r="858" hidden="1">
      <c r="A858" s="3" t="s">
        <v>3779</v>
      </c>
      <c r="B858" s="4">
        <v>512291.0</v>
      </c>
      <c r="C858" s="3" t="s">
        <v>3780</v>
      </c>
      <c r="D858" s="3" t="s">
        <v>3781</v>
      </c>
      <c r="E858" s="3" t="s">
        <v>3782</v>
      </c>
      <c r="F858" s="3" t="s">
        <v>19</v>
      </c>
      <c r="G858" s="3" t="s">
        <v>1858</v>
      </c>
      <c r="H858" s="3">
        <v>10.0</v>
      </c>
      <c r="I858" s="3" t="s">
        <v>3779</v>
      </c>
      <c r="J858" s="3" t="s">
        <v>22</v>
      </c>
      <c r="K858" s="3" t="s">
        <v>204</v>
      </c>
      <c r="L858" s="3" t="s">
        <v>204</v>
      </c>
      <c r="M858" s="3" t="s">
        <v>378</v>
      </c>
      <c r="N858" s="3" t="s">
        <v>468</v>
      </c>
      <c r="O858" s="5">
        <v>1.0</v>
      </c>
      <c r="P858" s="6" t="str">
        <f t="shared" si="2"/>
        <v>Finance</v>
      </c>
    </row>
    <row r="859" hidden="1">
      <c r="A859" s="3" t="s">
        <v>3783</v>
      </c>
      <c r="B859" s="4">
        <v>512296.0</v>
      </c>
      <c r="C859" s="3" t="s">
        <v>3784</v>
      </c>
      <c r="D859" s="3" t="s">
        <v>3785</v>
      </c>
      <c r="E859" s="3" t="s">
        <v>3786</v>
      </c>
      <c r="F859" s="3" t="s">
        <v>19</v>
      </c>
      <c r="G859" s="3" t="s">
        <v>112</v>
      </c>
      <c r="H859" s="3">
        <v>2.0</v>
      </c>
      <c r="I859" s="3" t="s">
        <v>3783</v>
      </c>
      <c r="J859" s="3" t="s">
        <v>22</v>
      </c>
      <c r="K859" s="3" t="s">
        <v>23</v>
      </c>
      <c r="L859" s="3" t="s">
        <v>65</v>
      </c>
      <c r="M859" s="3" t="s">
        <v>66</v>
      </c>
      <c r="N859" s="3" t="s">
        <v>458</v>
      </c>
      <c r="O859" s="5">
        <v>344.6767383</v>
      </c>
      <c r="P859" s="6" t="str">
        <f t="shared" si="2"/>
        <v>Non - Ferrous Metals</v>
      </c>
    </row>
    <row r="860" hidden="1">
      <c r="A860" s="3" t="s">
        <v>3787</v>
      </c>
      <c r="B860" s="4">
        <v>512297.0</v>
      </c>
      <c r="C860" s="3" t="s">
        <v>3788</v>
      </c>
      <c r="D860" s="3" t="s">
        <v>3789</v>
      </c>
      <c r="E860" s="3" t="s">
        <v>3790</v>
      </c>
      <c r="F860" s="3" t="s">
        <v>19</v>
      </c>
      <c r="G860" s="3" t="s">
        <v>72</v>
      </c>
      <c r="H860" s="3">
        <v>10.0</v>
      </c>
      <c r="I860" s="3" t="s">
        <v>3787</v>
      </c>
      <c r="J860" s="3" t="s">
        <v>22</v>
      </c>
      <c r="K860" s="3" t="s">
        <v>97</v>
      </c>
      <c r="L860" s="3" t="s">
        <v>98</v>
      </c>
      <c r="M860" s="3" t="s">
        <v>99</v>
      </c>
      <c r="N860" s="3" t="s">
        <v>100</v>
      </c>
      <c r="O860" s="5">
        <v>1.0</v>
      </c>
      <c r="P860" s="6" t="str">
        <f t="shared" si="2"/>
        <v>Industrial Products</v>
      </c>
    </row>
    <row r="861" hidden="1">
      <c r="A861" s="3" t="s">
        <v>3791</v>
      </c>
      <c r="B861" s="4">
        <v>534615.0</v>
      </c>
      <c r="C861" s="3" t="s">
        <v>3792</v>
      </c>
      <c r="D861" s="3" t="s">
        <v>3793</v>
      </c>
      <c r="E861" s="3" t="s">
        <v>3794</v>
      </c>
      <c r="F861" s="3" t="s">
        <v>19</v>
      </c>
      <c r="G861" s="3" t="s">
        <v>112</v>
      </c>
      <c r="H861" s="3">
        <v>10.0</v>
      </c>
      <c r="I861" s="3" t="s">
        <v>3795</v>
      </c>
      <c r="J861" s="3" t="s">
        <v>22</v>
      </c>
      <c r="K861" s="3" t="s">
        <v>1673</v>
      </c>
      <c r="L861" s="3" t="s">
        <v>1673</v>
      </c>
      <c r="M861" s="3" t="s">
        <v>1689</v>
      </c>
      <c r="N861" s="3" t="s">
        <v>1690</v>
      </c>
      <c r="O861" s="5">
        <v>250.5615828</v>
      </c>
      <c r="P861" s="6" t="str">
        <f t="shared" si="2"/>
        <v>Transport Services</v>
      </c>
    </row>
    <row r="862" hidden="1">
      <c r="A862" s="3" t="s">
        <v>3796</v>
      </c>
      <c r="B862" s="4">
        <v>540401.0</v>
      </c>
      <c r="C862" s="3" t="s">
        <v>3797</v>
      </c>
      <c r="D862" s="3" t="s">
        <v>3798</v>
      </c>
      <c r="E862" s="3" t="s">
        <v>3799</v>
      </c>
      <c r="F862" s="3" t="s">
        <v>19</v>
      </c>
      <c r="G862" s="3" t="s">
        <v>112</v>
      </c>
      <c r="H862" s="3">
        <v>1.0</v>
      </c>
      <c r="I862" s="3" t="s">
        <v>3800</v>
      </c>
      <c r="J862" s="3" t="s">
        <v>22</v>
      </c>
      <c r="K862" s="3" t="s">
        <v>1673</v>
      </c>
      <c r="L862" s="3" t="s">
        <v>1673</v>
      </c>
      <c r="M862" s="3" t="s">
        <v>1674</v>
      </c>
      <c r="N862" s="3" t="s">
        <v>1915</v>
      </c>
      <c r="O862" s="5">
        <v>250.2084662</v>
      </c>
      <c r="P862" s="6" t="str">
        <f t="shared" si="2"/>
        <v>Commercial Services &amp; Supplies</v>
      </c>
    </row>
    <row r="863">
      <c r="A863" s="3" t="s">
        <v>3801</v>
      </c>
      <c r="B863" s="4">
        <v>543272.0</v>
      </c>
      <c r="C863" s="3" t="s">
        <v>3802</v>
      </c>
      <c r="D863" s="3" t="s">
        <v>3803</v>
      </c>
      <c r="E863" s="3" t="s">
        <v>3804</v>
      </c>
      <c r="F863" s="3" t="s">
        <v>19</v>
      </c>
      <c r="G863" s="3" t="s">
        <v>20</v>
      </c>
      <c r="H863" s="3">
        <v>1.0</v>
      </c>
      <c r="I863" s="3" t="s">
        <v>3805</v>
      </c>
      <c r="J863" s="3" t="s">
        <v>22</v>
      </c>
      <c r="K863" s="3" t="s">
        <v>58</v>
      </c>
      <c r="L863" s="3" t="s">
        <v>73</v>
      </c>
      <c r="M863" s="3" t="s">
        <v>74</v>
      </c>
      <c r="N863" s="3" t="s">
        <v>565</v>
      </c>
      <c r="O863" s="5">
        <v>7351.9069591</v>
      </c>
      <c r="P863" s="6" t="str">
        <f t="shared" si="2"/>
        <v>Leisure Services</v>
      </c>
    </row>
    <row r="864" hidden="1">
      <c r="A864" s="3" t="s">
        <v>3806</v>
      </c>
      <c r="B864" s="4">
        <v>543715.0</v>
      </c>
      <c r="C864" s="3" t="s">
        <v>3807</v>
      </c>
      <c r="D864" s="3" t="s">
        <v>3808</v>
      </c>
      <c r="E864" s="3" t="s">
        <v>3809</v>
      </c>
      <c r="F864" s="3" t="s">
        <v>19</v>
      </c>
      <c r="G864" s="3" t="s">
        <v>112</v>
      </c>
      <c r="H864" s="3">
        <v>2.0</v>
      </c>
      <c r="I864" s="3" t="s">
        <v>3810</v>
      </c>
      <c r="J864" s="3" t="s">
        <v>22</v>
      </c>
      <c r="K864" s="3" t="s">
        <v>1673</v>
      </c>
      <c r="L864" s="3" t="s">
        <v>1673</v>
      </c>
      <c r="M864" s="3" t="s">
        <v>1674</v>
      </c>
      <c r="N864" s="3" t="s">
        <v>1675</v>
      </c>
      <c r="O864" s="5">
        <v>246.1789182</v>
      </c>
      <c r="P864" s="6" t="str">
        <f t="shared" si="2"/>
        <v>Commercial Services &amp; Supplies</v>
      </c>
    </row>
    <row r="865" hidden="1">
      <c r="A865" s="3" t="s">
        <v>3811</v>
      </c>
      <c r="B865" s="4">
        <v>526530.0</v>
      </c>
      <c r="C865" s="3" t="s">
        <v>3812</v>
      </c>
      <c r="D865" s="3" t="s">
        <v>3813</v>
      </c>
      <c r="E865" s="3" t="s">
        <v>3814</v>
      </c>
      <c r="F865" s="3" t="s">
        <v>19</v>
      </c>
      <c r="G865" s="3" t="s">
        <v>72</v>
      </c>
      <c r="H865" s="3">
        <v>5.0</v>
      </c>
      <c r="I865" s="3" t="s">
        <v>3815</v>
      </c>
      <c r="J865" s="3" t="s">
        <v>22</v>
      </c>
      <c r="K865" s="3" t="s">
        <v>1673</v>
      </c>
      <c r="L865" s="3" t="s">
        <v>1673</v>
      </c>
      <c r="M865" s="3" t="s">
        <v>1674</v>
      </c>
      <c r="N865" s="3" t="s">
        <v>1915</v>
      </c>
      <c r="O865" s="5">
        <v>241.7496527</v>
      </c>
      <c r="P865" s="6" t="str">
        <f t="shared" si="2"/>
        <v>Commercial Services &amp; Supplies</v>
      </c>
    </row>
    <row r="866" hidden="1">
      <c r="A866" s="3" t="s">
        <v>3816</v>
      </c>
      <c r="B866" s="4">
        <v>512345.0</v>
      </c>
      <c r="C866" s="3" t="s">
        <v>3817</v>
      </c>
      <c r="D866" s="3" t="s">
        <v>3818</v>
      </c>
      <c r="E866" s="3" t="s">
        <v>3819</v>
      </c>
      <c r="F866" s="3" t="s">
        <v>19</v>
      </c>
      <c r="G866" s="3" t="s">
        <v>72</v>
      </c>
      <c r="H866" s="3">
        <v>10.0</v>
      </c>
      <c r="I866" s="3" t="s">
        <v>3816</v>
      </c>
      <c r="J866" s="3" t="s">
        <v>22</v>
      </c>
      <c r="K866" s="3" t="s">
        <v>204</v>
      </c>
      <c r="L866" s="3" t="s">
        <v>204</v>
      </c>
      <c r="M866" s="3" t="s">
        <v>378</v>
      </c>
      <c r="N866" s="3" t="s">
        <v>468</v>
      </c>
      <c r="O866" s="5">
        <v>1.0</v>
      </c>
      <c r="P866" s="6" t="str">
        <f t="shared" si="2"/>
        <v>Finance</v>
      </c>
    </row>
    <row r="867" hidden="1">
      <c r="A867" s="3" t="s">
        <v>3820</v>
      </c>
      <c r="B867" s="4">
        <v>512367.0</v>
      </c>
      <c r="C867" s="3" t="s">
        <v>3821</v>
      </c>
      <c r="D867" s="3" t="s">
        <v>3822</v>
      </c>
      <c r="E867" s="3" t="s">
        <v>3823</v>
      </c>
      <c r="F867" s="3" t="s">
        <v>19</v>
      </c>
      <c r="G867" s="3" t="s">
        <v>1858</v>
      </c>
      <c r="H867" s="3">
        <v>10.0</v>
      </c>
      <c r="I867" s="3" t="s">
        <v>3820</v>
      </c>
      <c r="J867" s="3" t="s">
        <v>22</v>
      </c>
      <c r="K867" s="3" t="s">
        <v>204</v>
      </c>
      <c r="L867" s="3" t="s">
        <v>204</v>
      </c>
      <c r="M867" s="3" t="s">
        <v>378</v>
      </c>
      <c r="N867" s="3" t="s">
        <v>468</v>
      </c>
      <c r="O867" s="5">
        <v>1.0</v>
      </c>
      <c r="P867" s="6" t="str">
        <f t="shared" si="2"/>
        <v>Finance</v>
      </c>
    </row>
    <row r="868" hidden="1">
      <c r="A868" s="3" t="s">
        <v>3824</v>
      </c>
      <c r="B868" s="4">
        <v>532481.0</v>
      </c>
      <c r="C868" s="3" t="s">
        <v>3825</v>
      </c>
      <c r="D868" s="3" t="s">
        <v>3826</v>
      </c>
      <c r="E868" s="3" t="s">
        <v>3827</v>
      </c>
      <c r="F868" s="3" t="s">
        <v>19</v>
      </c>
      <c r="G868" s="3" t="s">
        <v>86</v>
      </c>
      <c r="H868" s="3">
        <v>10.0</v>
      </c>
      <c r="I868" s="3" t="s">
        <v>3828</v>
      </c>
      <c r="J868" s="3" t="s">
        <v>22</v>
      </c>
      <c r="K868" s="3" t="s">
        <v>1673</v>
      </c>
      <c r="L868" s="3" t="s">
        <v>1673</v>
      </c>
      <c r="M868" s="3" t="s">
        <v>1879</v>
      </c>
      <c r="N868" s="3" t="s">
        <v>1880</v>
      </c>
      <c r="O868" s="5">
        <v>233.64732</v>
      </c>
      <c r="P868" s="6" t="str">
        <f t="shared" si="2"/>
        <v>Transport Infrastructure</v>
      </c>
    </row>
    <row r="869" hidden="1">
      <c r="A869" s="3" t="s">
        <v>3829</v>
      </c>
      <c r="B869" s="4">
        <v>512379.0</v>
      </c>
      <c r="C869" s="3" t="s">
        <v>3830</v>
      </c>
      <c r="D869" s="3" t="s">
        <v>3831</v>
      </c>
      <c r="E869" s="3" t="s">
        <v>3832</v>
      </c>
      <c r="F869" s="3" t="s">
        <v>19</v>
      </c>
      <c r="G869" s="3" t="s">
        <v>72</v>
      </c>
      <c r="H869" s="3">
        <v>1.0</v>
      </c>
      <c r="I869" s="3" t="s">
        <v>3829</v>
      </c>
      <c r="J869" s="3" t="s">
        <v>22</v>
      </c>
      <c r="K869" s="3" t="s">
        <v>473</v>
      </c>
      <c r="L869" s="3" t="s">
        <v>473</v>
      </c>
      <c r="M869" s="3" t="s">
        <v>1538</v>
      </c>
      <c r="N869" s="3" t="s">
        <v>1539</v>
      </c>
      <c r="O869" s="5">
        <v>439.8769902</v>
      </c>
      <c r="P869" s="6" t="str">
        <f t="shared" si="2"/>
        <v>IT - Services</v>
      </c>
    </row>
    <row r="870" hidden="1">
      <c r="A870" s="3" t="s">
        <v>3833</v>
      </c>
      <c r="B870" s="4">
        <v>512381.0</v>
      </c>
      <c r="C870" s="3" t="s">
        <v>3834</v>
      </c>
      <c r="D870" s="3" t="s">
        <v>3835</v>
      </c>
      <c r="E870" s="3" t="s">
        <v>3836</v>
      </c>
      <c r="F870" s="3" t="s">
        <v>19</v>
      </c>
      <c r="G870" s="3" t="s">
        <v>112</v>
      </c>
      <c r="H870" s="3">
        <v>10.0</v>
      </c>
      <c r="I870" s="3" t="s">
        <v>3833</v>
      </c>
      <c r="J870" s="3" t="s">
        <v>22</v>
      </c>
      <c r="K870" s="3" t="s">
        <v>204</v>
      </c>
      <c r="L870" s="3" t="s">
        <v>204</v>
      </c>
      <c r="M870" s="3" t="s">
        <v>378</v>
      </c>
      <c r="N870" s="3" t="s">
        <v>379</v>
      </c>
      <c r="O870" s="5">
        <v>290.8893563</v>
      </c>
      <c r="P870" s="6" t="str">
        <f t="shared" si="2"/>
        <v>Non Banking Financial Company (NBFC)</v>
      </c>
    </row>
    <row r="871" hidden="1">
      <c r="A871" s="3" t="s">
        <v>3837</v>
      </c>
      <c r="B871" s="4">
        <v>512393.0</v>
      </c>
      <c r="C871" s="3" t="s">
        <v>3838</v>
      </c>
      <c r="D871" s="3" t="s">
        <v>3839</v>
      </c>
      <c r="E871" s="3" t="s">
        <v>3840</v>
      </c>
      <c r="F871" s="3" t="s">
        <v>19</v>
      </c>
      <c r="G871" s="3" t="s">
        <v>44</v>
      </c>
      <c r="H871" s="3">
        <v>10.0</v>
      </c>
      <c r="I871" s="3" t="s">
        <v>3837</v>
      </c>
      <c r="J871" s="3" t="s">
        <v>22</v>
      </c>
      <c r="K871" s="3" t="s">
        <v>204</v>
      </c>
      <c r="L871" s="3" t="s">
        <v>204</v>
      </c>
      <c r="M871" s="3" t="s">
        <v>205</v>
      </c>
      <c r="N871" s="3" t="s">
        <v>2109</v>
      </c>
      <c r="O871" s="5">
        <v>431.2092936</v>
      </c>
      <c r="P871" s="6" t="str">
        <f t="shared" si="2"/>
        <v>Capital Markets</v>
      </c>
    </row>
    <row r="872" hidden="1">
      <c r="A872" s="3" t="s">
        <v>3841</v>
      </c>
      <c r="B872" s="4">
        <v>512399.0</v>
      </c>
      <c r="C872" s="3" t="s">
        <v>3842</v>
      </c>
      <c r="D872" s="3" t="s">
        <v>3843</v>
      </c>
      <c r="E872" s="3" t="s">
        <v>3844</v>
      </c>
      <c r="F872" s="3" t="s">
        <v>19</v>
      </c>
      <c r="G872" s="3" t="s">
        <v>72</v>
      </c>
      <c r="H872" s="3">
        <v>2.0</v>
      </c>
      <c r="I872" s="3" t="s">
        <v>3841</v>
      </c>
      <c r="J872" s="3" t="s">
        <v>22</v>
      </c>
      <c r="K872" s="3" t="s">
        <v>204</v>
      </c>
      <c r="L872" s="3" t="s">
        <v>204</v>
      </c>
      <c r="M872" s="3" t="s">
        <v>378</v>
      </c>
      <c r="N872" s="3" t="s">
        <v>379</v>
      </c>
      <c r="O872" s="5">
        <v>118.43</v>
      </c>
      <c r="P872" s="6" t="str">
        <f t="shared" si="2"/>
        <v>Non Banking Financial Company (NBFC)</v>
      </c>
    </row>
    <row r="873" hidden="1">
      <c r="A873" s="3" t="s">
        <v>3845</v>
      </c>
      <c r="B873" s="4">
        <v>512404.0</v>
      </c>
      <c r="C873" s="3" t="s">
        <v>3846</v>
      </c>
      <c r="D873" s="3" t="s">
        <v>3847</v>
      </c>
      <c r="E873" s="3" t="s">
        <v>3848</v>
      </c>
      <c r="F873" s="3" t="s">
        <v>19</v>
      </c>
      <c r="G873" s="3" t="s">
        <v>1858</v>
      </c>
      <c r="H873" s="3">
        <v>10.0</v>
      </c>
      <c r="I873" s="3" t="s">
        <v>3845</v>
      </c>
      <c r="J873" s="3" t="s">
        <v>22</v>
      </c>
      <c r="K873" s="3" t="s">
        <v>97</v>
      </c>
      <c r="L873" s="3" t="s">
        <v>98</v>
      </c>
      <c r="M873" s="3" t="s">
        <v>100</v>
      </c>
      <c r="N873" s="3" t="s">
        <v>612</v>
      </c>
      <c r="O873" s="5">
        <v>1.0</v>
      </c>
      <c r="P873" s="6" t="str">
        <f t="shared" si="2"/>
        <v>Industrial Products</v>
      </c>
    </row>
    <row r="874" hidden="1">
      <c r="A874" s="3" t="s">
        <v>3849</v>
      </c>
      <c r="B874" s="4">
        <v>512408.0</v>
      </c>
      <c r="C874" s="3" t="s">
        <v>3850</v>
      </c>
      <c r="D874" s="3" t="s">
        <v>3851</v>
      </c>
      <c r="E874" s="3" t="s">
        <v>3852</v>
      </c>
      <c r="F874" s="3" t="s">
        <v>19</v>
      </c>
      <c r="G874" s="3" t="s">
        <v>72</v>
      </c>
      <c r="H874" s="3">
        <v>10.0</v>
      </c>
      <c r="I874" s="3" t="s">
        <v>3849</v>
      </c>
      <c r="J874" s="3" t="s">
        <v>22</v>
      </c>
      <c r="K874" s="3" t="s">
        <v>58</v>
      </c>
      <c r="L874" s="3" t="s">
        <v>80</v>
      </c>
      <c r="M874" s="3" t="s">
        <v>81</v>
      </c>
      <c r="N874" s="3" t="s">
        <v>82</v>
      </c>
      <c r="O874" s="5">
        <v>1.0</v>
      </c>
      <c r="P874" s="6" t="str">
        <f t="shared" si="2"/>
        <v>Textiles &amp; Apparels</v>
      </c>
    </row>
    <row r="875" hidden="1">
      <c r="A875" s="3" t="s">
        <v>3853</v>
      </c>
      <c r="B875" s="4">
        <v>531556.0</v>
      </c>
      <c r="C875" s="3" t="s">
        <v>3854</v>
      </c>
      <c r="D875" s="3" t="s">
        <v>3855</v>
      </c>
      <c r="E875" s="3" t="s">
        <v>3856</v>
      </c>
      <c r="F875" s="3" t="s">
        <v>19</v>
      </c>
      <c r="G875" s="3" t="s">
        <v>112</v>
      </c>
      <c r="H875" s="3">
        <v>2.0</v>
      </c>
      <c r="I875" s="3" t="s">
        <v>3857</v>
      </c>
      <c r="J875" s="3" t="s">
        <v>22</v>
      </c>
      <c r="K875" s="3" t="s">
        <v>1673</v>
      </c>
      <c r="L875" s="3" t="s">
        <v>1673</v>
      </c>
      <c r="M875" s="3" t="s">
        <v>1674</v>
      </c>
      <c r="N875" s="3" t="s">
        <v>1675</v>
      </c>
      <c r="O875" s="5">
        <v>206.902611</v>
      </c>
      <c r="P875" s="6" t="str">
        <f t="shared" si="2"/>
        <v>Commercial Services &amp; Supplies</v>
      </c>
    </row>
    <row r="876" hidden="1">
      <c r="A876" s="3" t="s">
        <v>3858</v>
      </c>
      <c r="B876" s="4">
        <v>541302.0</v>
      </c>
      <c r="C876" s="3" t="s">
        <v>3859</v>
      </c>
      <c r="D876" s="3" t="s">
        <v>3860</v>
      </c>
      <c r="E876" s="3" t="s">
        <v>3861</v>
      </c>
      <c r="F876" s="3" t="s">
        <v>19</v>
      </c>
      <c r="G876" s="3" t="s">
        <v>86</v>
      </c>
      <c r="H876" s="3">
        <v>10.0</v>
      </c>
      <c r="I876" s="3" t="s">
        <v>3862</v>
      </c>
      <c r="J876" s="3" t="s">
        <v>22</v>
      </c>
      <c r="K876" s="3" t="s">
        <v>1673</v>
      </c>
      <c r="L876" s="3" t="s">
        <v>1673</v>
      </c>
      <c r="M876" s="3" t="s">
        <v>1674</v>
      </c>
      <c r="N876" s="3" t="s">
        <v>3189</v>
      </c>
      <c r="O876" s="5">
        <v>203.986509</v>
      </c>
      <c r="P876" s="6" t="str">
        <f t="shared" si="2"/>
        <v>Commercial Services &amp; Supplies</v>
      </c>
    </row>
    <row r="877" hidden="1">
      <c r="A877" s="3" t="s">
        <v>3863</v>
      </c>
      <c r="B877" s="4">
        <v>526971.0</v>
      </c>
      <c r="C877" s="3" t="s">
        <v>3864</v>
      </c>
      <c r="D877" s="3" t="s">
        <v>3865</v>
      </c>
      <c r="E877" s="3" t="s">
        <v>3866</v>
      </c>
      <c r="F877" s="3" t="s">
        <v>19</v>
      </c>
      <c r="G877" s="3" t="s">
        <v>44</v>
      </c>
      <c r="H877" s="3">
        <v>10.0</v>
      </c>
      <c r="I877" s="3" t="s">
        <v>3867</v>
      </c>
      <c r="J877" s="3" t="s">
        <v>22</v>
      </c>
      <c r="K877" s="3" t="s">
        <v>1673</v>
      </c>
      <c r="L877" s="3" t="s">
        <v>1673</v>
      </c>
      <c r="M877" s="3" t="s">
        <v>1674</v>
      </c>
      <c r="N877" s="3" t="s">
        <v>1915</v>
      </c>
      <c r="O877" s="5">
        <v>191.676503</v>
      </c>
      <c r="P877" s="6" t="str">
        <f t="shared" si="2"/>
        <v>Commercial Services &amp; Supplies</v>
      </c>
    </row>
    <row r="878" hidden="1">
      <c r="A878" s="3" t="s">
        <v>3868</v>
      </c>
      <c r="B878" s="4">
        <v>500159.0</v>
      </c>
      <c r="C878" s="3" t="s">
        <v>3869</v>
      </c>
      <c r="D878" s="3" t="s">
        <v>3870</v>
      </c>
      <c r="E878" s="3" t="s">
        <v>3869</v>
      </c>
      <c r="F878" s="3" t="s">
        <v>19</v>
      </c>
      <c r="G878" s="3" t="s">
        <v>44</v>
      </c>
      <c r="H878" s="3">
        <v>10.0</v>
      </c>
      <c r="I878" s="3" t="s">
        <v>414</v>
      </c>
      <c r="J878" s="3" t="s">
        <v>22</v>
      </c>
      <c r="K878" s="3" t="s">
        <v>1673</v>
      </c>
      <c r="L878" s="3" t="s">
        <v>1673</v>
      </c>
      <c r="M878" s="3" t="s">
        <v>1674</v>
      </c>
      <c r="N878" s="3" t="s">
        <v>1915</v>
      </c>
      <c r="O878" s="5">
        <v>189.9959375</v>
      </c>
      <c r="P878" s="6" t="str">
        <f t="shared" si="2"/>
        <v>Commercial Services &amp; Supplies</v>
      </c>
    </row>
    <row r="879" hidden="1">
      <c r="A879" s="3" t="s">
        <v>3871</v>
      </c>
      <c r="B879" s="4">
        <v>512437.0</v>
      </c>
      <c r="C879" s="3" t="s">
        <v>3872</v>
      </c>
      <c r="D879" s="3" t="s">
        <v>3873</v>
      </c>
      <c r="E879" s="3" t="s">
        <v>3874</v>
      </c>
      <c r="F879" s="3" t="s">
        <v>19</v>
      </c>
      <c r="G879" s="3" t="s">
        <v>44</v>
      </c>
      <c r="H879" s="3">
        <v>10.0</v>
      </c>
      <c r="I879" s="3" t="s">
        <v>3871</v>
      </c>
      <c r="J879" s="3" t="s">
        <v>22</v>
      </c>
      <c r="K879" s="3" t="s">
        <v>204</v>
      </c>
      <c r="L879" s="3" t="s">
        <v>204</v>
      </c>
      <c r="M879" s="3" t="s">
        <v>378</v>
      </c>
      <c r="N879" s="3" t="s">
        <v>379</v>
      </c>
      <c r="O879" s="5">
        <v>330.5348811</v>
      </c>
      <c r="P879" s="6" t="str">
        <f t="shared" si="2"/>
        <v>Non Banking Financial Company (NBFC)</v>
      </c>
    </row>
    <row r="880" hidden="1">
      <c r="A880" s="3" t="s">
        <v>3875</v>
      </c>
      <c r="B880" s="4">
        <v>543991.0</v>
      </c>
      <c r="C880" s="3" t="s">
        <v>3876</v>
      </c>
      <c r="D880" s="3" t="s">
        <v>3877</v>
      </c>
      <c r="E880" s="3" t="s">
        <v>3878</v>
      </c>
      <c r="F880" s="3" t="s">
        <v>19</v>
      </c>
      <c r="G880" s="3" t="s">
        <v>2428</v>
      </c>
      <c r="H880" s="3">
        <v>10.0</v>
      </c>
      <c r="I880" s="3" t="s">
        <v>3879</v>
      </c>
      <c r="J880" s="3" t="s">
        <v>22</v>
      </c>
      <c r="K880" s="3" t="s">
        <v>1673</v>
      </c>
      <c r="L880" s="3" t="s">
        <v>1673</v>
      </c>
      <c r="M880" s="3" t="s">
        <v>1674</v>
      </c>
      <c r="N880" s="3" t="s">
        <v>3189</v>
      </c>
      <c r="O880" s="5">
        <v>188.1013575</v>
      </c>
      <c r="P880" s="6" t="str">
        <f t="shared" si="2"/>
        <v>Commercial Services &amp; Supplies</v>
      </c>
    </row>
    <row r="881" hidden="1">
      <c r="A881" s="3" t="s">
        <v>3880</v>
      </c>
      <c r="B881" s="4">
        <v>543615.0</v>
      </c>
      <c r="C881" s="3" t="s">
        <v>3881</v>
      </c>
      <c r="D881" s="3" t="s">
        <v>3882</v>
      </c>
      <c r="E881" s="3" t="s">
        <v>3883</v>
      </c>
      <c r="F881" s="3" t="s">
        <v>19</v>
      </c>
      <c r="G881" s="3" t="s">
        <v>2428</v>
      </c>
      <c r="H881" s="3">
        <v>10.0</v>
      </c>
      <c r="I881" s="3" t="s">
        <v>3884</v>
      </c>
      <c r="J881" s="3" t="s">
        <v>22</v>
      </c>
      <c r="K881" s="3" t="s">
        <v>1673</v>
      </c>
      <c r="L881" s="3" t="s">
        <v>1673</v>
      </c>
      <c r="M881" s="3" t="s">
        <v>1674</v>
      </c>
      <c r="N881" s="3" t="s">
        <v>1675</v>
      </c>
      <c r="O881" s="5">
        <v>182.7943005</v>
      </c>
      <c r="P881" s="6" t="str">
        <f t="shared" si="2"/>
        <v>Commercial Services &amp; Supplies</v>
      </c>
    </row>
    <row r="882" hidden="1">
      <c r="A882" s="3" t="s">
        <v>3885</v>
      </c>
      <c r="B882" s="4">
        <v>512445.0</v>
      </c>
      <c r="C882" s="3" t="s">
        <v>3886</v>
      </c>
      <c r="D882" s="3" t="s">
        <v>3887</v>
      </c>
      <c r="E882" s="3" t="s">
        <v>3888</v>
      </c>
      <c r="F882" s="3" t="s">
        <v>19</v>
      </c>
      <c r="G882" s="3" t="s">
        <v>1858</v>
      </c>
      <c r="H882" s="3">
        <v>10.0</v>
      </c>
      <c r="I882" s="3" t="s">
        <v>3885</v>
      </c>
      <c r="J882" s="3" t="s">
        <v>22</v>
      </c>
      <c r="K882" s="3" t="s">
        <v>204</v>
      </c>
      <c r="L882" s="3" t="s">
        <v>204</v>
      </c>
      <c r="M882" s="3" t="s">
        <v>378</v>
      </c>
      <c r="N882" s="3" t="s">
        <v>468</v>
      </c>
      <c r="O882" s="5">
        <v>1.0</v>
      </c>
      <c r="P882" s="6" t="str">
        <f t="shared" si="2"/>
        <v>Finance</v>
      </c>
    </row>
    <row r="883" hidden="1">
      <c r="A883" s="3" t="s">
        <v>3889</v>
      </c>
      <c r="B883" s="4">
        <v>512453.0</v>
      </c>
      <c r="C883" s="3" t="s">
        <v>3890</v>
      </c>
      <c r="D883" s="3" t="s">
        <v>3891</v>
      </c>
      <c r="E883" s="3" t="s">
        <v>3892</v>
      </c>
      <c r="F883" s="3" t="s">
        <v>19</v>
      </c>
      <c r="G883" s="3" t="s">
        <v>44</v>
      </c>
      <c r="H883" s="3">
        <v>1.0</v>
      </c>
      <c r="I883" s="3" t="s">
        <v>3889</v>
      </c>
      <c r="J883" s="3" t="s">
        <v>22</v>
      </c>
      <c r="K883" s="3" t="s">
        <v>97</v>
      </c>
      <c r="L883" s="3" t="s">
        <v>98</v>
      </c>
      <c r="M883" s="3" t="s">
        <v>100</v>
      </c>
      <c r="N883" s="3" t="s">
        <v>373</v>
      </c>
      <c r="O883" s="5">
        <v>614.0520512</v>
      </c>
      <c r="P883" s="6" t="str">
        <f t="shared" si="2"/>
        <v>Industrial Products</v>
      </c>
    </row>
    <row r="884">
      <c r="A884" s="3" t="s">
        <v>432</v>
      </c>
      <c r="B884" s="4">
        <v>543276.0</v>
      </c>
      <c r="C884" s="3" t="s">
        <v>3893</v>
      </c>
      <c r="D884" s="3" t="s">
        <v>3894</v>
      </c>
      <c r="E884" s="3" t="s">
        <v>3895</v>
      </c>
      <c r="F884" s="3" t="s">
        <v>19</v>
      </c>
      <c r="G884" s="3" t="s">
        <v>20</v>
      </c>
      <c r="H884" s="3">
        <v>5.0</v>
      </c>
      <c r="I884" s="3" t="s">
        <v>3896</v>
      </c>
      <c r="J884" s="3" t="s">
        <v>22</v>
      </c>
      <c r="K884" s="3" t="s">
        <v>58</v>
      </c>
      <c r="L884" s="3" t="s">
        <v>133</v>
      </c>
      <c r="M884" s="3" t="s">
        <v>134</v>
      </c>
      <c r="N884" s="3" t="s">
        <v>135</v>
      </c>
      <c r="O884" s="5">
        <v>13525.522395</v>
      </c>
      <c r="P884" s="6" t="str">
        <f t="shared" si="2"/>
        <v>Auto Components &amp; Equipments</v>
      </c>
    </row>
    <row r="885" hidden="1">
      <c r="A885" s="3" t="s">
        <v>3897</v>
      </c>
      <c r="B885" s="4">
        <v>542694.0</v>
      </c>
      <c r="C885" s="3" t="s">
        <v>3898</v>
      </c>
      <c r="D885" s="3" t="s">
        <v>3899</v>
      </c>
      <c r="E885" s="3" t="s">
        <v>3900</v>
      </c>
      <c r="F885" s="3" t="s">
        <v>19</v>
      </c>
      <c r="G885" s="3" t="s">
        <v>112</v>
      </c>
      <c r="H885" s="3">
        <v>10.0</v>
      </c>
      <c r="I885" s="3" t="s">
        <v>3901</v>
      </c>
      <c r="J885" s="3" t="s">
        <v>22</v>
      </c>
      <c r="K885" s="3" t="s">
        <v>1673</v>
      </c>
      <c r="L885" s="3" t="s">
        <v>1673</v>
      </c>
      <c r="M885" s="3" t="s">
        <v>1674</v>
      </c>
      <c r="N885" s="3" t="s">
        <v>1915</v>
      </c>
      <c r="O885" s="5">
        <v>181.832154</v>
      </c>
      <c r="P885" s="6" t="str">
        <f t="shared" si="2"/>
        <v>Commercial Services &amp; Supplies</v>
      </c>
    </row>
    <row r="886" hidden="1">
      <c r="A886" s="3" t="s">
        <v>3902</v>
      </c>
      <c r="B886" s="4">
        <v>512463.0</v>
      </c>
      <c r="C886" s="3" t="s">
        <v>3903</v>
      </c>
      <c r="D886" s="3" t="s">
        <v>3904</v>
      </c>
      <c r="E886" s="3" t="s">
        <v>3905</v>
      </c>
      <c r="F886" s="3" t="s">
        <v>19</v>
      </c>
      <c r="G886" s="3" t="s">
        <v>112</v>
      </c>
      <c r="H886" s="3">
        <v>1.0</v>
      </c>
      <c r="I886" s="3" t="s">
        <v>3902</v>
      </c>
      <c r="J886" s="3" t="s">
        <v>22</v>
      </c>
      <c r="K886" s="3" t="s">
        <v>23</v>
      </c>
      <c r="L886" s="3" t="s">
        <v>65</v>
      </c>
      <c r="M886" s="3" t="s">
        <v>438</v>
      </c>
      <c r="N886" s="3" t="s">
        <v>2155</v>
      </c>
      <c r="O886" s="5">
        <v>4009.7412538</v>
      </c>
      <c r="P886" s="6" t="str">
        <f t="shared" si="2"/>
        <v>Metals &amp; Minerals Trading</v>
      </c>
    </row>
    <row r="887" hidden="1">
      <c r="A887" s="3" t="s">
        <v>3906</v>
      </c>
      <c r="B887" s="4">
        <v>512477.0</v>
      </c>
      <c r="C887" s="3" t="s">
        <v>3907</v>
      </c>
      <c r="D887" s="3" t="s">
        <v>3908</v>
      </c>
      <c r="E887" s="3" t="s">
        <v>3909</v>
      </c>
      <c r="F887" s="3" t="s">
        <v>19</v>
      </c>
      <c r="G887" s="3" t="s">
        <v>44</v>
      </c>
      <c r="H887" s="3">
        <v>10.0</v>
      </c>
      <c r="I887" s="3" t="s">
        <v>3906</v>
      </c>
      <c r="J887" s="3" t="s">
        <v>22</v>
      </c>
      <c r="K887" s="3" t="s">
        <v>58</v>
      </c>
      <c r="L887" s="3" t="s">
        <v>80</v>
      </c>
      <c r="M887" s="3" t="s">
        <v>81</v>
      </c>
      <c r="N887" s="3" t="s">
        <v>82</v>
      </c>
      <c r="O887" s="5">
        <v>34.330071</v>
      </c>
      <c r="P887" s="6" t="str">
        <f t="shared" si="2"/>
        <v>Textiles &amp; Apparels</v>
      </c>
    </row>
    <row r="888" hidden="1">
      <c r="A888" s="3" t="s">
        <v>3910</v>
      </c>
      <c r="B888" s="4">
        <v>512479.0</v>
      </c>
      <c r="C888" s="3" t="s">
        <v>3911</v>
      </c>
      <c r="D888" s="3" t="s">
        <v>3912</v>
      </c>
      <c r="E888" s="3" t="s">
        <v>3913</v>
      </c>
      <c r="F888" s="3" t="s">
        <v>19</v>
      </c>
      <c r="G888" s="3" t="s">
        <v>72</v>
      </c>
      <c r="H888" s="3">
        <v>10.0</v>
      </c>
      <c r="I888" s="3" t="s">
        <v>3910</v>
      </c>
      <c r="J888" s="3" t="s">
        <v>22</v>
      </c>
      <c r="K888" s="3" t="s">
        <v>58</v>
      </c>
      <c r="L888" s="3" t="s">
        <v>59</v>
      </c>
      <c r="M888" s="3" t="s">
        <v>59</v>
      </c>
      <c r="N888" s="3" t="s">
        <v>60</v>
      </c>
      <c r="O888" s="5">
        <v>99.95059</v>
      </c>
      <c r="P888" s="6" t="str">
        <f t="shared" si="2"/>
        <v>Residential, Commercial Projects</v>
      </c>
    </row>
    <row r="889" hidden="1">
      <c r="A889" s="3" t="s">
        <v>3914</v>
      </c>
      <c r="B889" s="4">
        <v>540738.0</v>
      </c>
      <c r="C889" s="3" t="s">
        <v>3915</v>
      </c>
      <c r="D889" s="3" t="s">
        <v>3916</v>
      </c>
      <c r="E889" s="3" t="s">
        <v>3917</v>
      </c>
      <c r="F889" s="3" t="s">
        <v>19</v>
      </c>
      <c r="G889" s="3" t="s">
        <v>112</v>
      </c>
      <c r="H889" s="3">
        <v>2.0</v>
      </c>
      <c r="I889" s="3" t="s">
        <v>3918</v>
      </c>
      <c r="J889" s="3" t="s">
        <v>22</v>
      </c>
      <c r="K889" s="3" t="s">
        <v>1673</v>
      </c>
      <c r="L889" s="3" t="s">
        <v>1673</v>
      </c>
      <c r="M889" s="3" t="s">
        <v>1689</v>
      </c>
      <c r="N889" s="3" t="s">
        <v>1690</v>
      </c>
      <c r="O889" s="5">
        <v>180.8886268</v>
      </c>
      <c r="P889" s="6" t="str">
        <f t="shared" si="2"/>
        <v>Transport Services</v>
      </c>
    </row>
    <row r="890" hidden="1">
      <c r="A890" s="3" t="s">
        <v>3919</v>
      </c>
      <c r="B890" s="4">
        <v>512489.0</v>
      </c>
      <c r="C890" s="3" t="s">
        <v>3920</v>
      </c>
      <c r="D890" s="3" t="s">
        <v>3921</v>
      </c>
      <c r="E890" s="3" t="s">
        <v>3922</v>
      </c>
      <c r="F890" s="3" t="s">
        <v>19</v>
      </c>
      <c r="G890" s="3" t="s">
        <v>72</v>
      </c>
      <c r="H890" s="3">
        <v>10.0</v>
      </c>
      <c r="I890" s="3" t="s">
        <v>3919</v>
      </c>
      <c r="J890" s="3" t="s">
        <v>22</v>
      </c>
      <c r="K890" s="3" t="s">
        <v>204</v>
      </c>
      <c r="L890" s="3" t="s">
        <v>204</v>
      </c>
      <c r="M890" s="3" t="s">
        <v>378</v>
      </c>
      <c r="N890" s="3" t="s">
        <v>379</v>
      </c>
      <c r="O890" s="5">
        <v>35.868077</v>
      </c>
      <c r="P890" s="6" t="str">
        <f t="shared" si="2"/>
        <v>Non Banking Financial Company (NBFC)</v>
      </c>
    </row>
    <row r="891" hidden="1">
      <c r="A891" s="3" t="s">
        <v>3923</v>
      </c>
      <c r="B891" s="4">
        <v>512493.0</v>
      </c>
      <c r="C891" s="3" t="s">
        <v>3924</v>
      </c>
      <c r="D891" s="3" t="s">
        <v>3925</v>
      </c>
      <c r="E891" s="3" t="s">
        <v>3926</v>
      </c>
      <c r="F891" s="3" t="s">
        <v>19</v>
      </c>
      <c r="G891" s="3" t="s">
        <v>44</v>
      </c>
      <c r="H891" s="3">
        <v>10.0</v>
      </c>
      <c r="I891" s="3" t="s">
        <v>3923</v>
      </c>
      <c r="J891" s="3" t="s">
        <v>22</v>
      </c>
      <c r="K891" s="3" t="s">
        <v>204</v>
      </c>
      <c r="L891" s="3" t="s">
        <v>204</v>
      </c>
      <c r="M891" s="3" t="s">
        <v>378</v>
      </c>
      <c r="N891" s="3" t="s">
        <v>384</v>
      </c>
      <c r="O891" s="5">
        <v>156.1919805</v>
      </c>
      <c r="P891" s="6" t="str">
        <f t="shared" si="2"/>
        <v>Finance</v>
      </c>
    </row>
    <row r="892" hidden="1">
      <c r="A892" s="3" t="s">
        <v>3927</v>
      </c>
      <c r="B892" s="4">
        <v>512499.0</v>
      </c>
      <c r="C892" s="3" t="s">
        <v>3928</v>
      </c>
      <c r="D892" s="3" t="s">
        <v>3929</v>
      </c>
      <c r="E892" s="3" t="s">
        <v>3930</v>
      </c>
      <c r="F892" s="3" t="s">
        <v>19</v>
      </c>
      <c r="G892" s="3" t="s">
        <v>44</v>
      </c>
      <c r="H892" s="3">
        <v>1.0</v>
      </c>
      <c r="I892" s="3" t="s">
        <v>3927</v>
      </c>
      <c r="J892" s="3" t="s">
        <v>22</v>
      </c>
      <c r="K892" s="3" t="s">
        <v>58</v>
      </c>
      <c r="L892" s="3" t="s">
        <v>182</v>
      </c>
      <c r="M892" s="3" t="s">
        <v>1168</v>
      </c>
      <c r="N892" s="3" t="s">
        <v>1336</v>
      </c>
      <c r="O892" s="5">
        <v>70.8439103</v>
      </c>
      <c r="P892" s="6" t="str">
        <f t="shared" si="2"/>
        <v>Entertainment</v>
      </c>
    </row>
    <row r="893" hidden="1">
      <c r="A893" s="3" t="s">
        <v>3931</v>
      </c>
      <c r="B893" s="4">
        <v>512505.0</v>
      </c>
      <c r="C893" s="3" t="s">
        <v>3932</v>
      </c>
      <c r="D893" s="3" t="s">
        <v>3933</v>
      </c>
      <c r="E893" s="3" t="s">
        <v>3934</v>
      </c>
      <c r="F893" s="3" t="s">
        <v>19</v>
      </c>
      <c r="G893" s="3" t="s">
        <v>57</v>
      </c>
      <c r="H893" s="3">
        <v>10.0</v>
      </c>
      <c r="I893" s="3" t="s">
        <v>3931</v>
      </c>
      <c r="J893" s="3" t="s">
        <v>22</v>
      </c>
      <c r="K893" s="3" t="s">
        <v>97</v>
      </c>
      <c r="L893" s="3" t="s">
        <v>98</v>
      </c>
      <c r="M893" s="3" t="s">
        <v>100</v>
      </c>
      <c r="N893" s="3" t="s">
        <v>612</v>
      </c>
      <c r="O893" s="5">
        <v>1.0</v>
      </c>
      <c r="P893" s="6" t="str">
        <f t="shared" si="2"/>
        <v>Industrial Products</v>
      </c>
    </row>
    <row r="894" hidden="1">
      <c r="A894" s="3" t="s">
        <v>3935</v>
      </c>
      <c r="B894" s="4">
        <v>501848.0</v>
      </c>
      <c r="C894" s="3" t="s">
        <v>3936</v>
      </c>
      <c r="D894" s="3" t="s">
        <v>3937</v>
      </c>
      <c r="E894" s="3" t="s">
        <v>3938</v>
      </c>
      <c r="F894" s="3" t="s">
        <v>19</v>
      </c>
      <c r="G894" s="3" t="s">
        <v>44</v>
      </c>
      <c r="H894" s="3">
        <v>10.0</v>
      </c>
      <c r="I894" s="3" t="s">
        <v>1445</v>
      </c>
      <c r="J894" s="3" t="s">
        <v>22</v>
      </c>
      <c r="K894" s="3" t="s">
        <v>1673</v>
      </c>
      <c r="L894" s="3" t="s">
        <v>1673</v>
      </c>
      <c r="M894" s="3" t="s">
        <v>1689</v>
      </c>
      <c r="N894" s="3" t="s">
        <v>2055</v>
      </c>
      <c r="O894" s="5">
        <v>157.5979676</v>
      </c>
      <c r="P894" s="6" t="str">
        <f t="shared" si="2"/>
        <v>Transport Services</v>
      </c>
    </row>
    <row r="895" hidden="1">
      <c r="A895" s="3" t="s">
        <v>3939</v>
      </c>
      <c r="B895" s="4">
        <v>501343.0</v>
      </c>
      <c r="C895" s="3" t="s">
        <v>3940</v>
      </c>
      <c r="D895" s="3" t="s">
        <v>3941</v>
      </c>
      <c r="E895" s="3" t="s">
        <v>3942</v>
      </c>
      <c r="F895" s="3" t="s">
        <v>19</v>
      </c>
      <c r="G895" s="3" t="s">
        <v>112</v>
      </c>
      <c r="H895" s="3">
        <v>5.0</v>
      </c>
      <c r="I895" s="3" t="s">
        <v>1363</v>
      </c>
      <c r="J895" s="3" t="s">
        <v>22</v>
      </c>
      <c r="K895" s="3" t="s">
        <v>1673</v>
      </c>
      <c r="L895" s="3" t="s">
        <v>1673</v>
      </c>
      <c r="M895" s="3" t="s">
        <v>1674</v>
      </c>
      <c r="N895" s="3" t="s">
        <v>1675</v>
      </c>
      <c r="O895" s="5">
        <v>153.7595884</v>
      </c>
      <c r="P895" s="6" t="str">
        <f t="shared" si="2"/>
        <v>Commercial Services &amp; Supplies</v>
      </c>
    </row>
    <row r="896" hidden="1">
      <c r="A896" s="3" t="s">
        <v>3943</v>
      </c>
      <c r="B896" s="4">
        <v>512519.0</v>
      </c>
      <c r="C896" s="3" t="s">
        <v>3944</v>
      </c>
      <c r="D896" s="3" t="s">
        <v>3945</v>
      </c>
      <c r="E896" s="3" t="s">
        <v>3946</v>
      </c>
      <c r="F896" s="3" t="s">
        <v>19</v>
      </c>
      <c r="G896" s="3" t="s">
        <v>112</v>
      </c>
      <c r="H896" s="3">
        <v>2.0</v>
      </c>
      <c r="I896" s="3" t="s">
        <v>3943</v>
      </c>
      <c r="J896" s="3" t="s">
        <v>22</v>
      </c>
      <c r="K896" s="3" t="s">
        <v>58</v>
      </c>
      <c r="L896" s="3" t="s">
        <v>80</v>
      </c>
      <c r="M896" s="3" t="s">
        <v>81</v>
      </c>
      <c r="N896" s="3" t="s">
        <v>82</v>
      </c>
      <c r="O896" s="5">
        <v>690.6285146</v>
      </c>
      <c r="P896" s="6" t="str">
        <f t="shared" si="2"/>
        <v>Textiles &amp; Apparels</v>
      </c>
    </row>
    <row r="897" hidden="1">
      <c r="A897" s="3" t="s">
        <v>3947</v>
      </c>
      <c r="B897" s="4">
        <v>512527.0</v>
      </c>
      <c r="C897" s="3" t="s">
        <v>3948</v>
      </c>
      <c r="D897" s="3" t="s">
        <v>3949</v>
      </c>
      <c r="E897" s="3" t="s">
        <v>3950</v>
      </c>
      <c r="F897" s="3" t="s">
        <v>19</v>
      </c>
      <c r="G897" s="3" t="s">
        <v>44</v>
      </c>
      <c r="H897" s="3">
        <v>10.0</v>
      </c>
      <c r="I897" s="3" t="s">
        <v>3947</v>
      </c>
      <c r="J897" s="3" t="s">
        <v>22</v>
      </c>
      <c r="K897" s="3" t="s">
        <v>58</v>
      </c>
      <c r="L897" s="3" t="s">
        <v>80</v>
      </c>
      <c r="M897" s="3" t="s">
        <v>81</v>
      </c>
      <c r="N897" s="3" t="s">
        <v>82</v>
      </c>
      <c r="O897" s="5">
        <v>470.67069</v>
      </c>
      <c r="P897" s="6" t="str">
        <f t="shared" si="2"/>
        <v>Textiles &amp; Apparels</v>
      </c>
    </row>
    <row r="898" hidden="1">
      <c r="A898" s="3" t="s">
        <v>3951</v>
      </c>
      <c r="B898" s="4">
        <v>512529.0</v>
      </c>
      <c r="C898" s="3" t="s">
        <v>3952</v>
      </c>
      <c r="D898" s="3" t="s">
        <v>3953</v>
      </c>
      <c r="E898" s="3" t="s">
        <v>3954</v>
      </c>
      <c r="F898" s="3" t="s">
        <v>19</v>
      </c>
      <c r="G898" s="3" t="s">
        <v>20</v>
      </c>
      <c r="H898" s="3">
        <v>2.0</v>
      </c>
      <c r="I898" s="3" t="s">
        <v>3951</v>
      </c>
      <c r="J898" s="3" t="s">
        <v>22</v>
      </c>
      <c r="K898" s="3" t="s">
        <v>45</v>
      </c>
      <c r="L898" s="3" t="s">
        <v>45</v>
      </c>
      <c r="M898" s="3" t="s">
        <v>46</v>
      </c>
      <c r="N898" s="3" t="s">
        <v>47</v>
      </c>
      <c r="O898" s="5">
        <v>2967.5667136</v>
      </c>
      <c r="P898" s="6" t="str">
        <f t="shared" si="2"/>
        <v>Pharmaceuticals</v>
      </c>
    </row>
    <row r="899" hidden="1">
      <c r="A899" s="3" t="s">
        <v>3095</v>
      </c>
      <c r="B899" s="4">
        <v>531842.0</v>
      </c>
      <c r="C899" s="3" t="s">
        <v>3955</v>
      </c>
      <c r="D899" s="3" t="s">
        <v>3956</v>
      </c>
      <c r="E899" s="3" t="s">
        <v>3957</v>
      </c>
      <c r="F899" s="3" t="s">
        <v>19</v>
      </c>
      <c r="G899" s="3" t="s">
        <v>44</v>
      </c>
      <c r="H899" s="3">
        <v>2.0</v>
      </c>
      <c r="I899" s="3" t="s">
        <v>3958</v>
      </c>
      <c r="J899" s="3" t="s">
        <v>22</v>
      </c>
      <c r="K899" s="3" t="s">
        <v>1673</v>
      </c>
      <c r="L899" s="3" t="s">
        <v>1673</v>
      </c>
      <c r="M899" s="3" t="s">
        <v>1674</v>
      </c>
      <c r="N899" s="3" t="s">
        <v>1915</v>
      </c>
      <c r="O899" s="5">
        <v>146.1539509</v>
      </c>
      <c r="P899" s="6" t="str">
        <f t="shared" si="2"/>
        <v>Commercial Services &amp; Supplies</v>
      </c>
    </row>
    <row r="900" hidden="1">
      <c r="A900" s="3" t="s">
        <v>3959</v>
      </c>
      <c r="B900" s="4">
        <v>512553.0</v>
      </c>
      <c r="C900" s="3" t="s">
        <v>3960</v>
      </c>
      <c r="D900" s="3" t="s">
        <v>3961</v>
      </c>
      <c r="E900" s="3" t="s">
        <v>3962</v>
      </c>
      <c r="F900" s="3" t="s">
        <v>19</v>
      </c>
      <c r="G900" s="3" t="s">
        <v>86</v>
      </c>
      <c r="H900" s="3">
        <v>10.0</v>
      </c>
      <c r="I900" s="3" t="s">
        <v>3959</v>
      </c>
      <c r="J900" s="3" t="s">
        <v>22</v>
      </c>
      <c r="K900" s="3" t="s">
        <v>58</v>
      </c>
      <c r="L900" s="3" t="s">
        <v>211</v>
      </c>
      <c r="M900" s="3" t="s">
        <v>211</v>
      </c>
      <c r="N900" s="3" t="s">
        <v>3963</v>
      </c>
      <c r="O900" s="5">
        <v>216.5832638</v>
      </c>
      <c r="P900" s="6" t="str">
        <f t="shared" si="2"/>
        <v>Consumer Durables</v>
      </c>
    </row>
    <row r="901" hidden="1">
      <c r="A901" s="3" t="s">
        <v>3964</v>
      </c>
      <c r="B901" s="4">
        <v>512559.0</v>
      </c>
      <c r="C901" s="3" t="s">
        <v>3965</v>
      </c>
      <c r="D901" s="3" t="s">
        <v>3966</v>
      </c>
      <c r="E901" s="3" t="s">
        <v>3967</v>
      </c>
      <c r="F901" s="3" t="s">
        <v>19</v>
      </c>
      <c r="G901" s="3" t="s">
        <v>112</v>
      </c>
      <c r="H901" s="3">
        <v>10.0</v>
      </c>
      <c r="I901" s="3" t="s">
        <v>3964</v>
      </c>
      <c r="J901" s="3" t="s">
        <v>22</v>
      </c>
      <c r="K901" s="3" t="s">
        <v>145</v>
      </c>
      <c r="L901" s="3" t="s">
        <v>145</v>
      </c>
      <c r="M901" s="3" t="s">
        <v>146</v>
      </c>
      <c r="N901" s="3" t="s">
        <v>2645</v>
      </c>
      <c r="O901" s="5">
        <v>161.1851819</v>
      </c>
      <c r="P901" s="6" t="str">
        <f t="shared" si="2"/>
        <v>Agricultural Food &amp; other Products</v>
      </c>
    </row>
    <row r="902" hidden="1">
      <c r="A902" s="3" t="s">
        <v>3968</v>
      </c>
      <c r="B902" s="4">
        <v>526381.0</v>
      </c>
      <c r="C902" s="3" t="s">
        <v>3969</v>
      </c>
      <c r="D902" s="3" t="s">
        <v>3970</v>
      </c>
      <c r="E902" s="3" t="s">
        <v>3971</v>
      </c>
      <c r="F902" s="3" t="s">
        <v>19</v>
      </c>
      <c r="G902" s="3" t="s">
        <v>112</v>
      </c>
      <c r="H902" s="3">
        <v>10.0</v>
      </c>
      <c r="I902" s="3" t="s">
        <v>3972</v>
      </c>
      <c r="J902" s="3" t="s">
        <v>22</v>
      </c>
      <c r="K902" s="3" t="s">
        <v>1673</v>
      </c>
      <c r="L902" s="3" t="s">
        <v>1673</v>
      </c>
      <c r="M902" s="3" t="s">
        <v>1689</v>
      </c>
      <c r="N902" s="3" t="s">
        <v>1690</v>
      </c>
      <c r="O902" s="5">
        <v>145.3320648</v>
      </c>
      <c r="P902" s="6" t="str">
        <f t="shared" si="2"/>
        <v>Transport Services</v>
      </c>
    </row>
    <row r="903">
      <c r="A903" s="3" t="s">
        <v>3973</v>
      </c>
      <c r="B903" s="4">
        <v>543278.0</v>
      </c>
      <c r="C903" s="3" t="s">
        <v>3974</v>
      </c>
      <c r="D903" s="3" t="s">
        <v>3975</v>
      </c>
      <c r="E903" s="3" t="s">
        <v>3976</v>
      </c>
      <c r="F903" s="3" t="s">
        <v>19</v>
      </c>
      <c r="G903" s="3" t="s">
        <v>20</v>
      </c>
      <c r="H903" s="3">
        <v>10.0</v>
      </c>
      <c r="I903" s="3" t="s">
        <v>3977</v>
      </c>
      <c r="J903" s="3" t="s">
        <v>22</v>
      </c>
      <c r="K903" s="3" t="s">
        <v>58</v>
      </c>
      <c r="L903" s="3" t="s">
        <v>211</v>
      </c>
      <c r="M903" s="3" t="s">
        <v>211</v>
      </c>
      <c r="N903" s="3" t="s">
        <v>947</v>
      </c>
      <c r="O903" s="5">
        <v>51015.8697263</v>
      </c>
      <c r="P903" s="6" t="str">
        <f t="shared" si="2"/>
        <v>Consumer Durables</v>
      </c>
    </row>
    <row r="904" hidden="1">
      <c r="A904" s="3" t="s">
        <v>3978</v>
      </c>
      <c r="B904" s="4">
        <v>512587.0</v>
      </c>
      <c r="C904" s="3" t="s">
        <v>3979</v>
      </c>
      <c r="D904" s="3" t="s">
        <v>3980</v>
      </c>
      <c r="E904" s="3" t="s">
        <v>3981</v>
      </c>
      <c r="F904" s="3" t="s">
        <v>19</v>
      </c>
      <c r="G904" s="3" t="s">
        <v>44</v>
      </c>
      <c r="H904" s="3">
        <v>10.0</v>
      </c>
      <c r="I904" s="3" t="s">
        <v>3978</v>
      </c>
      <c r="J904" s="3" t="s">
        <v>22</v>
      </c>
      <c r="K904" s="3" t="s">
        <v>58</v>
      </c>
      <c r="L904" s="3" t="s">
        <v>211</v>
      </c>
      <c r="M904" s="3" t="s">
        <v>211</v>
      </c>
      <c r="N904" s="3" t="s">
        <v>947</v>
      </c>
      <c r="O904" s="5">
        <v>34.6871194</v>
      </c>
      <c r="P904" s="6" t="str">
        <f t="shared" si="2"/>
        <v>Consumer Durables</v>
      </c>
    </row>
    <row r="905" hidden="1">
      <c r="A905" s="3" t="s">
        <v>3982</v>
      </c>
      <c r="B905" s="4">
        <v>526125.0</v>
      </c>
      <c r="C905" s="3" t="s">
        <v>3983</v>
      </c>
      <c r="D905" s="3" t="s">
        <v>3984</v>
      </c>
      <c r="E905" s="3" t="s">
        <v>3985</v>
      </c>
      <c r="F905" s="3" t="s">
        <v>19</v>
      </c>
      <c r="G905" s="3" t="s">
        <v>44</v>
      </c>
      <c r="H905" s="3">
        <v>10.0</v>
      </c>
      <c r="I905" s="3" t="s">
        <v>3986</v>
      </c>
      <c r="J905" s="3" t="s">
        <v>22</v>
      </c>
      <c r="K905" s="3" t="s">
        <v>1673</v>
      </c>
      <c r="L905" s="3" t="s">
        <v>1673</v>
      </c>
      <c r="M905" s="3" t="s">
        <v>1674</v>
      </c>
      <c r="N905" s="3" t="s">
        <v>1915</v>
      </c>
      <c r="O905" s="5">
        <v>142.5355</v>
      </c>
      <c r="P905" s="6" t="str">
        <f t="shared" si="2"/>
        <v>Commercial Services &amp; Supplies</v>
      </c>
    </row>
    <row r="906" hidden="1">
      <c r="A906" s="3" t="s">
        <v>3987</v>
      </c>
      <c r="B906" s="4">
        <v>539126.0</v>
      </c>
      <c r="C906" s="3" t="s">
        <v>3988</v>
      </c>
      <c r="D906" s="3" t="s">
        <v>3989</v>
      </c>
      <c r="E906" s="3" t="s">
        <v>3990</v>
      </c>
      <c r="F906" s="3" t="s">
        <v>19</v>
      </c>
      <c r="G906" s="3" t="s">
        <v>86</v>
      </c>
      <c r="H906" s="3">
        <v>10.0</v>
      </c>
      <c r="I906" s="3" t="s">
        <v>3991</v>
      </c>
      <c r="J906" s="3" t="s">
        <v>22</v>
      </c>
      <c r="K906" s="3" t="s">
        <v>1673</v>
      </c>
      <c r="L906" s="3" t="s">
        <v>1673</v>
      </c>
      <c r="M906" s="3" t="s">
        <v>1879</v>
      </c>
      <c r="N906" s="3" t="s">
        <v>1880</v>
      </c>
      <c r="O906" s="5">
        <v>142.4878034</v>
      </c>
      <c r="P906" s="6" t="str">
        <f t="shared" si="2"/>
        <v>Transport Infrastructure</v>
      </c>
    </row>
    <row r="907" hidden="1">
      <c r="A907" s="3" t="s">
        <v>3992</v>
      </c>
      <c r="B907" s="4">
        <v>512595.0</v>
      </c>
      <c r="C907" s="3" t="s">
        <v>3993</v>
      </c>
      <c r="D907" s="3" t="s">
        <v>3994</v>
      </c>
      <c r="E907" s="3" t="s">
        <v>3995</v>
      </c>
      <c r="F907" s="3" t="s">
        <v>19</v>
      </c>
      <c r="G907" s="3" t="s">
        <v>72</v>
      </c>
      <c r="H907" s="3">
        <v>10.0</v>
      </c>
      <c r="I907" s="3" t="s">
        <v>3992</v>
      </c>
      <c r="J907" s="3" t="s">
        <v>22</v>
      </c>
      <c r="K907" s="3" t="s">
        <v>58</v>
      </c>
      <c r="L907" s="3" t="s">
        <v>211</v>
      </c>
      <c r="M907" s="3" t="s">
        <v>211</v>
      </c>
      <c r="N907" s="3" t="s">
        <v>947</v>
      </c>
      <c r="O907" s="5">
        <v>44.1136752</v>
      </c>
      <c r="P907" s="6" t="str">
        <f t="shared" si="2"/>
        <v>Consumer Durables</v>
      </c>
    </row>
    <row r="908" hidden="1">
      <c r="A908" s="3" t="s">
        <v>3996</v>
      </c>
      <c r="B908" s="4">
        <v>512597.0</v>
      </c>
      <c r="C908" s="3" t="s">
        <v>3997</v>
      </c>
      <c r="D908" s="3" t="s">
        <v>3998</v>
      </c>
      <c r="E908" s="3" t="s">
        <v>3999</v>
      </c>
      <c r="F908" s="3" t="s">
        <v>19</v>
      </c>
      <c r="G908" s="3" t="s">
        <v>86</v>
      </c>
      <c r="H908" s="3">
        <v>10.0</v>
      </c>
      <c r="I908" s="3" t="s">
        <v>3996</v>
      </c>
      <c r="J908" s="3" t="s">
        <v>22</v>
      </c>
      <c r="K908" s="3" t="s">
        <v>204</v>
      </c>
      <c r="L908" s="3" t="s">
        <v>204</v>
      </c>
      <c r="M908" s="3" t="s">
        <v>378</v>
      </c>
      <c r="N908" s="3" t="s">
        <v>468</v>
      </c>
      <c r="O908" s="5">
        <v>118.6801</v>
      </c>
      <c r="P908" s="6" t="str">
        <f t="shared" si="2"/>
        <v>Finance</v>
      </c>
    </row>
    <row r="909">
      <c r="A909" s="3" t="s">
        <v>437</v>
      </c>
      <c r="B909" s="4">
        <v>543280.0</v>
      </c>
      <c r="C909" s="3" t="s">
        <v>4000</v>
      </c>
      <c r="D909" s="3" t="s">
        <v>4001</v>
      </c>
      <c r="E909" s="3" t="s">
        <v>4002</v>
      </c>
      <c r="F909" s="3" t="s">
        <v>19</v>
      </c>
      <c r="G909" s="3" t="s">
        <v>20</v>
      </c>
      <c r="H909" s="3">
        <v>4.0</v>
      </c>
      <c r="I909" s="3" t="s">
        <v>4003</v>
      </c>
      <c r="J909" s="3" t="s">
        <v>22</v>
      </c>
      <c r="K909" s="3" t="s">
        <v>58</v>
      </c>
      <c r="L909" s="3" t="s">
        <v>182</v>
      </c>
      <c r="M909" s="3" t="s">
        <v>1168</v>
      </c>
      <c r="N909" s="3" t="s">
        <v>4004</v>
      </c>
      <c r="O909" s="5">
        <v>6933.0388209</v>
      </c>
      <c r="P909" s="6" t="str">
        <f t="shared" si="2"/>
        <v>Entertainment</v>
      </c>
    </row>
    <row r="910" hidden="1">
      <c r="A910" s="3" t="s">
        <v>4005</v>
      </c>
      <c r="B910" s="4">
        <v>519383.0</v>
      </c>
      <c r="C910" s="3" t="s">
        <v>4006</v>
      </c>
      <c r="D910" s="3" t="s">
        <v>4007</v>
      </c>
      <c r="E910" s="3" t="s">
        <v>4008</v>
      </c>
      <c r="F910" s="3" t="s">
        <v>19</v>
      </c>
      <c r="G910" s="3" t="s">
        <v>112</v>
      </c>
      <c r="H910" s="3">
        <v>10.0</v>
      </c>
      <c r="I910" s="3" t="s">
        <v>4009</v>
      </c>
      <c r="J910" s="3" t="s">
        <v>22</v>
      </c>
      <c r="K910" s="3" t="s">
        <v>1673</v>
      </c>
      <c r="L910" s="3" t="s">
        <v>1673</v>
      </c>
      <c r="M910" s="3" t="s">
        <v>1674</v>
      </c>
      <c r="N910" s="3" t="s">
        <v>1915</v>
      </c>
      <c r="O910" s="5">
        <v>139.4067716</v>
      </c>
      <c r="P910" s="6" t="str">
        <f t="shared" si="2"/>
        <v>Commercial Services &amp; Supplies</v>
      </c>
    </row>
    <row r="911" hidden="1">
      <c r="A911" s="3" t="s">
        <v>4010</v>
      </c>
      <c r="B911" s="4">
        <v>512604.0</v>
      </c>
      <c r="C911" s="3" t="s">
        <v>4011</v>
      </c>
      <c r="D911" s="3" t="s">
        <v>4012</v>
      </c>
      <c r="E911" s="3" t="s">
        <v>4013</v>
      </c>
      <c r="F911" s="3" t="s">
        <v>19</v>
      </c>
      <c r="G911" s="3" t="s">
        <v>44</v>
      </c>
      <c r="H911" s="3">
        <v>10.0</v>
      </c>
      <c r="I911" s="3" t="s">
        <v>4010</v>
      </c>
      <c r="J911" s="3" t="s">
        <v>22</v>
      </c>
      <c r="K911" s="3" t="s">
        <v>58</v>
      </c>
      <c r="L911" s="3" t="s">
        <v>211</v>
      </c>
      <c r="M911" s="3" t="s">
        <v>211</v>
      </c>
      <c r="N911" s="3" t="s">
        <v>947</v>
      </c>
      <c r="O911" s="5">
        <v>1.0</v>
      </c>
      <c r="P911" s="6" t="str">
        <f t="shared" si="2"/>
        <v>Consumer Durables</v>
      </c>
    </row>
    <row r="912" hidden="1">
      <c r="A912" s="3" t="s">
        <v>4014</v>
      </c>
      <c r="B912" s="4">
        <v>512608.0</v>
      </c>
      <c r="C912" s="3" t="s">
        <v>4015</v>
      </c>
      <c r="D912" s="3" t="s">
        <v>4016</v>
      </c>
      <c r="E912" s="3" t="s">
        <v>4017</v>
      </c>
      <c r="F912" s="3" t="s">
        <v>19</v>
      </c>
      <c r="G912" s="3" t="s">
        <v>112</v>
      </c>
      <c r="H912" s="3">
        <v>1.0</v>
      </c>
      <c r="I912" s="3" t="s">
        <v>4014</v>
      </c>
      <c r="J912" s="3" t="s">
        <v>22</v>
      </c>
      <c r="K912" s="3" t="s">
        <v>58</v>
      </c>
      <c r="L912" s="3" t="s">
        <v>80</v>
      </c>
      <c r="M912" s="3" t="s">
        <v>81</v>
      </c>
      <c r="N912" s="3" t="s">
        <v>82</v>
      </c>
      <c r="O912" s="5">
        <v>185.5890932</v>
      </c>
      <c r="P912" s="6" t="str">
        <f t="shared" si="2"/>
        <v>Textiles &amp; Apparels</v>
      </c>
    </row>
    <row r="913" hidden="1">
      <c r="A913" s="3" t="s">
        <v>4018</v>
      </c>
      <c r="B913" s="4">
        <v>512618.0</v>
      </c>
      <c r="C913" s="3" t="s">
        <v>4019</v>
      </c>
      <c r="D913" s="3" t="s">
        <v>4020</v>
      </c>
      <c r="E913" s="3" t="s">
        <v>4021</v>
      </c>
      <c r="F913" s="3" t="s">
        <v>19</v>
      </c>
      <c r="G913" s="3" t="s">
        <v>44</v>
      </c>
      <c r="H913" s="3">
        <v>10.0</v>
      </c>
      <c r="I913" s="3" t="s">
        <v>4018</v>
      </c>
      <c r="J913" s="3" t="s">
        <v>22</v>
      </c>
      <c r="K913" s="3" t="s">
        <v>58</v>
      </c>
      <c r="L913" s="3" t="s">
        <v>80</v>
      </c>
      <c r="M913" s="3" t="s">
        <v>81</v>
      </c>
      <c r="N913" s="3" t="s">
        <v>82</v>
      </c>
      <c r="O913" s="5">
        <v>1.0</v>
      </c>
      <c r="P913" s="6" t="str">
        <f t="shared" si="2"/>
        <v>Textiles &amp; Apparels</v>
      </c>
    </row>
    <row r="914" hidden="1">
      <c r="A914" s="3" t="s">
        <v>4022</v>
      </c>
      <c r="B914" s="4">
        <v>543671.0</v>
      </c>
      <c r="C914" s="3" t="s">
        <v>4023</v>
      </c>
      <c r="D914" s="3" t="s">
        <v>4024</v>
      </c>
      <c r="E914" s="3" t="s">
        <v>4025</v>
      </c>
      <c r="F914" s="3" t="s">
        <v>19</v>
      </c>
      <c r="G914" s="3" t="s">
        <v>86</v>
      </c>
      <c r="H914" s="3">
        <v>10.0</v>
      </c>
      <c r="I914" s="3" t="s">
        <v>4026</v>
      </c>
      <c r="J914" s="3" t="s">
        <v>22</v>
      </c>
      <c r="K914" s="3" t="s">
        <v>1673</v>
      </c>
      <c r="L914" s="3" t="s">
        <v>1673</v>
      </c>
      <c r="M914" s="3" t="s">
        <v>1674</v>
      </c>
      <c r="N914" s="3" t="s">
        <v>3189</v>
      </c>
      <c r="O914" s="5">
        <v>138.275728</v>
      </c>
      <c r="P914" s="6" t="str">
        <f t="shared" si="2"/>
        <v>Commercial Services &amp; Supplies</v>
      </c>
    </row>
    <row r="915" hidden="1">
      <c r="A915" s="3" t="s">
        <v>4027</v>
      </c>
      <c r="B915" s="4">
        <v>512626.0</v>
      </c>
      <c r="C915" s="3" t="s">
        <v>4028</v>
      </c>
      <c r="D915" s="3" t="s">
        <v>4029</v>
      </c>
      <c r="E915" s="3" t="s">
        <v>4030</v>
      </c>
      <c r="F915" s="3" t="s">
        <v>19</v>
      </c>
      <c r="G915" s="3" t="s">
        <v>112</v>
      </c>
      <c r="H915" s="3">
        <v>10.0</v>
      </c>
      <c r="I915" s="3" t="s">
        <v>4027</v>
      </c>
      <c r="J915" s="3" t="s">
        <v>22</v>
      </c>
      <c r="K915" s="3" t="s">
        <v>58</v>
      </c>
      <c r="L915" s="3" t="s">
        <v>80</v>
      </c>
      <c r="M915" s="3" t="s">
        <v>81</v>
      </c>
      <c r="N915" s="3" t="s">
        <v>82</v>
      </c>
      <c r="O915" s="5">
        <v>477.7819444</v>
      </c>
      <c r="P915" s="6" t="str">
        <f t="shared" si="2"/>
        <v>Textiles &amp; Apparels</v>
      </c>
    </row>
    <row r="916" hidden="1">
      <c r="A916" s="3" t="s">
        <v>4031</v>
      </c>
      <c r="B916" s="4">
        <v>512634.0</v>
      </c>
      <c r="C916" s="3" t="s">
        <v>4032</v>
      </c>
      <c r="D916" s="3" t="s">
        <v>4033</v>
      </c>
      <c r="E916" s="3" t="s">
        <v>4034</v>
      </c>
      <c r="F916" s="3" t="s">
        <v>19</v>
      </c>
      <c r="G916" s="3" t="s">
        <v>44</v>
      </c>
      <c r="H916" s="3">
        <v>10.0</v>
      </c>
      <c r="I916" s="3" t="s">
        <v>4031</v>
      </c>
      <c r="J916" s="3" t="s">
        <v>22</v>
      </c>
      <c r="K916" s="3" t="s">
        <v>58</v>
      </c>
      <c r="L916" s="3" t="s">
        <v>73</v>
      </c>
      <c r="M916" s="3" t="s">
        <v>74</v>
      </c>
      <c r="N916" s="3" t="s">
        <v>75</v>
      </c>
      <c r="O916" s="5">
        <v>154.666455</v>
      </c>
      <c r="P916" s="6" t="str">
        <f t="shared" si="2"/>
        <v>Leisure Services</v>
      </c>
    </row>
    <row r="917" hidden="1">
      <c r="A917" s="3" t="s">
        <v>4035</v>
      </c>
      <c r="B917" s="4">
        <v>513005.0</v>
      </c>
      <c r="C917" s="3" t="s">
        <v>4036</v>
      </c>
      <c r="D917" s="3" t="s">
        <v>4037</v>
      </c>
      <c r="E917" s="3" t="s">
        <v>4038</v>
      </c>
      <c r="F917" s="3" t="s">
        <v>19</v>
      </c>
      <c r="G917" s="3" t="s">
        <v>44</v>
      </c>
      <c r="H917" s="3">
        <v>10.0</v>
      </c>
      <c r="I917" s="3" t="s">
        <v>4035</v>
      </c>
      <c r="J917" s="3" t="s">
        <v>22</v>
      </c>
      <c r="K917" s="3" t="s">
        <v>23</v>
      </c>
      <c r="L917" s="3" t="s">
        <v>65</v>
      </c>
      <c r="M917" s="3" t="s">
        <v>106</v>
      </c>
      <c r="N917" s="3" t="s">
        <v>4039</v>
      </c>
      <c r="O917" s="5">
        <v>70.3615465</v>
      </c>
      <c r="P917" s="6" t="str">
        <f t="shared" si="2"/>
        <v>Ferrous Metals</v>
      </c>
    </row>
    <row r="918" hidden="1">
      <c r="A918" s="3" t="s">
        <v>4040</v>
      </c>
      <c r="B918" s="4">
        <v>532262.0</v>
      </c>
      <c r="C918" s="3" t="s">
        <v>4041</v>
      </c>
      <c r="D918" s="3" t="s">
        <v>4042</v>
      </c>
      <c r="E918" s="3" t="s">
        <v>4043</v>
      </c>
      <c r="F918" s="3" t="s">
        <v>19</v>
      </c>
      <c r="G918" s="3" t="s">
        <v>44</v>
      </c>
      <c r="H918" s="3">
        <v>10.0</v>
      </c>
      <c r="I918" s="3" t="s">
        <v>4044</v>
      </c>
      <c r="J918" s="3" t="s">
        <v>22</v>
      </c>
      <c r="K918" s="3" t="s">
        <v>1673</v>
      </c>
      <c r="L918" s="3" t="s">
        <v>1673</v>
      </c>
      <c r="M918" s="3" t="s">
        <v>1674</v>
      </c>
      <c r="N918" s="3" t="s">
        <v>1675</v>
      </c>
      <c r="O918" s="5">
        <v>138.1362719</v>
      </c>
      <c r="P918" s="6" t="str">
        <f t="shared" si="2"/>
        <v>Commercial Services &amp; Supplies</v>
      </c>
    </row>
    <row r="919">
      <c r="A919" s="3" t="s">
        <v>4045</v>
      </c>
      <c r="B919" s="4">
        <v>543287.0</v>
      </c>
      <c r="C919" s="3" t="s">
        <v>4046</v>
      </c>
      <c r="D919" s="3" t="s">
        <v>4047</v>
      </c>
      <c r="E919" s="3" t="s">
        <v>4048</v>
      </c>
      <c r="F919" s="3" t="s">
        <v>19</v>
      </c>
      <c r="G919" s="3" t="s">
        <v>20</v>
      </c>
      <c r="H919" s="3">
        <v>10.0</v>
      </c>
      <c r="I919" s="3" t="s">
        <v>4049</v>
      </c>
      <c r="J919" s="3" t="s">
        <v>22</v>
      </c>
      <c r="K919" s="3" t="s">
        <v>58</v>
      </c>
      <c r="L919" s="3" t="s">
        <v>59</v>
      </c>
      <c r="M919" s="3" t="s">
        <v>59</v>
      </c>
      <c r="N919" s="3" t="s">
        <v>60</v>
      </c>
      <c r="O919" s="5">
        <v>146655.1968598</v>
      </c>
      <c r="P919" s="6" t="str">
        <f t="shared" si="2"/>
        <v>Residential, Commercial Projects</v>
      </c>
    </row>
    <row r="920" hidden="1">
      <c r="A920" s="3" t="s">
        <v>4050</v>
      </c>
      <c r="B920" s="4">
        <v>513039.0</v>
      </c>
      <c r="C920" s="3" t="s">
        <v>4051</v>
      </c>
      <c r="D920" s="3" t="s">
        <v>4052</v>
      </c>
      <c r="E920" s="3" t="s">
        <v>4053</v>
      </c>
      <c r="F920" s="3" t="s">
        <v>19</v>
      </c>
      <c r="G920" s="3" t="s">
        <v>72</v>
      </c>
      <c r="H920" s="3">
        <v>10.0</v>
      </c>
      <c r="I920" s="3" t="s">
        <v>4050</v>
      </c>
      <c r="J920" s="3" t="s">
        <v>22</v>
      </c>
      <c r="K920" s="3" t="s">
        <v>97</v>
      </c>
      <c r="L920" s="3" t="s">
        <v>98</v>
      </c>
      <c r="M920" s="3" t="s">
        <v>99</v>
      </c>
      <c r="N920" s="3" t="s">
        <v>100</v>
      </c>
      <c r="O920" s="5">
        <v>1.0</v>
      </c>
      <c r="P920" s="6" t="str">
        <f t="shared" si="2"/>
        <v>Industrial Products</v>
      </c>
    </row>
    <row r="921" hidden="1">
      <c r="A921" s="3" t="s">
        <v>4054</v>
      </c>
      <c r="B921" s="4">
        <v>513043.0</v>
      </c>
      <c r="C921" s="3" t="s">
        <v>4055</v>
      </c>
      <c r="D921" s="3" t="s">
        <v>4056</v>
      </c>
      <c r="E921" s="3" t="s">
        <v>4055</v>
      </c>
      <c r="F921" s="3" t="s">
        <v>19</v>
      </c>
      <c r="G921" s="3" t="s">
        <v>44</v>
      </c>
      <c r="H921" s="3">
        <v>10.0</v>
      </c>
      <c r="I921" s="3" t="s">
        <v>4054</v>
      </c>
      <c r="J921" s="3" t="s">
        <v>22</v>
      </c>
      <c r="K921" s="3" t="s">
        <v>97</v>
      </c>
      <c r="L921" s="3" t="s">
        <v>98</v>
      </c>
      <c r="M921" s="3" t="s">
        <v>100</v>
      </c>
      <c r="N921" s="3" t="s">
        <v>612</v>
      </c>
      <c r="O921" s="5">
        <v>98.931464</v>
      </c>
      <c r="P921" s="6" t="str">
        <f t="shared" si="2"/>
        <v>Industrial Products</v>
      </c>
    </row>
    <row r="922" hidden="1">
      <c r="A922" s="3" t="s">
        <v>4057</v>
      </c>
      <c r="B922" s="4">
        <v>513059.0</v>
      </c>
      <c r="C922" s="3" t="s">
        <v>4058</v>
      </c>
      <c r="D922" s="3" t="s">
        <v>4059</v>
      </c>
      <c r="E922" s="3" t="s">
        <v>4060</v>
      </c>
      <c r="F922" s="3" t="s">
        <v>19</v>
      </c>
      <c r="G922" s="3" t="s">
        <v>44</v>
      </c>
      <c r="H922" s="3">
        <v>5.0</v>
      </c>
      <c r="I922" s="3" t="s">
        <v>4057</v>
      </c>
      <c r="J922" s="3" t="s">
        <v>22</v>
      </c>
      <c r="K922" s="3" t="s">
        <v>58</v>
      </c>
      <c r="L922" s="3" t="s">
        <v>133</v>
      </c>
      <c r="M922" s="3" t="s">
        <v>134</v>
      </c>
      <c r="N922" s="3" t="s">
        <v>135</v>
      </c>
      <c r="O922" s="5">
        <v>53.1645254</v>
      </c>
      <c r="P922" s="6" t="str">
        <f t="shared" si="2"/>
        <v>Auto Components &amp; Equipments</v>
      </c>
    </row>
    <row r="923" hidden="1">
      <c r="A923" s="3" t="s">
        <v>4061</v>
      </c>
      <c r="B923" s="4">
        <v>513063.0</v>
      </c>
      <c r="C923" s="3" t="s">
        <v>4062</v>
      </c>
      <c r="D923" s="3" t="s">
        <v>4063</v>
      </c>
      <c r="E923" s="3" t="s">
        <v>4064</v>
      </c>
      <c r="F923" s="3" t="s">
        <v>19</v>
      </c>
      <c r="G923" s="3" t="s">
        <v>44</v>
      </c>
      <c r="H923" s="3">
        <v>10.0</v>
      </c>
      <c r="I923" s="3" t="s">
        <v>4061</v>
      </c>
      <c r="J923" s="3" t="s">
        <v>22</v>
      </c>
      <c r="K923" s="3" t="s">
        <v>97</v>
      </c>
      <c r="L923" s="3" t="s">
        <v>98</v>
      </c>
      <c r="M923" s="3" t="s">
        <v>100</v>
      </c>
      <c r="N923" s="3" t="s">
        <v>612</v>
      </c>
      <c r="O923" s="5">
        <v>22.6468352</v>
      </c>
      <c r="P923" s="6" t="str">
        <f t="shared" si="2"/>
        <v>Industrial Products</v>
      </c>
    </row>
    <row r="924" hidden="1">
      <c r="A924" s="3" t="s">
        <v>4065</v>
      </c>
      <c r="B924" s="4">
        <v>513097.0</v>
      </c>
      <c r="C924" s="3" t="s">
        <v>4066</v>
      </c>
      <c r="D924" s="3" t="s">
        <v>4067</v>
      </c>
      <c r="E924" s="3" t="s">
        <v>4068</v>
      </c>
      <c r="F924" s="3" t="s">
        <v>19</v>
      </c>
      <c r="G924" s="3" t="s">
        <v>20</v>
      </c>
      <c r="H924" s="3">
        <v>2.0</v>
      </c>
      <c r="I924" s="3" t="s">
        <v>4065</v>
      </c>
      <c r="J924" s="3" t="s">
        <v>22</v>
      </c>
      <c r="K924" s="3" t="s">
        <v>97</v>
      </c>
      <c r="L924" s="3" t="s">
        <v>98</v>
      </c>
      <c r="M924" s="3" t="s">
        <v>100</v>
      </c>
      <c r="N924" s="3" t="s">
        <v>612</v>
      </c>
      <c r="O924" s="5">
        <v>3430.6150337</v>
      </c>
      <c r="P924" s="6" t="str">
        <f t="shared" si="2"/>
        <v>Industrial Products</v>
      </c>
    </row>
    <row r="925" hidden="1">
      <c r="A925" s="3" t="s">
        <v>4069</v>
      </c>
      <c r="B925" s="4">
        <v>513108.0</v>
      </c>
      <c r="C925" s="3" t="s">
        <v>4070</v>
      </c>
      <c r="D925" s="3" t="s">
        <v>4071</v>
      </c>
      <c r="E925" s="3" t="s">
        <v>4072</v>
      </c>
      <c r="F925" s="3" t="s">
        <v>19</v>
      </c>
      <c r="G925" s="3" t="s">
        <v>112</v>
      </c>
      <c r="H925" s="3">
        <v>5.0</v>
      </c>
      <c r="I925" s="3" t="s">
        <v>4069</v>
      </c>
      <c r="J925" s="3" t="s">
        <v>22</v>
      </c>
      <c r="K925" s="3" t="s">
        <v>97</v>
      </c>
      <c r="L925" s="3" t="s">
        <v>98</v>
      </c>
      <c r="M925" s="3" t="s">
        <v>100</v>
      </c>
      <c r="N925" s="3" t="s">
        <v>612</v>
      </c>
      <c r="O925" s="5">
        <v>946.8890528</v>
      </c>
      <c r="P925" s="6" t="str">
        <f t="shared" si="2"/>
        <v>Industrial Products</v>
      </c>
    </row>
    <row r="926" hidden="1">
      <c r="A926" s="3" t="s">
        <v>4073</v>
      </c>
      <c r="B926" s="4">
        <v>513117.0</v>
      </c>
      <c r="C926" s="3" t="s">
        <v>4074</v>
      </c>
      <c r="D926" s="3" t="s">
        <v>4075</v>
      </c>
      <c r="E926" s="3" t="s">
        <v>4076</v>
      </c>
      <c r="F926" s="3" t="s">
        <v>19</v>
      </c>
      <c r="G926" s="3" t="s">
        <v>44</v>
      </c>
      <c r="H926" s="3">
        <v>2.0</v>
      </c>
      <c r="I926" s="3" t="s">
        <v>4073</v>
      </c>
      <c r="J926" s="3" t="s">
        <v>22</v>
      </c>
      <c r="K926" s="3" t="s">
        <v>58</v>
      </c>
      <c r="L926" s="3" t="s">
        <v>133</v>
      </c>
      <c r="M926" s="3" t="s">
        <v>134</v>
      </c>
      <c r="N926" s="3" t="s">
        <v>135</v>
      </c>
      <c r="O926" s="5">
        <v>17.4663716</v>
      </c>
      <c r="P926" s="6" t="str">
        <f t="shared" si="2"/>
        <v>Auto Components &amp; Equipments</v>
      </c>
    </row>
    <row r="927" hidden="1">
      <c r="A927" s="3" t="s">
        <v>4077</v>
      </c>
      <c r="B927" s="4">
        <v>513121.0</v>
      </c>
      <c r="C927" s="3" t="s">
        <v>4078</v>
      </c>
      <c r="D927" s="3" t="s">
        <v>4079</v>
      </c>
      <c r="E927" s="3" t="s">
        <v>4080</v>
      </c>
      <c r="F927" s="3" t="s">
        <v>19</v>
      </c>
      <c r="G927" s="3" t="s">
        <v>112</v>
      </c>
      <c r="H927" s="3">
        <v>2.0</v>
      </c>
      <c r="I927" s="3" t="s">
        <v>4077</v>
      </c>
      <c r="J927" s="3" t="s">
        <v>22</v>
      </c>
      <c r="K927" s="3" t="s">
        <v>97</v>
      </c>
      <c r="L927" s="3" t="s">
        <v>98</v>
      </c>
      <c r="M927" s="3" t="s">
        <v>100</v>
      </c>
      <c r="N927" s="3" t="s">
        <v>373</v>
      </c>
      <c r="O927" s="5">
        <v>606.2848338</v>
      </c>
      <c r="P927" s="6" t="str">
        <f t="shared" si="2"/>
        <v>Industrial Products</v>
      </c>
    </row>
    <row r="928" hidden="1">
      <c r="A928" s="3" t="s">
        <v>4081</v>
      </c>
      <c r="B928" s="4">
        <v>513149.0</v>
      </c>
      <c r="C928" s="3" t="s">
        <v>4082</v>
      </c>
      <c r="D928" s="3" t="s">
        <v>4083</v>
      </c>
      <c r="E928" s="3" t="s">
        <v>4084</v>
      </c>
      <c r="F928" s="3" t="s">
        <v>19</v>
      </c>
      <c r="G928" s="3" t="s">
        <v>44</v>
      </c>
      <c r="H928" s="3">
        <v>10.0</v>
      </c>
      <c r="I928" s="3" t="s">
        <v>4081</v>
      </c>
      <c r="J928" s="3" t="s">
        <v>22</v>
      </c>
      <c r="K928" s="3" t="s">
        <v>97</v>
      </c>
      <c r="L928" s="3" t="s">
        <v>98</v>
      </c>
      <c r="M928" s="3" t="s">
        <v>100</v>
      </c>
      <c r="N928" s="3" t="s">
        <v>612</v>
      </c>
      <c r="O928" s="5">
        <v>50.3437466</v>
      </c>
      <c r="P928" s="6" t="str">
        <f t="shared" si="2"/>
        <v>Industrial Products</v>
      </c>
    </row>
    <row r="929" hidden="1">
      <c r="A929" s="3" t="s">
        <v>4085</v>
      </c>
      <c r="B929" s="4">
        <v>513173.0</v>
      </c>
      <c r="C929" s="3" t="s">
        <v>4086</v>
      </c>
      <c r="D929" s="3" t="s">
        <v>4087</v>
      </c>
      <c r="E929" s="3" t="s">
        <v>4088</v>
      </c>
      <c r="F929" s="3" t="s">
        <v>19</v>
      </c>
      <c r="G929" s="3" t="s">
        <v>44</v>
      </c>
      <c r="H929" s="3">
        <v>10.0</v>
      </c>
      <c r="I929" s="3" t="s">
        <v>4085</v>
      </c>
      <c r="J929" s="3" t="s">
        <v>22</v>
      </c>
      <c r="K929" s="3" t="s">
        <v>58</v>
      </c>
      <c r="L929" s="3" t="s">
        <v>59</v>
      </c>
      <c r="M929" s="3" t="s">
        <v>59</v>
      </c>
      <c r="N929" s="3" t="s">
        <v>60</v>
      </c>
      <c r="O929" s="5">
        <v>28.581647</v>
      </c>
      <c r="P929" s="6" t="str">
        <f t="shared" si="2"/>
        <v>Residential, Commercial Projects</v>
      </c>
    </row>
    <row r="930" hidden="1">
      <c r="A930" s="3" t="s">
        <v>4089</v>
      </c>
      <c r="B930" s="4">
        <v>513228.0</v>
      </c>
      <c r="C930" s="3" t="s">
        <v>4090</v>
      </c>
      <c r="D930" s="3" t="s">
        <v>4091</v>
      </c>
      <c r="E930" s="3" t="s">
        <v>4092</v>
      </c>
      <c r="F930" s="3" t="s">
        <v>19</v>
      </c>
      <c r="G930" s="3" t="s">
        <v>112</v>
      </c>
      <c r="H930" s="3">
        <v>5.0</v>
      </c>
      <c r="I930" s="3" t="s">
        <v>4089</v>
      </c>
      <c r="J930" s="3" t="s">
        <v>22</v>
      </c>
      <c r="K930" s="3" t="s">
        <v>97</v>
      </c>
      <c r="L930" s="3" t="s">
        <v>98</v>
      </c>
      <c r="M930" s="3" t="s">
        <v>99</v>
      </c>
      <c r="N930" s="3" t="s">
        <v>100</v>
      </c>
      <c r="O930" s="5">
        <v>2303.5947462</v>
      </c>
      <c r="P930" s="6" t="str">
        <f t="shared" si="2"/>
        <v>Industrial Products</v>
      </c>
    </row>
    <row r="931" hidden="1">
      <c r="A931" s="3" t="s">
        <v>4093</v>
      </c>
      <c r="B931" s="4">
        <v>513250.0</v>
      </c>
      <c r="C931" s="3" t="s">
        <v>4094</v>
      </c>
      <c r="D931" s="3" t="s">
        <v>4095</v>
      </c>
      <c r="E931" s="3" t="s">
        <v>4096</v>
      </c>
      <c r="F931" s="3" t="s">
        <v>19</v>
      </c>
      <c r="G931" s="3" t="s">
        <v>86</v>
      </c>
      <c r="H931" s="3">
        <v>2.0</v>
      </c>
      <c r="I931" s="3" t="s">
        <v>4093</v>
      </c>
      <c r="J931" s="3" t="s">
        <v>22</v>
      </c>
      <c r="K931" s="3" t="s">
        <v>97</v>
      </c>
      <c r="L931" s="3" t="s">
        <v>98</v>
      </c>
      <c r="M931" s="3" t="s">
        <v>1747</v>
      </c>
      <c r="N931" s="3" t="s">
        <v>1767</v>
      </c>
      <c r="O931" s="5">
        <v>2301.0927025</v>
      </c>
      <c r="P931" s="6" t="str">
        <f t="shared" si="2"/>
        <v>Heavy Electrical Equipment</v>
      </c>
    </row>
    <row r="932" hidden="1">
      <c r="A932" s="3" t="s">
        <v>4097</v>
      </c>
      <c r="B932" s="4">
        <v>513252.0</v>
      </c>
      <c r="C932" s="3" t="s">
        <v>4098</v>
      </c>
      <c r="D932" s="3" t="s">
        <v>4099</v>
      </c>
      <c r="E932" s="3" t="s">
        <v>4100</v>
      </c>
      <c r="F932" s="3" t="s">
        <v>19</v>
      </c>
      <c r="G932" s="3" t="s">
        <v>44</v>
      </c>
      <c r="H932" s="3">
        <v>10.0</v>
      </c>
      <c r="I932" s="3" t="s">
        <v>4097</v>
      </c>
      <c r="J932" s="3" t="s">
        <v>22</v>
      </c>
      <c r="K932" s="3" t="s">
        <v>58</v>
      </c>
      <c r="L932" s="3" t="s">
        <v>133</v>
      </c>
      <c r="M932" s="3" t="s">
        <v>134</v>
      </c>
      <c r="N932" s="3" t="s">
        <v>135</v>
      </c>
      <c r="O932" s="5">
        <v>277.4900755</v>
      </c>
      <c r="P932" s="6" t="str">
        <f t="shared" si="2"/>
        <v>Auto Components &amp; Equipments</v>
      </c>
    </row>
    <row r="933" hidden="1">
      <c r="A933" s="3" t="s">
        <v>4101</v>
      </c>
      <c r="B933" s="4">
        <v>513262.0</v>
      </c>
      <c r="C933" s="3" t="s">
        <v>4102</v>
      </c>
      <c r="D933" s="3" t="s">
        <v>4103</v>
      </c>
      <c r="E933" s="3" t="s">
        <v>4104</v>
      </c>
      <c r="F933" s="3" t="s">
        <v>19</v>
      </c>
      <c r="G933" s="3" t="s">
        <v>112</v>
      </c>
      <c r="H933" s="3">
        <v>1.0</v>
      </c>
      <c r="I933" s="3" t="s">
        <v>4101</v>
      </c>
      <c r="J933" s="3" t="s">
        <v>22</v>
      </c>
      <c r="K933" s="3" t="s">
        <v>58</v>
      </c>
      <c r="L933" s="3" t="s">
        <v>133</v>
      </c>
      <c r="M933" s="3" t="s">
        <v>134</v>
      </c>
      <c r="N933" s="3" t="s">
        <v>135</v>
      </c>
      <c r="O933" s="5">
        <v>3431.049485</v>
      </c>
      <c r="P933" s="6" t="str">
        <f t="shared" si="2"/>
        <v>Auto Components &amp; Equipments</v>
      </c>
    </row>
    <row r="934" hidden="1">
      <c r="A934" s="3" t="s">
        <v>4105</v>
      </c>
      <c r="B934" s="4">
        <v>513269.0</v>
      </c>
      <c r="C934" s="3" t="s">
        <v>4106</v>
      </c>
      <c r="D934" s="3" t="s">
        <v>4107</v>
      </c>
      <c r="E934" s="3" t="s">
        <v>4108</v>
      </c>
      <c r="F934" s="3" t="s">
        <v>19</v>
      </c>
      <c r="G934" s="3" t="s">
        <v>112</v>
      </c>
      <c r="H934" s="3">
        <v>5.0</v>
      </c>
      <c r="I934" s="3" t="s">
        <v>4105</v>
      </c>
      <c r="J934" s="3" t="s">
        <v>22</v>
      </c>
      <c r="K934" s="3" t="s">
        <v>97</v>
      </c>
      <c r="L934" s="3" t="s">
        <v>98</v>
      </c>
      <c r="M934" s="3" t="s">
        <v>100</v>
      </c>
      <c r="N934" s="3" t="s">
        <v>612</v>
      </c>
      <c r="O934" s="5">
        <v>2670.8639503</v>
      </c>
      <c r="P934" s="6" t="str">
        <f t="shared" si="2"/>
        <v>Industrial Products</v>
      </c>
    </row>
    <row r="935" hidden="1">
      <c r="A935" s="3" t="s">
        <v>4109</v>
      </c>
      <c r="B935" s="4">
        <v>513303.0</v>
      </c>
      <c r="C935" s="3" t="s">
        <v>4110</v>
      </c>
      <c r="D935" s="3" t="s">
        <v>4111</v>
      </c>
      <c r="E935" s="3" t="s">
        <v>4112</v>
      </c>
      <c r="F935" s="3" t="s">
        <v>19</v>
      </c>
      <c r="G935" s="3" t="s">
        <v>44</v>
      </c>
      <c r="H935" s="3">
        <v>10.0</v>
      </c>
      <c r="I935" s="3" t="s">
        <v>4109</v>
      </c>
      <c r="J935" s="3" t="s">
        <v>22</v>
      </c>
      <c r="K935" s="3" t="s">
        <v>97</v>
      </c>
      <c r="L935" s="3" t="s">
        <v>98</v>
      </c>
      <c r="M935" s="3" t="s">
        <v>100</v>
      </c>
      <c r="N935" s="3" t="s">
        <v>612</v>
      </c>
      <c r="O935" s="5">
        <v>26.6892875</v>
      </c>
      <c r="P935" s="6" t="str">
        <f t="shared" si="2"/>
        <v>Industrial Products</v>
      </c>
    </row>
    <row r="936" hidden="1">
      <c r="A936" s="3" t="s">
        <v>4113</v>
      </c>
      <c r="B936" s="4">
        <v>513307.0</v>
      </c>
      <c r="C936" s="3" t="s">
        <v>4114</v>
      </c>
      <c r="D936" s="3" t="s">
        <v>4115</v>
      </c>
      <c r="E936" s="3" t="s">
        <v>4116</v>
      </c>
      <c r="F936" s="3" t="s">
        <v>19</v>
      </c>
      <c r="G936" s="3" t="s">
        <v>72</v>
      </c>
      <c r="H936" s="3">
        <v>5.0</v>
      </c>
      <c r="I936" s="3" t="s">
        <v>4113</v>
      </c>
      <c r="J936" s="3" t="s">
        <v>22</v>
      </c>
      <c r="K936" s="3" t="s">
        <v>97</v>
      </c>
      <c r="L936" s="3" t="s">
        <v>98</v>
      </c>
      <c r="M936" s="3" t="s">
        <v>100</v>
      </c>
      <c r="N936" s="3" t="s">
        <v>221</v>
      </c>
      <c r="O936" s="5">
        <v>11.2914661</v>
      </c>
      <c r="P936" s="6" t="str">
        <f t="shared" si="2"/>
        <v>Industrial Products</v>
      </c>
    </row>
    <row r="937" hidden="1">
      <c r="A937" s="3" t="s">
        <v>4117</v>
      </c>
      <c r="B937" s="4">
        <v>513309.0</v>
      </c>
      <c r="C937" s="3" t="s">
        <v>4118</v>
      </c>
      <c r="D937" s="3" t="s">
        <v>4119</v>
      </c>
      <c r="E937" s="3" t="s">
        <v>4120</v>
      </c>
      <c r="F937" s="3" t="s">
        <v>19</v>
      </c>
      <c r="G937" s="3" t="s">
        <v>44</v>
      </c>
      <c r="H937" s="3">
        <v>10.0</v>
      </c>
      <c r="I937" s="3" t="s">
        <v>4117</v>
      </c>
      <c r="J937" s="3" t="s">
        <v>22</v>
      </c>
      <c r="K937" s="3" t="s">
        <v>23</v>
      </c>
      <c r="L937" s="3" t="s">
        <v>65</v>
      </c>
      <c r="M937" s="3" t="s">
        <v>66</v>
      </c>
      <c r="N937" s="3" t="s">
        <v>286</v>
      </c>
      <c r="O937" s="5">
        <v>8.1596473</v>
      </c>
      <c r="P937" s="6" t="str">
        <f t="shared" si="2"/>
        <v>Non - Ferrous Metals</v>
      </c>
    </row>
    <row r="938" hidden="1">
      <c r="A938" s="3" t="s">
        <v>4121</v>
      </c>
      <c r="B938" s="4">
        <v>513337.0</v>
      </c>
      <c r="C938" s="3" t="s">
        <v>4122</v>
      </c>
      <c r="D938" s="3" t="s">
        <v>4123</v>
      </c>
      <c r="E938" s="3" t="s">
        <v>4124</v>
      </c>
      <c r="F938" s="3" t="s">
        <v>19</v>
      </c>
      <c r="G938" s="3" t="s">
        <v>72</v>
      </c>
      <c r="H938" s="3">
        <v>1.0</v>
      </c>
      <c r="I938" s="3" t="s">
        <v>4121</v>
      </c>
      <c r="J938" s="3" t="s">
        <v>22</v>
      </c>
      <c r="K938" s="3" t="s">
        <v>97</v>
      </c>
      <c r="L938" s="3" t="s">
        <v>98</v>
      </c>
      <c r="M938" s="3" t="s">
        <v>100</v>
      </c>
      <c r="N938" s="3" t="s">
        <v>580</v>
      </c>
      <c r="O938" s="5">
        <v>1.0</v>
      </c>
      <c r="P938" s="6" t="str">
        <f t="shared" si="2"/>
        <v>Industrial Products</v>
      </c>
    </row>
    <row r="939" hidden="1">
      <c r="A939" s="3" t="s">
        <v>4125</v>
      </c>
      <c r="B939" s="4">
        <v>513349.0</v>
      </c>
      <c r="C939" s="3" t="s">
        <v>4126</v>
      </c>
      <c r="D939" s="3" t="s">
        <v>4127</v>
      </c>
      <c r="E939" s="3" t="s">
        <v>4128</v>
      </c>
      <c r="F939" s="3" t="s">
        <v>19</v>
      </c>
      <c r="G939" s="3" t="s">
        <v>112</v>
      </c>
      <c r="H939" s="3">
        <v>10.0</v>
      </c>
      <c r="I939" s="3" t="s">
        <v>4125</v>
      </c>
      <c r="J939" s="3" t="s">
        <v>22</v>
      </c>
      <c r="K939" s="3" t="s">
        <v>58</v>
      </c>
      <c r="L939" s="3" t="s">
        <v>59</v>
      </c>
      <c r="M939" s="3" t="s">
        <v>59</v>
      </c>
      <c r="N939" s="3" t="s">
        <v>60</v>
      </c>
      <c r="O939" s="5">
        <v>2466.72168</v>
      </c>
      <c r="P939" s="6" t="str">
        <f t="shared" si="2"/>
        <v>Residential, Commercial Projects</v>
      </c>
    </row>
    <row r="940" hidden="1">
      <c r="A940" s="3" t="s">
        <v>4129</v>
      </c>
      <c r="B940" s="4">
        <v>513353.0</v>
      </c>
      <c r="C940" s="3" t="s">
        <v>4130</v>
      </c>
      <c r="D940" s="3" t="s">
        <v>4131</v>
      </c>
      <c r="E940" s="3" t="s">
        <v>4132</v>
      </c>
      <c r="F940" s="3" t="s">
        <v>19</v>
      </c>
      <c r="G940" s="3" t="s">
        <v>44</v>
      </c>
      <c r="H940" s="3">
        <v>10.0</v>
      </c>
      <c r="I940" s="3" t="s">
        <v>4129</v>
      </c>
      <c r="J940" s="3" t="s">
        <v>22</v>
      </c>
      <c r="K940" s="3" t="s">
        <v>23</v>
      </c>
      <c r="L940" s="3" t="s">
        <v>24</v>
      </c>
      <c r="M940" s="3" t="s">
        <v>25</v>
      </c>
      <c r="N940" s="3" t="s">
        <v>26</v>
      </c>
      <c r="O940" s="5">
        <v>214.7405277</v>
      </c>
      <c r="P940" s="6" t="str">
        <f t="shared" si="2"/>
        <v>Specialty Chemicals</v>
      </c>
    </row>
    <row r="941" hidden="1">
      <c r="A941" s="3" t="s">
        <v>4133</v>
      </c>
      <c r="B941" s="4">
        <v>513361.0</v>
      </c>
      <c r="C941" s="3" t="s">
        <v>4134</v>
      </c>
      <c r="D941" s="3" t="s">
        <v>4135</v>
      </c>
      <c r="E941" s="3" t="s">
        <v>4136</v>
      </c>
      <c r="F941" s="3" t="s">
        <v>19</v>
      </c>
      <c r="G941" s="3" t="s">
        <v>44</v>
      </c>
      <c r="H941" s="3">
        <v>1.0</v>
      </c>
      <c r="I941" s="3" t="s">
        <v>4133</v>
      </c>
      <c r="J941" s="3" t="s">
        <v>22</v>
      </c>
      <c r="K941" s="3" t="s">
        <v>97</v>
      </c>
      <c r="L941" s="3" t="s">
        <v>98</v>
      </c>
      <c r="M941" s="3" t="s">
        <v>100</v>
      </c>
      <c r="N941" s="3" t="s">
        <v>612</v>
      </c>
      <c r="O941" s="5">
        <v>166.8148716</v>
      </c>
      <c r="P941" s="6" t="str">
        <f t="shared" si="2"/>
        <v>Industrial Products</v>
      </c>
    </row>
    <row r="942" hidden="1">
      <c r="A942" s="3" t="s">
        <v>4137</v>
      </c>
      <c r="B942" s="4">
        <v>513369.0</v>
      </c>
      <c r="C942" s="3" t="s">
        <v>4138</v>
      </c>
      <c r="D942" s="3" t="s">
        <v>4139</v>
      </c>
      <c r="E942" s="3" t="s">
        <v>4140</v>
      </c>
      <c r="F942" s="3" t="s">
        <v>19</v>
      </c>
      <c r="G942" s="3" t="s">
        <v>44</v>
      </c>
      <c r="H942" s="3">
        <v>10.0</v>
      </c>
      <c r="I942" s="3" t="s">
        <v>4137</v>
      </c>
      <c r="J942" s="3" t="s">
        <v>22</v>
      </c>
      <c r="K942" s="3" t="s">
        <v>97</v>
      </c>
      <c r="L942" s="3" t="s">
        <v>98</v>
      </c>
      <c r="M942" s="3" t="s">
        <v>100</v>
      </c>
      <c r="N942" s="3" t="s">
        <v>1909</v>
      </c>
      <c r="O942" s="5">
        <v>101.863872</v>
      </c>
      <c r="P942" s="6" t="str">
        <f t="shared" si="2"/>
        <v>Industrial Products</v>
      </c>
    </row>
    <row r="943">
      <c r="A943" s="3" t="s">
        <v>4141</v>
      </c>
      <c r="B943" s="4">
        <v>543300.0</v>
      </c>
      <c r="C943" s="3" t="s">
        <v>4142</v>
      </c>
      <c r="D943" s="3" t="s">
        <v>4143</v>
      </c>
      <c r="E943" s="3" t="s">
        <v>4144</v>
      </c>
      <c r="F943" s="3" t="s">
        <v>19</v>
      </c>
      <c r="G943" s="3" t="s">
        <v>20</v>
      </c>
      <c r="H943" s="3">
        <v>10.0</v>
      </c>
      <c r="I943" s="3" t="s">
        <v>4145</v>
      </c>
      <c r="J943" s="3" t="s">
        <v>22</v>
      </c>
      <c r="K943" s="3" t="s">
        <v>58</v>
      </c>
      <c r="L943" s="3" t="s">
        <v>133</v>
      </c>
      <c r="M943" s="3" t="s">
        <v>134</v>
      </c>
      <c r="N943" s="3" t="s">
        <v>135</v>
      </c>
      <c r="O943" s="5">
        <v>37190.7055028</v>
      </c>
      <c r="P943" s="6" t="str">
        <f t="shared" si="2"/>
        <v>Auto Components &amp; Equipments</v>
      </c>
    </row>
    <row r="944" hidden="1">
      <c r="A944" s="3" t="s">
        <v>4146</v>
      </c>
      <c r="B944" s="4">
        <v>506074.0</v>
      </c>
      <c r="C944" s="3" t="s">
        <v>4147</v>
      </c>
      <c r="D944" s="3" t="s">
        <v>4148</v>
      </c>
      <c r="E944" s="3" t="s">
        <v>4147</v>
      </c>
      <c r="F944" s="3" t="s">
        <v>19</v>
      </c>
      <c r="G944" s="3" t="s">
        <v>86</v>
      </c>
      <c r="H944" s="3">
        <v>2.0</v>
      </c>
      <c r="I944" s="3" t="s">
        <v>2272</v>
      </c>
      <c r="J944" s="3" t="s">
        <v>22</v>
      </c>
      <c r="K944" s="3" t="s">
        <v>1673</v>
      </c>
      <c r="L944" s="3" t="s">
        <v>1673</v>
      </c>
      <c r="M944" s="3" t="s">
        <v>1689</v>
      </c>
      <c r="N944" s="3" t="s">
        <v>1690</v>
      </c>
      <c r="O944" s="5">
        <v>137.5426722</v>
      </c>
      <c r="P944" s="6" t="str">
        <f t="shared" si="2"/>
        <v>Transport Services</v>
      </c>
    </row>
    <row r="945" hidden="1">
      <c r="A945" s="3" t="s">
        <v>4149</v>
      </c>
      <c r="B945" s="4">
        <v>513397.0</v>
      </c>
      <c r="C945" s="3" t="s">
        <v>4150</v>
      </c>
      <c r="D945" s="3" t="s">
        <v>4151</v>
      </c>
      <c r="E945" s="3" t="s">
        <v>4152</v>
      </c>
      <c r="F945" s="3" t="s">
        <v>19</v>
      </c>
      <c r="G945" s="3" t="s">
        <v>72</v>
      </c>
      <c r="H945" s="3">
        <v>10.0</v>
      </c>
      <c r="I945" s="3" t="s">
        <v>4149</v>
      </c>
      <c r="J945" s="3" t="s">
        <v>22</v>
      </c>
      <c r="K945" s="3" t="s">
        <v>97</v>
      </c>
      <c r="L945" s="3" t="s">
        <v>98</v>
      </c>
      <c r="M945" s="3" t="s">
        <v>100</v>
      </c>
      <c r="N945" s="3" t="s">
        <v>612</v>
      </c>
      <c r="O945" s="5">
        <v>6.2455196</v>
      </c>
      <c r="P945" s="6" t="str">
        <f t="shared" si="2"/>
        <v>Industrial Products</v>
      </c>
    </row>
    <row r="946" hidden="1">
      <c r="A946" s="3" t="s">
        <v>4153</v>
      </c>
      <c r="B946" s="4">
        <v>513401.0</v>
      </c>
      <c r="C946" s="3" t="s">
        <v>4154</v>
      </c>
      <c r="D946" s="3" t="s">
        <v>4155</v>
      </c>
      <c r="E946" s="3" t="s">
        <v>4156</v>
      </c>
      <c r="F946" s="3" t="s">
        <v>19</v>
      </c>
      <c r="G946" s="3" t="s">
        <v>44</v>
      </c>
      <c r="H946" s="3">
        <v>10.0</v>
      </c>
      <c r="I946" s="3" t="s">
        <v>4153</v>
      </c>
      <c r="J946" s="3" t="s">
        <v>22</v>
      </c>
      <c r="K946" s="3" t="s">
        <v>97</v>
      </c>
      <c r="L946" s="3" t="s">
        <v>98</v>
      </c>
      <c r="M946" s="3" t="s">
        <v>100</v>
      </c>
      <c r="N946" s="3" t="s">
        <v>612</v>
      </c>
      <c r="O946" s="5">
        <v>37.4253677</v>
      </c>
      <c r="P946" s="6" t="str">
        <f t="shared" si="2"/>
        <v>Industrial Products</v>
      </c>
    </row>
    <row r="947" hidden="1">
      <c r="A947" s="3" t="s">
        <v>4157</v>
      </c>
      <c r="B947" s="4">
        <v>513403.0</v>
      </c>
      <c r="C947" s="3" t="s">
        <v>4158</v>
      </c>
      <c r="D947" s="3" t="s">
        <v>4159</v>
      </c>
      <c r="E947" s="3" t="s">
        <v>4160</v>
      </c>
      <c r="F947" s="3" t="s">
        <v>19</v>
      </c>
      <c r="G947" s="3" t="s">
        <v>44</v>
      </c>
      <c r="H947" s="3">
        <v>10.0</v>
      </c>
      <c r="I947" s="3" t="s">
        <v>4157</v>
      </c>
      <c r="J947" s="3" t="s">
        <v>22</v>
      </c>
      <c r="K947" s="3" t="s">
        <v>97</v>
      </c>
      <c r="L947" s="3" t="s">
        <v>98</v>
      </c>
      <c r="M947" s="3" t="s">
        <v>100</v>
      </c>
      <c r="N947" s="3" t="s">
        <v>612</v>
      </c>
      <c r="O947" s="5">
        <v>1.0</v>
      </c>
      <c r="P947" s="6" t="str">
        <f t="shared" si="2"/>
        <v>Industrial Products</v>
      </c>
    </row>
    <row r="948" hidden="1">
      <c r="A948" s="3" t="s">
        <v>4161</v>
      </c>
      <c r="B948" s="4">
        <v>513418.0</v>
      </c>
      <c r="C948" s="3" t="s">
        <v>4162</v>
      </c>
      <c r="D948" s="3" t="s">
        <v>4163</v>
      </c>
      <c r="E948" s="3" t="s">
        <v>4162</v>
      </c>
      <c r="F948" s="3" t="s">
        <v>19</v>
      </c>
      <c r="G948" s="3" t="s">
        <v>44</v>
      </c>
      <c r="H948" s="3">
        <v>1.0</v>
      </c>
      <c r="I948" s="3" t="s">
        <v>4161</v>
      </c>
      <c r="J948" s="3" t="s">
        <v>22</v>
      </c>
      <c r="K948" s="3" t="s">
        <v>97</v>
      </c>
      <c r="L948" s="3" t="s">
        <v>98</v>
      </c>
      <c r="M948" s="3" t="s">
        <v>100</v>
      </c>
      <c r="N948" s="3" t="s">
        <v>1909</v>
      </c>
      <c r="O948" s="5">
        <v>51.9160244</v>
      </c>
      <c r="P948" s="6" t="str">
        <f t="shared" si="2"/>
        <v>Industrial Products</v>
      </c>
    </row>
    <row r="949" hidden="1">
      <c r="A949" s="3" t="s">
        <v>4164</v>
      </c>
      <c r="B949" s="4">
        <v>513422.0</v>
      </c>
      <c r="C949" s="3" t="s">
        <v>4165</v>
      </c>
      <c r="D949" s="3" t="s">
        <v>4166</v>
      </c>
      <c r="E949" s="3" t="s">
        <v>4167</v>
      </c>
      <c r="F949" s="3" t="s">
        <v>19</v>
      </c>
      <c r="G949" s="3" t="s">
        <v>44</v>
      </c>
      <c r="H949" s="3">
        <v>10.0</v>
      </c>
      <c r="I949" s="3" t="s">
        <v>4164</v>
      </c>
      <c r="J949" s="3" t="s">
        <v>22</v>
      </c>
      <c r="K949" s="3" t="s">
        <v>97</v>
      </c>
      <c r="L949" s="3" t="s">
        <v>98</v>
      </c>
      <c r="M949" s="3" t="s">
        <v>100</v>
      </c>
      <c r="N949" s="3" t="s">
        <v>612</v>
      </c>
      <c r="O949" s="5">
        <v>1.0</v>
      </c>
      <c r="P949" s="6" t="str">
        <f t="shared" si="2"/>
        <v>Industrial Products</v>
      </c>
    </row>
    <row r="950" hidden="1">
      <c r="A950" s="3" t="s">
        <v>4168</v>
      </c>
      <c r="B950" s="4">
        <v>513430.0</v>
      </c>
      <c r="C950" s="3" t="s">
        <v>4169</v>
      </c>
      <c r="D950" s="3" t="s">
        <v>4170</v>
      </c>
      <c r="E950" s="3" t="s">
        <v>4171</v>
      </c>
      <c r="F950" s="3" t="s">
        <v>19</v>
      </c>
      <c r="G950" s="3" t="s">
        <v>72</v>
      </c>
      <c r="H950" s="3">
        <v>10.0</v>
      </c>
      <c r="I950" s="3" t="s">
        <v>4168</v>
      </c>
      <c r="J950" s="3" t="s">
        <v>22</v>
      </c>
      <c r="K950" s="3" t="s">
        <v>23</v>
      </c>
      <c r="L950" s="3" t="s">
        <v>65</v>
      </c>
      <c r="M950" s="3" t="s">
        <v>66</v>
      </c>
      <c r="N950" s="3" t="s">
        <v>286</v>
      </c>
      <c r="O950" s="5">
        <v>1.0</v>
      </c>
      <c r="P950" s="6" t="str">
        <f t="shared" si="2"/>
        <v>Non - Ferrous Metals</v>
      </c>
    </row>
    <row r="951" hidden="1">
      <c r="A951" s="3" t="s">
        <v>4172</v>
      </c>
      <c r="B951" s="4">
        <v>513436.0</v>
      </c>
      <c r="C951" s="3" t="s">
        <v>4173</v>
      </c>
      <c r="D951" s="3" t="s">
        <v>4174</v>
      </c>
      <c r="E951" s="3" t="s">
        <v>4175</v>
      </c>
      <c r="F951" s="3" t="s">
        <v>19</v>
      </c>
      <c r="G951" s="3" t="s">
        <v>112</v>
      </c>
      <c r="H951" s="3">
        <v>10.0</v>
      </c>
      <c r="I951" s="3" t="s">
        <v>4172</v>
      </c>
      <c r="J951" s="3" t="s">
        <v>22</v>
      </c>
      <c r="K951" s="3" t="s">
        <v>97</v>
      </c>
      <c r="L951" s="3" t="s">
        <v>98</v>
      </c>
      <c r="M951" s="3" t="s">
        <v>100</v>
      </c>
      <c r="N951" s="3" t="s">
        <v>612</v>
      </c>
      <c r="O951" s="5">
        <v>125.942807</v>
      </c>
      <c r="P951" s="6" t="str">
        <f t="shared" si="2"/>
        <v>Industrial Products</v>
      </c>
    </row>
    <row r="952" hidden="1">
      <c r="A952" s="3" t="s">
        <v>4176</v>
      </c>
      <c r="B952" s="4">
        <v>513452.0</v>
      </c>
      <c r="C952" s="3" t="s">
        <v>4177</v>
      </c>
      <c r="D952" s="3" t="s">
        <v>4178</v>
      </c>
      <c r="E952" s="3" t="s">
        <v>4179</v>
      </c>
      <c r="F952" s="3" t="s">
        <v>19</v>
      </c>
      <c r="G952" s="3" t="s">
        <v>44</v>
      </c>
      <c r="H952" s="3">
        <v>10.0</v>
      </c>
      <c r="I952" s="3" t="s">
        <v>4176</v>
      </c>
      <c r="J952" s="3" t="s">
        <v>22</v>
      </c>
      <c r="K952" s="3" t="s">
        <v>97</v>
      </c>
      <c r="L952" s="3" t="s">
        <v>98</v>
      </c>
      <c r="M952" s="3" t="s">
        <v>100</v>
      </c>
      <c r="N952" s="3" t="s">
        <v>612</v>
      </c>
      <c r="O952" s="5">
        <v>4.9463568</v>
      </c>
      <c r="P952" s="6" t="str">
        <f t="shared" si="2"/>
        <v>Industrial Products</v>
      </c>
    </row>
    <row r="953" hidden="1">
      <c r="A953" s="3" t="s">
        <v>4180</v>
      </c>
      <c r="B953" s="4">
        <v>513456.0</v>
      </c>
      <c r="C953" s="3" t="s">
        <v>4181</v>
      </c>
      <c r="D953" s="3" t="s">
        <v>4182</v>
      </c>
      <c r="E953" s="3" t="s">
        <v>4183</v>
      </c>
      <c r="F953" s="3" t="s">
        <v>19</v>
      </c>
      <c r="G953" s="3" t="s">
        <v>44</v>
      </c>
      <c r="H953" s="3">
        <v>10.0</v>
      </c>
      <c r="I953" s="3" t="s">
        <v>4180</v>
      </c>
      <c r="J953" s="3" t="s">
        <v>22</v>
      </c>
      <c r="K953" s="3" t="s">
        <v>97</v>
      </c>
      <c r="L953" s="3" t="s">
        <v>98</v>
      </c>
      <c r="M953" s="3" t="s">
        <v>100</v>
      </c>
      <c r="N953" s="3" t="s">
        <v>612</v>
      </c>
      <c r="O953" s="5">
        <v>78.0371912</v>
      </c>
      <c r="P953" s="6" t="str">
        <f t="shared" si="2"/>
        <v>Industrial Products</v>
      </c>
    </row>
    <row r="954" hidden="1">
      <c r="A954" s="3" t="s">
        <v>4184</v>
      </c>
      <c r="B954" s="4">
        <v>513460.0</v>
      </c>
      <c r="C954" s="3" t="s">
        <v>4185</v>
      </c>
      <c r="D954" s="3" t="s">
        <v>4186</v>
      </c>
      <c r="E954" s="3" t="s">
        <v>4187</v>
      </c>
      <c r="F954" s="3" t="s">
        <v>19</v>
      </c>
      <c r="G954" s="3" t="s">
        <v>57</v>
      </c>
      <c r="H954" s="3">
        <v>10.0</v>
      </c>
      <c r="I954" s="3" t="s">
        <v>4184</v>
      </c>
      <c r="J954" s="3" t="s">
        <v>22</v>
      </c>
      <c r="K954" s="3" t="s">
        <v>97</v>
      </c>
      <c r="L954" s="3" t="s">
        <v>98</v>
      </c>
      <c r="M954" s="3" t="s">
        <v>100</v>
      </c>
      <c r="N954" s="3" t="s">
        <v>612</v>
      </c>
      <c r="O954" s="5">
        <v>5.8193089</v>
      </c>
      <c r="P954" s="6" t="str">
        <f t="shared" si="2"/>
        <v>Industrial Products</v>
      </c>
    </row>
    <row r="955" hidden="1">
      <c r="A955" s="3" t="s">
        <v>4188</v>
      </c>
      <c r="B955" s="4">
        <v>513472.0</v>
      </c>
      <c r="C955" s="3" t="s">
        <v>4189</v>
      </c>
      <c r="D955" s="3" t="s">
        <v>4190</v>
      </c>
      <c r="E955" s="3" t="s">
        <v>4191</v>
      </c>
      <c r="F955" s="3" t="s">
        <v>19</v>
      </c>
      <c r="G955" s="3" t="s">
        <v>72</v>
      </c>
      <c r="H955" s="3">
        <v>10.0</v>
      </c>
      <c r="I955" s="3" t="s">
        <v>4188</v>
      </c>
      <c r="J955" s="3" t="s">
        <v>22</v>
      </c>
      <c r="K955" s="3" t="s">
        <v>97</v>
      </c>
      <c r="L955" s="3" t="s">
        <v>98</v>
      </c>
      <c r="M955" s="3" t="s">
        <v>100</v>
      </c>
      <c r="N955" s="3" t="s">
        <v>1386</v>
      </c>
      <c r="O955" s="5">
        <v>142.583672</v>
      </c>
      <c r="P955" s="6" t="str">
        <f t="shared" si="2"/>
        <v>Industrial Products</v>
      </c>
    </row>
    <row r="956" hidden="1">
      <c r="A956" s="3" t="s">
        <v>4192</v>
      </c>
      <c r="B956" s="4">
        <v>513488.0</v>
      </c>
      <c r="C956" s="3" t="s">
        <v>4193</v>
      </c>
      <c r="D956" s="3" t="s">
        <v>4194</v>
      </c>
      <c r="E956" s="3" t="s">
        <v>4195</v>
      </c>
      <c r="F956" s="3" t="s">
        <v>19</v>
      </c>
      <c r="G956" s="3" t="s">
        <v>44</v>
      </c>
      <c r="H956" s="3">
        <v>10.0</v>
      </c>
      <c r="I956" s="3" t="s">
        <v>4192</v>
      </c>
      <c r="J956" s="3" t="s">
        <v>22</v>
      </c>
      <c r="K956" s="3" t="s">
        <v>97</v>
      </c>
      <c r="L956" s="3" t="s">
        <v>98</v>
      </c>
      <c r="M956" s="3" t="s">
        <v>100</v>
      </c>
      <c r="N956" s="3" t="s">
        <v>612</v>
      </c>
      <c r="O956" s="5">
        <v>13.0855888</v>
      </c>
      <c r="P956" s="6" t="str">
        <f t="shared" si="2"/>
        <v>Industrial Products</v>
      </c>
    </row>
    <row r="957" hidden="1">
      <c r="A957" s="3" t="s">
        <v>4196</v>
      </c>
      <c r="B957" s="4">
        <v>513496.0</v>
      </c>
      <c r="C957" s="3" t="s">
        <v>4197</v>
      </c>
      <c r="D957" s="3" t="s">
        <v>4198</v>
      </c>
      <c r="E957" s="3" t="s">
        <v>4199</v>
      </c>
      <c r="F957" s="3" t="s">
        <v>19</v>
      </c>
      <c r="G957" s="3" t="s">
        <v>72</v>
      </c>
      <c r="H957" s="3">
        <v>10.0</v>
      </c>
      <c r="I957" s="3" t="s">
        <v>4196</v>
      </c>
      <c r="J957" s="3" t="s">
        <v>22</v>
      </c>
      <c r="K957" s="3" t="s">
        <v>23</v>
      </c>
      <c r="L957" s="3" t="s">
        <v>65</v>
      </c>
      <c r="M957" s="3" t="s">
        <v>66</v>
      </c>
      <c r="N957" s="3" t="s">
        <v>140</v>
      </c>
      <c r="O957" s="5">
        <v>1.0</v>
      </c>
      <c r="P957" s="6" t="str">
        <f t="shared" si="2"/>
        <v>Non - Ferrous Metals</v>
      </c>
    </row>
    <row r="958" hidden="1">
      <c r="A958" s="3" t="s">
        <v>4200</v>
      </c>
      <c r="B958" s="4">
        <v>513498.0</v>
      </c>
      <c r="C958" s="3" t="s">
        <v>4201</v>
      </c>
      <c r="D958" s="3" t="s">
        <v>4202</v>
      </c>
      <c r="E958" s="3" t="s">
        <v>4203</v>
      </c>
      <c r="F958" s="3" t="s">
        <v>19</v>
      </c>
      <c r="G958" s="3" t="s">
        <v>72</v>
      </c>
      <c r="H958" s="3">
        <v>10.0</v>
      </c>
      <c r="I958" s="3" t="s">
        <v>4200</v>
      </c>
      <c r="J958" s="3" t="s">
        <v>22</v>
      </c>
      <c r="K958" s="3" t="s">
        <v>23</v>
      </c>
      <c r="L958" s="3" t="s">
        <v>65</v>
      </c>
      <c r="M958" s="3" t="s">
        <v>522</v>
      </c>
      <c r="N958" s="3" t="s">
        <v>523</v>
      </c>
      <c r="O958" s="5">
        <v>67.5</v>
      </c>
      <c r="P958" s="6" t="str">
        <f t="shared" si="2"/>
        <v>Minerals &amp; Mining</v>
      </c>
    </row>
    <row r="959" hidden="1">
      <c r="A959" s="3" t="s">
        <v>4204</v>
      </c>
      <c r="B959" s="4">
        <v>513502.0</v>
      </c>
      <c r="C959" s="3" t="s">
        <v>4205</v>
      </c>
      <c r="D959" s="3" t="s">
        <v>4206</v>
      </c>
      <c r="E959" s="3" t="s">
        <v>4207</v>
      </c>
      <c r="F959" s="3" t="s">
        <v>19</v>
      </c>
      <c r="G959" s="3" t="s">
        <v>72</v>
      </c>
      <c r="H959" s="3">
        <v>1.0</v>
      </c>
      <c r="I959" s="3" t="s">
        <v>4204</v>
      </c>
      <c r="J959" s="3" t="s">
        <v>22</v>
      </c>
      <c r="K959" s="3" t="s">
        <v>97</v>
      </c>
      <c r="L959" s="3" t="s">
        <v>98</v>
      </c>
      <c r="M959" s="3" t="s">
        <v>100</v>
      </c>
      <c r="N959" s="3" t="s">
        <v>221</v>
      </c>
      <c r="O959" s="5">
        <v>100.2634363</v>
      </c>
      <c r="P959" s="6" t="str">
        <f t="shared" si="2"/>
        <v>Industrial Products</v>
      </c>
    </row>
    <row r="960" hidden="1">
      <c r="A960" s="3" t="s">
        <v>4208</v>
      </c>
      <c r="B960" s="4">
        <v>513507.0</v>
      </c>
      <c r="C960" s="3" t="s">
        <v>4209</v>
      </c>
      <c r="D960" s="3" t="s">
        <v>4210</v>
      </c>
      <c r="E960" s="3" t="s">
        <v>4211</v>
      </c>
      <c r="F960" s="3" t="s">
        <v>19</v>
      </c>
      <c r="G960" s="3" t="s">
        <v>1858</v>
      </c>
      <c r="H960" s="3">
        <v>10.0</v>
      </c>
      <c r="I960" s="3" t="s">
        <v>4208</v>
      </c>
      <c r="J960" s="3" t="s">
        <v>22</v>
      </c>
      <c r="K960" s="3" t="s">
        <v>97</v>
      </c>
      <c r="L960" s="3" t="s">
        <v>98</v>
      </c>
      <c r="M960" s="3" t="s">
        <v>100</v>
      </c>
      <c r="N960" s="3" t="s">
        <v>373</v>
      </c>
      <c r="O960" s="5">
        <v>100.722542</v>
      </c>
      <c r="P960" s="6" t="str">
        <f t="shared" si="2"/>
        <v>Industrial Products</v>
      </c>
    </row>
    <row r="961" hidden="1">
      <c r="A961" s="3" t="s">
        <v>4212</v>
      </c>
      <c r="B961" s="4">
        <v>513509.0</v>
      </c>
      <c r="C961" s="3" t="s">
        <v>4213</v>
      </c>
      <c r="D961" s="3" t="s">
        <v>4214</v>
      </c>
      <c r="E961" s="3" t="s">
        <v>4215</v>
      </c>
      <c r="F961" s="3" t="s">
        <v>19</v>
      </c>
      <c r="G961" s="3" t="s">
        <v>86</v>
      </c>
      <c r="H961" s="3">
        <v>10.0</v>
      </c>
      <c r="I961" s="3" t="s">
        <v>4212</v>
      </c>
      <c r="J961" s="3" t="s">
        <v>22</v>
      </c>
      <c r="K961" s="3" t="s">
        <v>97</v>
      </c>
      <c r="L961" s="3" t="s">
        <v>98</v>
      </c>
      <c r="M961" s="3" t="s">
        <v>100</v>
      </c>
      <c r="N961" s="3" t="s">
        <v>1909</v>
      </c>
      <c r="O961" s="5">
        <v>201.841344</v>
      </c>
      <c r="P961" s="6" t="str">
        <f t="shared" si="2"/>
        <v>Industrial Products</v>
      </c>
    </row>
    <row r="962" hidden="1">
      <c r="A962" s="3" t="s">
        <v>4216</v>
      </c>
      <c r="B962" s="4">
        <v>513511.0</v>
      </c>
      <c r="C962" s="3" t="s">
        <v>4217</v>
      </c>
      <c r="D962" s="3" t="s">
        <v>4218</v>
      </c>
      <c r="E962" s="3" t="s">
        <v>4219</v>
      </c>
      <c r="F962" s="3" t="s">
        <v>19</v>
      </c>
      <c r="G962" s="3" t="s">
        <v>72</v>
      </c>
      <c r="H962" s="3">
        <v>10.0</v>
      </c>
      <c r="I962" s="3" t="s">
        <v>4216</v>
      </c>
      <c r="J962" s="3" t="s">
        <v>22</v>
      </c>
      <c r="K962" s="3" t="s">
        <v>97</v>
      </c>
      <c r="L962" s="3" t="s">
        <v>98</v>
      </c>
      <c r="M962" s="3" t="s">
        <v>100</v>
      </c>
      <c r="N962" s="3" t="s">
        <v>612</v>
      </c>
      <c r="O962" s="5">
        <v>412.98993</v>
      </c>
      <c r="P962" s="6" t="str">
        <f t="shared" si="2"/>
        <v>Industrial Products</v>
      </c>
    </row>
    <row r="963" hidden="1">
      <c r="A963" s="3" t="s">
        <v>4220</v>
      </c>
      <c r="B963" s="4">
        <v>513513.0</v>
      </c>
      <c r="C963" s="3" t="s">
        <v>4221</v>
      </c>
      <c r="D963" s="3" t="s">
        <v>4222</v>
      </c>
      <c r="E963" s="3" t="s">
        <v>4223</v>
      </c>
      <c r="F963" s="3" t="s">
        <v>19</v>
      </c>
      <c r="G963" s="3" t="s">
        <v>44</v>
      </c>
      <c r="H963" s="3">
        <v>10.0</v>
      </c>
      <c r="I963" s="3" t="s">
        <v>4220</v>
      </c>
      <c r="J963" s="3" t="s">
        <v>22</v>
      </c>
      <c r="K963" s="3" t="s">
        <v>97</v>
      </c>
      <c r="L963" s="3" t="s">
        <v>98</v>
      </c>
      <c r="M963" s="3" t="s">
        <v>100</v>
      </c>
      <c r="N963" s="3" t="s">
        <v>612</v>
      </c>
      <c r="O963" s="5">
        <v>1.0</v>
      </c>
      <c r="P963" s="6" t="str">
        <f t="shared" si="2"/>
        <v>Industrial Products</v>
      </c>
    </row>
    <row r="964" hidden="1">
      <c r="A964" s="3" t="s">
        <v>4224</v>
      </c>
      <c r="B964" s="4">
        <v>513515.0</v>
      </c>
      <c r="C964" s="3" t="s">
        <v>4225</v>
      </c>
      <c r="D964" s="3" t="s">
        <v>4226</v>
      </c>
      <c r="E964" s="3" t="s">
        <v>4227</v>
      </c>
      <c r="F964" s="3" t="s">
        <v>19</v>
      </c>
      <c r="G964" s="3" t="s">
        <v>57</v>
      </c>
      <c r="H964" s="3">
        <v>10.0</v>
      </c>
      <c r="I964" s="3" t="s">
        <v>4224</v>
      </c>
      <c r="J964" s="3" t="s">
        <v>22</v>
      </c>
      <c r="K964" s="3" t="s">
        <v>58</v>
      </c>
      <c r="L964" s="3" t="s">
        <v>211</v>
      </c>
      <c r="M964" s="3" t="s">
        <v>211</v>
      </c>
      <c r="N964" s="3" t="s">
        <v>932</v>
      </c>
      <c r="O964" s="5">
        <v>1.0</v>
      </c>
      <c r="P964" s="6" t="str">
        <f t="shared" si="2"/>
        <v>Consumer Durables</v>
      </c>
    </row>
    <row r="965" hidden="1">
      <c r="A965" s="3" t="s">
        <v>4228</v>
      </c>
      <c r="B965" s="4">
        <v>513517.0</v>
      </c>
      <c r="C965" s="3" t="s">
        <v>4229</v>
      </c>
      <c r="D965" s="3" t="s">
        <v>4230</v>
      </c>
      <c r="E965" s="3" t="s">
        <v>4231</v>
      </c>
      <c r="F965" s="3" t="s">
        <v>19</v>
      </c>
      <c r="G965" s="3" t="s">
        <v>112</v>
      </c>
      <c r="H965" s="3">
        <v>5.0</v>
      </c>
      <c r="I965" s="3" t="s">
        <v>4228</v>
      </c>
      <c r="J965" s="3" t="s">
        <v>22</v>
      </c>
      <c r="K965" s="3" t="s">
        <v>97</v>
      </c>
      <c r="L965" s="3" t="s">
        <v>98</v>
      </c>
      <c r="M965" s="3" t="s">
        <v>100</v>
      </c>
      <c r="N965" s="3" t="s">
        <v>1909</v>
      </c>
      <c r="O965" s="5">
        <v>1306.349439</v>
      </c>
      <c r="P965" s="6" t="str">
        <f t="shared" si="2"/>
        <v>Industrial Products</v>
      </c>
    </row>
    <row r="966" hidden="1">
      <c r="A966" s="3" t="s">
        <v>4232</v>
      </c>
      <c r="B966" s="4">
        <v>513519.0</v>
      </c>
      <c r="C966" s="3" t="s">
        <v>4233</v>
      </c>
      <c r="D966" s="3" t="s">
        <v>4234</v>
      </c>
      <c r="E966" s="3" t="s">
        <v>4235</v>
      </c>
      <c r="F966" s="3" t="s">
        <v>19</v>
      </c>
      <c r="G966" s="3" t="s">
        <v>112</v>
      </c>
      <c r="H966" s="3">
        <v>5.0</v>
      </c>
      <c r="I966" s="3" t="s">
        <v>4232</v>
      </c>
      <c r="J966" s="3" t="s">
        <v>22</v>
      </c>
      <c r="K966" s="3" t="s">
        <v>97</v>
      </c>
      <c r="L966" s="3" t="s">
        <v>98</v>
      </c>
      <c r="M966" s="3" t="s">
        <v>99</v>
      </c>
      <c r="N966" s="3" t="s">
        <v>100</v>
      </c>
      <c r="O966" s="5">
        <v>3243.0080653</v>
      </c>
      <c r="P966" s="6" t="str">
        <f t="shared" si="2"/>
        <v>Industrial Products</v>
      </c>
    </row>
    <row r="967" hidden="1">
      <c r="A967" s="3" t="s">
        <v>4236</v>
      </c>
      <c r="B967" s="4">
        <v>513528.0</v>
      </c>
      <c r="C967" s="3" t="s">
        <v>4237</v>
      </c>
      <c r="D967" s="3" t="s">
        <v>4238</v>
      </c>
      <c r="E967" s="3" t="s">
        <v>4239</v>
      </c>
      <c r="F967" s="3" t="s">
        <v>19</v>
      </c>
      <c r="G967" s="3" t="s">
        <v>44</v>
      </c>
      <c r="H967" s="3">
        <v>5.0</v>
      </c>
      <c r="I967" s="3" t="s">
        <v>4236</v>
      </c>
      <c r="J967" s="3" t="s">
        <v>22</v>
      </c>
      <c r="K967" s="3" t="s">
        <v>23</v>
      </c>
      <c r="L967" s="3" t="s">
        <v>162</v>
      </c>
      <c r="M967" s="3" t="s">
        <v>1491</v>
      </c>
      <c r="N967" s="3" t="s">
        <v>1491</v>
      </c>
      <c r="O967" s="5">
        <v>9.453</v>
      </c>
      <c r="P967" s="6" t="str">
        <f t="shared" si="2"/>
        <v>Other Construction Materials</v>
      </c>
    </row>
    <row r="968" hidden="1">
      <c r="A968" s="3" t="s">
        <v>4240</v>
      </c>
      <c r="B968" s="4">
        <v>513532.0</v>
      </c>
      <c r="C968" s="3" t="s">
        <v>4241</v>
      </c>
      <c r="D968" s="3" t="s">
        <v>4242</v>
      </c>
      <c r="E968" s="3" t="s">
        <v>4243</v>
      </c>
      <c r="F968" s="3" t="s">
        <v>19</v>
      </c>
      <c r="G968" s="3" t="s">
        <v>44</v>
      </c>
      <c r="H968" s="3">
        <v>10.0</v>
      </c>
      <c r="I968" s="3" t="s">
        <v>4240</v>
      </c>
      <c r="J968" s="3" t="s">
        <v>22</v>
      </c>
      <c r="K968" s="3" t="s">
        <v>58</v>
      </c>
      <c r="L968" s="3" t="s">
        <v>133</v>
      </c>
      <c r="M968" s="3" t="s">
        <v>134</v>
      </c>
      <c r="N968" s="3" t="s">
        <v>135</v>
      </c>
      <c r="O968" s="5">
        <v>429.610596</v>
      </c>
      <c r="P968" s="6" t="str">
        <f t="shared" si="2"/>
        <v>Auto Components &amp; Equipments</v>
      </c>
    </row>
    <row r="969" hidden="1">
      <c r="A969" s="3" t="s">
        <v>4244</v>
      </c>
      <c r="B969" s="4">
        <v>513536.0</v>
      </c>
      <c r="C969" s="3" t="s">
        <v>4245</v>
      </c>
      <c r="D969" s="3" t="s">
        <v>4246</v>
      </c>
      <c r="E969" s="3" t="s">
        <v>4245</v>
      </c>
      <c r="F969" s="3" t="s">
        <v>19</v>
      </c>
      <c r="G969" s="3" t="s">
        <v>44</v>
      </c>
      <c r="H969" s="3">
        <v>10.0</v>
      </c>
      <c r="I969" s="3" t="s">
        <v>4244</v>
      </c>
      <c r="J969" s="3" t="s">
        <v>22</v>
      </c>
      <c r="K969" s="3" t="s">
        <v>410</v>
      </c>
      <c r="L969" s="3" t="s">
        <v>411</v>
      </c>
      <c r="M969" s="3" t="s">
        <v>412</v>
      </c>
      <c r="N969" s="3" t="s">
        <v>504</v>
      </c>
      <c r="O969" s="5">
        <v>111.8748215</v>
      </c>
      <c r="P969" s="6" t="str">
        <f t="shared" si="2"/>
        <v>Oil</v>
      </c>
    </row>
    <row r="970" hidden="1">
      <c r="A970" s="3" t="s">
        <v>4247</v>
      </c>
      <c r="B970" s="4">
        <v>513540.0</v>
      </c>
      <c r="C970" s="3" t="s">
        <v>4248</v>
      </c>
      <c r="D970" s="3" t="s">
        <v>4249</v>
      </c>
      <c r="E970" s="3" t="s">
        <v>4250</v>
      </c>
      <c r="F970" s="3" t="s">
        <v>19</v>
      </c>
      <c r="G970" s="3" t="s">
        <v>1858</v>
      </c>
      <c r="H970" s="3">
        <v>10.0</v>
      </c>
      <c r="I970" s="3" t="s">
        <v>4247</v>
      </c>
      <c r="J970" s="3" t="s">
        <v>22</v>
      </c>
      <c r="K970" s="3" t="s">
        <v>97</v>
      </c>
      <c r="L970" s="3" t="s">
        <v>98</v>
      </c>
      <c r="M970" s="3" t="s">
        <v>100</v>
      </c>
      <c r="N970" s="3" t="s">
        <v>612</v>
      </c>
      <c r="O970" s="5">
        <v>1.0</v>
      </c>
      <c r="P970" s="6" t="str">
        <f t="shared" si="2"/>
        <v>Industrial Products</v>
      </c>
    </row>
    <row r="971" hidden="1">
      <c r="A971" s="3" t="s">
        <v>4251</v>
      </c>
      <c r="B971" s="4">
        <v>513548.0</v>
      </c>
      <c r="C971" s="3" t="s">
        <v>4252</v>
      </c>
      <c r="D971" s="3" t="s">
        <v>4253</v>
      </c>
      <c r="E971" s="3" t="s">
        <v>4254</v>
      </c>
      <c r="F971" s="3" t="s">
        <v>19</v>
      </c>
      <c r="G971" s="3" t="s">
        <v>72</v>
      </c>
      <c r="H971" s="3">
        <v>10.0</v>
      </c>
      <c r="I971" s="3" t="s">
        <v>4251</v>
      </c>
      <c r="J971" s="3" t="s">
        <v>22</v>
      </c>
      <c r="K971" s="3" t="s">
        <v>97</v>
      </c>
      <c r="L971" s="3" t="s">
        <v>98</v>
      </c>
      <c r="M971" s="3" t="s">
        <v>100</v>
      </c>
      <c r="N971" s="3" t="s">
        <v>612</v>
      </c>
      <c r="O971" s="5">
        <v>320.6054126</v>
      </c>
      <c r="P971" s="6" t="str">
        <f t="shared" si="2"/>
        <v>Industrial Products</v>
      </c>
    </row>
    <row r="972" hidden="1">
      <c r="A972" s="3" t="s">
        <v>4255</v>
      </c>
      <c r="B972" s="4">
        <v>513554.0</v>
      </c>
      <c r="C972" s="3" t="s">
        <v>4256</v>
      </c>
      <c r="D972" s="3" t="s">
        <v>4257</v>
      </c>
      <c r="E972" s="3" t="s">
        <v>4258</v>
      </c>
      <c r="F972" s="3" t="s">
        <v>19</v>
      </c>
      <c r="G972" s="3" t="s">
        <v>112</v>
      </c>
      <c r="H972" s="3">
        <v>10.0</v>
      </c>
      <c r="I972" s="3" t="s">
        <v>4255</v>
      </c>
      <c r="J972" s="3" t="s">
        <v>22</v>
      </c>
      <c r="K972" s="3" t="s">
        <v>97</v>
      </c>
      <c r="L972" s="3" t="s">
        <v>98</v>
      </c>
      <c r="M972" s="3" t="s">
        <v>100</v>
      </c>
      <c r="N972" s="3" t="s">
        <v>612</v>
      </c>
      <c r="O972" s="5">
        <v>170.9715</v>
      </c>
      <c r="P972" s="6" t="str">
        <f t="shared" si="2"/>
        <v>Industrial Products</v>
      </c>
    </row>
    <row r="973" hidden="1">
      <c r="A973" s="3" t="s">
        <v>4259</v>
      </c>
      <c r="B973" s="4">
        <v>513566.0</v>
      </c>
      <c r="C973" s="3" t="s">
        <v>4260</v>
      </c>
      <c r="D973" s="3" t="s">
        <v>4261</v>
      </c>
      <c r="E973" s="3" t="s">
        <v>4262</v>
      </c>
      <c r="F973" s="3" t="s">
        <v>19</v>
      </c>
      <c r="G973" s="3" t="s">
        <v>44</v>
      </c>
      <c r="H973" s="3">
        <v>10.0</v>
      </c>
      <c r="I973" s="3" t="s">
        <v>4259</v>
      </c>
      <c r="J973" s="3" t="s">
        <v>22</v>
      </c>
      <c r="K973" s="3" t="s">
        <v>97</v>
      </c>
      <c r="L973" s="3" t="s">
        <v>98</v>
      </c>
      <c r="M973" s="3" t="s">
        <v>100</v>
      </c>
      <c r="N973" s="3" t="s">
        <v>612</v>
      </c>
      <c r="O973" s="5">
        <v>87.7742462</v>
      </c>
      <c r="P973" s="6" t="str">
        <f t="shared" si="2"/>
        <v>Industrial Products</v>
      </c>
    </row>
    <row r="974" hidden="1">
      <c r="A974" s="3" t="s">
        <v>4263</v>
      </c>
      <c r="B974" s="4">
        <v>513575.0</v>
      </c>
      <c r="C974" s="3" t="s">
        <v>4264</v>
      </c>
      <c r="D974" s="3" t="s">
        <v>4265</v>
      </c>
      <c r="E974" s="3" t="s">
        <v>4264</v>
      </c>
      <c r="F974" s="3" t="s">
        <v>19</v>
      </c>
      <c r="G974" s="3" t="s">
        <v>72</v>
      </c>
      <c r="H974" s="3">
        <v>10.0</v>
      </c>
      <c r="I974" s="3" t="s">
        <v>4263</v>
      </c>
      <c r="J974" s="3" t="s">
        <v>22</v>
      </c>
      <c r="K974" s="3" t="s">
        <v>97</v>
      </c>
      <c r="L974" s="3" t="s">
        <v>98</v>
      </c>
      <c r="M974" s="3" t="s">
        <v>99</v>
      </c>
      <c r="N974" s="3" t="s">
        <v>100</v>
      </c>
      <c r="O974" s="5">
        <v>1.0</v>
      </c>
      <c r="P974" s="6" t="str">
        <f t="shared" si="2"/>
        <v>Industrial Products</v>
      </c>
    </row>
    <row r="975" hidden="1">
      <c r="A975" s="3" t="s">
        <v>4266</v>
      </c>
      <c r="B975" s="4">
        <v>513579.0</v>
      </c>
      <c r="C975" s="3" t="s">
        <v>4267</v>
      </c>
      <c r="D975" s="3" t="s">
        <v>4268</v>
      </c>
      <c r="E975" s="3" t="s">
        <v>4269</v>
      </c>
      <c r="F975" s="3" t="s">
        <v>19</v>
      </c>
      <c r="G975" s="3" t="s">
        <v>57</v>
      </c>
      <c r="H975" s="3">
        <v>10.0</v>
      </c>
      <c r="I975" s="3" t="s">
        <v>4266</v>
      </c>
      <c r="J975" s="3" t="s">
        <v>22</v>
      </c>
      <c r="K975" s="3" t="s">
        <v>410</v>
      </c>
      <c r="L975" s="3" t="s">
        <v>411</v>
      </c>
      <c r="M975" s="3" t="s">
        <v>4270</v>
      </c>
      <c r="N975" s="3" t="s">
        <v>4271</v>
      </c>
      <c r="O975" s="5">
        <v>1.0</v>
      </c>
      <c r="P975" s="6" t="str">
        <f t="shared" si="2"/>
        <v>Consumable Fuels</v>
      </c>
    </row>
    <row r="976">
      <c r="A976" s="3" t="s">
        <v>457</v>
      </c>
      <c r="B976" s="4">
        <v>543320.0</v>
      </c>
      <c r="C976" s="3" t="s">
        <v>4272</v>
      </c>
      <c r="D976" s="3" t="s">
        <v>4273</v>
      </c>
      <c r="E976" s="3" t="s">
        <v>4274</v>
      </c>
      <c r="F976" s="3" t="s">
        <v>19</v>
      </c>
      <c r="G976" s="3" t="s">
        <v>20</v>
      </c>
      <c r="H976" s="3">
        <v>1.0</v>
      </c>
      <c r="I976" s="3" t="s">
        <v>4275</v>
      </c>
      <c r="J976" s="3" t="s">
        <v>22</v>
      </c>
      <c r="K976" s="3" t="s">
        <v>58</v>
      </c>
      <c r="L976" s="3" t="s">
        <v>73</v>
      </c>
      <c r="M976" s="3" t="s">
        <v>988</v>
      </c>
      <c r="N976" s="3" t="s">
        <v>2246</v>
      </c>
      <c r="O976" s="5">
        <v>181009.5518262</v>
      </c>
      <c r="P976" s="6" t="str">
        <f t="shared" si="2"/>
        <v>Retailing</v>
      </c>
    </row>
    <row r="977" hidden="1">
      <c r="A977" s="3" t="s">
        <v>4276</v>
      </c>
      <c r="B977" s="4">
        <v>513629.0</v>
      </c>
      <c r="C977" s="3" t="s">
        <v>4277</v>
      </c>
      <c r="D977" s="3" t="s">
        <v>4278</v>
      </c>
      <c r="E977" s="3" t="s">
        <v>4279</v>
      </c>
      <c r="F977" s="3" t="s">
        <v>19</v>
      </c>
      <c r="G977" s="3" t="s">
        <v>44</v>
      </c>
      <c r="H977" s="3">
        <v>10.0</v>
      </c>
      <c r="I977" s="3" t="s">
        <v>4276</v>
      </c>
      <c r="J977" s="3" t="s">
        <v>22</v>
      </c>
      <c r="K977" s="3" t="s">
        <v>97</v>
      </c>
      <c r="L977" s="3" t="s">
        <v>98</v>
      </c>
      <c r="M977" s="3" t="s">
        <v>100</v>
      </c>
      <c r="N977" s="3" t="s">
        <v>612</v>
      </c>
      <c r="O977" s="5">
        <v>1.0</v>
      </c>
      <c r="P977" s="6" t="str">
        <f t="shared" si="2"/>
        <v>Industrial Products</v>
      </c>
    </row>
    <row r="978" hidden="1">
      <c r="A978" s="3" t="s">
        <v>4280</v>
      </c>
      <c r="B978" s="4">
        <v>513642.0</v>
      </c>
      <c r="C978" s="3" t="s">
        <v>4281</v>
      </c>
      <c r="D978" s="3" t="s">
        <v>4282</v>
      </c>
      <c r="E978" s="3" t="s">
        <v>4283</v>
      </c>
      <c r="F978" s="3" t="s">
        <v>19</v>
      </c>
      <c r="G978" s="3" t="s">
        <v>44</v>
      </c>
      <c r="H978" s="3">
        <v>10.0</v>
      </c>
      <c r="I978" s="3" t="s">
        <v>4280</v>
      </c>
      <c r="J978" s="3" t="s">
        <v>22</v>
      </c>
      <c r="K978" s="3" t="s">
        <v>97</v>
      </c>
      <c r="L978" s="3" t="s">
        <v>98</v>
      </c>
      <c r="M978" s="3" t="s">
        <v>100</v>
      </c>
      <c r="N978" s="3" t="s">
        <v>580</v>
      </c>
      <c r="O978" s="5">
        <v>57.0560596</v>
      </c>
      <c r="P978" s="6" t="str">
        <f t="shared" si="2"/>
        <v>Industrial Products</v>
      </c>
    </row>
    <row r="979">
      <c r="A979" s="3" t="s">
        <v>4284</v>
      </c>
      <c r="B979" s="4">
        <v>543325.0</v>
      </c>
      <c r="C979" s="3" t="s">
        <v>4285</v>
      </c>
      <c r="D979" s="3" t="s">
        <v>4286</v>
      </c>
      <c r="E979" s="3" t="s">
        <v>4287</v>
      </c>
      <c r="F979" s="3" t="s">
        <v>19</v>
      </c>
      <c r="G979" s="3" t="s">
        <v>20</v>
      </c>
      <c r="H979" s="3">
        <v>10.0</v>
      </c>
      <c r="I979" s="3" t="s">
        <v>4288</v>
      </c>
      <c r="J979" s="3" t="s">
        <v>22</v>
      </c>
      <c r="K979" s="3" t="s">
        <v>58</v>
      </c>
      <c r="L979" s="3" t="s">
        <v>133</v>
      </c>
      <c r="M979" s="3" t="s">
        <v>134</v>
      </c>
      <c r="N979" s="3" t="s">
        <v>135</v>
      </c>
      <c r="O979" s="5">
        <v>6846.970732</v>
      </c>
      <c r="P979" s="6" t="str">
        <f t="shared" si="2"/>
        <v>Auto Components &amp; Equipments</v>
      </c>
    </row>
    <row r="980" hidden="1">
      <c r="A980" s="3" t="s">
        <v>4289</v>
      </c>
      <c r="B980" s="4">
        <v>513687.0</v>
      </c>
      <c r="C980" s="3" t="s">
        <v>4290</v>
      </c>
      <c r="D980" s="3" t="s">
        <v>4291</v>
      </c>
      <c r="E980" s="3" t="s">
        <v>4292</v>
      </c>
      <c r="F980" s="3" t="s">
        <v>19</v>
      </c>
      <c r="G980" s="3" t="s">
        <v>72</v>
      </c>
      <c r="H980" s="3">
        <v>10.0</v>
      </c>
      <c r="I980" s="3" t="s">
        <v>4289</v>
      </c>
      <c r="J980" s="3" t="s">
        <v>22</v>
      </c>
      <c r="K980" s="3" t="s">
        <v>58</v>
      </c>
      <c r="L980" s="3" t="s">
        <v>133</v>
      </c>
      <c r="M980" s="3" t="s">
        <v>134</v>
      </c>
      <c r="N980" s="3" t="s">
        <v>135</v>
      </c>
      <c r="O980" s="5">
        <v>3.4085481</v>
      </c>
      <c r="P980" s="6" t="str">
        <f t="shared" si="2"/>
        <v>Auto Components &amp; Equipments</v>
      </c>
    </row>
    <row r="981" hidden="1">
      <c r="A981" s="3" t="s">
        <v>4293</v>
      </c>
      <c r="B981" s="4">
        <v>513693.0</v>
      </c>
      <c r="C981" s="3" t="s">
        <v>4294</v>
      </c>
      <c r="D981" s="3" t="s">
        <v>4295</v>
      </c>
      <c r="E981" s="3" t="s">
        <v>4296</v>
      </c>
      <c r="F981" s="3" t="s">
        <v>19</v>
      </c>
      <c r="G981" s="3" t="s">
        <v>44</v>
      </c>
      <c r="H981" s="3">
        <v>2.0</v>
      </c>
      <c r="I981" s="3" t="s">
        <v>4293</v>
      </c>
      <c r="J981" s="3" t="s">
        <v>22</v>
      </c>
      <c r="K981" s="3" t="s">
        <v>23</v>
      </c>
      <c r="L981" s="3" t="s">
        <v>65</v>
      </c>
      <c r="M981" s="3" t="s">
        <v>106</v>
      </c>
      <c r="N981" s="3" t="s">
        <v>107</v>
      </c>
      <c r="O981" s="5">
        <v>163.3635214</v>
      </c>
      <c r="P981" s="6" t="str">
        <f t="shared" si="2"/>
        <v>Ferrous Metals</v>
      </c>
    </row>
    <row r="982" hidden="1">
      <c r="A982" s="3" t="s">
        <v>4297</v>
      </c>
      <c r="B982" s="4">
        <v>513699.0</v>
      </c>
      <c r="C982" s="3" t="s">
        <v>4298</v>
      </c>
      <c r="D982" s="3" t="s">
        <v>4299</v>
      </c>
      <c r="E982" s="3" t="s">
        <v>4300</v>
      </c>
      <c r="F982" s="3" t="s">
        <v>19</v>
      </c>
      <c r="G982" s="3" t="s">
        <v>44</v>
      </c>
      <c r="H982" s="3">
        <v>10.0</v>
      </c>
      <c r="I982" s="3" t="s">
        <v>4297</v>
      </c>
      <c r="J982" s="3" t="s">
        <v>22</v>
      </c>
      <c r="K982" s="3" t="s">
        <v>23</v>
      </c>
      <c r="L982" s="3" t="s">
        <v>162</v>
      </c>
      <c r="M982" s="3" t="s">
        <v>1491</v>
      </c>
      <c r="N982" s="3" t="s">
        <v>1491</v>
      </c>
      <c r="O982" s="5">
        <v>18.6362533</v>
      </c>
      <c r="P982" s="6" t="str">
        <f t="shared" si="2"/>
        <v>Other Construction Materials</v>
      </c>
    </row>
    <row r="983" hidden="1">
      <c r="A983" s="3" t="s">
        <v>4301</v>
      </c>
      <c r="B983" s="4">
        <v>513709.0</v>
      </c>
      <c r="C983" s="3" t="s">
        <v>4302</v>
      </c>
      <c r="D983" s="3" t="s">
        <v>4303</v>
      </c>
      <c r="E983" s="3" t="s">
        <v>4304</v>
      </c>
      <c r="F983" s="3" t="s">
        <v>19</v>
      </c>
      <c r="G983" s="3" t="s">
        <v>44</v>
      </c>
      <c r="H983" s="3">
        <v>10.0</v>
      </c>
      <c r="I983" s="3" t="s">
        <v>4301</v>
      </c>
      <c r="J983" s="3" t="s">
        <v>22</v>
      </c>
      <c r="K983" s="3" t="s">
        <v>97</v>
      </c>
      <c r="L983" s="3" t="s">
        <v>98</v>
      </c>
      <c r="M983" s="3" t="s">
        <v>100</v>
      </c>
      <c r="N983" s="3" t="s">
        <v>221</v>
      </c>
      <c r="O983" s="5">
        <v>94.0207147</v>
      </c>
      <c r="P983" s="6" t="str">
        <f t="shared" si="2"/>
        <v>Industrial Products</v>
      </c>
    </row>
    <row r="984" hidden="1">
      <c r="A984" s="3" t="s">
        <v>4305</v>
      </c>
      <c r="B984" s="4">
        <v>513713.0</v>
      </c>
      <c r="C984" s="3" t="s">
        <v>4306</v>
      </c>
      <c r="D984" s="3" t="s">
        <v>4307</v>
      </c>
      <c r="E984" s="3" t="s">
        <v>4308</v>
      </c>
      <c r="F984" s="3" t="s">
        <v>19</v>
      </c>
      <c r="G984" s="3" t="s">
        <v>44</v>
      </c>
      <c r="H984" s="3">
        <v>10.0</v>
      </c>
      <c r="I984" s="3" t="s">
        <v>4305</v>
      </c>
      <c r="J984" s="3" t="s">
        <v>22</v>
      </c>
      <c r="K984" s="3" t="s">
        <v>145</v>
      </c>
      <c r="L984" s="3" t="s">
        <v>145</v>
      </c>
      <c r="M984" s="3" t="s">
        <v>146</v>
      </c>
      <c r="N984" s="3" t="s">
        <v>2645</v>
      </c>
      <c r="O984" s="5">
        <v>26.3199999</v>
      </c>
      <c r="P984" s="6" t="str">
        <f t="shared" si="2"/>
        <v>Agricultural Food &amp; other Products</v>
      </c>
    </row>
    <row r="985" hidden="1">
      <c r="A985" s="3" t="s">
        <v>4309</v>
      </c>
      <c r="B985" s="4">
        <v>513721.0</v>
      </c>
      <c r="C985" s="3" t="s">
        <v>4310</v>
      </c>
      <c r="D985" s="3" t="s">
        <v>4311</v>
      </c>
      <c r="E985" s="3" t="s">
        <v>4312</v>
      </c>
      <c r="F985" s="3" t="s">
        <v>19</v>
      </c>
      <c r="G985" s="3" t="s">
        <v>57</v>
      </c>
      <c r="H985" s="3">
        <v>10.0</v>
      </c>
      <c r="I985" s="3" t="s">
        <v>4309</v>
      </c>
      <c r="J985" s="3" t="s">
        <v>22</v>
      </c>
      <c r="K985" s="3" t="s">
        <v>97</v>
      </c>
      <c r="L985" s="3" t="s">
        <v>98</v>
      </c>
      <c r="M985" s="3" t="s">
        <v>100</v>
      </c>
      <c r="N985" s="3" t="s">
        <v>612</v>
      </c>
      <c r="O985" s="5">
        <v>1.0</v>
      </c>
      <c r="P985" s="6" t="str">
        <f t="shared" si="2"/>
        <v>Industrial Products</v>
      </c>
    </row>
    <row r="986" hidden="1">
      <c r="A986" s="3" t="s">
        <v>4313</v>
      </c>
      <c r="B986" s="4">
        <v>513729.0</v>
      </c>
      <c r="C986" s="3" t="s">
        <v>4314</v>
      </c>
      <c r="D986" s="3" t="s">
        <v>4315</v>
      </c>
      <c r="E986" s="3" t="s">
        <v>4316</v>
      </c>
      <c r="F986" s="3" t="s">
        <v>19</v>
      </c>
      <c r="G986" s="3" t="s">
        <v>112</v>
      </c>
      <c r="H986" s="3">
        <v>10.0</v>
      </c>
      <c r="I986" s="3" t="s">
        <v>4313</v>
      </c>
      <c r="J986" s="3" t="s">
        <v>22</v>
      </c>
      <c r="K986" s="3" t="s">
        <v>58</v>
      </c>
      <c r="L986" s="3" t="s">
        <v>211</v>
      </c>
      <c r="M986" s="3" t="s">
        <v>211</v>
      </c>
      <c r="N986" s="3" t="s">
        <v>4317</v>
      </c>
      <c r="O986" s="5">
        <v>86.296892</v>
      </c>
      <c r="P986" s="6" t="str">
        <f t="shared" si="2"/>
        <v>Consumer Durables</v>
      </c>
    </row>
    <row r="987" hidden="1">
      <c r="A987" s="3" t="s">
        <v>4318</v>
      </c>
      <c r="B987" s="4">
        <v>514010.0</v>
      </c>
      <c r="C987" s="3" t="s">
        <v>4319</v>
      </c>
      <c r="D987" s="3" t="s">
        <v>4320</v>
      </c>
      <c r="E987" s="3" t="s">
        <v>4321</v>
      </c>
      <c r="F987" s="3" t="s">
        <v>19</v>
      </c>
      <c r="G987" s="3" t="s">
        <v>72</v>
      </c>
      <c r="H987" s="3">
        <v>1.0</v>
      </c>
      <c r="I987" s="3" t="s">
        <v>4318</v>
      </c>
      <c r="J987" s="3" t="s">
        <v>22</v>
      </c>
      <c r="K987" s="3" t="s">
        <v>58</v>
      </c>
      <c r="L987" s="3" t="s">
        <v>80</v>
      </c>
      <c r="M987" s="3" t="s">
        <v>81</v>
      </c>
      <c r="N987" s="3" t="s">
        <v>82</v>
      </c>
      <c r="O987" s="5">
        <v>572.8285</v>
      </c>
      <c r="P987" s="6" t="str">
        <f t="shared" si="2"/>
        <v>Textiles &amp; Apparels</v>
      </c>
    </row>
    <row r="988" hidden="1">
      <c r="A988" s="3" t="s">
        <v>4322</v>
      </c>
      <c r="B988" s="4">
        <v>514028.0</v>
      </c>
      <c r="C988" s="3" t="s">
        <v>4323</v>
      </c>
      <c r="D988" s="3" t="s">
        <v>4324</v>
      </c>
      <c r="E988" s="3" t="s">
        <v>4325</v>
      </c>
      <c r="F988" s="3" t="s">
        <v>19</v>
      </c>
      <c r="G988" s="3" t="s">
        <v>44</v>
      </c>
      <c r="H988" s="3">
        <v>10.0</v>
      </c>
      <c r="I988" s="3" t="s">
        <v>4322</v>
      </c>
      <c r="J988" s="3" t="s">
        <v>22</v>
      </c>
      <c r="K988" s="3" t="s">
        <v>58</v>
      </c>
      <c r="L988" s="3" t="s">
        <v>80</v>
      </c>
      <c r="M988" s="3" t="s">
        <v>81</v>
      </c>
      <c r="N988" s="3" t="s">
        <v>82</v>
      </c>
      <c r="O988" s="5">
        <v>19.175</v>
      </c>
      <c r="P988" s="6" t="str">
        <f t="shared" si="2"/>
        <v>Textiles &amp; Apparels</v>
      </c>
    </row>
    <row r="989" hidden="1">
      <c r="A989" s="3" t="s">
        <v>4326</v>
      </c>
      <c r="B989" s="4">
        <v>514030.0</v>
      </c>
      <c r="C989" s="3" t="s">
        <v>4327</v>
      </c>
      <c r="D989" s="3" t="s">
        <v>4328</v>
      </c>
      <c r="E989" s="3" t="s">
        <v>4329</v>
      </c>
      <c r="F989" s="3" t="s">
        <v>19</v>
      </c>
      <c r="G989" s="3" t="s">
        <v>44</v>
      </c>
      <c r="H989" s="3">
        <v>10.0</v>
      </c>
      <c r="I989" s="3" t="s">
        <v>4326</v>
      </c>
      <c r="J989" s="3" t="s">
        <v>22</v>
      </c>
      <c r="K989" s="3" t="s">
        <v>58</v>
      </c>
      <c r="L989" s="3" t="s">
        <v>80</v>
      </c>
      <c r="M989" s="3" t="s">
        <v>81</v>
      </c>
      <c r="N989" s="3" t="s">
        <v>82</v>
      </c>
      <c r="O989" s="5">
        <v>158.3951736</v>
      </c>
      <c r="P989" s="6" t="str">
        <f t="shared" si="2"/>
        <v>Textiles &amp; Apparels</v>
      </c>
    </row>
    <row r="990" hidden="1">
      <c r="A990" s="3" t="s">
        <v>4330</v>
      </c>
      <c r="B990" s="4">
        <v>514036.0</v>
      </c>
      <c r="C990" s="3" t="s">
        <v>4331</v>
      </c>
      <c r="D990" s="3" t="s">
        <v>4332</v>
      </c>
      <c r="E990" s="3" t="s">
        <v>4333</v>
      </c>
      <c r="F990" s="3" t="s">
        <v>19</v>
      </c>
      <c r="G990" s="3" t="s">
        <v>112</v>
      </c>
      <c r="H990" s="3">
        <v>10.0</v>
      </c>
      <c r="I990" s="3" t="s">
        <v>4330</v>
      </c>
      <c r="J990" s="3" t="s">
        <v>22</v>
      </c>
      <c r="K990" s="3" t="s">
        <v>58</v>
      </c>
      <c r="L990" s="3" t="s">
        <v>80</v>
      </c>
      <c r="M990" s="3" t="s">
        <v>81</v>
      </c>
      <c r="N990" s="3" t="s">
        <v>82</v>
      </c>
      <c r="O990" s="5">
        <v>277.4612979</v>
      </c>
      <c r="P990" s="6" t="str">
        <f t="shared" si="2"/>
        <v>Textiles &amp; Apparels</v>
      </c>
    </row>
    <row r="991" hidden="1">
      <c r="A991" s="3" t="s">
        <v>4334</v>
      </c>
      <c r="B991" s="4">
        <v>514043.0</v>
      </c>
      <c r="C991" s="3" t="s">
        <v>4335</v>
      </c>
      <c r="D991" s="3" t="s">
        <v>4336</v>
      </c>
      <c r="E991" s="3" t="s">
        <v>4337</v>
      </c>
      <c r="F991" s="3" t="s">
        <v>19</v>
      </c>
      <c r="G991" s="3" t="s">
        <v>112</v>
      </c>
      <c r="H991" s="3">
        <v>5.0</v>
      </c>
      <c r="I991" s="3" t="s">
        <v>4334</v>
      </c>
      <c r="J991" s="3" t="s">
        <v>22</v>
      </c>
      <c r="K991" s="3" t="s">
        <v>58</v>
      </c>
      <c r="L991" s="3" t="s">
        <v>80</v>
      </c>
      <c r="M991" s="3" t="s">
        <v>81</v>
      </c>
      <c r="N991" s="3" t="s">
        <v>82</v>
      </c>
      <c r="O991" s="5">
        <v>1343.2747897</v>
      </c>
      <c r="P991" s="6" t="str">
        <f t="shared" si="2"/>
        <v>Textiles &amp; Apparels</v>
      </c>
    </row>
    <row r="992" hidden="1">
      <c r="A992" s="3" t="s">
        <v>4338</v>
      </c>
      <c r="B992" s="4">
        <v>514045.0</v>
      </c>
      <c r="C992" s="3" t="s">
        <v>4339</v>
      </c>
      <c r="D992" s="3" t="s">
        <v>4340</v>
      </c>
      <c r="E992" s="3" t="s">
        <v>4341</v>
      </c>
      <c r="F992" s="3" t="s">
        <v>19</v>
      </c>
      <c r="G992" s="3" t="s">
        <v>112</v>
      </c>
      <c r="H992" s="3">
        <v>10.0</v>
      </c>
      <c r="I992" s="3" t="s">
        <v>4338</v>
      </c>
      <c r="J992" s="3" t="s">
        <v>22</v>
      </c>
      <c r="K992" s="3" t="s">
        <v>58</v>
      </c>
      <c r="L992" s="3" t="s">
        <v>80</v>
      </c>
      <c r="M992" s="3" t="s">
        <v>81</v>
      </c>
      <c r="N992" s="3" t="s">
        <v>82</v>
      </c>
      <c r="O992" s="5">
        <v>210.37997</v>
      </c>
      <c r="P992" s="6" t="str">
        <f t="shared" si="2"/>
        <v>Textiles &amp; Apparels</v>
      </c>
    </row>
    <row r="993" hidden="1">
      <c r="A993" s="3" t="s">
        <v>4342</v>
      </c>
      <c r="B993" s="4">
        <v>511018.0</v>
      </c>
      <c r="C993" s="3" t="s">
        <v>4343</v>
      </c>
      <c r="D993" s="3" t="s">
        <v>4344</v>
      </c>
      <c r="E993" s="3" t="s">
        <v>4345</v>
      </c>
      <c r="F993" s="3" t="s">
        <v>19</v>
      </c>
      <c r="G993" s="3" t="s">
        <v>72</v>
      </c>
      <c r="H993" s="3">
        <v>10.0</v>
      </c>
      <c r="I993" s="3" t="s">
        <v>3168</v>
      </c>
      <c r="J993" s="3" t="s">
        <v>22</v>
      </c>
      <c r="K993" s="3" t="s">
        <v>1673</v>
      </c>
      <c r="L993" s="3" t="s">
        <v>1673</v>
      </c>
      <c r="M993" s="3" t="s">
        <v>1674</v>
      </c>
      <c r="N993" s="3" t="s">
        <v>1675</v>
      </c>
      <c r="O993" s="5">
        <v>137.453148</v>
      </c>
      <c r="P993" s="6" t="str">
        <f t="shared" si="2"/>
        <v>Commercial Services &amp; Supplies</v>
      </c>
    </row>
    <row r="994" hidden="1">
      <c r="A994" s="3" t="s">
        <v>4346</v>
      </c>
      <c r="B994" s="4">
        <v>514087.0</v>
      </c>
      <c r="C994" s="3" t="s">
        <v>4347</v>
      </c>
      <c r="D994" s="3" t="s">
        <v>4348</v>
      </c>
      <c r="E994" s="3" t="s">
        <v>4349</v>
      </c>
      <c r="F994" s="3" t="s">
        <v>19</v>
      </c>
      <c r="G994" s="3" t="s">
        <v>44</v>
      </c>
      <c r="H994" s="3">
        <v>10.0</v>
      </c>
      <c r="I994" s="3" t="s">
        <v>4346</v>
      </c>
      <c r="J994" s="3" t="s">
        <v>22</v>
      </c>
      <c r="K994" s="3" t="s">
        <v>58</v>
      </c>
      <c r="L994" s="3" t="s">
        <v>80</v>
      </c>
      <c r="M994" s="3" t="s">
        <v>81</v>
      </c>
      <c r="N994" s="3" t="s">
        <v>82</v>
      </c>
      <c r="O994" s="5">
        <v>61.498296</v>
      </c>
      <c r="P994" s="6" t="str">
        <f t="shared" si="2"/>
        <v>Textiles &amp; Apparels</v>
      </c>
    </row>
    <row r="995" hidden="1">
      <c r="A995" s="3" t="s">
        <v>4350</v>
      </c>
      <c r="B995" s="4">
        <v>514113.0</v>
      </c>
      <c r="C995" s="3" t="s">
        <v>4351</v>
      </c>
      <c r="D995" s="3" t="s">
        <v>4352</v>
      </c>
      <c r="E995" s="3" t="s">
        <v>4353</v>
      </c>
      <c r="F995" s="3" t="s">
        <v>19</v>
      </c>
      <c r="G995" s="3" t="s">
        <v>44</v>
      </c>
      <c r="H995" s="3">
        <v>10.0</v>
      </c>
      <c r="I995" s="3" t="s">
        <v>4350</v>
      </c>
      <c r="J995" s="3" t="s">
        <v>22</v>
      </c>
      <c r="K995" s="3" t="s">
        <v>58</v>
      </c>
      <c r="L995" s="3" t="s">
        <v>80</v>
      </c>
      <c r="M995" s="3" t="s">
        <v>81</v>
      </c>
      <c r="N995" s="3" t="s">
        <v>82</v>
      </c>
      <c r="O995" s="5">
        <v>17.6587901</v>
      </c>
      <c r="P995" s="6" t="str">
        <f t="shared" si="2"/>
        <v>Textiles &amp; Apparels</v>
      </c>
    </row>
    <row r="996" hidden="1">
      <c r="A996" s="3" t="s">
        <v>4354</v>
      </c>
      <c r="B996" s="4">
        <v>514128.0</v>
      </c>
      <c r="C996" s="3" t="s">
        <v>4355</v>
      </c>
      <c r="D996" s="3" t="s">
        <v>4356</v>
      </c>
      <c r="E996" s="3" t="s">
        <v>4357</v>
      </c>
      <c r="F996" s="3" t="s">
        <v>19</v>
      </c>
      <c r="G996" s="3" t="s">
        <v>44</v>
      </c>
      <c r="H996" s="3">
        <v>10.0</v>
      </c>
      <c r="I996" s="3" t="s">
        <v>4354</v>
      </c>
      <c r="J996" s="3" t="s">
        <v>22</v>
      </c>
      <c r="K996" s="3" t="s">
        <v>58</v>
      </c>
      <c r="L996" s="3" t="s">
        <v>80</v>
      </c>
      <c r="M996" s="3" t="s">
        <v>81</v>
      </c>
      <c r="N996" s="3" t="s">
        <v>82</v>
      </c>
      <c r="O996" s="5">
        <v>11.4652818</v>
      </c>
      <c r="P996" s="6" t="str">
        <f t="shared" si="2"/>
        <v>Textiles &amp; Apparels</v>
      </c>
    </row>
    <row r="997" hidden="1">
      <c r="A997" s="3" t="s">
        <v>4358</v>
      </c>
      <c r="B997" s="4">
        <v>514138.0</v>
      </c>
      <c r="C997" s="3" t="s">
        <v>4359</v>
      </c>
      <c r="D997" s="3" t="s">
        <v>4360</v>
      </c>
      <c r="E997" s="3" t="s">
        <v>4361</v>
      </c>
      <c r="F997" s="3" t="s">
        <v>19</v>
      </c>
      <c r="G997" s="3" t="s">
        <v>44</v>
      </c>
      <c r="H997" s="3">
        <v>10.0</v>
      </c>
      <c r="I997" s="3" t="s">
        <v>4358</v>
      </c>
      <c r="J997" s="3" t="s">
        <v>22</v>
      </c>
      <c r="K997" s="3" t="s">
        <v>58</v>
      </c>
      <c r="L997" s="3" t="s">
        <v>80</v>
      </c>
      <c r="M997" s="3" t="s">
        <v>81</v>
      </c>
      <c r="N997" s="3" t="s">
        <v>82</v>
      </c>
      <c r="O997" s="5">
        <v>175.167558</v>
      </c>
      <c r="P997" s="6" t="str">
        <f t="shared" si="2"/>
        <v>Textiles &amp; Apparels</v>
      </c>
    </row>
    <row r="998" hidden="1">
      <c r="A998" s="3" t="s">
        <v>4362</v>
      </c>
      <c r="B998" s="4">
        <v>514140.0</v>
      </c>
      <c r="C998" s="3" t="s">
        <v>4363</v>
      </c>
      <c r="D998" s="3" t="s">
        <v>4364</v>
      </c>
      <c r="E998" s="3" t="s">
        <v>4365</v>
      </c>
      <c r="F998" s="3" t="s">
        <v>19</v>
      </c>
      <c r="G998" s="3" t="s">
        <v>44</v>
      </c>
      <c r="H998" s="3">
        <v>10.0</v>
      </c>
      <c r="I998" s="3" t="s">
        <v>4362</v>
      </c>
      <c r="J998" s="3" t="s">
        <v>22</v>
      </c>
      <c r="K998" s="3" t="s">
        <v>58</v>
      </c>
      <c r="L998" s="3" t="s">
        <v>80</v>
      </c>
      <c r="M998" s="3" t="s">
        <v>81</v>
      </c>
      <c r="N998" s="3" t="s">
        <v>82</v>
      </c>
      <c r="O998" s="5">
        <v>12.3474825</v>
      </c>
      <c r="P998" s="6" t="str">
        <f t="shared" si="2"/>
        <v>Textiles &amp; Apparels</v>
      </c>
    </row>
    <row r="999" hidden="1">
      <c r="A999" s="3" t="s">
        <v>4366</v>
      </c>
      <c r="B999" s="4">
        <v>514142.0</v>
      </c>
      <c r="C999" s="3" t="s">
        <v>4367</v>
      </c>
      <c r="D999" s="3" t="s">
        <v>4368</v>
      </c>
      <c r="E999" s="3" t="s">
        <v>4369</v>
      </c>
      <c r="F999" s="3" t="s">
        <v>19</v>
      </c>
      <c r="G999" s="3" t="s">
        <v>112</v>
      </c>
      <c r="H999" s="3">
        <v>10.0</v>
      </c>
      <c r="I999" s="3" t="s">
        <v>4366</v>
      </c>
      <c r="J999" s="3" t="s">
        <v>22</v>
      </c>
      <c r="K999" s="3" t="s">
        <v>58</v>
      </c>
      <c r="L999" s="3" t="s">
        <v>80</v>
      </c>
      <c r="M999" s="3" t="s">
        <v>81</v>
      </c>
      <c r="N999" s="3" t="s">
        <v>82</v>
      </c>
      <c r="O999" s="5">
        <v>259.8242</v>
      </c>
      <c r="P999" s="6" t="str">
        <f t="shared" si="2"/>
        <v>Textiles &amp; Apparels</v>
      </c>
    </row>
    <row r="1000">
      <c r="A1000" s="3" t="s">
        <v>1213</v>
      </c>
      <c r="B1000" s="4">
        <v>543330.0</v>
      </c>
      <c r="C1000" s="3" t="s">
        <v>4370</v>
      </c>
      <c r="D1000" s="3" t="s">
        <v>4371</v>
      </c>
      <c r="E1000" s="3" t="s">
        <v>4372</v>
      </c>
      <c r="F1000" s="3" t="s">
        <v>19</v>
      </c>
      <c r="G1000" s="3" t="s">
        <v>20</v>
      </c>
      <c r="H1000" s="3">
        <v>1.0</v>
      </c>
      <c r="I1000" s="3" t="s">
        <v>4373</v>
      </c>
      <c r="J1000" s="3" t="s">
        <v>22</v>
      </c>
      <c r="K1000" s="3" t="s">
        <v>58</v>
      </c>
      <c r="L1000" s="3" t="s">
        <v>73</v>
      </c>
      <c r="M1000" s="3" t="s">
        <v>74</v>
      </c>
      <c r="N1000" s="3" t="s">
        <v>1162</v>
      </c>
      <c r="O1000" s="5">
        <v>19790.5995</v>
      </c>
      <c r="P1000" s="6" t="str">
        <f t="shared" si="2"/>
        <v>Leisure Services</v>
      </c>
    </row>
    <row r="1001" hidden="1">
      <c r="A1001" s="3" t="s">
        <v>4374</v>
      </c>
      <c r="B1001" s="4">
        <v>514165.0</v>
      </c>
      <c r="C1001" s="3" t="s">
        <v>4375</v>
      </c>
      <c r="D1001" s="3" t="s">
        <v>4376</v>
      </c>
      <c r="E1001" s="3" t="s">
        <v>4377</v>
      </c>
      <c r="F1001" s="3" t="s">
        <v>19</v>
      </c>
      <c r="G1001" s="3" t="s">
        <v>44</v>
      </c>
      <c r="H1001" s="3">
        <v>10.0</v>
      </c>
      <c r="I1001" s="3" t="s">
        <v>4374</v>
      </c>
      <c r="J1001" s="3" t="s">
        <v>22</v>
      </c>
      <c r="K1001" s="3" t="s">
        <v>23</v>
      </c>
      <c r="L1001" s="3" t="s">
        <v>24</v>
      </c>
      <c r="M1001" s="3" t="s">
        <v>25</v>
      </c>
      <c r="N1001" s="3" t="s">
        <v>241</v>
      </c>
      <c r="O1001" s="5">
        <v>178.9119013</v>
      </c>
      <c r="P1001" s="6" t="str">
        <f t="shared" si="2"/>
        <v>Chemicals &amp; Petrochemicals</v>
      </c>
    </row>
    <row r="1002" hidden="1">
      <c r="A1002" s="3" t="s">
        <v>4378</v>
      </c>
      <c r="B1002" s="4">
        <v>514167.0</v>
      </c>
      <c r="C1002" s="3" t="s">
        <v>4379</v>
      </c>
      <c r="D1002" s="3" t="s">
        <v>4380</v>
      </c>
      <c r="E1002" s="3" t="s">
        <v>4381</v>
      </c>
      <c r="F1002" s="3" t="s">
        <v>19</v>
      </c>
      <c r="G1002" s="3" t="s">
        <v>20</v>
      </c>
      <c r="H1002" s="3">
        <v>10.0</v>
      </c>
      <c r="I1002" s="3" t="s">
        <v>4378</v>
      </c>
      <c r="J1002" s="3" t="s">
        <v>22</v>
      </c>
      <c r="K1002" s="3" t="s">
        <v>58</v>
      </c>
      <c r="L1002" s="3" t="s">
        <v>80</v>
      </c>
      <c r="M1002" s="3" t="s">
        <v>81</v>
      </c>
      <c r="N1002" s="3" t="s">
        <v>82</v>
      </c>
      <c r="O1002" s="5">
        <v>3604.5891813</v>
      </c>
      <c r="P1002" s="6" t="str">
        <f t="shared" si="2"/>
        <v>Textiles &amp; Apparels</v>
      </c>
    </row>
    <row r="1003" hidden="1">
      <c r="A1003" s="3" t="s">
        <v>4382</v>
      </c>
      <c r="B1003" s="4">
        <v>514171.0</v>
      </c>
      <c r="C1003" s="3" t="s">
        <v>4383</v>
      </c>
      <c r="D1003" s="3" t="s">
        <v>4384</v>
      </c>
      <c r="E1003" s="3" t="s">
        <v>4385</v>
      </c>
      <c r="F1003" s="3" t="s">
        <v>19</v>
      </c>
      <c r="G1003" s="3" t="s">
        <v>72</v>
      </c>
      <c r="H1003" s="3">
        <v>1.0</v>
      </c>
      <c r="I1003" s="3" t="s">
        <v>4382</v>
      </c>
      <c r="J1003" s="3" t="s">
        <v>22</v>
      </c>
      <c r="K1003" s="3" t="s">
        <v>145</v>
      </c>
      <c r="L1003" s="3" t="s">
        <v>145</v>
      </c>
      <c r="M1003" s="3" t="s">
        <v>597</v>
      </c>
      <c r="N1003" s="3" t="s">
        <v>2344</v>
      </c>
      <c r="O1003" s="5">
        <v>47.8974925</v>
      </c>
      <c r="P1003" s="6" t="str">
        <f t="shared" si="2"/>
        <v>Food Products</v>
      </c>
    </row>
    <row r="1004" hidden="1">
      <c r="A1004" s="3" t="s">
        <v>4386</v>
      </c>
      <c r="B1004" s="4">
        <v>514175.0</v>
      </c>
      <c r="C1004" s="3" t="s">
        <v>4387</v>
      </c>
      <c r="D1004" s="3" t="s">
        <v>4388</v>
      </c>
      <c r="E1004" s="3" t="s">
        <v>4389</v>
      </c>
      <c r="F1004" s="3" t="s">
        <v>19</v>
      </c>
      <c r="G1004" s="3" t="s">
        <v>112</v>
      </c>
      <c r="H1004" s="3">
        <v>1.0</v>
      </c>
      <c r="I1004" s="3" t="s">
        <v>4386</v>
      </c>
      <c r="J1004" s="3" t="s">
        <v>22</v>
      </c>
      <c r="K1004" s="3" t="s">
        <v>58</v>
      </c>
      <c r="L1004" s="3" t="s">
        <v>80</v>
      </c>
      <c r="M1004" s="3" t="s">
        <v>81</v>
      </c>
      <c r="N1004" s="3" t="s">
        <v>82</v>
      </c>
      <c r="O1004" s="5">
        <v>268.52046</v>
      </c>
      <c r="P1004" s="6" t="str">
        <f t="shared" si="2"/>
        <v>Textiles &amp; Apparels</v>
      </c>
    </row>
    <row r="1005" hidden="1">
      <c r="A1005" s="3" t="s">
        <v>4390</v>
      </c>
      <c r="B1005" s="4">
        <v>514183.0</v>
      </c>
      <c r="C1005" s="3" t="s">
        <v>4391</v>
      </c>
      <c r="D1005" s="3" t="s">
        <v>4392</v>
      </c>
      <c r="E1005" s="3" t="s">
        <v>4393</v>
      </c>
      <c r="F1005" s="3" t="s">
        <v>19</v>
      </c>
      <c r="G1005" s="3" t="s">
        <v>44</v>
      </c>
      <c r="H1005" s="3">
        <v>1.0</v>
      </c>
      <c r="I1005" s="3" t="s">
        <v>4390</v>
      </c>
      <c r="J1005" s="3" t="s">
        <v>22</v>
      </c>
      <c r="K1005" s="3" t="s">
        <v>23</v>
      </c>
      <c r="L1005" s="3" t="s">
        <v>24</v>
      </c>
      <c r="M1005" s="3" t="s">
        <v>25</v>
      </c>
      <c r="N1005" s="3" t="s">
        <v>26</v>
      </c>
      <c r="O1005" s="5">
        <v>697.6964701</v>
      </c>
      <c r="P1005" s="6" t="str">
        <f t="shared" si="2"/>
        <v>Specialty Chemicals</v>
      </c>
    </row>
    <row r="1006" hidden="1">
      <c r="A1006" s="3" t="s">
        <v>4394</v>
      </c>
      <c r="B1006" s="4">
        <v>514197.0</v>
      </c>
      <c r="C1006" s="3" t="s">
        <v>4395</v>
      </c>
      <c r="D1006" s="3" t="s">
        <v>4396</v>
      </c>
      <c r="E1006" s="3" t="s">
        <v>4397</v>
      </c>
      <c r="F1006" s="3" t="s">
        <v>19</v>
      </c>
      <c r="G1006" s="3" t="s">
        <v>72</v>
      </c>
      <c r="H1006" s="3">
        <v>2.0</v>
      </c>
      <c r="I1006" s="3" t="s">
        <v>4394</v>
      </c>
      <c r="J1006" s="3" t="s">
        <v>22</v>
      </c>
      <c r="K1006" s="3" t="s">
        <v>58</v>
      </c>
      <c r="L1006" s="3" t="s">
        <v>80</v>
      </c>
      <c r="M1006" s="3" t="s">
        <v>81</v>
      </c>
      <c r="N1006" s="3" t="s">
        <v>82</v>
      </c>
      <c r="O1006" s="5">
        <v>75.37491</v>
      </c>
      <c r="P1006" s="6" t="str">
        <f t="shared" si="2"/>
        <v>Textiles &amp; Apparels</v>
      </c>
    </row>
    <row r="1007" hidden="1">
      <c r="A1007" s="3" t="s">
        <v>4398</v>
      </c>
      <c r="B1007" s="4">
        <v>523116.0</v>
      </c>
      <c r="C1007" s="3" t="s">
        <v>4399</v>
      </c>
      <c r="D1007" s="3" t="s">
        <v>4400</v>
      </c>
      <c r="E1007" s="3" t="s">
        <v>4401</v>
      </c>
      <c r="F1007" s="3" t="s">
        <v>19</v>
      </c>
      <c r="G1007" s="3" t="s">
        <v>44</v>
      </c>
      <c r="H1007" s="3">
        <v>10.0</v>
      </c>
      <c r="I1007" s="3" t="s">
        <v>4402</v>
      </c>
      <c r="J1007" s="3" t="s">
        <v>22</v>
      </c>
      <c r="K1007" s="3" t="s">
        <v>1673</v>
      </c>
      <c r="L1007" s="3" t="s">
        <v>1673</v>
      </c>
      <c r="M1007" s="3" t="s">
        <v>1689</v>
      </c>
      <c r="N1007" s="3" t="s">
        <v>1690</v>
      </c>
      <c r="O1007" s="5">
        <v>136.44</v>
      </c>
      <c r="P1007" s="6" t="str">
        <f t="shared" si="2"/>
        <v>Transport Services</v>
      </c>
    </row>
    <row r="1008" hidden="1">
      <c r="A1008" s="3" t="s">
        <v>4403</v>
      </c>
      <c r="B1008" s="4">
        <v>514234.0</v>
      </c>
      <c r="C1008" s="3" t="s">
        <v>4404</v>
      </c>
      <c r="D1008" s="3" t="s">
        <v>4405</v>
      </c>
      <c r="E1008" s="3" t="s">
        <v>4406</v>
      </c>
      <c r="F1008" s="3" t="s">
        <v>19</v>
      </c>
      <c r="G1008" s="3" t="s">
        <v>112</v>
      </c>
      <c r="H1008" s="3">
        <v>10.0</v>
      </c>
      <c r="I1008" s="3" t="s">
        <v>4403</v>
      </c>
      <c r="J1008" s="3" t="s">
        <v>22</v>
      </c>
      <c r="K1008" s="3" t="s">
        <v>58</v>
      </c>
      <c r="L1008" s="3" t="s">
        <v>80</v>
      </c>
      <c r="M1008" s="3" t="s">
        <v>81</v>
      </c>
      <c r="N1008" s="3" t="s">
        <v>82</v>
      </c>
      <c r="O1008" s="5">
        <v>2043.5307441</v>
      </c>
      <c r="P1008" s="6" t="str">
        <f t="shared" si="2"/>
        <v>Textiles &amp; Apparels</v>
      </c>
    </row>
    <row r="1009" hidden="1">
      <c r="A1009" s="3" t="s">
        <v>4407</v>
      </c>
      <c r="B1009" s="4">
        <v>539927.0</v>
      </c>
      <c r="C1009" s="3" t="s">
        <v>4408</v>
      </c>
      <c r="D1009" s="3" t="s">
        <v>4409</v>
      </c>
      <c r="E1009" s="3" t="s">
        <v>4410</v>
      </c>
      <c r="F1009" s="3" t="s">
        <v>19</v>
      </c>
      <c r="G1009" s="3" t="s">
        <v>44</v>
      </c>
      <c r="H1009" s="3">
        <v>10.0</v>
      </c>
      <c r="I1009" s="3" t="s">
        <v>4411</v>
      </c>
      <c r="J1009" s="3" t="s">
        <v>22</v>
      </c>
      <c r="K1009" s="3" t="s">
        <v>1673</v>
      </c>
      <c r="L1009" s="3" t="s">
        <v>1673</v>
      </c>
      <c r="M1009" s="3" t="s">
        <v>1674</v>
      </c>
      <c r="N1009" s="3" t="s">
        <v>3189</v>
      </c>
      <c r="O1009" s="5">
        <v>135.5873137</v>
      </c>
      <c r="P1009" s="6" t="str">
        <f t="shared" si="2"/>
        <v>Commercial Services &amp; Supplies</v>
      </c>
    </row>
    <row r="1010" hidden="1">
      <c r="A1010" s="3" t="s">
        <v>4412</v>
      </c>
      <c r="B1010" s="4">
        <v>514238.0</v>
      </c>
      <c r="C1010" s="3" t="s">
        <v>4413</v>
      </c>
      <c r="D1010" s="3" t="s">
        <v>4414</v>
      </c>
      <c r="E1010" s="3" t="s">
        <v>4415</v>
      </c>
      <c r="F1010" s="3" t="s">
        <v>19</v>
      </c>
      <c r="G1010" s="3" t="s">
        <v>44</v>
      </c>
      <c r="H1010" s="3">
        <v>10.0</v>
      </c>
      <c r="I1010" s="3" t="s">
        <v>4412</v>
      </c>
      <c r="J1010" s="3" t="s">
        <v>22</v>
      </c>
      <c r="K1010" s="3" t="s">
        <v>204</v>
      </c>
      <c r="L1010" s="3" t="s">
        <v>204</v>
      </c>
      <c r="M1010" s="3" t="s">
        <v>378</v>
      </c>
      <c r="N1010" s="3" t="s">
        <v>384</v>
      </c>
      <c r="O1010" s="5">
        <v>919.5069</v>
      </c>
      <c r="P1010" s="6" t="str">
        <f t="shared" si="2"/>
        <v>Finance</v>
      </c>
    </row>
    <row r="1011" hidden="1">
      <c r="A1011" s="3" t="s">
        <v>4416</v>
      </c>
      <c r="B1011" s="4">
        <v>514240.0</v>
      </c>
      <c r="C1011" s="3" t="s">
        <v>4417</v>
      </c>
      <c r="D1011" s="3" t="s">
        <v>4418</v>
      </c>
      <c r="E1011" s="3" t="s">
        <v>4419</v>
      </c>
      <c r="F1011" s="3" t="s">
        <v>19</v>
      </c>
      <c r="G1011" s="3" t="s">
        <v>72</v>
      </c>
      <c r="H1011" s="3">
        <v>10.0</v>
      </c>
      <c r="I1011" s="3" t="s">
        <v>4416</v>
      </c>
      <c r="J1011" s="3" t="s">
        <v>22</v>
      </c>
      <c r="K1011" s="3" t="s">
        <v>58</v>
      </c>
      <c r="L1011" s="3" t="s">
        <v>80</v>
      </c>
      <c r="M1011" s="3" t="s">
        <v>81</v>
      </c>
      <c r="N1011" s="3" t="s">
        <v>82</v>
      </c>
      <c r="O1011" s="5">
        <v>18.9257374</v>
      </c>
      <c r="P1011" s="6" t="str">
        <f t="shared" si="2"/>
        <v>Textiles &amp; Apparels</v>
      </c>
    </row>
    <row r="1012" hidden="1">
      <c r="A1012" s="3" t="s">
        <v>4420</v>
      </c>
      <c r="B1012" s="4">
        <v>514248.0</v>
      </c>
      <c r="C1012" s="3" t="s">
        <v>4421</v>
      </c>
      <c r="D1012" s="3" t="s">
        <v>4422</v>
      </c>
      <c r="E1012" s="3" t="s">
        <v>4423</v>
      </c>
      <c r="F1012" s="3" t="s">
        <v>19</v>
      </c>
      <c r="G1012" s="3" t="s">
        <v>1858</v>
      </c>
      <c r="H1012" s="3">
        <v>10.0</v>
      </c>
      <c r="I1012" s="3" t="s">
        <v>4420</v>
      </c>
      <c r="J1012" s="3" t="s">
        <v>22</v>
      </c>
      <c r="K1012" s="3" t="s">
        <v>23</v>
      </c>
      <c r="L1012" s="3" t="s">
        <v>24</v>
      </c>
      <c r="M1012" s="3" t="s">
        <v>25</v>
      </c>
      <c r="N1012" s="3" t="s">
        <v>52</v>
      </c>
      <c r="O1012" s="5">
        <v>33.9349478</v>
      </c>
      <c r="P1012" s="6" t="str">
        <f t="shared" si="2"/>
        <v>Chemicals &amp; Petrochemicals</v>
      </c>
    </row>
    <row r="1013" hidden="1">
      <c r="A1013" s="3" t="s">
        <v>4424</v>
      </c>
      <c r="B1013" s="4">
        <v>514260.0</v>
      </c>
      <c r="C1013" s="3" t="s">
        <v>4425</v>
      </c>
      <c r="D1013" s="3" t="s">
        <v>4426</v>
      </c>
      <c r="E1013" s="3" t="s">
        <v>4427</v>
      </c>
      <c r="F1013" s="3" t="s">
        <v>19</v>
      </c>
      <c r="G1013" s="3" t="s">
        <v>44</v>
      </c>
      <c r="H1013" s="3">
        <v>10.0</v>
      </c>
      <c r="I1013" s="3" t="s">
        <v>4424</v>
      </c>
      <c r="J1013" s="3" t="s">
        <v>22</v>
      </c>
      <c r="K1013" s="3" t="s">
        <v>58</v>
      </c>
      <c r="L1013" s="3" t="s">
        <v>80</v>
      </c>
      <c r="M1013" s="3" t="s">
        <v>81</v>
      </c>
      <c r="N1013" s="3" t="s">
        <v>82</v>
      </c>
      <c r="O1013" s="5">
        <v>1.519331</v>
      </c>
      <c r="P1013" s="6" t="str">
        <f t="shared" si="2"/>
        <v>Textiles &amp; Apparels</v>
      </c>
    </row>
    <row r="1014" hidden="1">
      <c r="A1014" s="3" t="s">
        <v>4428</v>
      </c>
      <c r="B1014" s="4">
        <v>514264.0</v>
      </c>
      <c r="C1014" s="3" t="s">
        <v>4429</v>
      </c>
      <c r="D1014" s="3" t="s">
        <v>4430</v>
      </c>
      <c r="E1014" s="3" t="s">
        <v>4431</v>
      </c>
      <c r="F1014" s="3" t="s">
        <v>19</v>
      </c>
      <c r="G1014" s="3" t="s">
        <v>44</v>
      </c>
      <c r="H1014" s="3">
        <v>10.0</v>
      </c>
      <c r="I1014" s="3" t="s">
        <v>4428</v>
      </c>
      <c r="J1014" s="3" t="s">
        <v>22</v>
      </c>
      <c r="K1014" s="3" t="s">
        <v>58</v>
      </c>
      <c r="L1014" s="3" t="s">
        <v>80</v>
      </c>
      <c r="M1014" s="3" t="s">
        <v>81</v>
      </c>
      <c r="N1014" s="3" t="s">
        <v>82</v>
      </c>
      <c r="O1014" s="5">
        <v>1.0</v>
      </c>
      <c r="P1014" s="6" t="str">
        <f t="shared" si="2"/>
        <v>Textiles &amp; Apparels</v>
      </c>
    </row>
    <row r="1015" hidden="1">
      <c r="A1015" s="3" t="s">
        <v>4432</v>
      </c>
      <c r="B1015" s="4">
        <v>514266.0</v>
      </c>
      <c r="C1015" s="3" t="s">
        <v>4433</v>
      </c>
      <c r="D1015" s="3" t="s">
        <v>4434</v>
      </c>
      <c r="E1015" s="3" t="s">
        <v>4435</v>
      </c>
      <c r="F1015" s="3" t="s">
        <v>19</v>
      </c>
      <c r="G1015" s="3" t="s">
        <v>44</v>
      </c>
      <c r="H1015" s="3">
        <v>10.0</v>
      </c>
      <c r="I1015" s="3" t="s">
        <v>4432</v>
      </c>
      <c r="J1015" s="3" t="s">
        <v>22</v>
      </c>
      <c r="K1015" s="3" t="s">
        <v>58</v>
      </c>
      <c r="L1015" s="3" t="s">
        <v>80</v>
      </c>
      <c r="M1015" s="3" t="s">
        <v>81</v>
      </c>
      <c r="N1015" s="3" t="s">
        <v>82</v>
      </c>
      <c r="O1015" s="5">
        <v>33.9590017</v>
      </c>
      <c r="P1015" s="6" t="str">
        <f t="shared" si="2"/>
        <v>Textiles &amp; Apparels</v>
      </c>
    </row>
    <row r="1016" hidden="1">
      <c r="A1016" s="3" t="s">
        <v>4436</v>
      </c>
      <c r="B1016" s="4">
        <v>514272.0</v>
      </c>
      <c r="C1016" s="3" t="s">
        <v>4437</v>
      </c>
      <c r="D1016" s="3" t="s">
        <v>4438</v>
      </c>
      <c r="E1016" s="3" t="s">
        <v>4439</v>
      </c>
      <c r="F1016" s="3" t="s">
        <v>19</v>
      </c>
      <c r="G1016" s="3" t="s">
        <v>44</v>
      </c>
      <c r="H1016" s="3">
        <v>10.0</v>
      </c>
      <c r="I1016" s="3" t="s">
        <v>4436</v>
      </c>
      <c r="J1016" s="3" t="s">
        <v>22</v>
      </c>
      <c r="K1016" s="3" t="s">
        <v>58</v>
      </c>
      <c r="L1016" s="3" t="s">
        <v>80</v>
      </c>
      <c r="M1016" s="3" t="s">
        <v>81</v>
      </c>
      <c r="N1016" s="3" t="s">
        <v>82</v>
      </c>
      <c r="O1016" s="5">
        <v>101.1211282</v>
      </c>
      <c r="P1016" s="6" t="str">
        <f t="shared" si="2"/>
        <v>Textiles &amp; Apparels</v>
      </c>
    </row>
    <row r="1017" hidden="1">
      <c r="A1017" s="3" t="s">
        <v>4440</v>
      </c>
      <c r="B1017" s="4">
        <v>514274.0</v>
      </c>
      <c r="C1017" s="3" t="s">
        <v>4441</v>
      </c>
      <c r="D1017" s="3" t="s">
        <v>4442</v>
      </c>
      <c r="E1017" s="3" t="s">
        <v>4443</v>
      </c>
      <c r="F1017" s="3" t="s">
        <v>19</v>
      </c>
      <c r="G1017" s="3" t="s">
        <v>112</v>
      </c>
      <c r="H1017" s="3">
        <v>10.0</v>
      </c>
      <c r="I1017" s="3" t="s">
        <v>4440</v>
      </c>
      <c r="J1017" s="3" t="s">
        <v>22</v>
      </c>
      <c r="K1017" s="3" t="s">
        <v>58</v>
      </c>
      <c r="L1017" s="3" t="s">
        <v>80</v>
      </c>
      <c r="M1017" s="3" t="s">
        <v>81</v>
      </c>
      <c r="N1017" s="3" t="s">
        <v>82</v>
      </c>
      <c r="O1017" s="5">
        <v>64.8717975</v>
      </c>
      <c r="P1017" s="6" t="str">
        <f t="shared" si="2"/>
        <v>Textiles &amp; Apparels</v>
      </c>
    </row>
    <row r="1018" hidden="1">
      <c r="A1018" s="3" t="s">
        <v>4444</v>
      </c>
      <c r="B1018" s="4">
        <v>514280.0</v>
      </c>
      <c r="C1018" s="3" t="s">
        <v>4445</v>
      </c>
      <c r="D1018" s="3" t="s">
        <v>4446</v>
      </c>
      <c r="E1018" s="3" t="s">
        <v>4447</v>
      </c>
      <c r="F1018" s="3" t="s">
        <v>19</v>
      </c>
      <c r="G1018" s="3" t="s">
        <v>72</v>
      </c>
      <c r="H1018" s="3">
        <v>10.0</v>
      </c>
      <c r="I1018" s="3" t="s">
        <v>4444</v>
      </c>
      <c r="J1018" s="3" t="s">
        <v>22</v>
      </c>
      <c r="K1018" s="3" t="s">
        <v>58</v>
      </c>
      <c r="L1018" s="3" t="s">
        <v>80</v>
      </c>
      <c r="M1018" s="3" t="s">
        <v>81</v>
      </c>
      <c r="N1018" s="3" t="s">
        <v>82</v>
      </c>
      <c r="O1018" s="5">
        <v>84.980035</v>
      </c>
      <c r="P1018" s="6" t="str">
        <f t="shared" si="2"/>
        <v>Textiles &amp; Apparels</v>
      </c>
    </row>
    <row r="1019" hidden="1">
      <c r="A1019" s="3" t="s">
        <v>4448</v>
      </c>
      <c r="B1019" s="4">
        <v>514286.0</v>
      </c>
      <c r="C1019" s="3" t="s">
        <v>4449</v>
      </c>
      <c r="D1019" s="3" t="s">
        <v>4450</v>
      </c>
      <c r="E1019" s="3" t="s">
        <v>4451</v>
      </c>
      <c r="F1019" s="3" t="s">
        <v>19</v>
      </c>
      <c r="G1019" s="3" t="s">
        <v>112</v>
      </c>
      <c r="H1019" s="3">
        <v>10.0</v>
      </c>
      <c r="I1019" s="3" t="s">
        <v>4448</v>
      </c>
      <c r="J1019" s="3" t="s">
        <v>22</v>
      </c>
      <c r="K1019" s="3" t="s">
        <v>58</v>
      </c>
      <c r="L1019" s="3" t="s">
        <v>80</v>
      </c>
      <c r="M1019" s="3" t="s">
        <v>81</v>
      </c>
      <c r="N1019" s="3" t="s">
        <v>82</v>
      </c>
      <c r="O1019" s="5">
        <v>937.5511311</v>
      </c>
      <c r="P1019" s="6" t="str">
        <f t="shared" si="2"/>
        <v>Textiles &amp; Apparels</v>
      </c>
    </row>
    <row r="1020" hidden="1">
      <c r="A1020" s="3" t="s">
        <v>4452</v>
      </c>
      <c r="B1020" s="4">
        <v>514300.0</v>
      </c>
      <c r="C1020" s="3" t="s">
        <v>4453</v>
      </c>
      <c r="D1020" s="3" t="s">
        <v>4454</v>
      </c>
      <c r="E1020" s="3" t="s">
        <v>4455</v>
      </c>
      <c r="F1020" s="3" t="s">
        <v>19</v>
      </c>
      <c r="G1020" s="3" t="s">
        <v>112</v>
      </c>
      <c r="H1020" s="3">
        <v>10.0</v>
      </c>
      <c r="I1020" s="3" t="s">
        <v>4452</v>
      </c>
      <c r="J1020" s="3" t="s">
        <v>22</v>
      </c>
      <c r="K1020" s="3" t="s">
        <v>58</v>
      </c>
      <c r="L1020" s="3" t="s">
        <v>80</v>
      </c>
      <c r="M1020" s="3" t="s">
        <v>81</v>
      </c>
      <c r="N1020" s="3" t="s">
        <v>82</v>
      </c>
      <c r="O1020" s="5">
        <v>144.1611998</v>
      </c>
      <c r="P1020" s="6" t="str">
        <f t="shared" si="2"/>
        <v>Textiles &amp; Apparels</v>
      </c>
    </row>
    <row r="1021" hidden="1">
      <c r="A1021" s="3" t="s">
        <v>4456</v>
      </c>
      <c r="B1021" s="4">
        <v>514302.0</v>
      </c>
      <c r="C1021" s="3" t="s">
        <v>4457</v>
      </c>
      <c r="D1021" s="3" t="s">
        <v>4458</v>
      </c>
      <c r="E1021" s="3" t="s">
        <v>4459</v>
      </c>
      <c r="F1021" s="3" t="s">
        <v>19</v>
      </c>
      <c r="G1021" s="3" t="s">
        <v>44</v>
      </c>
      <c r="H1021" s="3">
        <v>10.0</v>
      </c>
      <c r="I1021" s="3" t="s">
        <v>4456</v>
      </c>
      <c r="J1021" s="3" t="s">
        <v>22</v>
      </c>
      <c r="K1021" s="3" t="s">
        <v>58</v>
      </c>
      <c r="L1021" s="3" t="s">
        <v>80</v>
      </c>
      <c r="M1021" s="3" t="s">
        <v>81</v>
      </c>
      <c r="N1021" s="3" t="s">
        <v>82</v>
      </c>
      <c r="O1021" s="5">
        <v>101.3162035</v>
      </c>
      <c r="P1021" s="6" t="str">
        <f t="shared" si="2"/>
        <v>Textiles &amp; Apparels</v>
      </c>
    </row>
    <row r="1022" hidden="1">
      <c r="A1022" s="3" t="s">
        <v>4460</v>
      </c>
      <c r="B1022" s="4">
        <v>514312.0</v>
      </c>
      <c r="C1022" s="3" t="s">
        <v>4461</v>
      </c>
      <c r="D1022" s="3" t="s">
        <v>4462</v>
      </c>
      <c r="E1022" s="3" t="s">
        <v>4463</v>
      </c>
      <c r="F1022" s="3" t="s">
        <v>19</v>
      </c>
      <c r="G1022" s="3" t="s">
        <v>44</v>
      </c>
      <c r="H1022" s="3">
        <v>10.0</v>
      </c>
      <c r="I1022" s="3" t="s">
        <v>4460</v>
      </c>
      <c r="J1022" s="3" t="s">
        <v>22</v>
      </c>
      <c r="K1022" s="3" t="s">
        <v>58</v>
      </c>
      <c r="L1022" s="3" t="s">
        <v>80</v>
      </c>
      <c r="M1022" s="3" t="s">
        <v>81</v>
      </c>
      <c r="N1022" s="3" t="s">
        <v>82</v>
      </c>
      <c r="O1022" s="5">
        <v>25.1586747</v>
      </c>
      <c r="P1022" s="6" t="str">
        <f t="shared" si="2"/>
        <v>Textiles &amp; Apparels</v>
      </c>
    </row>
    <row r="1023" hidden="1">
      <c r="A1023" s="3" t="s">
        <v>4464</v>
      </c>
      <c r="B1023" s="4">
        <v>514316.0</v>
      </c>
      <c r="C1023" s="3" t="s">
        <v>4465</v>
      </c>
      <c r="D1023" s="3" t="s">
        <v>4466</v>
      </c>
      <c r="E1023" s="3" t="s">
        <v>4467</v>
      </c>
      <c r="F1023" s="3" t="s">
        <v>19</v>
      </c>
      <c r="G1023" s="3" t="s">
        <v>44</v>
      </c>
      <c r="H1023" s="3">
        <v>1.0</v>
      </c>
      <c r="I1023" s="3" t="s">
        <v>4464</v>
      </c>
      <c r="J1023" s="3" t="s">
        <v>22</v>
      </c>
      <c r="K1023" s="3" t="s">
        <v>58</v>
      </c>
      <c r="L1023" s="3" t="s">
        <v>80</v>
      </c>
      <c r="M1023" s="3" t="s">
        <v>81</v>
      </c>
      <c r="N1023" s="3" t="s">
        <v>82</v>
      </c>
      <c r="O1023" s="5">
        <v>452.9855808</v>
      </c>
      <c r="P1023" s="6" t="str">
        <f t="shared" si="2"/>
        <v>Textiles &amp; Apparels</v>
      </c>
    </row>
    <row r="1024" hidden="1">
      <c r="A1024" s="3" t="s">
        <v>4468</v>
      </c>
      <c r="B1024" s="4">
        <v>514318.0</v>
      </c>
      <c r="C1024" s="3" t="s">
        <v>4469</v>
      </c>
      <c r="D1024" s="3" t="s">
        <v>4470</v>
      </c>
      <c r="E1024" s="3" t="s">
        <v>4471</v>
      </c>
      <c r="F1024" s="3" t="s">
        <v>19</v>
      </c>
      <c r="G1024" s="3" t="s">
        <v>1858</v>
      </c>
      <c r="H1024" s="3">
        <v>10.0</v>
      </c>
      <c r="I1024" s="3" t="s">
        <v>4468</v>
      </c>
      <c r="J1024" s="3" t="s">
        <v>22</v>
      </c>
      <c r="K1024" s="3" t="s">
        <v>58</v>
      </c>
      <c r="L1024" s="3" t="s">
        <v>80</v>
      </c>
      <c r="M1024" s="3" t="s">
        <v>81</v>
      </c>
      <c r="N1024" s="3" t="s">
        <v>82</v>
      </c>
      <c r="O1024" s="5">
        <v>1.0</v>
      </c>
      <c r="P1024" s="6" t="str">
        <f t="shared" si="2"/>
        <v>Textiles &amp; Apparels</v>
      </c>
    </row>
    <row r="1025" hidden="1">
      <c r="A1025" s="3" t="s">
        <v>4472</v>
      </c>
      <c r="B1025" s="4">
        <v>514322.0</v>
      </c>
      <c r="C1025" s="3" t="s">
        <v>4473</v>
      </c>
      <c r="D1025" s="3" t="s">
        <v>4474</v>
      </c>
      <c r="E1025" s="3" t="s">
        <v>4475</v>
      </c>
      <c r="F1025" s="3" t="s">
        <v>19</v>
      </c>
      <c r="G1025" s="3" t="s">
        <v>44</v>
      </c>
      <c r="H1025" s="3">
        <v>10.0</v>
      </c>
      <c r="I1025" s="3" t="s">
        <v>4472</v>
      </c>
      <c r="J1025" s="3" t="s">
        <v>22</v>
      </c>
      <c r="K1025" s="3" t="s">
        <v>58</v>
      </c>
      <c r="L1025" s="3" t="s">
        <v>80</v>
      </c>
      <c r="M1025" s="3" t="s">
        <v>81</v>
      </c>
      <c r="N1025" s="3" t="s">
        <v>82</v>
      </c>
      <c r="O1025" s="5">
        <v>44.5338252</v>
      </c>
      <c r="P1025" s="6" t="str">
        <f t="shared" si="2"/>
        <v>Textiles &amp; Apparels</v>
      </c>
    </row>
    <row r="1026" hidden="1">
      <c r="A1026" s="3" t="s">
        <v>4476</v>
      </c>
      <c r="B1026" s="4">
        <v>514324.0</v>
      </c>
      <c r="C1026" s="3" t="s">
        <v>4477</v>
      </c>
      <c r="D1026" s="3" t="s">
        <v>4478</v>
      </c>
      <c r="E1026" s="3" t="s">
        <v>4479</v>
      </c>
      <c r="F1026" s="3" t="s">
        <v>19</v>
      </c>
      <c r="G1026" s="3" t="s">
        <v>44</v>
      </c>
      <c r="H1026" s="3">
        <v>10.0</v>
      </c>
      <c r="I1026" s="3" t="s">
        <v>4476</v>
      </c>
      <c r="J1026" s="3" t="s">
        <v>22</v>
      </c>
      <c r="K1026" s="3" t="s">
        <v>58</v>
      </c>
      <c r="L1026" s="3" t="s">
        <v>80</v>
      </c>
      <c r="M1026" s="3" t="s">
        <v>81</v>
      </c>
      <c r="N1026" s="3" t="s">
        <v>82</v>
      </c>
      <c r="O1026" s="5">
        <v>69.3466282</v>
      </c>
      <c r="P1026" s="6" t="str">
        <f t="shared" si="2"/>
        <v>Textiles &amp; Apparels</v>
      </c>
    </row>
    <row r="1027" hidden="1">
      <c r="A1027" s="3" t="s">
        <v>4480</v>
      </c>
      <c r="B1027" s="4">
        <v>514326.0</v>
      </c>
      <c r="C1027" s="3" t="s">
        <v>4481</v>
      </c>
      <c r="D1027" s="3" t="s">
        <v>4482</v>
      </c>
      <c r="E1027" s="3" t="s">
        <v>4483</v>
      </c>
      <c r="F1027" s="3" t="s">
        <v>19</v>
      </c>
      <c r="G1027" s="3" t="s">
        <v>44</v>
      </c>
      <c r="H1027" s="3">
        <v>10.0</v>
      </c>
      <c r="I1027" s="3" t="s">
        <v>4480</v>
      </c>
      <c r="J1027" s="3" t="s">
        <v>22</v>
      </c>
      <c r="K1027" s="3" t="s">
        <v>58</v>
      </c>
      <c r="L1027" s="3" t="s">
        <v>80</v>
      </c>
      <c r="M1027" s="3" t="s">
        <v>81</v>
      </c>
      <c r="N1027" s="3" t="s">
        <v>82</v>
      </c>
      <c r="O1027" s="5">
        <v>38.9694863</v>
      </c>
      <c r="P1027" s="6" t="str">
        <f t="shared" si="2"/>
        <v>Textiles &amp; Apparels</v>
      </c>
    </row>
    <row r="1028" hidden="1">
      <c r="A1028" s="3" t="s">
        <v>4484</v>
      </c>
      <c r="B1028" s="4">
        <v>514330.0</v>
      </c>
      <c r="C1028" s="3" t="s">
        <v>4485</v>
      </c>
      <c r="D1028" s="3" t="s">
        <v>4486</v>
      </c>
      <c r="E1028" s="3" t="s">
        <v>4487</v>
      </c>
      <c r="F1028" s="3" t="s">
        <v>19</v>
      </c>
      <c r="G1028" s="3" t="s">
        <v>72</v>
      </c>
      <c r="H1028" s="3">
        <v>10.0</v>
      </c>
      <c r="I1028" s="3" t="s">
        <v>4484</v>
      </c>
      <c r="J1028" s="3" t="s">
        <v>22</v>
      </c>
      <c r="K1028" s="3" t="s">
        <v>45</v>
      </c>
      <c r="L1028" s="3" t="s">
        <v>45</v>
      </c>
      <c r="M1028" s="3" t="s">
        <v>4488</v>
      </c>
      <c r="N1028" s="3" t="s">
        <v>4489</v>
      </c>
      <c r="O1028" s="5">
        <v>101.8389</v>
      </c>
      <c r="P1028" s="6" t="str">
        <f t="shared" si="2"/>
        <v>Healthcare Services</v>
      </c>
    </row>
    <row r="1029" hidden="1">
      <c r="A1029" s="3" t="s">
        <v>4490</v>
      </c>
      <c r="B1029" s="4">
        <v>514332.0</v>
      </c>
      <c r="C1029" s="3" t="s">
        <v>4491</v>
      </c>
      <c r="D1029" s="3" t="s">
        <v>4492</v>
      </c>
      <c r="E1029" s="3" t="s">
        <v>4493</v>
      </c>
      <c r="F1029" s="3" t="s">
        <v>19</v>
      </c>
      <c r="G1029" s="3" t="s">
        <v>44</v>
      </c>
      <c r="H1029" s="3">
        <v>10.0</v>
      </c>
      <c r="I1029" s="3" t="s">
        <v>4490</v>
      </c>
      <c r="J1029" s="3" t="s">
        <v>22</v>
      </c>
      <c r="K1029" s="3" t="s">
        <v>58</v>
      </c>
      <c r="L1029" s="3" t="s">
        <v>59</v>
      </c>
      <c r="M1029" s="3" t="s">
        <v>59</v>
      </c>
      <c r="N1029" s="3" t="s">
        <v>60</v>
      </c>
      <c r="O1029" s="5">
        <v>9.3187405</v>
      </c>
      <c r="P1029" s="6" t="str">
        <f t="shared" si="2"/>
        <v>Residential, Commercial Projects</v>
      </c>
    </row>
    <row r="1030" hidden="1">
      <c r="A1030" s="3" t="s">
        <v>4494</v>
      </c>
      <c r="B1030" s="4">
        <v>514336.0</v>
      </c>
      <c r="C1030" s="3" t="s">
        <v>4495</v>
      </c>
      <c r="D1030" s="3" t="s">
        <v>4496</v>
      </c>
      <c r="E1030" s="3" t="s">
        <v>4497</v>
      </c>
      <c r="F1030" s="3" t="s">
        <v>19</v>
      </c>
      <c r="G1030" s="3" t="s">
        <v>44</v>
      </c>
      <c r="H1030" s="3">
        <v>10.0</v>
      </c>
      <c r="I1030" s="3" t="s">
        <v>4494</v>
      </c>
      <c r="J1030" s="3" t="s">
        <v>22</v>
      </c>
      <c r="K1030" s="3" t="s">
        <v>45</v>
      </c>
      <c r="L1030" s="3" t="s">
        <v>45</v>
      </c>
      <c r="M1030" s="3" t="s">
        <v>46</v>
      </c>
      <c r="N1030" s="3" t="s">
        <v>3367</v>
      </c>
      <c r="O1030" s="5">
        <v>1.0</v>
      </c>
      <c r="P1030" s="6" t="str">
        <f t="shared" si="2"/>
        <v>Pharmaceuticals &amp; Biotechnology</v>
      </c>
    </row>
    <row r="1031" hidden="1">
      <c r="A1031" s="3" t="s">
        <v>4498</v>
      </c>
      <c r="B1031" s="4">
        <v>514348.0</v>
      </c>
      <c r="C1031" s="3" t="s">
        <v>4499</v>
      </c>
      <c r="D1031" s="3" t="s">
        <v>4500</v>
      </c>
      <c r="E1031" s="3" t="s">
        <v>4501</v>
      </c>
      <c r="F1031" s="3" t="s">
        <v>19</v>
      </c>
      <c r="G1031" s="3" t="s">
        <v>86</v>
      </c>
      <c r="H1031" s="3">
        <v>10.0</v>
      </c>
      <c r="I1031" s="3" t="s">
        <v>4498</v>
      </c>
      <c r="J1031" s="3" t="s">
        <v>22</v>
      </c>
      <c r="K1031" s="3" t="s">
        <v>58</v>
      </c>
      <c r="L1031" s="3" t="s">
        <v>80</v>
      </c>
      <c r="M1031" s="3" t="s">
        <v>81</v>
      </c>
      <c r="N1031" s="3" t="s">
        <v>82</v>
      </c>
      <c r="O1031" s="5">
        <v>26.0202582</v>
      </c>
      <c r="P1031" s="6" t="str">
        <f t="shared" si="2"/>
        <v>Textiles &amp; Apparels</v>
      </c>
    </row>
    <row r="1032" hidden="1">
      <c r="A1032" s="3" t="s">
        <v>4502</v>
      </c>
      <c r="B1032" s="4">
        <v>514354.0</v>
      </c>
      <c r="C1032" s="3" t="s">
        <v>4503</v>
      </c>
      <c r="D1032" s="3" t="s">
        <v>4504</v>
      </c>
      <c r="E1032" s="3" t="s">
        <v>4505</v>
      </c>
      <c r="F1032" s="3" t="s">
        <v>19</v>
      </c>
      <c r="G1032" s="3" t="s">
        <v>112</v>
      </c>
      <c r="H1032" s="3">
        <v>5.0</v>
      </c>
      <c r="I1032" s="3" t="s">
        <v>4502</v>
      </c>
      <c r="J1032" s="3" t="s">
        <v>22</v>
      </c>
      <c r="K1032" s="3" t="s">
        <v>97</v>
      </c>
      <c r="L1032" s="3" t="s">
        <v>98</v>
      </c>
      <c r="M1032" s="3" t="s">
        <v>100</v>
      </c>
      <c r="N1032" s="3" t="s">
        <v>580</v>
      </c>
      <c r="O1032" s="5">
        <v>441.6643776</v>
      </c>
      <c r="P1032" s="6" t="str">
        <f t="shared" si="2"/>
        <v>Industrial Products</v>
      </c>
    </row>
    <row r="1033" hidden="1">
      <c r="A1033" s="3" t="s">
        <v>4506</v>
      </c>
      <c r="B1033" s="4">
        <v>514358.0</v>
      </c>
      <c r="C1033" s="3" t="s">
        <v>4507</v>
      </c>
      <c r="D1033" s="3" t="s">
        <v>4508</v>
      </c>
      <c r="E1033" s="3" t="s">
        <v>4509</v>
      </c>
      <c r="F1033" s="3" t="s">
        <v>19</v>
      </c>
      <c r="G1033" s="3" t="s">
        <v>72</v>
      </c>
      <c r="H1033" s="3">
        <v>10.0</v>
      </c>
      <c r="I1033" s="3" t="s">
        <v>4506</v>
      </c>
      <c r="J1033" s="3" t="s">
        <v>22</v>
      </c>
      <c r="K1033" s="3" t="s">
        <v>204</v>
      </c>
      <c r="L1033" s="3" t="s">
        <v>204</v>
      </c>
      <c r="M1033" s="3" t="s">
        <v>378</v>
      </c>
      <c r="N1033" s="3" t="s">
        <v>379</v>
      </c>
      <c r="O1033" s="5">
        <v>118.1316631</v>
      </c>
      <c r="P1033" s="6" t="str">
        <f t="shared" si="2"/>
        <v>Non Banking Financial Company (NBFC)</v>
      </c>
    </row>
    <row r="1034" hidden="1">
      <c r="A1034" s="3" t="s">
        <v>4510</v>
      </c>
      <c r="B1034" s="4">
        <v>514360.0</v>
      </c>
      <c r="C1034" s="3" t="s">
        <v>4511</v>
      </c>
      <c r="D1034" s="3" t="s">
        <v>4512</v>
      </c>
      <c r="E1034" s="3" t="s">
        <v>4513</v>
      </c>
      <c r="F1034" s="3" t="s">
        <v>19</v>
      </c>
      <c r="G1034" s="3" t="s">
        <v>112</v>
      </c>
      <c r="H1034" s="3">
        <v>10.0</v>
      </c>
      <c r="I1034" s="3" t="s">
        <v>4510</v>
      </c>
      <c r="J1034" s="3" t="s">
        <v>22</v>
      </c>
      <c r="K1034" s="3" t="s">
        <v>97</v>
      </c>
      <c r="L1034" s="3" t="s">
        <v>965</v>
      </c>
      <c r="M1034" s="3" t="s">
        <v>965</v>
      </c>
      <c r="N1034" s="3" t="s">
        <v>966</v>
      </c>
      <c r="O1034" s="5">
        <v>975.0116135</v>
      </c>
      <c r="P1034" s="6" t="str">
        <f t="shared" si="2"/>
        <v>Civil Construction</v>
      </c>
    </row>
    <row r="1035" hidden="1">
      <c r="A1035" s="3" t="s">
        <v>4514</v>
      </c>
      <c r="B1035" s="4">
        <v>541152.0</v>
      </c>
      <c r="C1035" s="3" t="s">
        <v>4515</v>
      </c>
      <c r="D1035" s="3" t="s">
        <v>4516</v>
      </c>
      <c r="E1035" s="3" t="s">
        <v>4517</v>
      </c>
      <c r="F1035" s="3" t="s">
        <v>19</v>
      </c>
      <c r="G1035" s="3" t="s">
        <v>86</v>
      </c>
      <c r="H1035" s="3">
        <v>1.0</v>
      </c>
      <c r="I1035" s="3" t="s">
        <v>4518</v>
      </c>
      <c r="J1035" s="3" t="s">
        <v>22</v>
      </c>
      <c r="K1035" s="3" t="s">
        <v>1673</v>
      </c>
      <c r="L1035" s="3" t="s">
        <v>1673</v>
      </c>
      <c r="M1035" s="3" t="s">
        <v>1674</v>
      </c>
      <c r="N1035" s="3" t="s">
        <v>1915</v>
      </c>
      <c r="O1035" s="5">
        <v>130.5320691</v>
      </c>
      <c r="P1035" s="6" t="str">
        <f t="shared" si="2"/>
        <v>Commercial Services &amp; Supplies</v>
      </c>
    </row>
    <row r="1036" hidden="1">
      <c r="A1036" s="3" t="s">
        <v>4519</v>
      </c>
      <c r="B1036" s="4">
        <v>514386.0</v>
      </c>
      <c r="C1036" s="3" t="s">
        <v>4520</v>
      </c>
      <c r="D1036" s="3" t="s">
        <v>4521</v>
      </c>
      <c r="E1036" s="3" t="s">
        <v>4522</v>
      </c>
      <c r="F1036" s="3" t="s">
        <v>19</v>
      </c>
      <c r="G1036" s="3" t="s">
        <v>72</v>
      </c>
      <c r="H1036" s="3">
        <v>5.0</v>
      </c>
      <c r="I1036" s="3" t="s">
        <v>4519</v>
      </c>
      <c r="J1036" s="3" t="s">
        <v>22</v>
      </c>
      <c r="K1036" s="3" t="s">
        <v>58</v>
      </c>
      <c r="L1036" s="3" t="s">
        <v>80</v>
      </c>
      <c r="M1036" s="3" t="s">
        <v>81</v>
      </c>
      <c r="N1036" s="3" t="s">
        <v>82</v>
      </c>
      <c r="O1036" s="5">
        <v>8.9480142</v>
      </c>
      <c r="P1036" s="6" t="str">
        <f t="shared" si="2"/>
        <v>Textiles &amp; Apparels</v>
      </c>
    </row>
    <row r="1037" hidden="1">
      <c r="A1037" s="3" t="s">
        <v>4523</v>
      </c>
      <c r="B1037" s="4">
        <v>517238.0</v>
      </c>
      <c r="C1037" s="3" t="s">
        <v>4524</v>
      </c>
      <c r="D1037" s="3" t="s">
        <v>4525</v>
      </c>
      <c r="E1037" s="3" t="s">
        <v>4526</v>
      </c>
      <c r="F1037" s="3" t="s">
        <v>19</v>
      </c>
      <c r="G1037" s="3" t="s">
        <v>72</v>
      </c>
      <c r="H1037" s="3">
        <v>10.0</v>
      </c>
      <c r="I1037" s="3" t="s">
        <v>4527</v>
      </c>
      <c r="J1037" s="3" t="s">
        <v>22</v>
      </c>
      <c r="K1037" s="3" t="s">
        <v>1673</v>
      </c>
      <c r="L1037" s="3" t="s">
        <v>1673</v>
      </c>
      <c r="M1037" s="3" t="s">
        <v>1674</v>
      </c>
      <c r="N1037" s="3" t="s">
        <v>1675</v>
      </c>
      <c r="O1037" s="5">
        <v>130.2192523</v>
      </c>
      <c r="P1037" s="6" t="str">
        <f t="shared" si="2"/>
        <v>Commercial Services &amp; Supplies</v>
      </c>
    </row>
    <row r="1038" hidden="1">
      <c r="A1038" s="3" t="s">
        <v>4528</v>
      </c>
      <c r="B1038" s="4">
        <v>514402.0</v>
      </c>
      <c r="C1038" s="3" t="s">
        <v>4529</v>
      </c>
      <c r="D1038" s="3" t="s">
        <v>4530</v>
      </c>
      <c r="E1038" s="3" t="s">
        <v>4531</v>
      </c>
      <c r="F1038" s="3" t="s">
        <v>19</v>
      </c>
      <c r="G1038" s="3" t="s">
        <v>72</v>
      </c>
      <c r="H1038" s="3">
        <v>10.0</v>
      </c>
      <c r="I1038" s="3" t="s">
        <v>4528</v>
      </c>
      <c r="J1038" s="3" t="s">
        <v>22</v>
      </c>
      <c r="K1038" s="3" t="s">
        <v>58</v>
      </c>
      <c r="L1038" s="3" t="s">
        <v>73</v>
      </c>
      <c r="M1038" s="3" t="s">
        <v>74</v>
      </c>
      <c r="N1038" s="3" t="s">
        <v>75</v>
      </c>
      <c r="O1038" s="5">
        <v>159.470617</v>
      </c>
      <c r="P1038" s="6" t="str">
        <f t="shared" si="2"/>
        <v>Leisure Services</v>
      </c>
    </row>
    <row r="1039" hidden="1">
      <c r="A1039" s="3" t="s">
        <v>4532</v>
      </c>
      <c r="B1039" s="4">
        <v>514412.0</v>
      </c>
      <c r="C1039" s="3" t="s">
        <v>4533</v>
      </c>
      <c r="D1039" s="3" t="s">
        <v>4534</v>
      </c>
      <c r="E1039" s="3" t="s">
        <v>4535</v>
      </c>
      <c r="F1039" s="3" t="s">
        <v>19</v>
      </c>
      <c r="G1039" s="3" t="s">
        <v>72</v>
      </c>
      <c r="H1039" s="3">
        <v>10.0</v>
      </c>
      <c r="I1039" s="3" t="s">
        <v>4532</v>
      </c>
      <c r="J1039" s="3" t="s">
        <v>22</v>
      </c>
      <c r="K1039" s="3" t="s">
        <v>58</v>
      </c>
      <c r="L1039" s="3" t="s">
        <v>211</v>
      </c>
      <c r="M1039" s="3" t="s">
        <v>211</v>
      </c>
      <c r="N1039" s="3" t="s">
        <v>947</v>
      </c>
      <c r="O1039" s="5">
        <v>13.91051</v>
      </c>
      <c r="P1039" s="6" t="str">
        <f t="shared" si="2"/>
        <v>Consumer Durables</v>
      </c>
    </row>
    <row r="1040" hidden="1">
      <c r="A1040" s="3" t="s">
        <v>4536</v>
      </c>
      <c r="B1040" s="4">
        <v>514418.0</v>
      </c>
      <c r="C1040" s="3" t="s">
        <v>4537</v>
      </c>
      <c r="D1040" s="3" t="s">
        <v>4538</v>
      </c>
      <c r="E1040" s="3" t="s">
        <v>4537</v>
      </c>
      <c r="F1040" s="3" t="s">
        <v>19</v>
      </c>
      <c r="G1040" s="3" t="s">
        <v>86</v>
      </c>
      <c r="H1040" s="3">
        <v>10.0</v>
      </c>
      <c r="I1040" s="3" t="s">
        <v>4536</v>
      </c>
      <c r="J1040" s="3" t="s">
        <v>22</v>
      </c>
      <c r="K1040" s="3" t="s">
        <v>23</v>
      </c>
      <c r="L1040" s="3" t="s">
        <v>24</v>
      </c>
      <c r="M1040" s="3" t="s">
        <v>25</v>
      </c>
      <c r="N1040" s="3" t="s">
        <v>52</v>
      </c>
      <c r="O1040" s="5">
        <v>318.7013374</v>
      </c>
      <c r="P1040" s="6" t="str">
        <f t="shared" si="2"/>
        <v>Chemicals &amp; Petrochemicals</v>
      </c>
    </row>
    <row r="1041" hidden="1">
      <c r="A1041" s="3" t="s">
        <v>4539</v>
      </c>
      <c r="B1041" s="4">
        <v>514428.0</v>
      </c>
      <c r="C1041" s="3" t="s">
        <v>4540</v>
      </c>
      <c r="D1041" s="3" t="s">
        <v>4541</v>
      </c>
      <c r="E1041" s="3" t="s">
        <v>4542</v>
      </c>
      <c r="F1041" s="3" t="s">
        <v>19</v>
      </c>
      <c r="G1041" s="3" t="s">
        <v>44</v>
      </c>
      <c r="H1041" s="3">
        <v>10.0</v>
      </c>
      <c r="I1041" s="3" t="s">
        <v>4539</v>
      </c>
      <c r="J1041" s="3" t="s">
        <v>22</v>
      </c>
      <c r="K1041" s="3" t="s">
        <v>97</v>
      </c>
      <c r="L1041" s="3" t="s">
        <v>98</v>
      </c>
      <c r="M1041" s="3" t="s">
        <v>100</v>
      </c>
      <c r="N1041" s="3" t="s">
        <v>580</v>
      </c>
      <c r="O1041" s="5">
        <v>198.1152693</v>
      </c>
      <c r="P1041" s="6" t="str">
        <f t="shared" si="2"/>
        <v>Industrial Products</v>
      </c>
    </row>
    <row r="1042" hidden="1">
      <c r="A1042" s="3" t="s">
        <v>4543</v>
      </c>
      <c r="B1042" s="4">
        <v>514442.0</v>
      </c>
      <c r="C1042" s="3" t="s">
        <v>4544</v>
      </c>
      <c r="D1042" s="3" t="s">
        <v>4545</v>
      </c>
      <c r="E1042" s="3" t="s">
        <v>4546</v>
      </c>
      <c r="F1042" s="3" t="s">
        <v>19</v>
      </c>
      <c r="G1042" s="3" t="s">
        <v>44</v>
      </c>
      <c r="H1042" s="3">
        <v>10.0</v>
      </c>
      <c r="I1042" s="3" t="s">
        <v>4543</v>
      </c>
      <c r="J1042" s="3" t="s">
        <v>22</v>
      </c>
      <c r="K1042" s="3" t="s">
        <v>97</v>
      </c>
      <c r="L1042" s="3" t="s">
        <v>98</v>
      </c>
      <c r="M1042" s="3" t="s">
        <v>100</v>
      </c>
      <c r="N1042" s="3" t="s">
        <v>580</v>
      </c>
      <c r="O1042" s="5">
        <v>70.1051639</v>
      </c>
      <c r="P1042" s="6" t="str">
        <f t="shared" si="2"/>
        <v>Industrial Products</v>
      </c>
    </row>
    <row r="1043" hidden="1">
      <c r="A1043" s="3" t="s">
        <v>4547</v>
      </c>
      <c r="B1043" s="4">
        <v>514448.0</v>
      </c>
      <c r="C1043" s="3" t="s">
        <v>4548</v>
      </c>
      <c r="D1043" s="3" t="s">
        <v>4549</v>
      </c>
      <c r="E1043" s="3" t="s">
        <v>4550</v>
      </c>
      <c r="F1043" s="3" t="s">
        <v>19</v>
      </c>
      <c r="G1043" s="3" t="s">
        <v>112</v>
      </c>
      <c r="H1043" s="3">
        <v>10.0</v>
      </c>
      <c r="I1043" s="3" t="s">
        <v>4547</v>
      </c>
      <c r="J1043" s="3" t="s">
        <v>22</v>
      </c>
      <c r="K1043" s="3" t="s">
        <v>23</v>
      </c>
      <c r="L1043" s="3" t="s">
        <v>24</v>
      </c>
      <c r="M1043" s="3" t="s">
        <v>25</v>
      </c>
      <c r="N1043" s="3" t="s">
        <v>26</v>
      </c>
      <c r="O1043" s="5">
        <v>1697.6060655</v>
      </c>
      <c r="P1043" s="6" t="str">
        <f t="shared" si="2"/>
        <v>Specialty Chemicals</v>
      </c>
    </row>
    <row r="1044" hidden="1">
      <c r="A1044" s="3" t="s">
        <v>4551</v>
      </c>
      <c r="B1044" s="4">
        <v>514450.0</v>
      </c>
      <c r="C1044" s="3" t="s">
        <v>4552</v>
      </c>
      <c r="D1044" s="3" t="s">
        <v>4553</v>
      </c>
      <c r="E1044" s="3" t="s">
        <v>4554</v>
      </c>
      <c r="F1044" s="3" t="s">
        <v>19</v>
      </c>
      <c r="G1044" s="3" t="s">
        <v>112</v>
      </c>
      <c r="H1044" s="3">
        <v>10.0</v>
      </c>
      <c r="I1044" s="3" t="s">
        <v>4551</v>
      </c>
      <c r="J1044" s="3" t="s">
        <v>22</v>
      </c>
      <c r="K1044" s="3" t="s">
        <v>58</v>
      </c>
      <c r="L1044" s="3" t="s">
        <v>80</v>
      </c>
      <c r="M1044" s="3" t="s">
        <v>81</v>
      </c>
      <c r="N1044" s="3" t="s">
        <v>82</v>
      </c>
      <c r="O1044" s="5">
        <v>219.3878577</v>
      </c>
      <c r="P1044" s="6" t="str">
        <f t="shared" si="2"/>
        <v>Textiles &amp; Apparels</v>
      </c>
    </row>
    <row r="1045" hidden="1">
      <c r="A1045" s="3" t="s">
        <v>4555</v>
      </c>
      <c r="B1045" s="4">
        <v>514454.0</v>
      </c>
      <c r="C1045" s="3" t="s">
        <v>4556</v>
      </c>
      <c r="D1045" s="3" t="s">
        <v>4557</v>
      </c>
      <c r="E1045" s="3" t="s">
        <v>4558</v>
      </c>
      <c r="F1045" s="3" t="s">
        <v>19</v>
      </c>
      <c r="G1045" s="3" t="s">
        <v>72</v>
      </c>
      <c r="H1045" s="3">
        <v>10.0</v>
      </c>
      <c r="I1045" s="3" t="s">
        <v>4555</v>
      </c>
      <c r="J1045" s="3" t="s">
        <v>22</v>
      </c>
      <c r="K1045" s="3" t="s">
        <v>58</v>
      </c>
      <c r="L1045" s="3" t="s">
        <v>80</v>
      </c>
      <c r="M1045" s="3" t="s">
        <v>81</v>
      </c>
      <c r="N1045" s="3" t="s">
        <v>82</v>
      </c>
      <c r="O1045" s="5">
        <v>1.0</v>
      </c>
      <c r="P1045" s="6" t="str">
        <f t="shared" si="2"/>
        <v>Textiles &amp; Apparels</v>
      </c>
    </row>
    <row r="1046" hidden="1">
      <c r="A1046" s="3" t="s">
        <v>4559</v>
      </c>
      <c r="B1046" s="4">
        <v>541206.0</v>
      </c>
      <c r="C1046" s="3" t="s">
        <v>4560</v>
      </c>
      <c r="D1046" s="3" t="s">
        <v>4561</v>
      </c>
      <c r="E1046" s="3" t="s">
        <v>4562</v>
      </c>
      <c r="F1046" s="3" t="s">
        <v>19</v>
      </c>
      <c r="G1046" s="3" t="s">
        <v>112</v>
      </c>
      <c r="H1046" s="3">
        <v>10.0</v>
      </c>
      <c r="I1046" s="3" t="s">
        <v>4563</v>
      </c>
      <c r="J1046" s="3" t="s">
        <v>22</v>
      </c>
      <c r="K1046" s="3" t="s">
        <v>1673</v>
      </c>
      <c r="L1046" s="3" t="s">
        <v>1673</v>
      </c>
      <c r="M1046" s="3" t="s">
        <v>1689</v>
      </c>
      <c r="N1046" s="3" t="s">
        <v>1690</v>
      </c>
      <c r="O1046" s="5">
        <v>124.0309648</v>
      </c>
      <c r="P1046" s="6" t="str">
        <f t="shared" si="2"/>
        <v>Transport Services</v>
      </c>
    </row>
    <row r="1047" hidden="1">
      <c r="A1047" s="3" t="s">
        <v>4564</v>
      </c>
      <c r="B1047" s="4">
        <v>514470.0</v>
      </c>
      <c r="C1047" s="3" t="s">
        <v>4565</v>
      </c>
      <c r="D1047" s="3" t="s">
        <v>4566</v>
      </c>
      <c r="E1047" s="3" t="s">
        <v>4567</v>
      </c>
      <c r="F1047" s="3" t="s">
        <v>19</v>
      </c>
      <c r="G1047" s="3" t="s">
        <v>44</v>
      </c>
      <c r="H1047" s="3">
        <v>10.0</v>
      </c>
      <c r="I1047" s="3" t="s">
        <v>4564</v>
      </c>
      <c r="J1047" s="3" t="s">
        <v>22</v>
      </c>
      <c r="K1047" s="3" t="s">
        <v>58</v>
      </c>
      <c r="L1047" s="3" t="s">
        <v>80</v>
      </c>
      <c r="M1047" s="3" t="s">
        <v>81</v>
      </c>
      <c r="N1047" s="3" t="s">
        <v>82</v>
      </c>
      <c r="O1047" s="5">
        <v>168.271803</v>
      </c>
      <c r="P1047" s="6" t="str">
        <f t="shared" si="2"/>
        <v>Textiles &amp; Apparels</v>
      </c>
    </row>
    <row r="1048" hidden="1">
      <c r="A1048" s="3" t="s">
        <v>4568</v>
      </c>
      <c r="B1048" s="4">
        <v>515008.0</v>
      </c>
      <c r="C1048" s="3" t="s">
        <v>4569</v>
      </c>
      <c r="D1048" s="3" t="s">
        <v>4570</v>
      </c>
      <c r="E1048" s="3" t="s">
        <v>4571</v>
      </c>
      <c r="F1048" s="3" t="s">
        <v>19</v>
      </c>
      <c r="G1048" s="3" t="s">
        <v>44</v>
      </c>
      <c r="H1048" s="3">
        <v>10.0</v>
      </c>
      <c r="I1048" s="3" t="s">
        <v>4568</v>
      </c>
      <c r="J1048" s="3" t="s">
        <v>22</v>
      </c>
      <c r="K1048" s="3" t="s">
        <v>97</v>
      </c>
      <c r="L1048" s="3" t="s">
        <v>98</v>
      </c>
      <c r="M1048" s="3" t="s">
        <v>1747</v>
      </c>
      <c r="N1048" s="3" t="s">
        <v>1748</v>
      </c>
      <c r="O1048" s="5">
        <v>718.6818116</v>
      </c>
      <c r="P1048" s="6" t="str">
        <f t="shared" si="2"/>
        <v>Electrical Equipment</v>
      </c>
    </row>
    <row r="1049" hidden="1">
      <c r="A1049" s="3" t="s">
        <v>4572</v>
      </c>
      <c r="B1049" s="4">
        <v>515018.0</v>
      </c>
      <c r="C1049" s="3" t="s">
        <v>4573</v>
      </c>
      <c r="D1049" s="3" t="s">
        <v>4574</v>
      </c>
      <c r="E1049" s="3" t="s">
        <v>4575</v>
      </c>
      <c r="F1049" s="3" t="s">
        <v>19</v>
      </c>
      <c r="G1049" s="3" t="s">
        <v>86</v>
      </c>
      <c r="H1049" s="3">
        <v>10.0</v>
      </c>
      <c r="I1049" s="3" t="s">
        <v>4572</v>
      </c>
      <c r="J1049" s="3" t="s">
        <v>22</v>
      </c>
      <c r="K1049" s="3" t="s">
        <v>58</v>
      </c>
      <c r="L1049" s="3" t="s">
        <v>211</v>
      </c>
      <c r="M1049" s="3" t="s">
        <v>211</v>
      </c>
      <c r="N1049" s="3" t="s">
        <v>971</v>
      </c>
      <c r="O1049" s="5">
        <v>148.0917376</v>
      </c>
      <c r="P1049" s="6" t="str">
        <f t="shared" si="2"/>
        <v>Consumer Durables</v>
      </c>
    </row>
    <row r="1050">
      <c r="A1050" s="3" t="s">
        <v>1218</v>
      </c>
      <c r="B1050" s="4">
        <v>543358.0</v>
      </c>
      <c r="C1050" s="3" t="s">
        <v>4576</v>
      </c>
      <c r="D1050" s="3" t="s">
        <v>4577</v>
      </c>
      <c r="E1050" s="3" t="s">
        <v>4578</v>
      </c>
      <c r="F1050" s="3" t="s">
        <v>19</v>
      </c>
      <c r="G1050" s="3" t="s">
        <v>20</v>
      </c>
      <c r="H1050" s="3">
        <v>2.0</v>
      </c>
      <c r="I1050" s="3" t="s">
        <v>4579</v>
      </c>
      <c r="J1050" s="3" t="s">
        <v>22</v>
      </c>
      <c r="K1050" s="3" t="s">
        <v>58</v>
      </c>
      <c r="L1050" s="3" t="s">
        <v>133</v>
      </c>
      <c r="M1050" s="3" t="s">
        <v>134</v>
      </c>
      <c r="N1050" s="3" t="s">
        <v>135</v>
      </c>
      <c r="O1050" s="5">
        <v>7185.0438</v>
      </c>
      <c r="P1050" s="6" t="str">
        <f t="shared" si="2"/>
        <v>Auto Components &amp; Equipments</v>
      </c>
    </row>
    <row r="1051" hidden="1">
      <c r="A1051" s="3" t="s">
        <v>4580</v>
      </c>
      <c r="B1051" s="4">
        <v>515037.0</v>
      </c>
      <c r="C1051" s="3" t="s">
        <v>4581</v>
      </c>
      <c r="D1051" s="3" t="s">
        <v>4582</v>
      </c>
      <c r="E1051" s="3" t="s">
        <v>4583</v>
      </c>
      <c r="F1051" s="3" t="s">
        <v>19</v>
      </c>
      <c r="G1051" s="3" t="s">
        <v>112</v>
      </c>
      <c r="H1051" s="3">
        <v>10.0</v>
      </c>
      <c r="I1051" s="3" t="s">
        <v>4580</v>
      </c>
      <c r="J1051" s="3" t="s">
        <v>22</v>
      </c>
      <c r="K1051" s="3" t="s">
        <v>58</v>
      </c>
      <c r="L1051" s="3" t="s">
        <v>211</v>
      </c>
      <c r="M1051" s="3" t="s">
        <v>211</v>
      </c>
      <c r="N1051" s="3" t="s">
        <v>971</v>
      </c>
      <c r="O1051" s="5">
        <v>316.3495815</v>
      </c>
      <c r="P1051" s="6" t="str">
        <f t="shared" si="2"/>
        <v>Consumer Durables</v>
      </c>
    </row>
    <row r="1052" hidden="1">
      <c r="A1052" s="3" t="s">
        <v>4584</v>
      </c>
      <c r="B1052" s="4">
        <v>515043.0</v>
      </c>
      <c r="C1052" s="3" t="s">
        <v>4585</v>
      </c>
      <c r="D1052" s="3" t="s">
        <v>4586</v>
      </c>
      <c r="E1052" s="3" t="s">
        <v>4587</v>
      </c>
      <c r="F1052" s="3" t="s">
        <v>19</v>
      </c>
      <c r="G1052" s="3" t="s">
        <v>112</v>
      </c>
      <c r="H1052" s="3">
        <v>10.0</v>
      </c>
      <c r="I1052" s="3" t="s">
        <v>4584</v>
      </c>
      <c r="J1052" s="3" t="s">
        <v>22</v>
      </c>
      <c r="K1052" s="3" t="s">
        <v>58</v>
      </c>
      <c r="L1052" s="3" t="s">
        <v>133</v>
      </c>
      <c r="M1052" s="3" t="s">
        <v>134</v>
      </c>
      <c r="N1052" s="3" t="s">
        <v>135</v>
      </c>
      <c r="O1052" s="5">
        <v>1225.4998515</v>
      </c>
      <c r="P1052" s="6" t="str">
        <f t="shared" si="2"/>
        <v>Auto Components &amp; Equipments</v>
      </c>
    </row>
    <row r="1053">
      <c r="A1053" s="3" t="s">
        <v>1222</v>
      </c>
      <c r="B1053" s="4">
        <v>543384.0</v>
      </c>
      <c r="C1053" s="3" t="s">
        <v>4588</v>
      </c>
      <c r="D1053" s="3" t="s">
        <v>4589</v>
      </c>
      <c r="E1053" s="3" t="s">
        <v>4590</v>
      </c>
      <c r="F1053" s="3" t="s">
        <v>19</v>
      </c>
      <c r="G1053" s="3" t="s">
        <v>20</v>
      </c>
      <c r="H1053" s="3">
        <v>1.0</v>
      </c>
      <c r="I1053" s="3" t="s">
        <v>4591</v>
      </c>
      <c r="J1053" s="3" t="s">
        <v>22</v>
      </c>
      <c r="K1053" s="3" t="s">
        <v>58</v>
      </c>
      <c r="L1053" s="3" t="s">
        <v>73</v>
      </c>
      <c r="M1053" s="3" t="s">
        <v>988</v>
      </c>
      <c r="N1053" s="3" t="s">
        <v>2246</v>
      </c>
      <c r="O1053" s="5">
        <v>49896.0120714</v>
      </c>
      <c r="P1053" s="6" t="str">
        <f t="shared" si="2"/>
        <v>Retailing</v>
      </c>
    </row>
    <row r="1054" hidden="1">
      <c r="A1054" s="3" t="s">
        <v>4592</v>
      </c>
      <c r="B1054" s="4">
        <v>515059.0</v>
      </c>
      <c r="C1054" s="3" t="s">
        <v>4593</v>
      </c>
      <c r="D1054" s="3" t="s">
        <v>4594</v>
      </c>
      <c r="E1054" s="3" t="s">
        <v>4595</v>
      </c>
      <c r="F1054" s="3" t="s">
        <v>19</v>
      </c>
      <c r="G1054" s="3" t="s">
        <v>44</v>
      </c>
      <c r="H1054" s="3">
        <v>5.0</v>
      </c>
      <c r="I1054" s="3" t="s">
        <v>4592</v>
      </c>
      <c r="J1054" s="3" t="s">
        <v>22</v>
      </c>
      <c r="K1054" s="3" t="s">
        <v>145</v>
      </c>
      <c r="L1054" s="3" t="s">
        <v>145</v>
      </c>
      <c r="M1054" s="3" t="s">
        <v>146</v>
      </c>
      <c r="N1054" s="3" t="s">
        <v>575</v>
      </c>
      <c r="O1054" s="5">
        <v>1.0</v>
      </c>
      <c r="P1054" s="6" t="str">
        <f t="shared" si="2"/>
        <v>Agricultural Food &amp; other Products</v>
      </c>
    </row>
    <row r="1055" hidden="1">
      <c r="A1055" s="3" t="s">
        <v>4596</v>
      </c>
      <c r="B1055" s="4">
        <v>515085.0</v>
      </c>
      <c r="C1055" s="3" t="s">
        <v>4597</v>
      </c>
      <c r="D1055" s="3" t="s">
        <v>4598</v>
      </c>
      <c r="E1055" s="3" t="s">
        <v>4599</v>
      </c>
      <c r="F1055" s="3" t="s">
        <v>19</v>
      </c>
      <c r="G1055" s="3" t="s">
        <v>72</v>
      </c>
      <c r="H1055" s="3">
        <v>10.0</v>
      </c>
      <c r="I1055" s="3" t="s">
        <v>4596</v>
      </c>
      <c r="J1055" s="3" t="s">
        <v>22</v>
      </c>
      <c r="K1055" s="3" t="s">
        <v>58</v>
      </c>
      <c r="L1055" s="3" t="s">
        <v>211</v>
      </c>
      <c r="M1055" s="3" t="s">
        <v>211</v>
      </c>
      <c r="N1055" s="3" t="s">
        <v>971</v>
      </c>
      <c r="O1055" s="5">
        <v>48.0858098</v>
      </c>
      <c r="P1055" s="6" t="str">
        <f t="shared" si="2"/>
        <v>Consumer Durables</v>
      </c>
    </row>
    <row r="1056" hidden="1">
      <c r="A1056" s="3" t="s">
        <v>4600</v>
      </c>
      <c r="B1056" s="4">
        <v>515093.0</v>
      </c>
      <c r="C1056" s="3" t="s">
        <v>4601</v>
      </c>
      <c r="D1056" s="3" t="s">
        <v>4602</v>
      </c>
      <c r="E1056" s="3" t="s">
        <v>4603</v>
      </c>
      <c r="F1056" s="3" t="s">
        <v>19</v>
      </c>
      <c r="G1056" s="3" t="s">
        <v>86</v>
      </c>
      <c r="H1056" s="3">
        <v>10.0</v>
      </c>
      <c r="I1056" s="3" t="s">
        <v>4600</v>
      </c>
      <c r="J1056" s="3" t="s">
        <v>22</v>
      </c>
      <c r="K1056" s="3" t="s">
        <v>58</v>
      </c>
      <c r="L1056" s="3" t="s">
        <v>211</v>
      </c>
      <c r="M1056" s="3" t="s">
        <v>211</v>
      </c>
      <c r="N1056" s="3" t="s">
        <v>4317</v>
      </c>
      <c r="O1056" s="5">
        <v>42.9455993</v>
      </c>
      <c r="P1056" s="6" t="str">
        <f t="shared" si="2"/>
        <v>Consumer Durables</v>
      </c>
    </row>
    <row r="1057" hidden="1">
      <c r="A1057" s="3" t="s">
        <v>4604</v>
      </c>
      <c r="B1057" s="4">
        <v>540377.0</v>
      </c>
      <c r="C1057" s="3" t="s">
        <v>4605</v>
      </c>
      <c r="D1057" s="3" t="s">
        <v>4606</v>
      </c>
      <c r="E1057" s="3" t="s">
        <v>4607</v>
      </c>
      <c r="F1057" s="3" t="s">
        <v>19</v>
      </c>
      <c r="G1057" s="3" t="s">
        <v>86</v>
      </c>
      <c r="H1057" s="3">
        <v>1.0</v>
      </c>
      <c r="I1057" s="3" t="s">
        <v>4608</v>
      </c>
      <c r="J1057" s="3" t="s">
        <v>22</v>
      </c>
      <c r="K1057" s="3" t="s">
        <v>1673</v>
      </c>
      <c r="L1057" s="3" t="s">
        <v>1673</v>
      </c>
      <c r="M1057" s="3" t="s">
        <v>1674</v>
      </c>
      <c r="N1057" s="3" t="s">
        <v>1915</v>
      </c>
      <c r="O1057" s="5">
        <v>116.4833731</v>
      </c>
      <c r="P1057" s="6" t="str">
        <f t="shared" si="2"/>
        <v>Commercial Services &amp; Supplies</v>
      </c>
    </row>
    <row r="1058" hidden="1">
      <c r="A1058" s="3" t="s">
        <v>4609</v>
      </c>
      <c r="B1058" s="4">
        <v>515145.0</v>
      </c>
      <c r="C1058" s="3" t="s">
        <v>4610</v>
      </c>
      <c r="D1058" s="3" t="s">
        <v>4611</v>
      </c>
      <c r="E1058" s="3" t="s">
        <v>4612</v>
      </c>
      <c r="F1058" s="3" t="s">
        <v>19</v>
      </c>
      <c r="G1058" s="3" t="s">
        <v>86</v>
      </c>
      <c r="H1058" s="3">
        <v>2.0</v>
      </c>
      <c r="I1058" s="3" t="s">
        <v>4609</v>
      </c>
      <c r="J1058" s="3" t="s">
        <v>22</v>
      </c>
      <c r="K1058" s="3" t="s">
        <v>97</v>
      </c>
      <c r="L1058" s="3" t="s">
        <v>98</v>
      </c>
      <c r="M1058" s="3" t="s">
        <v>100</v>
      </c>
      <c r="N1058" s="3" t="s">
        <v>373</v>
      </c>
      <c r="O1058" s="5">
        <v>220.4739255</v>
      </c>
      <c r="P1058" s="6" t="str">
        <f t="shared" si="2"/>
        <v>Industrial Products</v>
      </c>
    </row>
    <row r="1059" hidden="1">
      <c r="A1059" s="3" t="s">
        <v>4613</v>
      </c>
      <c r="B1059" s="4">
        <v>515147.0</v>
      </c>
      <c r="C1059" s="3" t="s">
        <v>4614</v>
      </c>
      <c r="D1059" s="3" t="s">
        <v>4615</v>
      </c>
      <c r="E1059" s="3" t="s">
        <v>4616</v>
      </c>
      <c r="F1059" s="3" t="s">
        <v>19</v>
      </c>
      <c r="G1059" s="3" t="s">
        <v>44</v>
      </c>
      <c r="H1059" s="3">
        <v>1.0</v>
      </c>
      <c r="I1059" s="3" t="s">
        <v>4613</v>
      </c>
      <c r="J1059" s="3" t="s">
        <v>22</v>
      </c>
      <c r="K1059" s="3" t="s">
        <v>97</v>
      </c>
      <c r="L1059" s="3" t="s">
        <v>98</v>
      </c>
      <c r="M1059" s="3" t="s">
        <v>100</v>
      </c>
      <c r="N1059" s="3" t="s">
        <v>373</v>
      </c>
      <c r="O1059" s="5">
        <v>719.8034768</v>
      </c>
      <c r="P1059" s="6" t="str">
        <f t="shared" si="2"/>
        <v>Industrial Products</v>
      </c>
    </row>
    <row r="1060" hidden="1">
      <c r="A1060" s="3" t="s">
        <v>4617</v>
      </c>
      <c r="B1060" s="4">
        <v>516003.0</v>
      </c>
      <c r="C1060" s="3" t="s">
        <v>4618</v>
      </c>
      <c r="D1060" s="3" t="s">
        <v>4619</v>
      </c>
      <c r="E1060" s="3" t="s">
        <v>4620</v>
      </c>
      <c r="F1060" s="3" t="s">
        <v>19</v>
      </c>
      <c r="G1060" s="3" t="s">
        <v>44</v>
      </c>
      <c r="H1060" s="3">
        <v>10.0</v>
      </c>
      <c r="I1060" s="3" t="s">
        <v>4617</v>
      </c>
      <c r="J1060" s="3" t="s">
        <v>22</v>
      </c>
      <c r="K1060" s="3" t="s">
        <v>58</v>
      </c>
      <c r="L1060" s="3" t="s">
        <v>211</v>
      </c>
      <c r="M1060" s="3" t="s">
        <v>211</v>
      </c>
      <c r="N1060" s="3" t="s">
        <v>1444</v>
      </c>
      <c r="O1060" s="5">
        <v>296.1305998</v>
      </c>
      <c r="P1060" s="6" t="str">
        <f t="shared" si="2"/>
        <v>Consumer Durables</v>
      </c>
    </row>
    <row r="1061" hidden="1">
      <c r="A1061" s="3" t="s">
        <v>4621</v>
      </c>
      <c r="B1061" s="4">
        <v>516016.0</v>
      </c>
      <c r="C1061" s="3" t="s">
        <v>4622</v>
      </c>
      <c r="D1061" s="3" t="s">
        <v>4623</v>
      </c>
      <c r="E1061" s="3" t="s">
        <v>4624</v>
      </c>
      <c r="F1061" s="3" t="s">
        <v>19</v>
      </c>
      <c r="G1061" s="3" t="s">
        <v>112</v>
      </c>
      <c r="H1061" s="3">
        <v>10.0</v>
      </c>
      <c r="I1061" s="3" t="s">
        <v>4621</v>
      </c>
      <c r="J1061" s="3" t="s">
        <v>22</v>
      </c>
      <c r="K1061" s="3" t="s">
        <v>23</v>
      </c>
      <c r="L1061" s="3" t="s">
        <v>32</v>
      </c>
      <c r="M1061" s="3" t="s">
        <v>33</v>
      </c>
      <c r="N1061" s="3" t="s">
        <v>34</v>
      </c>
      <c r="O1061" s="5">
        <v>397.2786159</v>
      </c>
      <c r="P1061" s="6" t="str">
        <f t="shared" si="2"/>
        <v>Paper, Forest &amp; Jute Products</v>
      </c>
    </row>
    <row r="1062" hidden="1">
      <c r="A1062" s="3" t="s">
        <v>4625</v>
      </c>
      <c r="B1062" s="4">
        <v>516020.0</v>
      </c>
      <c r="C1062" s="3" t="s">
        <v>4626</v>
      </c>
      <c r="D1062" s="3" t="s">
        <v>4627</v>
      </c>
      <c r="E1062" s="3" t="s">
        <v>4628</v>
      </c>
      <c r="F1062" s="3" t="s">
        <v>19</v>
      </c>
      <c r="G1062" s="3" t="s">
        <v>72</v>
      </c>
      <c r="H1062" s="3">
        <v>10.0</v>
      </c>
      <c r="I1062" s="3" t="s">
        <v>4625</v>
      </c>
      <c r="J1062" s="3" t="s">
        <v>22</v>
      </c>
      <c r="K1062" s="3" t="s">
        <v>23</v>
      </c>
      <c r="L1062" s="3" t="s">
        <v>32</v>
      </c>
      <c r="M1062" s="3" t="s">
        <v>33</v>
      </c>
      <c r="N1062" s="3" t="s">
        <v>34</v>
      </c>
      <c r="O1062" s="5">
        <v>1.0</v>
      </c>
      <c r="P1062" s="6" t="str">
        <f t="shared" si="2"/>
        <v>Paper, Forest &amp; Jute Products</v>
      </c>
    </row>
    <row r="1063" hidden="1">
      <c r="A1063" s="3" t="s">
        <v>4629</v>
      </c>
      <c r="B1063" s="4">
        <v>516022.0</v>
      </c>
      <c r="C1063" s="3" t="s">
        <v>4630</v>
      </c>
      <c r="D1063" s="3" t="s">
        <v>4631</v>
      </c>
      <c r="E1063" s="3" t="s">
        <v>4632</v>
      </c>
      <c r="F1063" s="3" t="s">
        <v>19</v>
      </c>
      <c r="G1063" s="3" t="s">
        <v>112</v>
      </c>
      <c r="H1063" s="3">
        <v>10.0</v>
      </c>
      <c r="I1063" s="3" t="s">
        <v>4629</v>
      </c>
      <c r="J1063" s="3" t="s">
        <v>22</v>
      </c>
      <c r="K1063" s="3" t="s">
        <v>23</v>
      </c>
      <c r="L1063" s="3" t="s">
        <v>32</v>
      </c>
      <c r="M1063" s="3" t="s">
        <v>33</v>
      </c>
      <c r="N1063" s="3" t="s">
        <v>34</v>
      </c>
      <c r="O1063" s="5">
        <v>422.057678</v>
      </c>
      <c r="P1063" s="6" t="str">
        <f t="shared" si="2"/>
        <v>Paper, Forest &amp; Jute Products</v>
      </c>
    </row>
    <row r="1064" hidden="1">
      <c r="A1064" s="3" t="s">
        <v>4633</v>
      </c>
      <c r="B1064" s="4">
        <v>516030.0</v>
      </c>
      <c r="C1064" s="3" t="s">
        <v>4634</v>
      </c>
      <c r="D1064" s="3" t="s">
        <v>4635</v>
      </c>
      <c r="E1064" s="3" t="s">
        <v>4636</v>
      </c>
      <c r="F1064" s="3" t="s">
        <v>19</v>
      </c>
      <c r="G1064" s="3" t="s">
        <v>112</v>
      </c>
      <c r="H1064" s="3">
        <v>10.0</v>
      </c>
      <c r="I1064" s="3" t="s">
        <v>4633</v>
      </c>
      <c r="J1064" s="3" t="s">
        <v>22</v>
      </c>
      <c r="K1064" s="3" t="s">
        <v>23</v>
      </c>
      <c r="L1064" s="3" t="s">
        <v>32</v>
      </c>
      <c r="M1064" s="3" t="s">
        <v>33</v>
      </c>
      <c r="N1064" s="3" t="s">
        <v>34</v>
      </c>
      <c r="O1064" s="5">
        <v>1050.24676</v>
      </c>
      <c r="P1064" s="6" t="str">
        <f t="shared" si="2"/>
        <v>Paper, Forest &amp; Jute Products</v>
      </c>
    </row>
    <row r="1065" hidden="1">
      <c r="A1065" s="3" t="s">
        <v>4637</v>
      </c>
      <c r="B1065" s="4">
        <v>516032.0</v>
      </c>
      <c r="C1065" s="3" t="s">
        <v>4638</v>
      </c>
      <c r="D1065" s="3" t="s">
        <v>4639</v>
      </c>
      <c r="E1065" s="3" t="s">
        <v>4640</v>
      </c>
      <c r="F1065" s="3" t="s">
        <v>19</v>
      </c>
      <c r="G1065" s="3" t="s">
        <v>72</v>
      </c>
      <c r="H1065" s="3">
        <v>1.0</v>
      </c>
      <c r="I1065" s="3" t="s">
        <v>4637</v>
      </c>
      <c r="J1065" s="3" t="s">
        <v>22</v>
      </c>
      <c r="K1065" s="3" t="s">
        <v>145</v>
      </c>
      <c r="L1065" s="3" t="s">
        <v>145</v>
      </c>
      <c r="M1065" s="3" t="s">
        <v>2558</v>
      </c>
      <c r="N1065" s="3" t="s">
        <v>2559</v>
      </c>
      <c r="O1065" s="5">
        <v>159.3403</v>
      </c>
      <c r="P1065" s="6" t="str">
        <f t="shared" si="2"/>
        <v>Beverages</v>
      </c>
    </row>
    <row r="1066" hidden="1">
      <c r="A1066" s="3" t="s">
        <v>4641</v>
      </c>
      <c r="B1066" s="4">
        <v>516038.0</v>
      </c>
      <c r="C1066" s="3" t="s">
        <v>4642</v>
      </c>
      <c r="D1066" s="3" t="s">
        <v>4643</v>
      </c>
      <c r="E1066" s="3" t="s">
        <v>4644</v>
      </c>
      <c r="F1066" s="3" t="s">
        <v>19</v>
      </c>
      <c r="G1066" s="3" t="s">
        <v>72</v>
      </c>
      <c r="H1066" s="3">
        <v>10.0</v>
      </c>
      <c r="I1066" s="3" t="s">
        <v>4641</v>
      </c>
      <c r="J1066" s="3" t="s">
        <v>22</v>
      </c>
      <c r="K1066" s="3" t="s">
        <v>23</v>
      </c>
      <c r="L1066" s="3" t="s">
        <v>32</v>
      </c>
      <c r="M1066" s="3" t="s">
        <v>33</v>
      </c>
      <c r="N1066" s="3" t="s">
        <v>34</v>
      </c>
      <c r="O1066" s="5">
        <v>1.0</v>
      </c>
      <c r="P1066" s="6" t="str">
        <f t="shared" si="2"/>
        <v>Paper, Forest &amp; Jute Products</v>
      </c>
    </row>
    <row r="1067" hidden="1">
      <c r="A1067" s="3" t="s">
        <v>4645</v>
      </c>
      <c r="B1067" s="4">
        <v>516064.0</v>
      </c>
      <c r="C1067" s="3" t="s">
        <v>4646</v>
      </c>
      <c r="D1067" s="3" t="s">
        <v>4647</v>
      </c>
      <c r="E1067" s="3" t="s">
        <v>4648</v>
      </c>
      <c r="F1067" s="3" t="s">
        <v>19</v>
      </c>
      <c r="G1067" s="3" t="s">
        <v>112</v>
      </c>
      <c r="H1067" s="3">
        <v>10.0</v>
      </c>
      <c r="I1067" s="3" t="s">
        <v>4645</v>
      </c>
      <c r="J1067" s="3" t="s">
        <v>22</v>
      </c>
      <c r="K1067" s="3" t="s">
        <v>97</v>
      </c>
      <c r="L1067" s="3" t="s">
        <v>98</v>
      </c>
      <c r="M1067" s="3" t="s">
        <v>100</v>
      </c>
      <c r="N1067" s="3" t="s">
        <v>373</v>
      </c>
      <c r="O1067" s="5">
        <v>865.08971</v>
      </c>
      <c r="P1067" s="6" t="str">
        <f t="shared" si="2"/>
        <v>Industrial Products</v>
      </c>
    </row>
    <row r="1068" hidden="1">
      <c r="A1068" s="3" t="s">
        <v>4649</v>
      </c>
      <c r="B1068" s="4">
        <v>516072.0</v>
      </c>
      <c r="C1068" s="3" t="s">
        <v>4650</v>
      </c>
      <c r="D1068" s="3" t="s">
        <v>4651</v>
      </c>
      <c r="E1068" s="3" t="s">
        <v>4652</v>
      </c>
      <c r="F1068" s="3" t="s">
        <v>19</v>
      </c>
      <c r="G1068" s="3" t="s">
        <v>112</v>
      </c>
      <c r="H1068" s="3">
        <v>2.0</v>
      </c>
      <c r="I1068" s="3" t="s">
        <v>4649</v>
      </c>
      <c r="J1068" s="3" t="s">
        <v>22</v>
      </c>
      <c r="K1068" s="3" t="s">
        <v>23</v>
      </c>
      <c r="L1068" s="3" t="s">
        <v>24</v>
      </c>
      <c r="M1068" s="3" t="s">
        <v>25</v>
      </c>
      <c r="N1068" s="3" t="s">
        <v>26</v>
      </c>
      <c r="O1068" s="5">
        <v>3039.5209496</v>
      </c>
      <c r="P1068" s="6" t="str">
        <f t="shared" si="2"/>
        <v>Specialty Chemicals</v>
      </c>
    </row>
    <row r="1069" hidden="1">
      <c r="A1069" s="3" t="s">
        <v>4653</v>
      </c>
      <c r="B1069" s="4">
        <v>516078.0</v>
      </c>
      <c r="C1069" s="3" t="s">
        <v>4654</v>
      </c>
      <c r="D1069" s="3" t="s">
        <v>4655</v>
      </c>
      <c r="E1069" s="3" t="s">
        <v>4656</v>
      </c>
      <c r="F1069" s="3" t="s">
        <v>19</v>
      </c>
      <c r="G1069" s="3" t="s">
        <v>44</v>
      </c>
      <c r="H1069" s="3">
        <v>10.0</v>
      </c>
      <c r="I1069" s="3" t="s">
        <v>4653</v>
      </c>
      <c r="J1069" s="3" t="s">
        <v>22</v>
      </c>
      <c r="K1069" s="3" t="s">
        <v>97</v>
      </c>
      <c r="L1069" s="3" t="s">
        <v>98</v>
      </c>
      <c r="M1069" s="3" t="s">
        <v>100</v>
      </c>
      <c r="N1069" s="3" t="s">
        <v>373</v>
      </c>
      <c r="O1069" s="5">
        <v>1.0</v>
      </c>
      <c r="P1069" s="6" t="str">
        <f t="shared" si="2"/>
        <v>Industrial Products</v>
      </c>
    </row>
    <row r="1070" hidden="1">
      <c r="A1070" s="3" t="s">
        <v>4657</v>
      </c>
      <c r="B1070" s="4">
        <v>516082.0</v>
      </c>
      <c r="C1070" s="3" t="s">
        <v>4658</v>
      </c>
      <c r="D1070" s="3" t="s">
        <v>4659</v>
      </c>
      <c r="E1070" s="3" t="s">
        <v>4660</v>
      </c>
      <c r="F1070" s="3" t="s">
        <v>19</v>
      </c>
      <c r="G1070" s="3" t="s">
        <v>112</v>
      </c>
      <c r="H1070" s="3">
        <v>10.0</v>
      </c>
      <c r="I1070" s="3" t="s">
        <v>4657</v>
      </c>
      <c r="J1070" s="3" t="s">
        <v>22</v>
      </c>
      <c r="K1070" s="3" t="s">
        <v>23</v>
      </c>
      <c r="L1070" s="3" t="s">
        <v>32</v>
      </c>
      <c r="M1070" s="3" t="s">
        <v>33</v>
      </c>
      <c r="N1070" s="3" t="s">
        <v>34</v>
      </c>
      <c r="O1070" s="5">
        <v>917.196288</v>
      </c>
      <c r="P1070" s="6" t="str">
        <f t="shared" si="2"/>
        <v>Paper, Forest &amp; Jute Products</v>
      </c>
    </row>
    <row r="1071" hidden="1">
      <c r="A1071" s="3" t="s">
        <v>4661</v>
      </c>
      <c r="B1071" s="4">
        <v>516092.0</v>
      </c>
      <c r="C1071" s="3" t="s">
        <v>4662</v>
      </c>
      <c r="D1071" s="3" t="s">
        <v>4663</v>
      </c>
      <c r="E1071" s="3" t="s">
        <v>4664</v>
      </c>
      <c r="F1071" s="3" t="s">
        <v>19</v>
      </c>
      <c r="G1071" s="3" t="s">
        <v>112</v>
      </c>
      <c r="H1071" s="3">
        <v>2.0</v>
      </c>
      <c r="I1071" s="3" t="s">
        <v>4661</v>
      </c>
      <c r="J1071" s="3" t="s">
        <v>22</v>
      </c>
      <c r="K1071" s="3" t="s">
        <v>204</v>
      </c>
      <c r="L1071" s="3" t="s">
        <v>204</v>
      </c>
      <c r="M1071" s="3" t="s">
        <v>378</v>
      </c>
      <c r="N1071" s="3" t="s">
        <v>384</v>
      </c>
      <c r="O1071" s="5">
        <v>69.799996</v>
      </c>
      <c r="P1071" s="6" t="str">
        <f t="shared" si="2"/>
        <v>Finance</v>
      </c>
    </row>
    <row r="1072" hidden="1">
      <c r="A1072" s="3" t="s">
        <v>4665</v>
      </c>
      <c r="B1072" s="4">
        <v>516096.0</v>
      </c>
      <c r="C1072" s="3" t="s">
        <v>4666</v>
      </c>
      <c r="D1072" s="3" t="s">
        <v>4667</v>
      </c>
      <c r="E1072" s="3" t="s">
        <v>4668</v>
      </c>
      <c r="F1072" s="3" t="s">
        <v>19</v>
      </c>
      <c r="G1072" s="3" t="s">
        <v>44</v>
      </c>
      <c r="H1072" s="3">
        <v>10.0</v>
      </c>
      <c r="I1072" s="3" t="s">
        <v>4665</v>
      </c>
      <c r="J1072" s="3" t="s">
        <v>22</v>
      </c>
      <c r="K1072" s="3" t="s">
        <v>23</v>
      </c>
      <c r="L1072" s="3" t="s">
        <v>32</v>
      </c>
      <c r="M1072" s="3" t="s">
        <v>33</v>
      </c>
      <c r="N1072" s="3" t="s">
        <v>34</v>
      </c>
      <c r="O1072" s="5">
        <v>28.7469107</v>
      </c>
      <c r="P1072" s="6" t="str">
        <f t="shared" si="2"/>
        <v>Paper, Forest &amp; Jute Products</v>
      </c>
    </row>
    <row r="1073" hidden="1">
      <c r="A1073" s="3" t="s">
        <v>4669</v>
      </c>
      <c r="B1073" s="4">
        <v>516098.0</v>
      </c>
      <c r="C1073" s="3" t="s">
        <v>4670</v>
      </c>
      <c r="D1073" s="3" t="s">
        <v>4671</v>
      </c>
      <c r="E1073" s="3" t="s">
        <v>4672</v>
      </c>
      <c r="F1073" s="3" t="s">
        <v>19</v>
      </c>
      <c r="G1073" s="3" t="s">
        <v>44</v>
      </c>
      <c r="H1073" s="3">
        <v>10.0</v>
      </c>
      <c r="I1073" s="3" t="s">
        <v>4669</v>
      </c>
      <c r="J1073" s="3" t="s">
        <v>22</v>
      </c>
      <c r="K1073" s="3" t="s">
        <v>58</v>
      </c>
      <c r="L1073" s="3" t="s">
        <v>80</v>
      </c>
      <c r="M1073" s="3" t="s">
        <v>81</v>
      </c>
      <c r="N1073" s="3" t="s">
        <v>82</v>
      </c>
      <c r="O1073" s="5">
        <v>26.4175676</v>
      </c>
      <c r="P1073" s="6" t="str">
        <f t="shared" si="2"/>
        <v>Textiles &amp; Apparels</v>
      </c>
    </row>
    <row r="1074" hidden="1">
      <c r="A1074" s="3" t="s">
        <v>4673</v>
      </c>
      <c r="B1074" s="4">
        <v>516106.0</v>
      </c>
      <c r="C1074" s="3" t="s">
        <v>4674</v>
      </c>
      <c r="D1074" s="3" t="s">
        <v>4675</v>
      </c>
      <c r="E1074" s="3" t="s">
        <v>4676</v>
      </c>
      <c r="F1074" s="3" t="s">
        <v>19</v>
      </c>
      <c r="G1074" s="3" t="s">
        <v>44</v>
      </c>
      <c r="H1074" s="3">
        <v>5.0</v>
      </c>
      <c r="I1074" s="3" t="s">
        <v>4673</v>
      </c>
      <c r="J1074" s="3" t="s">
        <v>22</v>
      </c>
      <c r="K1074" s="3" t="s">
        <v>23</v>
      </c>
      <c r="L1074" s="3" t="s">
        <v>32</v>
      </c>
      <c r="M1074" s="3" t="s">
        <v>33</v>
      </c>
      <c r="N1074" s="3" t="s">
        <v>34</v>
      </c>
      <c r="O1074" s="5">
        <v>21.2042764</v>
      </c>
      <c r="P1074" s="6" t="str">
        <f t="shared" si="2"/>
        <v>Paper, Forest &amp; Jute Products</v>
      </c>
    </row>
    <row r="1075" hidden="1">
      <c r="A1075" s="3" t="s">
        <v>4677</v>
      </c>
      <c r="B1075" s="4">
        <v>516108.0</v>
      </c>
      <c r="C1075" s="3" t="s">
        <v>4678</v>
      </c>
      <c r="D1075" s="3" t="s">
        <v>4679</v>
      </c>
      <c r="E1075" s="3" t="s">
        <v>4680</v>
      </c>
      <c r="F1075" s="3" t="s">
        <v>19</v>
      </c>
      <c r="G1075" s="3" t="s">
        <v>44</v>
      </c>
      <c r="H1075" s="3">
        <v>10.0</v>
      </c>
      <c r="I1075" s="3" t="s">
        <v>4677</v>
      </c>
      <c r="J1075" s="3" t="s">
        <v>22</v>
      </c>
      <c r="K1075" s="3" t="s">
        <v>23</v>
      </c>
      <c r="L1075" s="3" t="s">
        <v>32</v>
      </c>
      <c r="M1075" s="3" t="s">
        <v>33</v>
      </c>
      <c r="N1075" s="3" t="s">
        <v>34</v>
      </c>
      <c r="O1075" s="5">
        <v>194.1413845</v>
      </c>
      <c r="P1075" s="6" t="str">
        <f t="shared" si="2"/>
        <v>Paper, Forest &amp; Jute Products</v>
      </c>
    </row>
    <row r="1076" hidden="1">
      <c r="A1076" s="3" t="s">
        <v>4681</v>
      </c>
      <c r="B1076" s="4">
        <v>516110.0</v>
      </c>
      <c r="C1076" s="3" t="s">
        <v>4682</v>
      </c>
      <c r="D1076" s="3" t="s">
        <v>4683</v>
      </c>
      <c r="E1076" s="3" t="s">
        <v>4684</v>
      </c>
      <c r="F1076" s="3" t="s">
        <v>19</v>
      </c>
      <c r="G1076" s="3" t="s">
        <v>44</v>
      </c>
      <c r="H1076" s="3">
        <v>10.0</v>
      </c>
      <c r="I1076" s="3" t="s">
        <v>4681</v>
      </c>
      <c r="J1076" s="3" t="s">
        <v>22</v>
      </c>
      <c r="K1076" s="3" t="s">
        <v>45</v>
      </c>
      <c r="L1076" s="3" t="s">
        <v>45</v>
      </c>
      <c r="M1076" s="3" t="s">
        <v>4488</v>
      </c>
      <c r="N1076" s="3" t="s">
        <v>4489</v>
      </c>
      <c r="O1076" s="5">
        <v>40.0840208</v>
      </c>
      <c r="P1076" s="6" t="str">
        <f t="shared" si="2"/>
        <v>Healthcare Services</v>
      </c>
    </row>
    <row r="1077" hidden="1">
      <c r="A1077" s="3" t="s">
        <v>4685</v>
      </c>
      <c r="B1077" s="4">
        <v>517015.0</v>
      </c>
      <c r="C1077" s="3" t="s">
        <v>4686</v>
      </c>
      <c r="D1077" s="3" t="s">
        <v>4687</v>
      </c>
      <c r="E1077" s="3" t="s">
        <v>4688</v>
      </c>
      <c r="F1077" s="3" t="s">
        <v>19</v>
      </c>
      <c r="G1077" s="3" t="s">
        <v>112</v>
      </c>
      <c r="H1077" s="3">
        <v>10.0</v>
      </c>
      <c r="I1077" s="3" t="s">
        <v>4685</v>
      </c>
      <c r="J1077" s="3" t="s">
        <v>22</v>
      </c>
      <c r="K1077" s="3" t="s">
        <v>189</v>
      </c>
      <c r="L1077" s="3" t="s">
        <v>189</v>
      </c>
      <c r="M1077" s="3" t="s">
        <v>291</v>
      </c>
      <c r="N1077" s="3" t="s">
        <v>4689</v>
      </c>
      <c r="O1077" s="5">
        <v>2777.2170029</v>
      </c>
      <c r="P1077" s="6" t="str">
        <f t="shared" si="2"/>
        <v>Telecom - Services</v>
      </c>
    </row>
    <row r="1078" hidden="1">
      <c r="A1078" s="3" t="s">
        <v>4690</v>
      </c>
      <c r="B1078" s="4">
        <v>517035.0</v>
      </c>
      <c r="C1078" s="3" t="s">
        <v>4691</v>
      </c>
      <c r="D1078" s="3" t="s">
        <v>4692</v>
      </c>
      <c r="E1078" s="3" t="s">
        <v>4693</v>
      </c>
      <c r="F1078" s="3" t="s">
        <v>19</v>
      </c>
      <c r="G1078" s="3" t="s">
        <v>72</v>
      </c>
      <c r="H1078" s="3">
        <v>10.0</v>
      </c>
      <c r="I1078" s="3" t="s">
        <v>4690</v>
      </c>
      <c r="J1078" s="3" t="s">
        <v>22</v>
      </c>
      <c r="K1078" s="3" t="s">
        <v>97</v>
      </c>
      <c r="L1078" s="3" t="s">
        <v>98</v>
      </c>
      <c r="M1078" s="3" t="s">
        <v>1747</v>
      </c>
      <c r="N1078" s="3" t="s">
        <v>1748</v>
      </c>
      <c r="O1078" s="5">
        <v>1317.35409</v>
      </c>
      <c r="P1078" s="6" t="str">
        <f t="shared" si="2"/>
        <v>Electrical Equipment</v>
      </c>
    </row>
    <row r="1079" hidden="1">
      <c r="A1079" s="3" t="s">
        <v>4694</v>
      </c>
      <c r="B1079" s="4">
        <v>517041.0</v>
      </c>
      <c r="C1079" s="3" t="s">
        <v>4695</v>
      </c>
      <c r="D1079" s="3" t="s">
        <v>4696</v>
      </c>
      <c r="E1079" s="3" t="s">
        <v>4697</v>
      </c>
      <c r="F1079" s="3" t="s">
        <v>19</v>
      </c>
      <c r="G1079" s="3" t="s">
        <v>112</v>
      </c>
      <c r="H1079" s="3">
        <v>10.0</v>
      </c>
      <c r="I1079" s="3" t="s">
        <v>4694</v>
      </c>
      <c r="J1079" s="3" t="s">
        <v>22</v>
      </c>
      <c r="K1079" s="3" t="s">
        <v>97</v>
      </c>
      <c r="L1079" s="3" t="s">
        <v>98</v>
      </c>
      <c r="M1079" s="3" t="s">
        <v>100</v>
      </c>
      <c r="N1079" s="3" t="s">
        <v>1386</v>
      </c>
      <c r="O1079" s="5">
        <v>1910.0088</v>
      </c>
      <c r="P1079" s="6" t="str">
        <f t="shared" si="2"/>
        <v>Industrial Products</v>
      </c>
    </row>
    <row r="1080" hidden="1">
      <c r="A1080" s="3" t="s">
        <v>4698</v>
      </c>
      <c r="B1080" s="4">
        <v>531592.0</v>
      </c>
      <c r="C1080" s="3" t="s">
        <v>4699</v>
      </c>
      <c r="D1080" s="3" t="s">
        <v>4700</v>
      </c>
      <c r="E1080" s="3" t="s">
        <v>4701</v>
      </c>
      <c r="F1080" s="3" t="s">
        <v>19</v>
      </c>
      <c r="G1080" s="3" t="s">
        <v>72</v>
      </c>
      <c r="H1080" s="3">
        <v>1.0</v>
      </c>
      <c r="I1080" s="3" t="s">
        <v>4702</v>
      </c>
      <c r="J1080" s="3" t="s">
        <v>22</v>
      </c>
      <c r="K1080" s="3" t="s">
        <v>1673</v>
      </c>
      <c r="L1080" s="3" t="s">
        <v>1673</v>
      </c>
      <c r="M1080" s="3" t="s">
        <v>1674</v>
      </c>
      <c r="N1080" s="3" t="s">
        <v>1915</v>
      </c>
      <c r="O1080" s="5">
        <v>114.0663</v>
      </c>
      <c r="P1080" s="6" t="str">
        <f t="shared" si="2"/>
        <v>Commercial Services &amp; Supplies</v>
      </c>
    </row>
    <row r="1081" hidden="1">
      <c r="A1081" s="3" t="s">
        <v>4703</v>
      </c>
      <c r="B1081" s="4">
        <v>517059.0</v>
      </c>
      <c r="C1081" s="3" t="s">
        <v>4704</v>
      </c>
      <c r="D1081" s="3" t="s">
        <v>4705</v>
      </c>
      <c r="E1081" s="3" t="s">
        <v>4706</v>
      </c>
      <c r="F1081" s="3" t="s">
        <v>19</v>
      </c>
      <c r="G1081" s="3" t="s">
        <v>112</v>
      </c>
      <c r="H1081" s="3">
        <v>10.0</v>
      </c>
      <c r="I1081" s="3" t="s">
        <v>4703</v>
      </c>
      <c r="J1081" s="3" t="s">
        <v>22</v>
      </c>
      <c r="K1081" s="3" t="s">
        <v>97</v>
      </c>
      <c r="L1081" s="3" t="s">
        <v>98</v>
      </c>
      <c r="M1081" s="3" t="s">
        <v>1747</v>
      </c>
      <c r="N1081" s="3" t="s">
        <v>1748</v>
      </c>
      <c r="O1081" s="5">
        <v>1648.9400452</v>
      </c>
      <c r="P1081" s="6" t="str">
        <f t="shared" si="2"/>
        <v>Electrical Equipment</v>
      </c>
    </row>
    <row r="1082" hidden="1">
      <c r="A1082" s="3" t="s">
        <v>4707</v>
      </c>
      <c r="B1082" s="4">
        <v>517063.0</v>
      </c>
      <c r="C1082" s="3" t="s">
        <v>4708</v>
      </c>
      <c r="D1082" s="3" t="s">
        <v>4709</v>
      </c>
      <c r="E1082" s="3" t="s">
        <v>4710</v>
      </c>
      <c r="F1082" s="3" t="s">
        <v>19</v>
      </c>
      <c r="G1082" s="3" t="s">
        <v>44</v>
      </c>
      <c r="H1082" s="3">
        <v>10.0</v>
      </c>
      <c r="I1082" s="3" t="s">
        <v>4707</v>
      </c>
      <c r="J1082" s="3" t="s">
        <v>22</v>
      </c>
      <c r="K1082" s="3" t="s">
        <v>58</v>
      </c>
      <c r="L1082" s="3" t="s">
        <v>73</v>
      </c>
      <c r="M1082" s="3" t="s">
        <v>800</v>
      </c>
      <c r="N1082" s="3" t="s">
        <v>4711</v>
      </c>
      <c r="O1082" s="5">
        <v>34.4191282</v>
      </c>
      <c r="P1082" s="6" t="str">
        <f t="shared" si="2"/>
        <v>Other Consumer Services</v>
      </c>
    </row>
    <row r="1083" hidden="1">
      <c r="A1083" s="3" t="s">
        <v>4712</v>
      </c>
      <c r="B1083" s="4">
        <v>517096.0</v>
      </c>
      <c r="C1083" s="3" t="s">
        <v>4713</v>
      </c>
      <c r="D1083" s="3" t="s">
        <v>4714</v>
      </c>
      <c r="E1083" s="3" t="s">
        <v>4715</v>
      </c>
      <c r="F1083" s="3" t="s">
        <v>19</v>
      </c>
      <c r="G1083" s="3" t="s">
        <v>44</v>
      </c>
      <c r="H1083" s="3">
        <v>10.0</v>
      </c>
      <c r="I1083" s="3" t="s">
        <v>4712</v>
      </c>
      <c r="J1083" s="3" t="s">
        <v>22</v>
      </c>
      <c r="K1083" s="3" t="s">
        <v>97</v>
      </c>
      <c r="L1083" s="3" t="s">
        <v>98</v>
      </c>
      <c r="M1083" s="3" t="s">
        <v>1747</v>
      </c>
      <c r="N1083" s="3" t="s">
        <v>1748</v>
      </c>
      <c r="O1083" s="5">
        <v>106.5201768</v>
      </c>
      <c r="P1083" s="6" t="str">
        <f t="shared" si="2"/>
        <v>Electrical Equipment</v>
      </c>
    </row>
    <row r="1084" hidden="1">
      <c r="A1084" s="3" t="s">
        <v>4716</v>
      </c>
      <c r="B1084" s="4">
        <v>517119.0</v>
      </c>
      <c r="C1084" s="3" t="s">
        <v>4717</v>
      </c>
      <c r="D1084" s="3" t="s">
        <v>4718</v>
      </c>
      <c r="E1084" s="3" t="s">
        <v>4719</v>
      </c>
      <c r="F1084" s="3" t="s">
        <v>19</v>
      </c>
      <c r="G1084" s="3" t="s">
        <v>72</v>
      </c>
      <c r="H1084" s="3">
        <v>10.0</v>
      </c>
      <c r="I1084" s="3" t="s">
        <v>4716</v>
      </c>
      <c r="J1084" s="3" t="s">
        <v>22</v>
      </c>
      <c r="K1084" s="3" t="s">
        <v>473</v>
      </c>
      <c r="L1084" s="3" t="s">
        <v>473</v>
      </c>
      <c r="M1084" s="3" t="s">
        <v>1538</v>
      </c>
      <c r="N1084" s="3" t="s">
        <v>1539</v>
      </c>
      <c r="O1084" s="5">
        <v>54.7420483</v>
      </c>
      <c r="P1084" s="6" t="str">
        <f t="shared" si="2"/>
        <v>IT - Services</v>
      </c>
    </row>
    <row r="1085">
      <c r="A1085" s="3" t="s">
        <v>4720</v>
      </c>
      <c r="B1085" s="4">
        <v>543397.0</v>
      </c>
      <c r="C1085" s="3" t="s">
        <v>4721</v>
      </c>
      <c r="D1085" s="3" t="s">
        <v>4722</v>
      </c>
      <c r="E1085" s="3" t="s">
        <v>4723</v>
      </c>
      <c r="F1085" s="3" t="s">
        <v>19</v>
      </c>
      <c r="G1085" s="3" t="s">
        <v>20</v>
      </c>
      <c r="H1085" s="3">
        <v>10.0</v>
      </c>
      <c r="I1085" s="3" t="s">
        <v>4724</v>
      </c>
      <c r="J1085" s="3" t="s">
        <v>22</v>
      </c>
      <c r="K1085" s="3" t="s">
        <v>58</v>
      </c>
      <c r="L1085" s="3" t="s">
        <v>73</v>
      </c>
      <c r="M1085" s="3" t="s">
        <v>74</v>
      </c>
      <c r="N1085" s="3" t="s">
        <v>1162</v>
      </c>
      <c r="O1085" s="5">
        <v>9948.0371518</v>
      </c>
      <c r="P1085" s="6" t="str">
        <f t="shared" si="2"/>
        <v>Leisure Services</v>
      </c>
    </row>
    <row r="1086" hidden="1">
      <c r="A1086" s="3" t="s">
        <v>4725</v>
      </c>
      <c r="B1086" s="4">
        <v>517166.0</v>
      </c>
      <c r="C1086" s="3" t="s">
        <v>4726</v>
      </c>
      <c r="D1086" s="3" t="s">
        <v>4727</v>
      </c>
      <c r="E1086" s="3" t="s">
        <v>4728</v>
      </c>
      <c r="F1086" s="3" t="s">
        <v>19</v>
      </c>
      <c r="G1086" s="3" t="s">
        <v>44</v>
      </c>
      <c r="H1086" s="3">
        <v>10.0</v>
      </c>
      <c r="I1086" s="3" t="s">
        <v>4725</v>
      </c>
      <c r="J1086" s="3" t="s">
        <v>22</v>
      </c>
      <c r="K1086" s="3" t="s">
        <v>97</v>
      </c>
      <c r="L1086" s="3" t="s">
        <v>98</v>
      </c>
      <c r="M1086" s="3" t="s">
        <v>1747</v>
      </c>
      <c r="N1086" s="3" t="s">
        <v>1748</v>
      </c>
      <c r="O1086" s="5">
        <v>1091.627698</v>
      </c>
      <c r="P1086" s="6" t="str">
        <f t="shared" si="2"/>
        <v>Electrical Equipment</v>
      </c>
    </row>
    <row r="1087" hidden="1">
      <c r="A1087" s="3" t="s">
        <v>4729</v>
      </c>
      <c r="B1087" s="4">
        <v>517168.0</v>
      </c>
      <c r="C1087" s="3" t="s">
        <v>4730</v>
      </c>
      <c r="D1087" s="3" t="s">
        <v>4731</v>
      </c>
      <c r="E1087" s="3" t="s">
        <v>4732</v>
      </c>
      <c r="F1087" s="3" t="s">
        <v>19</v>
      </c>
      <c r="G1087" s="3" t="s">
        <v>112</v>
      </c>
      <c r="H1087" s="3">
        <v>2.0</v>
      </c>
      <c r="I1087" s="3" t="s">
        <v>4729</v>
      </c>
      <c r="J1087" s="3" t="s">
        <v>22</v>
      </c>
      <c r="K1087" s="3" t="s">
        <v>58</v>
      </c>
      <c r="L1087" s="3" t="s">
        <v>133</v>
      </c>
      <c r="M1087" s="3" t="s">
        <v>134</v>
      </c>
      <c r="N1087" s="3" t="s">
        <v>135</v>
      </c>
      <c r="O1087" s="5">
        <v>4023.773418</v>
      </c>
      <c r="P1087" s="6" t="str">
        <f t="shared" si="2"/>
        <v>Auto Components &amp; Equipments</v>
      </c>
    </row>
    <row r="1088" hidden="1">
      <c r="A1088" s="3" t="s">
        <v>4733</v>
      </c>
      <c r="B1088" s="4">
        <v>517170.0</v>
      </c>
      <c r="C1088" s="3" t="s">
        <v>4734</v>
      </c>
      <c r="D1088" s="3" t="s">
        <v>4735</v>
      </c>
      <c r="E1088" s="3" t="s">
        <v>4736</v>
      </c>
      <c r="F1088" s="3" t="s">
        <v>19</v>
      </c>
      <c r="G1088" s="3" t="s">
        <v>44</v>
      </c>
      <c r="H1088" s="3">
        <v>10.0</v>
      </c>
      <c r="I1088" s="3" t="s">
        <v>4733</v>
      </c>
      <c r="J1088" s="3" t="s">
        <v>22</v>
      </c>
      <c r="K1088" s="3" t="s">
        <v>473</v>
      </c>
      <c r="L1088" s="3" t="s">
        <v>473</v>
      </c>
      <c r="M1088" s="3" t="s">
        <v>1391</v>
      </c>
      <c r="N1088" s="3" t="s">
        <v>1840</v>
      </c>
      <c r="O1088" s="5">
        <v>111.7190256</v>
      </c>
      <c r="P1088" s="6" t="str">
        <f t="shared" si="2"/>
        <v>Computers - Software &amp; Consulting</v>
      </c>
    </row>
    <row r="1089" hidden="1">
      <c r="A1089" s="3" t="s">
        <v>4737</v>
      </c>
      <c r="B1089" s="4">
        <v>533289.0</v>
      </c>
      <c r="C1089" s="3" t="s">
        <v>4738</v>
      </c>
      <c r="D1089" s="3" t="s">
        <v>4739</v>
      </c>
      <c r="E1089" s="3" t="s">
        <v>4740</v>
      </c>
      <c r="F1089" s="3" t="s">
        <v>19</v>
      </c>
      <c r="G1089" s="3" t="s">
        <v>72</v>
      </c>
      <c r="H1089" s="3">
        <v>5.0</v>
      </c>
      <c r="I1089" s="3" t="s">
        <v>4741</v>
      </c>
      <c r="J1089" s="3" t="s">
        <v>22</v>
      </c>
      <c r="K1089" s="3" t="s">
        <v>1673</v>
      </c>
      <c r="L1089" s="3" t="s">
        <v>1673</v>
      </c>
      <c r="M1089" s="3" t="s">
        <v>1689</v>
      </c>
      <c r="N1089" s="3" t="s">
        <v>1690</v>
      </c>
      <c r="O1089" s="5">
        <v>113.532029</v>
      </c>
      <c r="P1089" s="6" t="str">
        <f t="shared" si="2"/>
        <v>Transport Services</v>
      </c>
    </row>
    <row r="1090">
      <c r="A1090" s="3" t="s">
        <v>4742</v>
      </c>
      <c r="B1090" s="4">
        <v>543401.0</v>
      </c>
      <c r="C1090" s="3" t="s">
        <v>4743</v>
      </c>
      <c r="D1090" s="3" t="s">
        <v>4744</v>
      </c>
      <c r="E1090" s="3" t="s">
        <v>4745</v>
      </c>
      <c r="F1090" s="3" t="s">
        <v>19</v>
      </c>
      <c r="G1090" s="3" t="s">
        <v>20</v>
      </c>
      <c r="H1090" s="3">
        <v>10.0</v>
      </c>
      <c r="I1090" s="3" t="s">
        <v>4746</v>
      </c>
      <c r="J1090" s="3" t="s">
        <v>22</v>
      </c>
      <c r="K1090" s="3" t="s">
        <v>58</v>
      </c>
      <c r="L1090" s="3" t="s">
        <v>73</v>
      </c>
      <c r="M1090" s="3" t="s">
        <v>988</v>
      </c>
      <c r="N1090" s="3" t="s">
        <v>989</v>
      </c>
      <c r="O1090" s="5">
        <v>5351.9022815</v>
      </c>
      <c r="P1090" s="6" t="str">
        <f t="shared" si="2"/>
        <v>Retailing</v>
      </c>
    </row>
    <row r="1091" hidden="1">
      <c r="A1091" s="3" t="s">
        <v>4747</v>
      </c>
      <c r="B1091" s="4">
        <v>517201.0</v>
      </c>
      <c r="C1091" s="3" t="s">
        <v>4748</v>
      </c>
      <c r="D1091" s="3" t="s">
        <v>4749</v>
      </c>
      <c r="E1091" s="3" t="s">
        <v>4750</v>
      </c>
      <c r="F1091" s="3" t="s">
        <v>19</v>
      </c>
      <c r="G1091" s="3" t="s">
        <v>72</v>
      </c>
      <c r="H1091" s="3">
        <v>10.0</v>
      </c>
      <c r="I1091" s="3" t="s">
        <v>4747</v>
      </c>
      <c r="J1091" s="3" t="s">
        <v>22</v>
      </c>
      <c r="K1091" s="3" t="s">
        <v>97</v>
      </c>
      <c r="L1091" s="3" t="s">
        <v>98</v>
      </c>
      <c r="M1091" s="3" t="s">
        <v>1747</v>
      </c>
      <c r="N1091" s="3" t="s">
        <v>1748</v>
      </c>
      <c r="O1091" s="5">
        <v>19.6996421</v>
      </c>
      <c r="P1091" s="6" t="str">
        <f t="shared" si="2"/>
        <v>Electrical Equipment</v>
      </c>
    </row>
    <row r="1092" hidden="1">
      <c r="A1092" s="3" t="s">
        <v>4751</v>
      </c>
      <c r="B1092" s="4">
        <v>517206.0</v>
      </c>
      <c r="C1092" s="3" t="s">
        <v>4752</v>
      </c>
      <c r="D1092" s="3" t="s">
        <v>4753</v>
      </c>
      <c r="E1092" s="3" t="s">
        <v>4754</v>
      </c>
      <c r="F1092" s="3" t="s">
        <v>19</v>
      </c>
      <c r="G1092" s="3" t="s">
        <v>112</v>
      </c>
      <c r="H1092" s="3">
        <v>10.0</v>
      </c>
      <c r="I1092" s="3" t="s">
        <v>4751</v>
      </c>
      <c r="J1092" s="3" t="s">
        <v>22</v>
      </c>
      <c r="K1092" s="3" t="s">
        <v>58</v>
      </c>
      <c r="L1092" s="3" t="s">
        <v>133</v>
      </c>
      <c r="M1092" s="3" t="s">
        <v>134</v>
      </c>
      <c r="N1092" s="3" t="s">
        <v>135</v>
      </c>
      <c r="O1092" s="5">
        <v>2639.6935958</v>
      </c>
      <c r="P1092" s="6" t="str">
        <f t="shared" si="2"/>
        <v>Auto Components &amp; Equipments</v>
      </c>
    </row>
    <row r="1093" hidden="1">
      <c r="A1093" s="3" t="s">
        <v>4755</v>
      </c>
      <c r="B1093" s="4">
        <v>517214.0</v>
      </c>
      <c r="C1093" s="3" t="s">
        <v>4756</v>
      </c>
      <c r="D1093" s="3" t="s">
        <v>4757</v>
      </c>
      <c r="E1093" s="3" t="s">
        <v>4758</v>
      </c>
      <c r="F1093" s="3" t="s">
        <v>19</v>
      </c>
      <c r="G1093" s="3" t="s">
        <v>112</v>
      </c>
      <c r="H1093" s="3">
        <v>3.0</v>
      </c>
      <c r="I1093" s="3" t="s">
        <v>4755</v>
      </c>
      <c r="J1093" s="3" t="s">
        <v>22</v>
      </c>
      <c r="K1093" s="3" t="s">
        <v>473</v>
      </c>
      <c r="L1093" s="3" t="s">
        <v>473</v>
      </c>
      <c r="M1093" s="3" t="s">
        <v>1538</v>
      </c>
      <c r="N1093" s="3" t="s">
        <v>1539</v>
      </c>
      <c r="O1093" s="5">
        <v>1022.2334895</v>
      </c>
      <c r="P1093" s="6" t="str">
        <f t="shared" si="2"/>
        <v>IT - Services</v>
      </c>
    </row>
    <row r="1094" hidden="1">
      <c r="A1094" s="3" t="s">
        <v>4759</v>
      </c>
      <c r="B1094" s="4">
        <v>517236.0</v>
      </c>
      <c r="C1094" s="3" t="s">
        <v>4760</v>
      </c>
      <c r="D1094" s="3" t="s">
        <v>4761</v>
      </c>
      <c r="E1094" s="3" t="s">
        <v>4762</v>
      </c>
      <c r="F1094" s="3" t="s">
        <v>19</v>
      </c>
      <c r="G1094" s="3" t="s">
        <v>44</v>
      </c>
      <c r="H1094" s="3">
        <v>10.0</v>
      </c>
      <c r="I1094" s="3" t="s">
        <v>4759</v>
      </c>
      <c r="J1094" s="3" t="s">
        <v>22</v>
      </c>
      <c r="K1094" s="3" t="s">
        <v>58</v>
      </c>
      <c r="L1094" s="3" t="s">
        <v>211</v>
      </c>
      <c r="M1094" s="3" t="s">
        <v>211</v>
      </c>
      <c r="N1094" s="3" t="s">
        <v>212</v>
      </c>
      <c r="O1094" s="5">
        <v>208.2479299</v>
      </c>
      <c r="P1094" s="6" t="str">
        <f t="shared" si="2"/>
        <v>Consumer Durables</v>
      </c>
    </row>
    <row r="1095" hidden="1">
      <c r="A1095" s="3" t="s">
        <v>4527</v>
      </c>
      <c r="B1095" s="4">
        <v>506530.0</v>
      </c>
      <c r="C1095" s="3" t="s">
        <v>4763</v>
      </c>
      <c r="D1095" s="3" t="s">
        <v>4764</v>
      </c>
      <c r="E1095" s="3" t="s">
        <v>4765</v>
      </c>
      <c r="F1095" s="3" t="s">
        <v>19</v>
      </c>
      <c r="G1095" s="3" t="s">
        <v>44</v>
      </c>
      <c r="H1095" s="3">
        <v>10.0</v>
      </c>
      <c r="I1095" s="3" t="s">
        <v>2424</v>
      </c>
      <c r="J1095" s="3" t="s">
        <v>22</v>
      </c>
      <c r="K1095" s="3" t="s">
        <v>1673</v>
      </c>
      <c r="L1095" s="3" t="s">
        <v>1673</v>
      </c>
      <c r="M1095" s="3" t="s">
        <v>1674</v>
      </c>
      <c r="N1095" s="3" t="s">
        <v>1675</v>
      </c>
      <c r="O1095" s="5">
        <v>112.5672269</v>
      </c>
      <c r="P1095" s="6" t="str">
        <f t="shared" si="2"/>
        <v>Commercial Services &amp; Supplies</v>
      </c>
    </row>
    <row r="1096" hidden="1">
      <c r="A1096" s="3" t="s">
        <v>4766</v>
      </c>
      <c r="B1096" s="4">
        <v>517246.0</v>
      </c>
      <c r="C1096" s="3" t="s">
        <v>4767</v>
      </c>
      <c r="D1096" s="3" t="s">
        <v>4768</v>
      </c>
      <c r="E1096" s="3" t="s">
        <v>4769</v>
      </c>
      <c r="F1096" s="3" t="s">
        <v>19</v>
      </c>
      <c r="G1096" s="3" t="s">
        <v>44</v>
      </c>
      <c r="H1096" s="3">
        <v>10.0</v>
      </c>
      <c r="I1096" s="3" t="s">
        <v>4766</v>
      </c>
      <c r="J1096" s="3" t="s">
        <v>22</v>
      </c>
      <c r="K1096" s="3" t="s">
        <v>473</v>
      </c>
      <c r="L1096" s="3" t="s">
        <v>473</v>
      </c>
      <c r="M1096" s="3" t="s">
        <v>474</v>
      </c>
      <c r="N1096" s="3" t="s">
        <v>475</v>
      </c>
      <c r="O1096" s="5">
        <v>99.813184</v>
      </c>
      <c r="P1096" s="6" t="str">
        <f t="shared" si="2"/>
        <v>IT - Hardware</v>
      </c>
    </row>
    <row r="1097" hidden="1">
      <c r="A1097" s="3" t="s">
        <v>4770</v>
      </c>
      <c r="B1097" s="4">
        <v>517258.0</v>
      </c>
      <c r="C1097" s="3" t="s">
        <v>4771</v>
      </c>
      <c r="D1097" s="3" t="s">
        <v>4772</v>
      </c>
      <c r="E1097" s="3" t="s">
        <v>4773</v>
      </c>
      <c r="F1097" s="3" t="s">
        <v>19</v>
      </c>
      <c r="G1097" s="3" t="s">
        <v>72</v>
      </c>
      <c r="H1097" s="3">
        <v>10.0</v>
      </c>
      <c r="I1097" s="3" t="s">
        <v>4770</v>
      </c>
      <c r="J1097" s="3" t="s">
        <v>22</v>
      </c>
      <c r="K1097" s="3" t="s">
        <v>97</v>
      </c>
      <c r="L1097" s="3" t="s">
        <v>98</v>
      </c>
      <c r="M1097" s="3" t="s">
        <v>99</v>
      </c>
      <c r="N1097" s="3" t="s">
        <v>100</v>
      </c>
      <c r="O1097" s="5">
        <v>215.1695966</v>
      </c>
      <c r="P1097" s="6" t="str">
        <f t="shared" si="2"/>
        <v>Industrial Products</v>
      </c>
    </row>
    <row r="1098" hidden="1">
      <c r="A1098" s="3" t="s">
        <v>4774</v>
      </c>
      <c r="B1098" s="4">
        <v>517264.0</v>
      </c>
      <c r="C1098" s="3" t="s">
        <v>4775</v>
      </c>
      <c r="D1098" s="3" t="s">
        <v>4776</v>
      </c>
      <c r="E1098" s="3" t="s">
        <v>4777</v>
      </c>
      <c r="F1098" s="3" t="s">
        <v>19</v>
      </c>
      <c r="G1098" s="3" t="s">
        <v>72</v>
      </c>
      <c r="H1098" s="3">
        <v>10.0</v>
      </c>
      <c r="I1098" s="3" t="s">
        <v>4774</v>
      </c>
      <c r="J1098" s="3" t="s">
        <v>22</v>
      </c>
      <c r="K1098" s="3" t="s">
        <v>473</v>
      </c>
      <c r="L1098" s="3" t="s">
        <v>473</v>
      </c>
      <c r="M1098" s="3" t="s">
        <v>474</v>
      </c>
      <c r="N1098" s="3" t="s">
        <v>475</v>
      </c>
      <c r="O1098" s="5">
        <v>42.1089662</v>
      </c>
      <c r="P1098" s="6" t="str">
        <f t="shared" si="2"/>
        <v>IT - Hardware</v>
      </c>
    </row>
    <row r="1099">
      <c r="A1099" s="3" t="s">
        <v>1227</v>
      </c>
      <c r="B1099" s="4">
        <v>543426.0</v>
      </c>
      <c r="C1099" s="3" t="s">
        <v>4778</v>
      </c>
      <c r="D1099" s="3" t="s">
        <v>4779</v>
      </c>
      <c r="E1099" s="3" t="s">
        <v>4780</v>
      </c>
      <c r="F1099" s="3" t="s">
        <v>19</v>
      </c>
      <c r="G1099" s="3" t="s">
        <v>20</v>
      </c>
      <c r="H1099" s="3">
        <v>5.0</v>
      </c>
      <c r="I1099" s="3" t="s">
        <v>4781</v>
      </c>
      <c r="J1099" s="3" t="s">
        <v>22</v>
      </c>
      <c r="K1099" s="3" t="s">
        <v>58</v>
      </c>
      <c r="L1099" s="3" t="s">
        <v>211</v>
      </c>
      <c r="M1099" s="3" t="s">
        <v>211</v>
      </c>
      <c r="N1099" s="3" t="s">
        <v>932</v>
      </c>
      <c r="O1099" s="5">
        <v>33478.618802</v>
      </c>
      <c r="P1099" s="6" t="str">
        <f t="shared" si="2"/>
        <v>Consumer Durables</v>
      </c>
    </row>
    <row r="1100" hidden="1">
      <c r="A1100" s="3" t="s">
        <v>4782</v>
      </c>
      <c r="B1100" s="4">
        <v>517273.0</v>
      </c>
      <c r="C1100" s="3" t="s">
        <v>4783</v>
      </c>
      <c r="D1100" s="3" t="s">
        <v>4784</v>
      </c>
      <c r="E1100" s="3" t="s">
        <v>4785</v>
      </c>
      <c r="F1100" s="3" t="s">
        <v>19</v>
      </c>
      <c r="G1100" s="3" t="s">
        <v>86</v>
      </c>
      <c r="H1100" s="3">
        <v>10.0</v>
      </c>
      <c r="I1100" s="3" t="s">
        <v>4782</v>
      </c>
      <c r="J1100" s="3" t="s">
        <v>22</v>
      </c>
      <c r="K1100" s="3" t="s">
        <v>97</v>
      </c>
      <c r="L1100" s="3" t="s">
        <v>98</v>
      </c>
      <c r="M1100" s="3" t="s">
        <v>1747</v>
      </c>
      <c r="N1100" s="3" t="s">
        <v>1748</v>
      </c>
      <c r="O1100" s="5">
        <v>320.9573547</v>
      </c>
      <c r="P1100" s="6" t="str">
        <f t="shared" si="2"/>
        <v>Electrical Equipment</v>
      </c>
    </row>
    <row r="1101" hidden="1">
      <c r="A1101" s="3" t="s">
        <v>4786</v>
      </c>
      <c r="B1101" s="4">
        <v>517288.0</v>
      </c>
      <c r="C1101" s="3" t="s">
        <v>4787</v>
      </c>
      <c r="D1101" s="3" t="s">
        <v>4788</v>
      </c>
      <c r="E1101" s="3" t="s">
        <v>4789</v>
      </c>
      <c r="F1101" s="3" t="s">
        <v>19</v>
      </c>
      <c r="G1101" s="3" t="s">
        <v>72</v>
      </c>
      <c r="H1101" s="3">
        <v>10.0</v>
      </c>
      <c r="I1101" s="3" t="s">
        <v>4786</v>
      </c>
      <c r="J1101" s="3" t="s">
        <v>22</v>
      </c>
      <c r="K1101" s="3" t="s">
        <v>97</v>
      </c>
      <c r="L1101" s="3" t="s">
        <v>98</v>
      </c>
      <c r="M1101" s="3" t="s">
        <v>1747</v>
      </c>
      <c r="N1101" s="3" t="s">
        <v>1748</v>
      </c>
      <c r="O1101" s="5">
        <v>1.0</v>
      </c>
      <c r="P1101" s="6" t="str">
        <f t="shared" si="2"/>
        <v>Electrical Equipment</v>
      </c>
    </row>
    <row r="1102" hidden="1">
      <c r="A1102" s="3" t="s">
        <v>4790</v>
      </c>
      <c r="B1102" s="4">
        <v>517300.0</v>
      </c>
      <c r="C1102" s="3" t="s">
        <v>4791</v>
      </c>
      <c r="D1102" s="3" t="s">
        <v>4792</v>
      </c>
      <c r="E1102" s="3" t="s">
        <v>4793</v>
      </c>
      <c r="F1102" s="3" t="s">
        <v>19</v>
      </c>
      <c r="G1102" s="3" t="s">
        <v>112</v>
      </c>
      <c r="H1102" s="3">
        <v>10.0</v>
      </c>
      <c r="I1102" s="3" t="s">
        <v>4790</v>
      </c>
      <c r="J1102" s="3" t="s">
        <v>22</v>
      </c>
      <c r="K1102" s="3" t="s">
        <v>1647</v>
      </c>
      <c r="L1102" s="3" t="s">
        <v>1648</v>
      </c>
      <c r="M1102" s="3" t="s">
        <v>1648</v>
      </c>
      <c r="N1102" s="3" t="s">
        <v>1649</v>
      </c>
      <c r="O1102" s="5">
        <v>3521.1064</v>
      </c>
      <c r="P1102" s="6" t="str">
        <f t="shared" si="2"/>
        <v>Power</v>
      </c>
    </row>
    <row r="1103">
      <c r="A1103" s="3" t="s">
        <v>1231</v>
      </c>
      <c r="B1103" s="4">
        <v>543427.0</v>
      </c>
      <c r="C1103" s="3" t="s">
        <v>4794</v>
      </c>
      <c r="D1103" s="3" t="s">
        <v>4795</v>
      </c>
      <c r="E1103" s="3" t="s">
        <v>4796</v>
      </c>
      <c r="F1103" s="3" t="s">
        <v>19</v>
      </c>
      <c r="G1103" s="3" t="s">
        <v>20</v>
      </c>
      <c r="H1103" s="3">
        <v>2.0</v>
      </c>
      <c r="I1103" s="3" t="s">
        <v>4797</v>
      </c>
      <c r="J1103" s="3" t="s">
        <v>22</v>
      </c>
      <c r="K1103" s="3" t="s">
        <v>58</v>
      </c>
      <c r="L1103" s="3" t="s">
        <v>73</v>
      </c>
      <c r="M1103" s="3" t="s">
        <v>988</v>
      </c>
      <c r="N1103" s="3" t="s">
        <v>4798</v>
      </c>
      <c r="O1103" s="5">
        <v>8196.125039</v>
      </c>
      <c r="P1103" s="6" t="str">
        <f t="shared" si="2"/>
        <v>Retailing</v>
      </c>
    </row>
    <row r="1104" hidden="1">
      <c r="A1104" s="3" t="s">
        <v>4799</v>
      </c>
      <c r="B1104" s="4">
        <v>517344.0</v>
      </c>
      <c r="C1104" s="3" t="s">
        <v>4800</v>
      </c>
      <c r="D1104" s="3" t="s">
        <v>4801</v>
      </c>
      <c r="E1104" s="3" t="s">
        <v>4802</v>
      </c>
      <c r="F1104" s="3" t="s">
        <v>19</v>
      </c>
      <c r="G1104" s="3" t="s">
        <v>112</v>
      </c>
      <c r="H1104" s="3">
        <v>10.0</v>
      </c>
      <c r="I1104" s="3" t="s">
        <v>4799</v>
      </c>
      <c r="J1104" s="3" t="s">
        <v>22</v>
      </c>
      <c r="K1104" s="3" t="s">
        <v>473</v>
      </c>
      <c r="L1104" s="3" t="s">
        <v>473</v>
      </c>
      <c r="M1104" s="3" t="s">
        <v>1391</v>
      </c>
      <c r="N1104" s="3" t="s">
        <v>1840</v>
      </c>
      <c r="O1104" s="5">
        <v>779.6861783</v>
      </c>
      <c r="P1104" s="6" t="str">
        <f t="shared" si="2"/>
        <v>Computers - Software &amp; Consulting</v>
      </c>
    </row>
    <row r="1105">
      <c r="A1105" s="3" t="s">
        <v>1239</v>
      </c>
      <c r="B1105" s="4">
        <v>543463.0</v>
      </c>
      <c r="C1105" s="3" t="s">
        <v>4803</v>
      </c>
      <c r="D1105" s="3" t="s">
        <v>4804</v>
      </c>
      <c r="E1105" s="3" t="s">
        <v>4805</v>
      </c>
      <c r="F1105" s="3" t="s">
        <v>19</v>
      </c>
      <c r="G1105" s="3" t="s">
        <v>20</v>
      </c>
      <c r="H1105" s="3">
        <v>1.0</v>
      </c>
      <c r="I1105" s="3" t="s">
        <v>4806</v>
      </c>
      <c r="J1105" s="3" t="s">
        <v>22</v>
      </c>
      <c r="K1105" s="3" t="s">
        <v>58</v>
      </c>
      <c r="L1105" s="3" t="s">
        <v>73</v>
      </c>
      <c r="M1105" s="3" t="s">
        <v>988</v>
      </c>
      <c r="N1105" s="3" t="s">
        <v>989</v>
      </c>
      <c r="O1105" s="5">
        <v>25937.2791975</v>
      </c>
      <c r="P1105" s="6" t="str">
        <f t="shared" si="2"/>
        <v>Retailing</v>
      </c>
    </row>
    <row r="1106" hidden="1">
      <c r="A1106" s="3" t="s">
        <v>4807</v>
      </c>
      <c r="B1106" s="4">
        <v>517356.0</v>
      </c>
      <c r="C1106" s="3" t="s">
        <v>4808</v>
      </c>
      <c r="D1106" s="3" t="s">
        <v>4809</v>
      </c>
      <c r="E1106" s="3" t="s">
        <v>4810</v>
      </c>
      <c r="F1106" s="3" t="s">
        <v>19</v>
      </c>
      <c r="G1106" s="3" t="s">
        <v>72</v>
      </c>
      <c r="H1106" s="3">
        <v>1.0</v>
      </c>
      <c r="I1106" s="3" t="s">
        <v>4807</v>
      </c>
      <c r="J1106" s="3" t="s">
        <v>22</v>
      </c>
      <c r="K1106" s="3" t="s">
        <v>473</v>
      </c>
      <c r="L1106" s="3" t="s">
        <v>473</v>
      </c>
      <c r="M1106" s="3" t="s">
        <v>474</v>
      </c>
      <c r="N1106" s="3" t="s">
        <v>475</v>
      </c>
      <c r="O1106" s="5">
        <v>28.2766003</v>
      </c>
      <c r="P1106" s="6" t="str">
        <f t="shared" si="2"/>
        <v>IT - Hardware</v>
      </c>
    </row>
    <row r="1107" hidden="1">
      <c r="A1107" s="3" t="s">
        <v>4811</v>
      </c>
      <c r="B1107" s="4">
        <v>509472.0</v>
      </c>
      <c r="C1107" s="3" t="s">
        <v>4812</v>
      </c>
      <c r="D1107" s="3" t="s">
        <v>4813</v>
      </c>
      <c r="E1107" s="3" t="s">
        <v>4814</v>
      </c>
      <c r="F1107" s="3" t="s">
        <v>19</v>
      </c>
      <c r="G1107" s="3" t="s">
        <v>44</v>
      </c>
      <c r="H1107" s="3">
        <v>10.0</v>
      </c>
      <c r="I1107" s="3" t="s">
        <v>3007</v>
      </c>
      <c r="J1107" s="3" t="s">
        <v>22</v>
      </c>
      <c r="K1107" s="3" t="s">
        <v>1673</v>
      </c>
      <c r="L1107" s="3" t="s">
        <v>1673</v>
      </c>
      <c r="M1107" s="3" t="s">
        <v>1674</v>
      </c>
      <c r="N1107" s="3" t="s">
        <v>1915</v>
      </c>
      <c r="O1107" s="5">
        <v>108.123498</v>
      </c>
      <c r="P1107" s="6" t="str">
        <f t="shared" si="2"/>
        <v>Commercial Services &amp; Supplies</v>
      </c>
    </row>
    <row r="1108" hidden="1">
      <c r="A1108" s="3" t="s">
        <v>4815</v>
      </c>
      <c r="B1108" s="4">
        <v>517370.0</v>
      </c>
      <c r="C1108" s="3" t="s">
        <v>4816</v>
      </c>
      <c r="D1108" s="3" t="s">
        <v>4817</v>
      </c>
      <c r="E1108" s="3" t="s">
        <v>4818</v>
      </c>
      <c r="F1108" s="3" t="s">
        <v>19</v>
      </c>
      <c r="G1108" s="3" t="s">
        <v>72</v>
      </c>
      <c r="H1108" s="3">
        <v>10.0</v>
      </c>
      <c r="I1108" s="3" t="s">
        <v>4815</v>
      </c>
      <c r="J1108" s="3" t="s">
        <v>22</v>
      </c>
      <c r="K1108" s="3" t="s">
        <v>97</v>
      </c>
      <c r="L1108" s="3" t="s">
        <v>98</v>
      </c>
      <c r="M1108" s="3" t="s">
        <v>1747</v>
      </c>
      <c r="N1108" s="3" t="s">
        <v>1748</v>
      </c>
      <c r="O1108" s="5">
        <v>31.1572166</v>
      </c>
      <c r="P1108" s="6" t="str">
        <f t="shared" si="2"/>
        <v>Electrical Equipment</v>
      </c>
    </row>
    <row r="1109" hidden="1">
      <c r="A1109" s="3" t="s">
        <v>4819</v>
      </c>
      <c r="B1109" s="4">
        <v>517372.0</v>
      </c>
      <c r="C1109" s="3" t="s">
        <v>4820</v>
      </c>
      <c r="D1109" s="3" t="s">
        <v>4821</v>
      </c>
      <c r="E1109" s="3" t="s">
        <v>4822</v>
      </c>
      <c r="F1109" s="3" t="s">
        <v>19</v>
      </c>
      <c r="G1109" s="3" t="s">
        <v>44</v>
      </c>
      <c r="H1109" s="3">
        <v>10.0</v>
      </c>
      <c r="I1109" s="3" t="s">
        <v>4819</v>
      </c>
      <c r="J1109" s="3" t="s">
        <v>22</v>
      </c>
      <c r="K1109" s="3" t="s">
        <v>97</v>
      </c>
      <c r="L1109" s="3" t="s">
        <v>98</v>
      </c>
      <c r="M1109" s="3" t="s">
        <v>100</v>
      </c>
      <c r="N1109" s="3" t="s">
        <v>1909</v>
      </c>
      <c r="O1109" s="5">
        <v>137.4621144</v>
      </c>
      <c r="P1109" s="6" t="str">
        <f t="shared" si="2"/>
        <v>Industrial Products</v>
      </c>
    </row>
    <row r="1110" hidden="1">
      <c r="A1110" s="3" t="s">
        <v>4823</v>
      </c>
      <c r="B1110" s="4">
        <v>517380.0</v>
      </c>
      <c r="C1110" s="3" t="s">
        <v>4824</v>
      </c>
      <c r="D1110" s="3" t="s">
        <v>4825</v>
      </c>
      <c r="E1110" s="3" t="s">
        <v>4826</v>
      </c>
      <c r="F1110" s="3" t="s">
        <v>19</v>
      </c>
      <c r="G1110" s="3" t="s">
        <v>112</v>
      </c>
      <c r="H1110" s="3">
        <v>10.0</v>
      </c>
      <c r="I1110" s="3" t="s">
        <v>4823</v>
      </c>
      <c r="J1110" s="3" t="s">
        <v>22</v>
      </c>
      <c r="K1110" s="3" t="s">
        <v>58</v>
      </c>
      <c r="L1110" s="3" t="s">
        <v>133</v>
      </c>
      <c r="M1110" s="3" t="s">
        <v>134</v>
      </c>
      <c r="N1110" s="3" t="s">
        <v>135</v>
      </c>
      <c r="O1110" s="5">
        <v>1562.156289</v>
      </c>
      <c r="P1110" s="6" t="str">
        <f t="shared" si="2"/>
        <v>Auto Components &amp; Equipments</v>
      </c>
    </row>
    <row r="1111">
      <c r="A1111" s="3" t="s">
        <v>1251</v>
      </c>
      <c r="B1111" s="4">
        <v>543482.0</v>
      </c>
      <c r="C1111" s="3" t="s">
        <v>4827</v>
      </c>
      <c r="D1111" s="3" t="s">
        <v>4828</v>
      </c>
      <c r="E1111" s="3" t="s">
        <v>4829</v>
      </c>
      <c r="F1111" s="3" t="s">
        <v>19</v>
      </c>
      <c r="G1111" s="3" t="s">
        <v>20</v>
      </c>
      <c r="H1111" s="3">
        <v>10.0</v>
      </c>
      <c r="I1111" s="3" t="s">
        <v>4830</v>
      </c>
      <c r="J1111" s="3" t="s">
        <v>22</v>
      </c>
      <c r="K1111" s="3" t="s">
        <v>58</v>
      </c>
      <c r="L1111" s="3" t="s">
        <v>211</v>
      </c>
      <c r="M1111" s="3" t="s">
        <v>211</v>
      </c>
      <c r="N1111" s="3" t="s">
        <v>882</v>
      </c>
      <c r="O1111" s="5">
        <v>9259.6231617</v>
      </c>
      <c r="P1111" s="6" t="str">
        <f t="shared" si="2"/>
        <v>Consumer Durables</v>
      </c>
    </row>
    <row r="1112" hidden="1">
      <c r="A1112" s="3" t="s">
        <v>4831</v>
      </c>
      <c r="B1112" s="4">
        <v>517393.0</v>
      </c>
      <c r="C1112" s="3" t="s">
        <v>4832</v>
      </c>
      <c r="D1112" s="3" t="s">
        <v>4833</v>
      </c>
      <c r="E1112" s="3" t="s">
        <v>4834</v>
      </c>
      <c r="F1112" s="3" t="s">
        <v>19</v>
      </c>
      <c r="G1112" s="3" t="s">
        <v>72</v>
      </c>
      <c r="H1112" s="3">
        <v>1.0</v>
      </c>
      <c r="I1112" s="3" t="s">
        <v>4831</v>
      </c>
      <c r="J1112" s="3" t="s">
        <v>22</v>
      </c>
      <c r="K1112" s="3" t="s">
        <v>473</v>
      </c>
      <c r="L1112" s="3" t="s">
        <v>473</v>
      </c>
      <c r="M1112" s="3" t="s">
        <v>474</v>
      </c>
      <c r="N1112" s="3" t="s">
        <v>475</v>
      </c>
      <c r="O1112" s="5">
        <v>288.0359076</v>
      </c>
      <c r="P1112" s="6" t="str">
        <f t="shared" si="2"/>
        <v>IT - Hardware</v>
      </c>
    </row>
    <row r="1113" hidden="1">
      <c r="A1113" s="3" t="s">
        <v>4835</v>
      </c>
      <c r="B1113" s="4">
        <v>517397.0</v>
      </c>
      <c r="C1113" s="3" t="s">
        <v>4836</v>
      </c>
      <c r="D1113" s="3" t="s">
        <v>4837</v>
      </c>
      <c r="E1113" s="3" t="s">
        <v>4838</v>
      </c>
      <c r="F1113" s="3" t="s">
        <v>19</v>
      </c>
      <c r="G1113" s="3" t="s">
        <v>72</v>
      </c>
      <c r="H1113" s="3">
        <v>10.0</v>
      </c>
      <c r="I1113" s="3" t="s">
        <v>4835</v>
      </c>
      <c r="J1113" s="3" t="s">
        <v>22</v>
      </c>
      <c r="K1113" s="3" t="s">
        <v>97</v>
      </c>
      <c r="L1113" s="3" t="s">
        <v>98</v>
      </c>
      <c r="M1113" s="3" t="s">
        <v>99</v>
      </c>
      <c r="N1113" s="3" t="s">
        <v>100</v>
      </c>
      <c r="O1113" s="5">
        <v>24.5997611</v>
      </c>
      <c r="P1113" s="6" t="str">
        <f t="shared" si="2"/>
        <v>Industrial Products</v>
      </c>
    </row>
    <row r="1114" hidden="1">
      <c r="A1114" s="3" t="s">
        <v>4839</v>
      </c>
      <c r="B1114" s="4">
        <v>517399.0</v>
      </c>
      <c r="C1114" s="3" t="s">
        <v>4840</v>
      </c>
      <c r="D1114" s="3" t="s">
        <v>4841</v>
      </c>
      <c r="E1114" s="3" t="s">
        <v>4842</v>
      </c>
      <c r="F1114" s="3" t="s">
        <v>19</v>
      </c>
      <c r="G1114" s="3" t="s">
        <v>72</v>
      </c>
      <c r="H1114" s="3">
        <v>10.0</v>
      </c>
      <c r="I1114" s="3" t="s">
        <v>4839</v>
      </c>
      <c r="J1114" s="3" t="s">
        <v>22</v>
      </c>
      <c r="K1114" s="3" t="s">
        <v>58</v>
      </c>
      <c r="L1114" s="3" t="s">
        <v>211</v>
      </c>
      <c r="M1114" s="3" t="s">
        <v>211</v>
      </c>
      <c r="N1114" s="3" t="s">
        <v>212</v>
      </c>
      <c r="O1114" s="5">
        <v>6.6624</v>
      </c>
      <c r="P1114" s="6" t="str">
        <f t="shared" si="2"/>
        <v>Consumer Durables</v>
      </c>
    </row>
    <row r="1115" hidden="1">
      <c r="A1115" s="3" t="s">
        <v>4843</v>
      </c>
      <c r="B1115" s="4">
        <v>531977.0</v>
      </c>
      <c r="C1115" s="3" t="s">
        <v>4844</v>
      </c>
      <c r="D1115" s="3" t="s">
        <v>4845</v>
      </c>
      <c r="E1115" s="3" t="s">
        <v>4846</v>
      </c>
      <c r="F1115" s="3" t="s">
        <v>19</v>
      </c>
      <c r="G1115" s="3" t="s">
        <v>72</v>
      </c>
      <c r="H1115" s="3">
        <v>1.0</v>
      </c>
      <c r="I1115" s="3" t="s">
        <v>4847</v>
      </c>
      <c r="J1115" s="3" t="s">
        <v>22</v>
      </c>
      <c r="K1115" s="3" t="s">
        <v>1673</v>
      </c>
      <c r="L1115" s="3" t="s">
        <v>1673</v>
      </c>
      <c r="M1115" s="3" t="s">
        <v>1689</v>
      </c>
      <c r="N1115" s="3" t="s">
        <v>1690</v>
      </c>
      <c r="O1115" s="5">
        <v>105.2602517</v>
      </c>
      <c r="P1115" s="6" t="str">
        <f t="shared" si="2"/>
        <v>Transport Services</v>
      </c>
    </row>
    <row r="1116" hidden="1">
      <c r="A1116" s="3" t="s">
        <v>4848</v>
      </c>
      <c r="B1116" s="4">
        <v>517415.0</v>
      </c>
      <c r="C1116" s="3" t="s">
        <v>4849</v>
      </c>
      <c r="D1116" s="3" t="s">
        <v>4850</v>
      </c>
      <c r="E1116" s="3" t="s">
        <v>4851</v>
      </c>
      <c r="F1116" s="3" t="s">
        <v>19</v>
      </c>
      <c r="G1116" s="3" t="s">
        <v>44</v>
      </c>
      <c r="H1116" s="3">
        <v>10.0</v>
      </c>
      <c r="I1116" s="3" t="s">
        <v>4848</v>
      </c>
      <c r="J1116" s="3" t="s">
        <v>22</v>
      </c>
      <c r="K1116" s="3" t="s">
        <v>473</v>
      </c>
      <c r="L1116" s="3" t="s">
        <v>473</v>
      </c>
      <c r="M1116" s="3" t="s">
        <v>1538</v>
      </c>
      <c r="N1116" s="3" t="s">
        <v>1539</v>
      </c>
      <c r="O1116" s="5">
        <v>60.4706455</v>
      </c>
      <c r="P1116" s="6" t="str">
        <f t="shared" si="2"/>
        <v>IT - Services</v>
      </c>
    </row>
    <row r="1117" hidden="1">
      <c r="A1117" s="3" t="s">
        <v>4852</v>
      </c>
      <c r="B1117" s="4">
        <v>517417.0</v>
      </c>
      <c r="C1117" s="3" t="s">
        <v>4853</v>
      </c>
      <c r="D1117" s="3" t="s">
        <v>4854</v>
      </c>
      <c r="E1117" s="3" t="s">
        <v>4855</v>
      </c>
      <c r="F1117" s="3" t="s">
        <v>19</v>
      </c>
      <c r="G1117" s="3" t="s">
        <v>72</v>
      </c>
      <c r="H1117" s="3">
        <v>10.0</v>
      </c>
      <c r="I1117" s="3" t="s">
        <v>4852</v>
      </c>
      <c r="J1117" s="3" t="s">
        <v>22</v>
      </c>
      <c r="K1117" s="3" t="s">
        <v>97</v>
      </c>
      <c r="L1117" s="3" t="s">
        <v>98</v>
      </c>
      <c r="M1117" s="3" t="s">
        <v>99</v>
      </c>
      <c r="N1117" s="3" t="s">
        <v>100</v>
      </c>
      <c r="O1117" s="5">
        <v>374.0370852</v>
      </c>
      <c r="P1117" s="6" t="str">
        <f t="shared" si="2"/>
        <v>Industrial Products</v>
      </c>
    </row>
    <row r="1118" hidden="1">
      <c r="A1118" s="3" t="s">
        <v>4856</v>
      </c>
      <c r="B1118" s="4">
        <v>517421.0</v>
      </c>
      <c r="C1118" s="3" t="s">
        <v>4857</v>
      </c>
      <c r="D1118" s="3" t="s">
        <v>4858</v>
      </c>
      <c r="E1118" s="3" t="s">
        <v>4859</v>
      </c>
      <c r="F1118" s="3" t="s">
        <v>19</v>
      </c>
      <c r="G1118" s="3" t="s">
        <v>112</v>
      </c>
      <c r="H1118" s="3">
        <v>10.0</v>
      </c>
      <c r="I1118" s="3" t="s">
        <v>4856</v>
      </c>
      <c r="J1118" s="3" t="s">
        <v>22</v>
      </c>
      <c r="K1118" s="3" t="s">
        <v>58</v>
      </c>
      <c r="L1118" s="3" t="s">
        <v>211</v>
      </c>
      <c r="M1118" s="3" t="s">
        <v>211</v>
      </c>
      <c r="N1118" s="3" t="s">
        <v>882</v>
      </c>
      <c r="O1118" s="5">
        <v>1541.1637709</v>
      </c>
      <c r="P1118" s="6" t="str">
        <f t="shared" si="2"/>
        <v>Consumer Durables</v>
      </c>
    </row>
    <row r="1119" hidden="1">
      <c r="A1119" s="3" t="s">
        <v>4860</v>
      </c>
      <c r="B1119" s="4">
        <v>517423.0</v>
      </c>
      <c r="C1119" s="3" t="s">
        <v>4861</v>
      </c>
      <c r="D1119" s="3" t="s">
        <v>4862</v>
      </c>
      <c r="E1119" s="3" t="s">
        <v>4863</v>
      </c>
      <c r="F1119" s="3" t="s">
        <v>19</v>
      </c>
      <c r="G1119" s="3" t="s">
        <v>72</v>
      </c>
      <c r="H1119" s="3">
        <v>10.0</v>
      </c>
      <c r="I1119" s="3" t="s">
        <v>4860</v>
      </c>
      <c r="J1119" s="3" t="s">
        <v>22</v>
      </c>
      <c r="K1119" s="3" t="s">
        <v>97</v>
      </c>
      <c r="L1119" s="3" t="s">
        <v>98</v>
      </c>
      <c r="M1119" s="3" t="s">
        <v>1747</v>
      </c>
      <c r="N1119" s="3" t="s">
        <v>1748</v>
      </c>
      <c r="O1119" s="5">
        <v>47.6374504</v>
      </c>
      <c r="P1119" s="6" t="str">
        <f t="shared" si="2"/>
        <v>Electrical Equipment</v>
      </c>
    </row>
    <row r="1120" hidden="1">
      <c r="A1120" s="3" t="s">
        <v>4864</v>
      </c>
      <c r="B1120" s="4">
        <v>517429.0</v>
      </c>
      <c r="C1120" s="3" t="s">
        <v>4865</v>
      </c>
      <c r="D1120" s="3" t="s">
        <v>4866</v>
      </c>
      <c r="E1120" s="3" t="s">
        <v>4867</v>
      </c>
      <c r="F1120" s="3" t="s">
        <v>19</v>
      </c>
      <c r="G1120" s="3" t="s">
        <v>44</v>
      </c>
      <c r="H1120" s="3">
        <v>10.0</v>
      </c>
      <c r="I1120" s="3" t="s">
        <v>4864</v>
      </c>
      <c r="J1120" s="3" t="s">
        <v>22</v>
      </c>
      <c r="K1120" s="3" t="s">
        <v>473</v>
      </c>
      <c r="L1120" s="3" t="s">
        <v>473</v>
      </c>
      <c r="M1120" s="3" t="s">
        <v>1391</v>
      </c>
      <c r="N1120" s="3" t="s">
        <v>1840</v>
      </c>
      <c r="O1120" s="5">
        <v>131.3850525</v>
      </c>
      <c r="P1120" s="6" t="str">
        <f t="shared" si="2"/>
        <v>Computers - Software &amp; Consulting</v>
      </c>
    </row>
    <row r="1121" hidden="1">
      <c r="A1121" s="3" t="s">
        <v>4868</v>
      </c>
      <c r="B1121" s="4">
        <v>517431.0</v>
      </c>
      <c r="C1121" s="3" t="s">
        <v>4869</v>
      </c>
      <c r="D1121" s="3" t="s">
        <v>4870</v>
      </c>
      <c r="E1121" s="3" t="s">
        <v>4871</v>
      </c>
      <c r="F1121" s="3" t="s">
        <v>19</v>
      </c>
      <c r="G1121" s="3" t="s">
        <v>72</v>
      </c>
      <c r="H1121" s="3">
        <v>10.0</v>
      </c>
      <c r="I1121" s="3" t="s">
        <v>4868</v>
      </c>
      <c r="J1121" s="3" t="s">
        <v>22</v>
      </c>
      <c r="K1121" s="3" t="s">
        <v>97</v>
      </c>
      <c r="L1121" s="3" t="s">
        <v>98</v>
      </c>
      <c r="M1121" s="3" t="s">
        <v>100</v>
      </c>
      <c r="N1121" s="3" t="s">
        <v>580</v>
      </c>
      <c r="O1121" s="5">
        <v>1.0</v>
      </c>
      <c r="P1121" s="6" t="str">
        <f t="shared" si="2"/>
        <v>Industrial Products</v>
      </c>
    </row>
    <row r="1122" hidden="1">
      <c r="A1122" s="3" t="s">
        <v>4872</v>
      </c>
      <c r="B1122" s="4">
        <v>517437.0</v>
      </c>
      <c r="C1122" s="3" t="s">
        <v>4873</v>
      </c>
      <c r="D1122" s="3" t="s">
        <v>4874</v>
      </c>
      <c r="E1122" s="3" t="s">
        <v>4875</v>
      </c>
      <c r="F1122" s="3" t="s">
        <v>19</v>
      </c>
      <c r="G1122" s="3" t="s">
        <v>44</v>
      </c>
      <c r="H1122" s="3">
        <v>10.0</v>
      </c>
      <c r="I1122" s="3" t="s">
        <v>4872</v>
      </c>
      <c r="J1122" s="3" t="s">
        <v>22</v>
      </c>
      <c r="K1122" s="3" t="s">
        <v>97</v>
      </c>
      <c r="L1122" s="3" t="s">
        <v>98</v>
      </c>
      <c r="M1122" s="3" t="s">
        <v>100</v>
      </c>
      <c r="N1122" s="3" t="s">
        <v>580</v>
      </c>
      <c r="O1122" s="5">
        <v>107.483544</v>
      </c>
      <c r="P1122" s="6" t="str">
        <f t="shared" si="2"/>
        <v>Industrial Products</v>
      </c>
    </row>
    <row r="1123" hidden="1">
      <c r="A1123" s="3" t="s">
        <v>4876</v>
      </c>
      <c r="B1123" s="4">
        <v>517447.0</v>
      </c>
      <c r="C1123" s="3" t="s">
        <v>4877</v>
      </c>
      <c r="D1123" s="3" t="s">
        <v>4878</v>
      </c>
      <c r="E1123" s="3" t="s">
        <v>4879</v>
      </c>
      <c r="F1123" s="3" t="s">
        <v>19</v>
      </c>
      <c r="G1123" s="3" t="s">
        <v>86</v>
      </c>
      <c r="H1123" s="3">
        <v>5.0</v>
      </c>
      <c r="I1123" s="3" t="s">
        <v>4876</v>
      </c>
      <c r="J1123" s="3" t="s">
        <v>22</v>
      </c>
      <c r="K1123" s="3" t="s">
        <v>473</v>
      </c>
      <c r="L1123" s="3" t="s">
        <v>473</v>
      </c>
      <c r="M1123" s="3" t="s">
        <v>1391</v>
      </c>
      <c r="N1123" s="3" t="s">
        <v>1840</v>
      </c>
      <c r="O1123" s="5">
        <v>655.6656413</v>
      </c>
      <c r="P1123" s="6" t="str">
        <f t="shared" si="2"/>
        <v>Computers - Software &amp; Consulting</v>
      </c>
    </row>
    <row r="1124" hidden="1">
      <c r="A1124" s="3" t="s">
        <v>4880</v>
      </c>
      <c r="B1124" s="4">
        <v>517449.0</v>
      </c>
      <c r="C1124" s="3" t="s">
        <v>4881</v>
      </c>
      <c r="D1124" s="3" t="s">
        <v>4882</v>
      </c>
      <c r="E1124" s="3" t="s">
        <v>4883</v>
      </c>
      <c r="F1124" s="3" t="s">
        <v>19</v>
      </c>
      <c r="G1124" s="3" t="s">
        <v>44</v>
      </c>
      <c r="H1124" s="3">
        <v>10.0</v>
      </c>
      <c r="I1124" s="3" t="s">
        <v>4880</v>
      </c>
      <c r="J1124" s="3" t="s">
        <v>22</v>
      </c>
      <c r="K1124" s="3" t="s">
        <v>97</v>
      </c>
      <c r="L1124" s="3" t="s">
        <v>98</v>
      </c>
      <c r="M1124" s="3" t="s">
        <v>100</v>
      </c>
      <c r="N1124" s="3" t="s">
        <v>1909</v>
      </c>
      <c r="O1124" s="5">
        <v>198.8442335</v>
      </c>
      <c r="P1124" s="6" t="str">
        <f t="shared" si="2"/>
        <v>Industrial Products</v>
      </c>
    </row>
    <row r="1125" hidden="1">
      <c r="A1125" s="3" t="s">
        <v>4884</v>
      </c>
      <c r="B1125" s="4">
        <v>517467.0</v>
      </c>
      <c r="C1125" s="3" t="s">
        <v>4885</v>
      </c>
      <c r="D1125" s="3" t="s">
        <v>4886</v>
      </c>
      <c r="E1125" s="3" t="s">
        <v>4885</v>
      </c>
      <c r="F1125" s="3" t="s">
        <v>19</v>
      </c>
      <c r="G1125" s="3" t="s">
        <v>57</v>
      </c>
      <c r="H1125" s="3">
        <v>1.0</v>
      </c>
      <c r="I1125" s="3" t="s">
        <v>4884</v>
      </c>
      <c r="J1125" s="3" t="s">
        <v>22</v>
      </c>
      <c r="K1125" s="3" t="s">
        <v>97</v>
      </c>
      <c r="L1125" s="3" t="s">
        <v>98</v>
      </c>
      <c r="M1125" s="3" t="s">
        <v>1747</v>
      </c>
      <c r="N1125" s="3" t="s">
        <v>1748</v>
      </c>
      <c r="O1125" s="5">
        <v>997.4548716</v>
      </c>
      <c r="P1125" s="6" t="str">
        <f t="shared" si="2"/>
        <v>Electrical Equipment</v>
      </c>
    </row>
    <row r="1126" hidden="1">
      <c r="A1126" s="3" t="s">
        <v>4887</v>
      </c>
      <c r="B1126" s="4">
        <v>517477.0</v>
      </c>
      <c r="C1126" s="3" t="s">
        <v>4888</v>
      </c>
      <c r="D1126" s="3" t="s">
        <v>4889</v>
      </c>
      <c r="E1126" s="3" t="s">
        <v>4890</v>
      </c>
      <c r="F1126" s="3" t="s">
        <v>19</v>
      </c>
      <c r="G1126" s="3" t="s">
        <v>44</v>
      </c>
      <c r="H1126" s="3">
        <v>10.0</v>
      </c>
      <c r="I1126" s="3" t="s">
        <v>4887</v>
      </c>
      <c r="J1126" s="3" t="s">
        <v>22</v>
      </c>
      <c r="K1126" s="3" t="s">
        <v>473</v>
      </c>
      <c r="L1126" s="3" t="s">
        <v>473</v>
      </c>
      <c r="M1126" s="3" t="s">
        <v>1538</v>
      </c>
      <c r="N1126" s="3" t="s">
        <v>1539</v>
      </c>
      <c r="O1126" s="5">
        <v>1.0</v>
      </c>
      <c r="P1126" s="6" t="str">
        <f t="shared" si="2"/>
        <v>IT - Services</v>
      </c>
    </row>
    <row r="1127" hidden="1">
      <c r="A1127" s="3" t="s">
        <v>4891</v>
      </c>
      <c r="B1127" s="4">
        <v>517494.0</v>
      </c>
      <c r="C1127" s="3" t="s">
        <v>4892</v>
      </c>
      <c r="D1127" s="3" t="s">
        <v>4893</v>
      </c>
      <c r="E1127" s="3" t="s">
        <v>4894</v>
      </c>
      <c r="F1127" s="3" t="s">
        <v>19</v>
      </c>
      <c r="G1127" s="3" t="s">
        <v>72</v>
      </c>
      <c r="H1127" s="3">
        <v>2.0</v>
      </c>
      <c r="I1127" s="3" t="s">
        <v>4891</v>
      </c>
      <c r="J1127" s="3" t="s">
        <v>22</v>
      </c>
      <c r="K1127" s="3" t="s">
        <v>473</v>
      </c>
      <c r="L1127" s="3" t="s">
        <v>473</v>
      </c>
      <c r="M1127" s="3" t="s">
        <v>1391</v>
      </c>
      <c r="N1127" s="3" t="s">
        <v>1840</v>
      </c>
      <c r="O1127" s="5">
        <v>127.635701</v>
      </c>
      <c r="P1127" s="6" t="str">
        <f t="shared" si="2"/>
        <v>Computers - Software &amp; Consulting</v>
      </c>
    </row>
    <row r="1128" hidden="1">
      <c r="A1128" s="3" t="s">
        <v>4895</v>
      </c>
      <c r="B1128" s="4">
        <v>517498.0</v>
      </c>
      <c r="C1128" s="3" t="s">
        <v>4896</v>
      </c>
      <c r="D1128" s="3" t="s">
        <v>4897</v>
      </c>
      <c r="E1128" s="3" t="s">
        <v>4898</v>
      </c>
      <c r="F1128" s="3" t="s">
        <v>19</v>
      </c>
      <c r="G1128" s="3" t="s">
        <v>86</v>
      </c>
      <c r="H1128" s="3">
        <v>10.0</v>
      </c>
      <c r="I1128" s="3" t="s">
        <v>4895</v>
      </c>
      <c r="J1128" s="3" t="s">
        <v>22</v>
      </c>
      <c r="K1128" s="3" t="s">
        <v>97</v>
      </c>
      <c r="L1128" s="3" t="s">
        <v>98</v>
      </c>
      <c r="M1128" s="3" t="s">
        <v>1747</v>
      </c>
      <c r="N1128" s="3" t="s">
        <v>1748</v>
      </c>
      <c r="O1128" s="5">
        <v>2541.4200131</v>
      </c>
      <c r="P1128" s="6" t="str">
        <f t="shared" si="2"/>
        <v>Electrical Equipment</v>
      </c>
    </row>
    <row r="1129" hidden="1">
      <c r="A1129" s="3" t="s">
        <v>4899</v>
      </c>
      <c r="B1129" s="4">
        <v>517500.0</v>
      </c>
      <c r="C1129" s="3" t="s">
        <v>4900</v>
      </c>
      <c r="D1129" s="3" t="s">
        <v>4901</v>
      </c>
      <c r="E1129" s="3" t="s">
        <v>4902</v>
      </c>
      <c r="F1129" s="3" t="s">
        <v>19</v>
      </c>
      <c r="G1129" s="3" t="s">
        <v>112</v>
      </c>
      <c r="H1129" s="3">
        <v>2.0</v>
      </c>
      <c r="I1129" s="3" t="s">
        <v>4899</v>
      </c>
      <c r="J1129" s="3" t="s">
        <v>22</v>
      </c>
      <c r="K1129" s="3" t="s">
        <v>97</v>
      </c>
      <c r="L1129" s="3" t="s">
        <v>98</v>
      </c>
      <c r="M1129" s="3" t="s">
        <v>100</v>
      </c>
      <c r="N1129" s="3" t="s">
        <v>983</v>
      </c>
      <c r="O1129" s="5">
        <v>1867.7280513</v>
      </c>
      <c r="P1129" s="6" t="str">
        <f t="shared" si="2"/>
        <v>Industrial Products</v>
      </c>
    </row>
    <row r="1130">
      <c r="A1130" s="3" t="s">
        <v>1256</v>
      </c>
      <c r="B1130" s="4">
        <v>543498.0</v>
      </c>
      <c r="C1130" s="3" t="s">
        <v>4903</v>
      </c>
      <c r="D1130" s="3" t="s">
        <v>4904</v>
      </c>
      <c r="E1130" s="3" t="s">
        <v>4905</v>
      </c>
      <c r="F1130" s="3" t="s">
        <v>19</v>
      </c>
      <c r="G1130" s="3" t="s">
        <v>20</v>
      </c>
      <c r="H1130" s="3">
        <v>1.0</v>
      </c>
      <c r="I1130" s="3" t="s">
        <v>4906</v>
      </c>
      <c r="J1130" s="3" t="s">
        <v>22</v>
      </c>
      <c r="K1130" s="3" t="s">
        <v>58</v>
      </c>
      <c r="L1130" s="3" t="s">
        <v>133</v>
      </c>
      <c r="M1130" s="3" t="s">
        <v>134</v>
      </c>
      <c r="N1130" s="3" t="s">
        <v>135</v>
      </c>
      <c r="O1130" s="5">
        <v>32747.9844015</v>
      </c>
      <c r="P1130" s="6" t="str">
        <f t="shared" si="2"/>
        <v>Auto Components &amp; Equipments</v>
      </c>
    </row>
    <row r="1131" hidden="1">
      <c r="A1131" s="3" t="s">
        <v>4907</v>
      </c>
      <c r="B1131" s="4">
        <v>517514.0</v>
      </c>
      <c r="C1131" s="3" t="s">
        <v>4908</v>
      </c>
      <c r="D1131" s="3" t="s">
        <v>4909</v>
      </c>
      <c r="E1131" s="3" t="s">
        <v>4910</v>
      </c>
      <c r="F1131" s="3" t="s">
        <v>19</v>
      </c>
      <c r="G1131" s="3" t="s">
        <v>44</v>
      </c>
      <c r="H1131" s="3">
        <v>10.0</v>
      </c>
      <c r="I1131" s="3" t="s">
        <v>4907</v>
      </c>
      <c r="J1131" s="3" t="s">
        <v>22</v>
      </c>
      <c r="K1131" s="3" t="s">
        <v>97</v>
      </c>
      <c r="L1131" s="3" t="s">
        <v>98</v>
      </c>
      <c r="M1131" s="3" t="s">
        <v>99</v>
      </c>
      <c r="N1131" s="3" t="s">
        <v>100</v>
      </c>
      <c r="O1131" s="5">
        <v>89.6037169</v>
      </c>
      <c r="P1131" s="6" t="str">
        <f t="shared" si="2"/>
        <v>Industrial Products</v>
      </c>
    </row>
    <row r="1132" hidden="1">
      <c r="A1132" s="3" t="s">
        <v>4911</v>
      </c>
      <c r="B1132" s="4">
        <v>517522.0</v>
      </c>
      <c r="C1132" s="3" t="s">
        <v>4912</v>
      </c>
      <c r="D1132" s="3" t="s">
        <v>4913</v>
      </c>
      <c r="E1132" s="3" t="s">
        <v>4914</v>
      </c>
      <c r="F1132" s="3" t="s">
        <v>19</v>
      </c>
      <c r="G1132" s="3" t="s">
        <v>20</v>
      </c>
      <c r="H1132" s="3">
        <v>2.0</v>
      </c>
      <c r="I1132" s="3" t="s">
        <v>4911</v>
      </c>
      <c r="J1132" s="3" t="s">
        <v>22</v>
      </c>
      <c r="K1132" s="3" t="s">
        <v>58</v>
      </c>
      <c r="L1132" s="3" t="s">
        <v>133</v>
      </c>
      <c r="M1132" s="3" t="s">
        <v>134</v>
      </c>
      <c r="N1132" s="3" t="s">
        <v>135</v>
      </c>
      <c r="O1132" s="5">
        <v>3000.3333777</v>
      </c>
      <c r="P1132" s="6" t="str">
        <f t="shared" si="2"/>
        <v>Auto Components &amp; Equipments</v>
      </c>
    </row>
    <row r="1133" hidden="1">
      <c r="A1133" s="3" t="s">
        <v>4915</v>
      </c>
      <c r="B1133" s="4">
        <v>517530.0</v>
      </c>
      <c r="C1133" s="3" t="s">
        <v>4916</v>
      </c>
      <c r="D1133" s="3" t="s">
        <v>4917</v>
      </c>
      <c r="E1133" s="3" t="s">
        <v>4916</v>
      </c>
      <c r="F1133" s="3" t="s">
        <v>19</v>
      </c>
      <c r="G1133" s="3" t="s">
        <v>112</v>
      </c>
      <c r="H1133" s="3">
        <v>1.0</v>
      </c>
      <c r="I1133" s="3" t="s">
        <v>4915</v>
      </c>
      <c r="J1133" s="3" t="s">
        <v>22</v>
      </c>
      <c r="K1133" s="3" t="s">
        <v>1647</v>
      </c>
      <c r="L1133" s="3" t="s">
        <v>1648</v>
      </c>
      <c r="M1133" s="3" t="s">
        <v>1648</v>
      </c>
      <c r="N1133" s="3" t="s">
        <v>1649</v>
      </c>
      <c r="O1133" s="5">
        <v>364.0585965</v>
      </c>
      <c r="P1133" s="6" t="str">
        <f t="shared" si="2"/>
        <v>Power</v>
      </c>
    </row>
    <row r="1134" hidden="1">
      <c r="A1134" s="3" t="s">
        <v>4918</v>
      </c>
      <c r="B1134" s="4">
        <v>517536.0</v>
      </c>
      <c r="C1134" s="3" t="s">
        <v>4919</v>
      </c>
      <c r="D1134" s="3" t="s">
        <v>4920</v>
      </c>
      <c r="E1134" s="3" t="s">
        <v>4921</v>
      </c>
      <c r="F1134" s="3" t="s">
        <v>19</v>
      </c>
      <c r="G1134" s="3" t="s">
        <v>112</v>
      </c>
      <c r="H1134" s="3">
        <v>10.0</v>
      </c>
      <c r="I1134" s="3" t="s">
        <v>4918</v>
      </c>
      <c r="J1134" s="3" t="s">
        <v>22</v>
      </c>
      <c r="K1134" s="3" t="s">
        <v>473</v>
      </c>
      <c r="L1134" s="3" t="s">
        <v>473</v>
      </c>
      <c r="M1134" s="3" t="s">
        <v>1538</v>
      </c>
      <c r="N1134" s="3" t="s">
        <v>1539</v>
      </c>
      <c r="O1134" s="5">
        <v>883.189737</v>
      </c>
      <c r="P1134" s="6" t="str">
        <f t="shared" si="2"/>
        <v>IT - Services</v>
      </c>
    </row>
    <row r="1135" hidden="1">
      <c r="A1135" s="3" t="s">
        <v>4922</v>
      </c>
      <c r="B1135" s="4">
        <v>517544.0</v>
      </c>
      <c r="C1135" s="3" t="s">
        <v>4923</v>
      </c>
      <c r="D1135" s="3" t="s">
        <v>4924</v>
      </c>
      <c r="E1135" s="3" t="s">
        <v>4925</v>
      </c>
      <c r="F1135" s="3" t="s">
        <v>19</v>
      </c>
      <c r="G1135" s="3" t="s">
        <v>112</v>
      </c>
      <c r="H1135" s="3">
        <v>10.0</v>
      </c>
      <c r="I1135" s="3" t="s">
        <v>4922</v>
      </c>
      <c r="J1135" s="3" t="s">
        <v>22</v>
      </c>
      <c r="K1135" s="3" t="s">
        <v>97</v>
      </c>
      <c r="L1135" s="3" t="s">
        <v>98</v>
      </c>
      <c r="M1135" s="3" t="s">
        <v>99</v>
      </c>
      <c r="N1135" s="3" t="s">
        <v>100</v>
      </c>
      <c r="O1135" s="5">
        <v>2120.878368</v>
      </c>
      <c r="P1135" s="6" t="str">
        <f t="shared" si="2"/>
        <v>Industrial Products</v>
      </c>
    </row>
    <row r="1136" hidden="1">
      <c r="A1136" s="3" t="s">
        <v>4926</v>
      </c>
      <c r="B1136" s="4">
        <v>517546.0</v>
      </c>
      <c r="C1136" s="3" t="s">
        <v>4927</v>
      </c>
      <c r="D1136" s="3" t="s">
        <v>4928</v>
      </c>
      <c r="E1136" s="3" t="s">
        <v>4929</v>
      </c>
      <c r="F1136" s="3" t="s">
        <v>19</v>
      </c>
      <c r="G1136" s="3" t="s">
        <v>72</v>
      </c>
      <c r="H1136" s="3">
        <v>10.0</v>
      </c>
      <c r="I1136" s="3" t="s">
        <v>4926</v>
      </c>
      <c r="J1136" s="3" t="s">
        <v>22</v>
      </c>
      <c r="K1136" s="3" t="s">
        <v>97</v>
      </c>
      <c r="L1136" s="3" t="s">
        <v>98</v>
      </c>
      <c r="M1136" s="3" t="s">
        <v>1747</v>
      </c>
      <c r="N1136" s="3" t="s">
        <v>1748</v>
      </c>
      <c r="O1136" s="5">
        <v>82.0871845</v>
      </c>
      <c r="P1136" s="6" t="str">
        <f t="shared" si="2"/>
        <v>Electrical Equipment</v>
      </c>
    </row>
    <row r="1137" hidden="1">
      <c r="A1137" s="3" t="s">
        <v>4930</v>
      </c>
      <c r="B1137" s="4">
        <v>517554.0</v>
      </c>
      <c r="C1137" s="3" t="s">
        <v>4931</v>
      </c>
      <c r="D1137" s="3" t="s">
        <v>4932</v>
      </c>
      <c r="E1137" s="3" t="s">
        <v>4933</v>
      </c>
      <c r="F1137" s="3" t="s">
        <v>19</v>
      </c>
      <c r="G1137" s="3" t="s">
        <v>44</v>
      </c>
      <c r="H1137" s="3">
        <v>10.0</v>
      </c>
      <c r="I1137" s="3" t="s">
        <v>4930</v>
      </c>
      <c r="J1137" s="3" t="s">
        <v>22</v>
      </c>
      <c r="K1137" s="3" t="s">
        <v>145</v>
      </c>
      <c r="L1137" s="3" t="s">
        <v>145</v>
      </c>
      <c r="M1137" s="3" t="s">
        <v>597</v>
      </c>
      <c r="N1137" s="3" t="s">
        <v>1065</v>
      </c>
      <c r="O1137" s="5">
        <v>56.338471</v>
      </c>
      <c r="P1137" s="6" t="str">
        <f t="shared" si="2"/>
        <v>Food Products</v>
      </c>
    </row>
    <row r="1138" hidden="1">
      <c r="A1138" s="3" t="s">
        <v>4934</v>
      </c>
      <c r="B1138" s="4">
        <v>517556.0</v>
      </c>
      <c r="C1138" s="3" t="s">
        <v>4935</v>
      </c>
      <c r="D1138" s="3" t="s">
        <v>4936</v>
      </c>
      <c r="E1138" s="3" t="s">
        <v>4937</v>
      </c>
      <c r="F1138" s="3" t="s">
        <v>19</v>
      </c>
      <c r="G1138" s="3" t="s">
        <v>112</v>
      </c>
      <c r="H1138" s="3">
        <v>10.0</v>
      </c>
      <c r="I1138" s="3" t="s">
        <v>4934</v>
      </c>
      <c r="J1138" s="3" t="s">
        <v>22</v>
      </c>
      <c r="K1138" s="3" t="s">
        <v>58</v>
      </c>
      <c r="L1138" s="3" t="s">
        <v>59</v>
      </c>
      <c r="M1138" s="3" t="s">
        <v>59</v>
      </c>
      <c r="N1138" s="3" t="s">
        <v>60</v>
      </c>
      <c r="O1138" s="5">
        <v>677.116578</v>
      </c>
      <c r="P1138" s="6" t="str">
        <f t="shared" si="2"/>
        <v>Residential, Commercial Projects</v>
      </c>
    </row>
    <row r="1139" hidden="1">
      <c r="A1139" s="3" t="s">
        <v>4938</v>
      </c>
      <c r="B1139" s="4">
        <v>517562.0</v>
      </c>
      <c r="C1139" s="3" t="s">
        <v>4939</v>
      </c>
      <c r="D1139" s="3" t="s">
        <v>4940</v>
      </c>
      <c r="E1139" s="3" t="s">
        <v>4941</v>
      </c>
      <c r="F1139" s="3" t="s">
        <v>19</v>
      </c>
      <c r="G1139" s="3" t="s">
        <v>112</v>
      </c>
      <c r="H1139" s="3">
        <v>10.0</v>
      </c>
      <c r="I1139" s="3" t="s">
        <v>4938</v>
      </c>
      <c r="J1139" s="3" t="s">
        <v>22</v>
      </c>
      <c r="K1139" s="3" t="s">
        <v>473</v>
      </c>
      <c r="L1139" s="3" t="s">
        <v>473</v>
      </c>
      <c r="M1139" s="3" t="s">
        <v>1391</v>
      </c>
      <c r="N1139" s="3" t="s">
        <v>1840</v>
      </c>
      <c r="O1139" s="5">
        <v>434.2471</v>
      </c>
      <c r="P1139" s="6" t="str">
        <f t="shared" si="2"/>
        <v>Computers - Software &amp; Consulting</v>
      </c>
    </row>
    <row r="1140">
      <c r="A1140" s="3" t="s">
        <v>4942</v>
      </c>
      <c r="B1140" s="4">
        <v>543523.0</v>
      </c>
      <c r="C1140" s="3" t="s">
        <v>4943</v>
      </c>
      <c r="D1140" s="3" t="s">
        <v>4944</v>
      </c>
      <c r="E1140" s="3" t="s">
        <v>4945</v>
      </c>
      <c r="F1140" s="3" t="s">
        <v>19</v>
      </c>
      <c r="G1140" s="3" t="s">
        <v>20</v>
      </c>
      <c r="H1140" s="3">
        <v>5.0</v>
      </c>
      <c r="I1140" s="3" t="s">
        <v>4946</v>
      </c>
      <c r="J1140" s="3" t="s">
        <v>22</v>
      </c>
      <c r="K1140" s="3" t="s">
        <v>58</v>
      </c>
      <c r="L1140" s="3" t="s">
        <v>211</v>
      </c>
      <c r="M1140" s="3" t="s">
        <v>211</v>
      </c>
      <c r="N1140" s="3" t="s">
        <v>932</v>
      </c>
      <c r="O1140" s="5">
        <v>8935.9857376</v>
      </c>
      <c r="P1140" s="6" t="str">
        <f t="shared" si="2"/>
        <v>Consumer Durables</v>
      </c>
    </row>
    <row r="1141" hidden="1">
      <c r="A1141" s="3" t="s">
        <v>4947</v>
      </c>
      <c r="B1141" s="4">
        <v>518011.0</v>
      </c>
      <c r="C1141" s="3" t="s">
        <v>4948</v>
      </c>
      <c r="D1141" s="3" t="s">
        <v>4949</v>
      </c>
      <c r="E1141" s="3" t="s">
        <v>4950</v>
      </c>
      <c r="F1141" s="3" t="s">
        <v>19</v>
      </c>
      <c r="G1141" s="3" t="s">
        <v>44</v>
      </c>
      <c r="H1141" s="3">
        <v>10.0</v>
      </c>
      <c r="I1141" s="3" t="s">
        <v>4947</v>
      </c>
      <c r="J1141" s="3" t="s">
        <v>22</v>
      </c>
      <c r="K1141" s="3" t="s">
        <v>23</v>
      </c>
      <c r="L1141" s="3" t="s">
        <v>162</v>
      </c>
      <c r="M1141" s="3" t="s">
        <v>163</v>
      </c>
      <c r="N1141" s="3" t="s">
        <v>163</v>
      </c>
      <c r="O1141" s="5">
        <v>90.9606027</v>
      </c>
      <c r="P1141" s="6" t="str">
        <f t="shared" si="2"/>
        <v>Cement &amp; Cement Products</v>
      </c>
    </row>
    <row r="1142" hidden="1">
      <c r="A1142" s="3" t="s">
        <v>4951</v>
      </c>
      <c r="B1142" s="4">
        <v>518017.0</v>
      </c>
      <c r="C1142" s="3" t="s">
        <v>4952</v>
      </c>
      <c r="D1142" s="3" t="s">
        <v>4953</v>
      </c>
      <c r="E1142" s="3" t="s">
        <v>4954</v>
      </c>
      <c r="F1142" s="3" t="s">
        <v>19</v>
      </c>
      <c r="G1142" s="3" t="s">
        <v>57</v>
      </c>
      <c r="H1142" s="3">
        <v>10.0</v>
      </c>
      <c r="I1142" s="3" t="s">
        <v>4951</v>
      </c>
      <c r="J1142" s="3" t="s">
        <v>22</v>
      </c>
      <c r="K1142" s="3" t="s">
        <v>23</v>
      </c>
      <c r="L1142" s="3" t="s">
        <v>162</v>
      </c>
      <c r="M1142" s="3" t="s">
        <v>163</v>
      </c>
      <c r="N1142" s="3" t="s">
        <v>163</v>
      </c>
      <c r="O1142" s="5">
        <v>85.7353163</v>
      </c>
      <c r="P1142" s="6" t="str">
        <f t="shared" si="2"/>
        <v>Cement &amp; Cement Products</v>
      </c>
    </row>
    <row r="1143" hidden="1">
      <c r="A1143" s="3" t="s">
        <v>4955</v>
      </c>
      <c r="B1143" s="4">
        <v>518075.0</v>
      </c>
      <c r="C1143" s="3" t="s">
        <v>4956</v>
      </c>
      <c r="D1143" s="3" t="s">
        <v>4957</v>
      </c>
      <c r="E1143" s="3" t="s">
        <v>4958</v>
      </c>
      <c r="F1143" s="3" t="s">
        <v>19</v>
      </c>
      <c r="G1143" s="3" t="s">
        <v>57</v>
      </c>
      <c r="H1143" s="3">
        <v>10.0</v>
      </c>
      <c r="I1143" s="3" t="s">
        <v>4955</v>
      </c>
      <c r="J1143" s="3" t="s">
        <v>22</v>
      </c>
      <c r="K1143" s="3" t="s">
        <v>97</v>
      </c>
      <c r="L1143" s="3" t="s">
        <v>98</v>
      </c>
      <c r="M1143" s="3" t="s">
        <v>100</v>
      </c>
      <c r="N1143" s="3" t="s">
        <v>612</v>
      </c>
      <c r="O1143" s="5">
        <v>808.123955</v>
      </c>
      <c r="P1143" s="6" t="str">
        <f t="shared" si="2"/>
        <v>Industrial Products</v>
      </c>
    </row>
    <row r="1144" hidden="1">
      <c r="A1144" s="3" t="s">
        <v>4959</v>
      </c>
      <c r="B1144" s="4">
        <v>518091.0</v>
      </c>
      <c r="C1144" s="3" t="s">
        <v>4960</v>
      </c>
      <c r="D1144" s="3" t="s">
        <v>4961</v>
      </c>
      <c r="E1144" s="3" t="s">
        <v>4962</v>
      </c>
      <c r="F1144" s="3" t="s">
        <v>19</v>
      </c>
      <c r="G1144" s="3" t="s">
        <v>112</v>
      </c>
      <c r="H1144" s="3">
        <v>10.0</v>
      </c>
      <c r="I1144" s="3" t="s">
        <v>4959</v>
      </c>
      <c r="J1144" s="3" t="s">
        <v>22</v>
      </c>
      <c r="K1144" s="3" t="s">
        <v>23</v>
      </c>
      <c r="L1144" s="3" t="s">
        <v>162</v>
      </c>
      <c r="M1144" s="3" t="s">
        <v>163</v>
      </c>
      <c r="N1144" s="3" t="s">
        <v>163</v>
      </c>
      <c r="O1144" s="5">
        <v>585.0686205</v>
      </c>
      <c r="P1144" s="6" t="str">
        <f t="shared" si="2"/>
        <v>Cement &amp; Cement Products</v>
      </c>
    </row>
    <row r="1145" hidden="1">
      <c r="A1145" s="3" t="s">
        <v>4963</v>
      </c>
      <c r="B1145" s="4">
        <v>519003.0</v>
      </c>
      <c r="C1145" s="3" t="s">
        <v>4964</v>
      </c>
      <c r="D1145" s="3" t="s">
        <v>4965</v>
      </c>
      <c r="E1145" s="3" t="s">
        <v>4964</v>
      </c>
      <c r="F1145" s="3" t="s">
        <v>19</v>
      </c>
      <c r="G1145" s="3" t="s">
        <v>44</v>
      </c>
      <c r="H1145" s="3">
        <v>10.0</v>
      </c>
      <c r="I1145" s="3" t="s">
        <v>4963</v>
      </c>
      <c r="J1145" s="3" t="s">
        <v>22</v>
      </c>
      <c r="K1145" s="3" t="s">
        <v>145</v>
      </c>
      <c r="L1145" s="3" t="s">
        <v>145</v>
      </c>
      <c r="M1145" s="3" t="s">
        <v>146</v>
      </c>
      <c r="N1145" s="3" t="s">
        <v>2645</v>
      </c>
      <c r="O1145" s="5">
        <v>337.319139</v>
      </c>
      <c r="P1145" s="6" t="str">
        <f t="shared" si="2"/>
        <v>Agricultural Food &amp; other Products</v>
      </c>
    </row>
    <row r="1146" hidden="1">
      <c r="A1146" s="3" t="s">
        <v>4966</v>
      </c>
      <c r="B1146" s="4">
        <v>519014.0</v>
      </c>
      <c r="C1146" s="3" t="s">
        <v>4967</v>
      </c>
      <c r="D1146" s="3" t="s">
        <v>4968</v>
      </c>
      <c r="E1146" s="3" t="s">
        <v>4969</v>
      </c>
      <c r="F1146" s="3" t="s">
        <v>19</v>
      </c>
      <c r="G1146" s="3" t="s">
        <v>72</v>
      </c>
      <c r="H1146" s="3">
        <v>10.0</v>
      </c>
      <c r="I1146" s="3" t="s">
        <v>4966</v>
      </c>
      <c r="J1146" s="3" t="s">
        <v>22</v>
      </c>
      <c r="K1146" s="3" t="s">
        <v>58</v>
      </c>
      <c r="L1146" s="3" t="s">
        <v>80</v>
      </c>
      <c r="M1146" s="3" t="s">
        <v>81</v>
      </c>
      <c r="N1146" s="3" t="s">
        <v>82</v>
      </c>
      <c r="O1146" s="5">
        <v>6.2800914</v>
      </c>
      <c r="P1146" s="6" t="str">
        <f t="shared" si="2"/>
        <v>Textiles &amp; Apparels</v>
      </c>
    </row>
    <row r="1147" hidden="1">
      <c r="A1147" s="3" t="s">
        <v>4970</v>
      </c>
      <c r="B1147" s="4">
        <v>519031.0</v>
      </c>
      <c r="C1147" s="3" t="s">
        <v>4971</v>
      </c>
      <c r="D1147" s="3" t="s">
        <v>4972</v>
      </c>
      <c r="E1147" s="3" t="s">
        <v>4973</v>
      </c>
      <c r="F1147" s="3" t="s">
        <v>19</v>
      </c>
      <c r="G1147" s="3" t="s">
        <v>72</v>
      </c>
      <c r="H1147" s="3">
        <v>10.0</v>
      </c>
      <c r="I1147" s="3" t="s">
        <v>4970</v>
      </c>
      <c r="J1147" s="3" t="s">
        <v>22</v>
      </c>
      <c r="K1147" s="3" t="s">
        <v>145</v>
      </c>
      <c r="L1147" s="3" t="s">
        <v>145</v>
      </c>
      <c r="M1147" s="3" t="s">
        <v>597</v>
      </c>
      <c r="N1147" s="3" t="s">
        <v>2344</v>
      </c>
      <c r="O1147" s="5">
        <v>1.0</v>
      </c>
      <c r="P1147" s="6" t="str">
        <f t="shared" si="2"/>
        <v>Food Products</v>
      </c>
    </row>
    <row r="1148" hidden="1">
      <c r="A1148" s="3" t="s">
        <v>4974</v>
      </c>
      <c r="B1148" s="4">
        <v>519064.0</v>
      </c>
      <c r="C1148" s="3" t="s">
        <v>4975</v>
      </c>
      <c r="D1148" s="3" t="s">
        <v>4976</v>
      </c>
      <c r="E1148" s="3" t="s">
        <v>4977</v>
      </c>
      <c r="F1148" s="3" t="s">
        <v>19</v>
      </c>
      <c r="G1148" s="3" t="s">
        <v>44</v>
      </c>
      <c r="H1148" s="3">
        <v>10.0</v>
      </c>
      <c r="I1148" s="3" t="s">
        <v>4974</v>
      </c>
      <c r="J1148" s="3" t="s">
        <v>22</v>
      </c>
      <c r="K1148" s="3" t="s">
        <v>145</v>
      </c>
      <c r="L1148" s="3" t="s">
        <v>145</v>
      </c>
      <c r="M1148" s="3" t="s">
        <v>146</v>
      </c>
      <c r="N1148" s="3" t="s">
        <v>2645</v>
      </c>
      <c r="O1148" s="5">
        <v>1.0</v>
      </c>
      <c r="P1148" s="6" t="str">
        <f t="shared" si="2"/>
        <v>Agricultural Food &amp; other Products</v>
      </c>
    </row>
    <row r="1149" hidden="1">
      <c r="A1149" s="3" t="s">
        <v>4978</v>
      </c>
      <c r="B1149" s="4">
        <v>519091.0</v>
      </c>
      <c r="C1149" s="3" t="s">
        <v>4979</v>
      </c>
      <c r="D1149" s="3" t="s">
        <v>4980</v>
      </c>
      <c r="E1149" s="3" t="s">
        <v>4981</v>
      </c>
      <c r="F1149" s="3" t="s">
        <v>19</v>
      </c>
      <c r="G1149" s="3" t="s">
        <v>112</v>
      </c>
      <c r="H1149" s="3">
        <v>10.0</v>
      </c>
      <c r="I1149" s="3" t="s">
        <v>4978</v>
      </c>
      <c r="J1149" s="3" t="s">
        <v>22</v>
      </c>
      <c r="K1149" s="3" t="s">
        <v>145</v>
      </c>
      <c r="L1149" s="3" t="s">
        <v>145</v>
      </c>
      <c r="M1149" s="3" t="s">
        <v>597</v>
      </c>
      <c r="N1149" s="3" t="s">
        <v>2344</v>
      </c>
      <c r="O1149" s="5">
        <v>2739.543455</v>
      </c>
      <c r="P1149" s="6" t="str">
        <f t="shared" si="2"/>
        <v>Food Products</v>
      </c>
    </row>
    <row r="1150" hidden="1">
      <c r="A1150" s="3" t="s">
        <v>4982</v>
      </c>
      <c r="B1150" s="4">
        <v>519097.0</v>
      </c>
      <c r="C1150" s="3" t="s">
        <v>4983</v>
      </c>
      <c r="D1150" s="3" t="s">
        <v>4984</v>
      </c>
      <c r="E1150" s="3" t="s">
        <v>4985</v>
      </c>
      <c r="F1150" s="3" t="s">
        <v>19</v>
      </c>
      <c r="G1150" s="3" t="s">
        <v>44</v>
      </c>
      <c r="H1150" s="3">
        <v>10.0</v>
      </c>
      <c r="I1150" s="3" t="s">
        <v>4982</v>
      </c>
      <c r="J1150" s="3" t="s">
        <v>22</v>
      </c>
      <c r="K1150" s="3" t="s">
        <v>23</v>
      </c>
      <c r="L1150" s="3" t="s">
        <v>24</v>
      </c>
      <c r="M1150" s="3" t="s">
        <v>25</v>
      </c>
      <c r="N1150" s="3" t="s">
        <v>52</v>
      </c>
      <c r="O1150" s="5">
        <v>23.1199398</v>
      </c>
      <c r="P1150" s="6" t="str">
        <f t="shared" si="2"/>
        <v>Chemicals &amp; Petrochemicals</v>
      </c>
    </row>
    <row r="1151" hidden="1">
      <c r="A1151" s="3" t="s">
        <v>4986</v>
      </c>
      <c r="B1151" s="4">
        <v>519105.0</v>
      </c>
      <c r="C1151" s="3" t="s">
        <v>4987</v>
      </c>
      <c r="D1151" s="3" t="s">
        <v>4988</v>
      </c>
      <c r="E1151" s="3" t="s">
        <v>4989</v>
      </c>
      <c r="F1151" s="3" t="s">
        <v>19</v>
      </c>
      <c r="G1151" s="3" t="s">
        <v>112</v>
      </c>
      <c r="H1151" s="3">
        <v>1.0</v>
      </c>
      <c r="I1151" s="3" t="s">
        <v>4986</v>
      </c>
      <c r="J1151" s="3" t="s">
        <v>22</v>
      </c>
      <c r="K1151" s="3" t="s">
        <v>145</v>
      </c>
      <c r="L1151" s="3" t="s">
        <v>145</v>
      </c>
      <c r="M1151" s="3" t="s">
        <v>146</v>
      </c>
      <c r="N1151" s="3" t="s">
        <v>2645</v>
      </c>
      <c r="O1151" s="5">
        <v>1315.6380631</v>
      </c>
      <c r="P1151" s="6" t="str">
        <f t="shared" si="2"/>
        <v>Agricultural Food &amp; other Products</v>
      </c>
    </row>
    <row r="1152">
      <c r="A1152" s="3" t="s">
        <v>4990</v>
      </c>
      <c r="B1152" s="4">
        <v>543532.0</v>
      </c>
      <c r="C1152" s="3" t="s">
        <v>4991</v>
      </c>
      <c r="D1152" s="3" t="s">
        <v>4992</v>
      </c>
      <c r="E1152" s="3" t="s">
        <v>4993</v>
      </c>
      <c r="F1152" s="3" t="s">
        <v>19</v>
      </c>
      <c r="G1152" s="3" t="s">
        <v>112</v>
      </c>
      <c r="H1152" s="3">
        <v>10.0</v>
      </c>
      <c r="I1152" s="3" t="s">
        <v>4994</v>
      </c>
      <c r="J1152" s="3" t="s">
        <v>22</v>
      </c>
      <c r="K1152" s="3" t="s">
        <v>58</v>
      </c>
      <c r="L1152" s="3" t="s">
        <v>211</v>
      </c>
      <c r="M1152" s="3" t="s">
        <v>211</v>
      </c>
      <c r="N1152" s="3" t="s">
        <v>947</v>
      </c>
      <c r="O1152" s="5">
        <v>6953.7405103</v>
      </c>
      <c r="P1152" s="6" t="str">
        <f t="shared" si="2"/>
        <v>Consumer Durables</v>
      </c>
    </row>
    <row r="1153" hidden="1">
      <c r="A1153" s="3" t="s">
        <v>4995</v>
      </c>
      <c r="B1153" s="4">
        <v>519136.0</v>
      </c>
      <c r="C1153" s="3" t="s">
        <v>4996</v>
      </c>
      <c r="D1153" s="3" t="s">
        <v>4997</v>
      </c>
      <c r="E1153" s="3" t="s">
        <v>4998</v>
      </c>
      <c r="F1153" s="3" t="s">
        <v>19</v>
      </c>
      <c r="G1153" s="3" t="s">
        <v>112</v>
      </c>
      <c r="H1153" s="3">
        <v>10.0</v>
      </c>
      <c r="I1153" s="3" t="s">
        <v>4995</v>
      </c>
      <c r="J1153" s="3" t="s">
        <v>22</v>
      </c>
      <c r="K1153" s="3" t="s">
        <v>58</v>
      </c>
      <c r="L1153" s="3" t="s">
        <v>80</v>
      </c>
      <c r="M1153" s="3" t="s">
        <v>81</v>
      </c>
      <c r="N1153" s="3" t="s">
        <v>82</v>
      </c>
      <c r="O1153" s="5">
        <v>582.6307166</v>
      </c>
      <c r="P1153" s="6" t="str">
        <f t="shared" si="2"/>
        <v>Textiles &amp; Apparels</v>
      </c>
    </row>
    <row r="1154" hidden="1">
      <c r="A1154" s="3" t="s">
        <v>4999</v>
      </c>
      <c r="B1154" s="4">
        <v>519152.0</v>
      </c>
      <c r="C1154" s="3" t="s">
        <v>5000</v>
      </c>
      <c r="D1154" s="3" t="s">
        <v>5001</v>
      </c>
      <c r="E1154" s="3" t="s">
        <v>5002</v>
      </c>
      <c r="F1154" s="3" t="s">
        <v>19</v>
      </c>
      <c r="G1154" s="3" t="s">
        <v>44</v>
      </c>
      <c r="H1154" s="3">
        <v>10.0</v>
      </c>
      <c r="I1154" s="3" t="s">
        <v>4999</v>
      </c>
      <c r="J1154" s="3" t="s">
        <v>22</v>
      </c>
      <c r="K1154" s="3" t="s">
        <v>145</v>
      </c>
      <c r="L1154" s="3" t="s">
        <v>145</v>
      </c>
      <c r="M1154" s="3" t="s">
        <v>597</v>
      </c>
      <c r="N1154" s="3" t="s">
        <v>598</v>
      </c>
      <c r="O1154" s="5">
        <v>330.3925536</v>
      </c>
      <c r="P1154" s="6" t="str">
        <f t="shared" si="2"/>
        <v>Food Products</v>
      </c>
    </row>
    <row r="1155" hidden="1">
      <c r="A1155" s="3" t="s">
        <v>5003</v>
      </c>
      <c r="B1155" s="4">
        <v>519156.0</v>
      </c>
      <c r="C1155" s="3" t="s">
        <v>5004</v>
      </c>
      <c r="D1155" s="3" t="s">
        <v>5005</v>
      </c>
      <c r="E1155" s="3" t="s">
        <v>5006</v>
      </c>
      <c r="F1155" s="3" t="s">
        <v>19</v>
      </c>
      <c r="G1155" s="3" t="s">
        <v>112</v>
      </c>
      <c r="H1155" s="3">
        <v>10.0</v>
      </c>
      <c r="I1155" s="3" t="s">
        <v>5003</v>
      </c>
      <c r="J1155" s="3" t="s">
        <v>22</v>
      </c>
      <c r="K1155" s="3" t="s">
        <v>145</v>
      </c>
      <c r="L1155" s="3" t="s">
        <v>145</v>
      </c>
      <c r="M1155" s="3" t="s">
        <v>597</v>
      </c>
      <c r="N1155" s="3" t="s">
        <v>598</v>
      </c>
      <c r="O1155" s="5">
        <v>3035.1779381</v>
      </c>
      <c r="P1155" s="6" t="str">
        <f t="shared" si="2"/>
        <v>Food Products</v>
      </c>
    </row>
    <row r="1156" hidden="1">
      <c r="A1156" s="3" t="s">
        <v>5007</v>
      </c>
      <c r="B1156" s="4">
        <v>519174.0</v>
      </c>
      <c r="C1156" s="3" t="s">
        <v>5008</v>
      </c>
      <c r="D1156" s="3" t="s">
        <v>5009</v>
      </c>
      <c r="E1156" s="3" t="s">
        <v>5010</v>
      </c>
      <c r="F1156" s="3" t="s">
        <v>19</v>
      </c>
      <c r="G1156" s="3" t="s">
        <v>72</v>
      </c>
      <c r="H1156" s="3">
        <v>10.0</v>
      </c>
      <c r="I1156" s="3" t="s">
        <v>5007</v>
      </c>
      <c r="J1156" s="3" t="s">
        <v>22</v>
      </c>
      <c r="K1156" s="3" t="s">
        <v>145</v>
      </c>
      <c r="L1156" s="3" t="s">
        <v>145</v>
      </c>
      <c r="M1156" s="3" t="s">
        <v>146</v>
      </c>
      <c r="N1156" s="3" t="s">
        <v>575</v>
      </c>
      <c r="O1156" s="5">
        <v>1.0</v>
      </c>
      <c r="P1156" s="6" t="str">
        <f t="shared" si="2"/>
        <v>Agricultural Food &amp; other Products</v>
      </c>
    </row>
    <row r="1157" hidden="1">
      <c r="A1157" s="3" t="s">
        <v>5011</v>
      </c>
      <c r="B1157" s="4">
        <v>519183.0</v>
      </c>
      <c r="C1157" s="3" t="s">
        <v>5012</v>
      </c>
      <c r="D1157" s="3" t="s">
        <v>5013</v>
      </c>
      <c r="E1157" s="3" t="s">
        <v>5014</v>
      </c>
      <c r="F1157" s="3" t="s">
        <v>19</v>
      </c>
      <c r="G1157" s="3" t="s">
        <v>112</v>
      </c>
      <c r="H1157" s="3">
        <v>2.0</v>
      </c>
      <c r="I1157" s="3" t="s">
        <v>5011</v>
      </c>
      <c r="J1157" s="3" t="s">
        <v>22</v>
      </c>
      <c r="K1157" s="3" t="s">
        <v>145</v>
      </c>
      <c r="L1157" s="3" t="s">
        <v>145</v>
      </c>
      <c r="M1157" s="3" t="s">
        <v>597</v>
      </c>
      <c r="N1157" s="3" t="s">
        <v>2344</v>
      </c>
      <c r="O1157" s="5">
        <v>2639.7231685</v>
      </c>
      <c r="P1157" s="6" t="str">
        <f t="shared" si="2"/>
        <v>Food Products</v>
      </c>
    </row>
    <row r="1158" hidden="1">
      <c r="A1158" s="3" t="s">
        <v>5015</v>
      </c>
      <c r="B1158" s="4">
        <v>519191.0</v>
      </c>
      <c r="C1158" s="3" t="s">
        <v>5016</v>
      </c>
      <c r="D1158" s="3" t="s">
        <v>5017</v>
      </c>
      <c r="E1158" s="3" t="s">
        <v>5018</v>
      </c>
      <c r="F1158" s="3" t="s">
        <v>19</v>
      </c>
      <c r="G1158" s="3" t="s">
        <v>44</v>
      </c>
      <c r="H1158" s="3">
        <v>10.0</v>
      </c>
      <c r="I1158" s="3" t="s">
        <v>5015</v>
      </c>
      <c r="J1158" s="3" t="s">
        <v>22</v>
      </c>
      <c r="K1158" s="3" t="s">
        <v>145</v>
      </c>
      <c r="L1158" s="3" t="s">
        <v>145</v>
      </c>
      <c r="M1158" s="3" t="s">
        <v>146</v>
      </c>
      <c r="N1158" s="3" t="s">
        <v>444</v>
      </c>
      <c r="O1158" s="5">
        <v>1.0</v>
      </c>
      <c r="P1158" s="6" t="str">
        <f t="shared" si="2"/>
        <v>Agricultural Food &amp; other Products</v>
      </c>
    </row>
    <row r="1159" hidden="1">
      <c r="A1159" s="3" t="s">
        <v>5019</v>
      </c>
      <c r="B1159" s="4">
        <v>519214.0</v>
      </c>
      <c r="C1159" s="3" t="s">
        <v>5020</v>
      </c>
      <c r="D1159" s="3" t="s">
        <v>5021</v>
      </c>
      <c r="E1159" s="3" t="s">
        <v>5022</v>
      </c>
      <c r="F1159" s="3" t="s">
        <v>19</v>
      </c>
      <c r="G1159" s="3" t="s">
        <v>72</v>
      </c>
      <c r="H1159" s="3">
        <v>10.0</v>
      </c>
      <c r="I1159" s="3" t="s">
        <v>5019</v>
      </c>
      <c r="J1159" s="3" t="s">
        <v>22</v>
      </c>
      <c r="K1159" s="3" t="s">
        <v>204</v>
      </c>
      <c r="L1159" s="3" t="s">
        <v>204</v>
      </c>
      <c r="M1159" s="3" t="s">
        <v>378</v>
      </c>
      <c r="N1159" s="3" t="s">
        <v>379</v>
      </c>
      <c r="O1159" s="5">
        <v>6.185761</v>
      </c>
      <c r="P1159" s="6" t="str">
        <f t="shared" si="2"/>
        <v>Non Banking Financial Company (NBFC)</v>
      </c>
    </row>
    <row r="1160" hidden="1">
      <c r="A1160" s="3" t="s">
        <v>5023</v>
      </c>
      <c r="B1160" s="4">
        <v>519216.0</v>
      </c>
      <c r="C1160" s="3" t="s">
        <v>5024</v>
      </c>
      <c r="D1160" s="3" t="s">
        <v>5025</v>
      </c>
      <c r="E1160" s="3" t="s">
        <v>5026</v>
      </c>
      <c r="F1160" s="3" t="s">
        <v>19</v>
      </c>
      <c r="G1160" s="3" t="s">
        <v>44</v>
      </c>
      <c r="H1160" s="3">
        <v>2.0</v>
      </c>
      <c r="I1160" s="3" t="s">
        <v>5023</v>
      </c>
      <c r="J1160" s="3" t="s">
        <v>22</v>
      </c>
      <c r="K1160" s="3" t="s">
        <v>145</v>
      </c>
      <c r="L1160" s="3" t="s">
        <v>145</v>
      </c>
      <c r="M1160" s="3" t="s">
        <v>146</v>
      </c>
      <c r="N1160" s="3" t="s">
        <v>575</v>
      </c>
      <c r="O1160" s="5">
        <v>226.7321841</v>
      </c>
      <c r="P1160" s="6" t="str">
        <f t="shared" si="2"/>
        <v>Agricultural Food &amp; other Products</v>
      </c>
    </row>
    <row r="1161" hidden="1">
      <c r="A1161" s="3" t="s">
        <v>5027</v>
      </c>
      <c r="B1161" s="4">
        <v>519224.0</v>
      </c>
      <c r="C1161" s="3" t="s">
        <v>5028</v>
      </c>
      <c r="D1161" s="3" t="s">
        <v>5029</v>
      </c>
      <c r="E1161" s="3" t="s">
        <v>5030</v>
      </c>
      <c r="F1161" s="3" t="s">
        <v>19</v>
      </c>
      <c r="G1161" s="3" t="s">
        <v>112</v>
      </c>
      <c r="H1161" s="3">
        <v>10.0</v>
      </c>
      <c r="I1161" s="3" t="s">
        <v>5027</v>
      </c>
      <c r="J1161" s="3" t="s">
        <v>22</v>
      </c>
      <c r="K1161" s="3" t="s">
        <v>204</v>
      </c>
      <c r="L1161" s="3" t="s">
        <v>204</v>
      </c>
      <c r="M1161" s="3" t="s">
        <v>378</v>
      </c>
      <c r="N1161" s="3" t="s">
        <v>384</v>
      </c>
      <c r="O1161" s="5">
        <v>40.8038878</v>
      </c>
      <c r="P1161" s="6" t="str">
        <f t="shared" si="2"/>
        <v>Finance</v>
      </c>
    </row>
    <row r="1162" hidden="1">
      <c r="A1162" s="3" t="s">
        <v>5031</v>
      </c>
      <c r="B1162" s="4">
        <v>501833.0</v>
      </c>
      <c r="C1162" s="3" t="s">
        <v>5032</v>
      </c>
      <c r="D1162" s="3" t="s">
        <v>5033</v>
      </c>
      <c r="E1162" s="3" t="s">
        <v>5034</v>
      </c>
      <c r="F1162" s="3" t="s">
        <v>19</v>
      </c>
      <c r="G1162" s="3" t="s">
        <v>72</v>
      </c>
      <c r="H1162" s="3">
        <v>10.0</v>
      </c>
      <c r="I1162" s="3" t="s">
        <v>1439</v>
      </c>
      <c r="J1162" s="3" t="s">
        <v>22</v>
      </c>
      <c r="K1162" s="3" t="s">
        <v>1673</v>
      </c>
      <c r="L1162" s="3" t="s">
        <v>1673</v>
      </c>
      <c r="M1162" s="3" t="s">
        <v>1689</v>
      </c>
      <c r="N1162" s="3" t="s">
        <v>2055</v>
      </c>
      <c r="O1162" s="5">
        <v>104.8870457</v>
      </c>
      <c r="P1162" s="6" t="str">
        <f t="shared" si="2"/>
        <v>Transport Services</v>
      </c>
    </row>
    <row r="1163" hidden="1">
      <c r="A1163" s="3" t="s">
        <v>5035</v>
      </c>
      <c r="B1163" s="4">
        <v>519234.0</v>
      </c>
      <c r="C1163" s="3" t="s">
        <v>5036</v>
      </c>
      <c r="D1163" s="3" t="s">
        <v>5037</v>
      </c>
      <c r="E1163" s="3" t="s">
        <v>5036</v>
      </c>
      <c r="F1163" s="3" t="s">
        <v>19</v>
      </c>
      <c r="G1163" s="3" t="s">
        <v>44</v>
      </c>
      <c r="H1163" s="3">
        <v>10.0</v>
      </c>
      <c r="I1163" s="3" t="s">
        <v>5035</v>
      </c>
      <c r="J1163" s="3" t="s">
        <v>22</v>
      </c>
      <c r="K1163" s="3" t="s">
        <v>145</v>
      </c>
      <c r="L1163" s="3" t="s">
        <v>145</v>
      </c>
      <c r="M1163" s="3" t="s">
        <v>146</v>
      </c>
      <c r="N1163" s="3" t="s">
        <v>575</v>
      </c>
      <c r="O1163" s="5">
        <v>70.4826491</v>
      </c>
      <c r="P1163" s="6" t="str">
        <f t="shared" si="2"/>
        <v>Agricultural Food &amp; other Products</v>
      </c>
    </row>
    <row r="1164" hidden="1">
      <c r="A1164" s="3" t="s">
        <v>5038</v>
      </c>
      <c r="B1164" s="4">
        <v>519238.0</v>
      </c>
      <c r="C1164" s="3" t="s">
        <v>5039</v>
      </c>
      <c r="D1164" s="3" t="s">
        <v>5040</v>
      </c>
      <c r="E1164" s="3" t="s">
        <v>5041</v>
      </c>
      <c r="F1164" s="3" t="s">
        <v>19</v>
      </c>
      <c r="G1164" s="3" t="s">
        <v>72</v>
      </c>
      <c r="H1164" s="3">
        <v>10.0</v>
      </c>
      <c r="I1164" s="3" t="s">
        <v>5038</v>
      </c>
      <c r="J1164" s="3" t="s">
        <v>22</v>
      </c>
      <c r="K1164" s="3" t="s">
        <v>145</v>
      </c>
      <c r="L1164" s="3" t="s">
        <v>145</v>
      </c>
      <c r="M1164" s="3" t="s">
        <v>146</v>
      </c>
      <c r="N1164" s="3" t="s">
        <v>2645</v>
      </c>
      <c r="O1164" s="5">
        <v>108.5558074</v>
      </c>
      <c r="P1164" s="6" t="str">
        <f t="shared" si="2"/>
        <v>Agricultural Food &amp; other Products</v>
      </c>
    </row>
    <row r="1165" hidden="1">
      <c r="A1165" s="3" t="s">
        <v>5042</v>
      </c>
      <c r="B1165" s="4">
        <v>519262.0</v>
      </c>
      <c r="C1165" s="3" t="s">
        <v>5043</v>
      </c>
      <c r="D1165" s="3" t="s">
        <v>5044</v>
      </c>
      <c r="E1165" s="3" t="s">
        <v>5045</v>
      </c>
      <c r="F1165" s="3" t="s">
        <v>19</v>
      </c>
      <c r="G1165" s="3" t="s">
        <v>44</v>
      </c>
      <c r="H1165" s="3">
        <v>10.0</v>
      </c>
      <c r="I1165" s="3" t="s">
        <v>5042</v>
      </c>
      <c r="J1165" s="3" t="s">
        <v>22</v>
      </c>
      <c r="K1165" s="3" t="s">
        <v>145</v>
      </c>
      <c r="L1165" s="3" t="s">
        <v>145</v>
      </c>
      <c r="M1165" s="3" t="s">
        <v>146</v>
      </c>
      <c r="N1165" s="3" t="s">
        <v>2645</v>
      </c>
      <c r="O1165" s="5">
        <v>14.4914738</v>
      </c>
      <c r="P1165" s="6" t="str">
        <f t="shared" si="2"/>
        <v>Agricultural Food &amp; other Products</v>
      </c>
    </row>
    <row r="1166" hidden="1">
      <c r="A1166" s="3" t="s">
        <v>5046</v>
      </c>
      <c r="B1166" s="4">
        <v>519285.0</v>
      </c>
      <c r="C1166" s="3" t="s">
        <v>5047</v>
      </c>
      <c r="D1166" s="3" t="s">
        <v>5048</v>
      </c>
      <c r="E1166" s="3" t="s">
        <v>5049</v>
      </c>
      <c r="F1166" s="3" t="s">
        <v>19</v>
      </c>
      <c r="G1166" s="3" t="s">
        <v>57</v>
      </c>
      <c r="H1166" s="3">
        <v>10.0</v>
      </c>
      <c r="I1166" s="3" t="s">
        <v>5046</v>
      </c>
      <c r="J1166" s="3" t="s">
        <v>22</v>
      </c>
      <c r="K1166" s="3" t="s">
        <v>145</v>
      </c>
      <c r="L1166" s="3" t="s">
        <v>145</v>
      </c>
      <c r="M1166" s="3" t="s">
        <v>146</v>
      </c>
      <c r="N1166" s="3" t="s">
        <v>2645</v>
      </c>
      <c r="O1166" s="5">
        <v>19.3806462</v>
      </c>
      <c r="P1166" s="6" t="str">
        <f t="shared" si="2"/>
        <v>Agricultural Food &amp; other Products</v>
      </c>
    </row>
    <row r="1167" hidden="1">
      <c r="A1167" s="3" t="s">
        <v>5050</v>
      </c>
      <c r="B1167" s="4">
        <v>519287.0</v>
      </c>
      <c r="C1167" s="3" t="s">
        <v>5051</v>
      </c>
      <c r="D1167" s="3" t="s">
        <v>5052</v>
      </c>
      <c r="E1167" s="3" t="s">
        <v>5053</v>
      </c>
      <c r="F1167" s="3" t="s">
        <v>19</v>
      </c>
      <c r="G1167" s="3" t="s">
        <v>44</v>
      </c>
      <c r="H1167" s="3">
        <v>10.0</v>
      </c>
      <c r="I1167" s="3" t="s">
        <v>5050</v>
      </c>
      <c r="J1167" s="3" t="s">
        <v>22</v>
      </c>
      <c r="K1167" s="3" t="s">
        <v>145</v>
      </c>
      <c r="L1167" s="3" t="s">
        <v>145</v>
      </c>
      <c r="M1167" s="3" t="s">
        <v>597</v>
      </c>
      <c r="N1167" s="3" t="s">
        <v>598</v>
      </c>
      <c r="O1167" s="5">
        <v>120.6690175</v>
      </c>
      <c r="P1167" s="6" t="str">
        <f t="shared" si="2"/>
        <v>Food Products</v>
      </c>
    </row>
    <row r="1168" hidden="1">
      <c r="A1168" s="3" t="s">
        <v>5054</v>
      </c>
      <c r="B1168" s="4">
        <v>519295.0</v>
      </c>
      <c r="C1168" s="3" t="s">
        <v>5055</v>
      </c>
      <c r="D1168" s="3" t="s">
        <v>5056</v>
      </c>
      <c r="E1168" s="3" t="s">
        <v>5057</v>
      </c>
      <c r="F1168" s="3" t="s">
        <v>19</v>
      </c>
      <c r="G1168" s="3" t="s">
        <v>44</v>
      </c>
      <c r="H1168" s="3">
        <v>10.0</v>
      </c>
      <c r="I1168" s="3" t="s">
        <v>5054</v>
      </c>
      <c r="J1168" s="3" t="s">
        <v>22</v>
      </c>
      <c r="K1168" s="3" t="s">
        <v>145</v>
      </c>
      <c r="L1168" s="3" t="s">
        <v>145</v>
      </c>
      <c r="M1168" s="3" t="s">
        <v>597</v>
      </c>
      <c r="N1168" s="3" t="s">
        <v>2344</v>
      </c>
      <c r="O1168" s="5">
        <v>283.6552835</v>
      </c>
      <c r="P1168" s="6" t="str">
        <f t="shared" si="2"/>
        <v>Food Products</v>
      </c>
    </row>
    <row r="1169" hidden="1">
      <c r="A1169" s="3" t="s">
        <v>5058</v>
      </c>
      <c r="B1169" s="4">
        <v>519299.0</v>
      </c>
      <c r="C1169" s="3" t="s">
        <v>5059</v>
      </c>
      <c r="D1169" s="3" t="s">
        <v>5060</v>
      </c>
      <c r="E1169" s="3" t="s">
        <v>5061</v>
      </c>
      <c r="F1169" s="3" t="s">
        <v>19</v>
      </c>
      <c r="G1169" s="3" t="s">
        <v>57</v>
      </c>
      <c r="H1169" s="3">
        <v>5.0</v>
      </c>
      <c r="I1169" s="3" t="s">
        <v>5058</v>
      </c>
      <c r="J1169" s="3" t="s">
        <v>22</v>
      </c>
      <c r="K1169" s="3" t="s">
        <v>145</v>
      </c>
      <c r="L1169" s="3" t="s">
        <v>145</v>
      </c>
      <c r="M1169" s="3" t="s">
        <v>146</v>
      </c>
      <c r="N1169" s="3" t="s">
        <v>575</v>
      </c>
      <c r="O1169" s="5">
        <v>317.8124811</v>
      </c>
      <c r="P1169" s="6" t="str">
        <f t="shared" si="2"/>
        <v>Agricultural Food &amp; other Products</v>
      </c>
    </row>
    <row r="1170" hidden="1">
      <c r="A1170" s="3" t="s">
        <v>5062</v>
      </c>
      <c r="B1170" s="4">
        <v>519307.0</v>
      </c>
      <c r="C1170" s="3" t="s">
        <v>5063</v>
      </c>
      <c r="D1170" s="3" t="s">
        <v>5064</v>
      </c>
      <c r="E1170" s="3" t="s">
        <v>5065</v>
      </c>
      <c r="F1170" s="3" t="s">
        <v>19</v>
      </c>
      <c r="G1170" s="3" t="s">
        <v>57</v>
      </c>
      <c r="H1170" s="3">
        <v>1.0</v>
      </c>
      <c r="I1170" s="3" t="s">
        <v>5062</v>
      </c>
      <c r="J1170" s="3" t="s">
        <v>22</v>
      </c>
      <c r="K1170" s="3" t="s">
        <v>145</v>
      </c>
      <c r="L1170" s="3" t="s">
        <v>145</v>
      </c>
      <c r="M1170" s="3" t="s">
        <v>146</v>
      </c>
      <c r="N1170" s="3" t="s">
        <v>2645</v>
      </c>
      <c r="O1170" s="5">
        <v>33.732517</v>
      </c>
      <c r="P1170" s="6" t="str">
        <f t="shared" si="2"/>
        <v>Agricultural Food &amp; other Products</v>
      </c>
    </row>
    <row r="1171" hidden="1">
      <c r="A1171" s="3" t="s">
        <v>5066</v>
      </c>
      <c r="B1171" s="4">
        <v>519331.0</v>
      </c>
      <c r="C1171" s="3" t="s">
        <v>5067</v>
      </c>
      <c r="D1171" s="3" t="s">
        <v>5068</v>
      </c>
      <c r="E1171" s="3" t="s">
        <v>5069</v>
      </c>
      <c r="F1171" s="3" t="s">
        <v>19</v>
      </c>
      <c r="G1171" s="3" t="s">
        <v>72</v>
      </c>
      <c r="H1171" s="3">
        <v>10.0</v>
      </c>
      <c r="I1171" s="3" t="s">
        <v>5066</v>
      </c>
      <c r="J1171" s="3" t="s">
        <v>22</v>
      </c>
      <c r="K1171" s="3" t="s">
        <v>97</v>
      </c>
      <c r="L1171" s="3" t="s">
        <v>965</v>
      </c>
      <c r="M1171" s="3" t="s">
        <v>965</v>
      </c>
      <c r="N1171" s="3" t="s">
        <v>966</v>
      </c>
      <c r="O1171" s="5">
        <v>88.786044</v>
      </c>
      <c r="P1171" s="6" t="str">
        <f t="shared" si="2"/>
        <v>Civil Construction</v>
      </c>
    </row>
    <row r="1172" hidden="1">
      <c r="A1172" s="3" t="s">
        <v>5070</v>
      </c>
      <c r="B1172" s="4">
        <v>519359.0</v>
      </c>
      <c r="C1172" s="3" t="s">
        <v>5071</v>
      </c>
      <c r="D1172" s="3" t="s">
        <v>5072</v>
      </c>
      <c r="E1172" s="3" t="s">
        <v>5073</v>
      </c>
      <c r="F1172" s="3" t="s">
        <v>19</v>
      </c>
      <c r="G1172" s="3" t="s">
        <v>44</v>
      </c>
      <c r="H1172" s="3">
        <v>10.0</v>
      </c>
      <c r="I1172" s="3" t="s">
        <v>5070</v>
      </c>
      <c r="J1172" s="3" t="s">
        <v>22</v>
      </c>
      <c r="K1172" s="3" t="s">
        <v>145</v>
      </c>
      <c r="L1172" s="3" t="s">
        <v>145</v>
      </c>
      <c r="M1172" s="3" t="s">
        <v>146</v>
      </c>
      <c r="N1172" s="3" t="s">
        <v>575</v>
      </c>
      <c r="O1172" s="5">
        <v>36.1026285</v>
      </c>
      <c r="P1172" s="6" t="str">
        <f t="shared" si="2"/>
        <v>Agricultural Food &amp; other Products</v>
      </c>
    </row>
    <row r="1173" hidden="1">
      <c r="A1173" s="3" t="s">
        <v>5074</v>
      </c>
      <c r="B1173" s="4">
        <v>519367.0</v>
      </c>
      <c r="C1173" s="3" t="s">
        <v>5075</v>
      </c>
      <c r="D1173" s="3" t="s">
        <v>5076</v>
      </c>
      <c r="E1173" s="3" t="s">
        <v>5077</v>
      </c>
      <c r="F1173" s="3" t="s">
        <v>19</v>
      </c>
      <c r="G1173" s="3" t="s">
        <v>72</v>
      </c>
      <c r="H1173" s="3">
        <v>10.0</v>
      </c>
      <c r="I1173" s="3" t="s">
        <v>5074</v>
      </c>
      <c r="J1173" s="3" t="s">
        <v>22</v>
      </c>
      <c r="K1173" s="3" t="s">
        <v>145</v>
      </c>
      <c r="L1173" s="3" t="s">
        <v>145</v>
      </c>
      <c r="M1173" s="3" t="s">
        <v>2558</v>
      </c>
      <c r="N1173" s="3" t="s">
        <v>2666</v>
      </c>
      <c r="O1173" s="5">
        <v>1.0</v>
      </c>
      <c r="P1173" s="6" t="str">
        <f t="shared" si="2"/>
        <v>Beverages</v>
      </c>
    </row>
    <row r="1174" hidden="1">
      <c r="A1174" s="3" t="s">
        <v>4009</v>
      </c>
      <c r="B1174" s="4">
        <v>533427.0</v>
      </c>
      <c r="C1174" s="3" t="s">
        <v>5078</v>
      </c>
      <c r="D1174" s="3" t="s">
        <v>5079</v>
      </c>
      <c r="E1174" s="3" t="s">
        <v>5080</v>
      </c>
      <c r="F1174" s="3" t="s">
        <v>19</v>
      </c>
      <c r="G1174" s="3" t="s">
        <v>44</v>
      </c>
      <c r="H1174" s="3">
        <v>10.0</v>
      </c>
      <c r="I1174" s="3" t="s">
        <v>5081</v>
      </c>
      <c r="J1174" s="3" t="s">
        <v>22</v>
      </c>
      <c r="K1174" s="3" t="s">
        <v>1673</v>
      </c>
      <c r="L1174" s="3" t="s">
        <v>1673</v>
      </c>
      <c r="M1174" s="3" t="s">
        <v>1879</v>
      </c>
      <c r="N1174" s="3" t="s">
        <v>2912</v>
      </c>
      <c r="O1174" s="5">
        <v>103.7671773</v>
      </c>
      <c r="P1174" s="6" t="str">
        <f t="shared" si="2"/>
        <v>Transport Infrastructure</v>
      </c>
    </row>
    <row r="1175" hidden="1">
      <c r="A1175" s="3" t="s">
        <v>5082</v>
      </c>
      <c r="B1175" s="4">
        <v>519397.0</v>
      </c>
      <c r="C1175" s="3" t="s">
        <v>5083</v>
      </c>
      <c r="D1175" s="3" t="s">
        <v>5084</v>
      </c>
      <c r="E1175" s="3" t="s">
        <v>5085</v>
      </c>
      <c r="F1175" s="3" t="s">
        <v>19</v>
      </c>
      <c r="G1175" s="3" t="s">
        <v>44</v>
      </c>
      <c r="H1175" s="3">
        <v>10.0</v>
      </c>
      <c r="I1175" s="3" t="s">
        <v>5082</v>
      </c>
      <c r="J1175" s="3" t="s">
        <v>22</v>
      </c>
      <c r="K1175" s="3" t="s">
        <v>145</v>
      </c>
      <c r="L1175" s="3" t="s">
        <v>145</v>
      </c>
      <c r="M1175" s="3" t="s">
        <v>597</v>
      </c>
      <c r="N1175" s="3" t="s">
        <v>1438</v>
      </c>
      <c r="O1175" s="5">
        <v>137.000837</v>
      </c>
      <c r="P1175" s="6" t="str">
        <f t="shared" si="2"/>
        <v>Food Products</v>
      </c>
    </row>
    <row r="1176" hidden="1">
      <c r="A1176" s="3" t="s">
        <v>5086</v>
      </c>
      <c r="B1176" s="4">
        <v>533520.0</v>
      </c>
      <c r="C1176" s="3" t="s">
        <v>5087</v>
      </c>
      <c r="D1176" s="3" t="s">
        <v>5088</v>
      </c>
      <c r="E1176" s="3" t="s">
        <v>5087</v>
      </c>
      <c r="F1176" s="3" t="s">
        <v>19</v>
      </c>
      <c r="G1176" s="3" t="s">
        <v>86</v>
      </c>
      <c r="H1176" s="3">
        <v>2.0</v>
      </c>
      <c r="I1176" s="3" t="s">
        <v>5089</v>
      </c>
      <c r="J1176" s="3" t="s">
        <v>22</v>
      </c>
      <c r="K1176" s="3" t="s">
        <v>1673</v>
      </c>
      <c r="L1176" s="3" t="s">
        <v>1673</v>
      </c>
      <c r="M1176" s="3" t="s">
        <v>1674</v>
      </c>
      <c r="N1176" s="3" t="s">
        <v>1675</v>
      </c>
      <c r="O1176" s="5">
        <v>103.5236</v>
      </c>
      <c r="P1176" s="6" t="str">
        <f t="shared" si="2"/>
        <v>Commercial Services &amp; Supplies</v>
      </c>
    </row>
    <row r="1177" hidden="1">
      <c r="A1177" s="3" t="s">
        <v>5090</v>
      </c>
      <c r="B1177" s="4">
        <v>519415.0</v>
      </c>
      <c r="C1177" s="3" t="s">
        <v>5091</v>
      </c>
      <c r="D1177" s="3" t="s">
        <v>5092</v>
      </c>
      <c r="E1177" s="3" t="s">
        <v>5093</v>
      </c>
      <c r="F1177" s="3" t="s">
        <v>19</v>
      </c>
      <c r="G1177" s="3" t="s">
        <v>1858</v>
      </c>
      <c r="H1177" s="3">
        <v>10.0</v>
      </c>
      <c r="I1177" s="3" t="s">
        <v>5090</v>
      </c>
      <c r="J1177" s="3" t="s">
        <v>22</v>
      </c>
      <c r="K1177" s="3" t="s">
        <v>145</v>
      </c>
      <c r="L1177" s="3" t="s">
        <v>145</v>
      </c>
      <c r="M1177" s="3" t="s">
        <v>597</v>
      </c>
      <c r="N1177" s="3" t="s">
        <v>2344</v>
      </c>
      <c r="O1177" s="5">
        <v>17.54231</v>
      </c>
      <c r="P1177" s="6" t="str">
        <f t="shared" si="2"/>
        <v>Food Products</v>
      </c>
    </row>
    <row r="1178" hidden="1">
      <c r="A1178" s="3" t="s">
        <v>5094</v>
      </c>
      <c r="B1178" s="4">
        <v>519421.0</v>
      </c>
      <c r="C1178" s="3" t="s">
        <v>5095</v>
      </c>
      <c r="D1178" s="3" t="s">
        <v>5096</v>
      </c>
      <c r="E1178" s="3" t="s">
        <v>5097</v>
      </c>
      <c r="F1178" s="3" t="s">
        <v>19</v>
      </c>
      <c r="G1178" s="3" t="s">
        <v>44</v>
      </c>
      <c r="H1178" s="3">
        <v>10.0</v>
      </c>
      <c r="I1178" s="3" t="s">
        <v>5094</v>
      </c>
      <c r="J1178" s="3" t="s">
        <v>22</v>
      </c>
      <c r="K1178" s="3" t="s">
        <v>145</v>
      </c>
      <c r="L1178" s="3" t="s">
        <v>145</v>
      </c>
      <c r="M1178" s="3" t="s">
        <v>597</v>
      </c>
      <c r="N1178" s="3" t="s">
        <v>5098</v>
      </c>
      <c r="O1178" s="5">
        <v>767.4757739</v>
      </c>
      <c r="P1178" s="6" t="str">
        <f t="shared" si="2"/>
        <v>Food Products</v>
      </c>
    </row>
    <row r="1179" hidden="1">
      <c r="A1179" s="3" t="s">
        <v>5099</v>
      </c>
      <c r="B1179" s="4">
        <v>519439.0</v>
      </c>
      <c r="C1179" s="3" t="s">
        <v>5100</v>
      </c>
      <c r="D1179" s="3" t="s">
        <v>5101</v>
      </c>
      <c r="E1179" s="3" t="s">
        <v>5102</v>
      </c>
      <c r="F1179" s="3" t="s">
        <v>19</v>
      </c>
      <c r="G1179" s="3" t="s">
        <v>44</v>
      </c>
      <c r="H1179" s="3">
        <v>10.0</v>
      </c>
      <c r="I1179" s="3" t="s">
        <v>5099</v>
      </c>
      <c r="J1179" s="3" t="s">
        <v>22</v>
      </c>
      <c r="K1179" s="3" t="s">
        <v>145</v>
      </c>
      <c r="L1179" s="3" t="s">
        <v>145</v>
      </c>
      <c r="M1179" s="3" t="s">
        <v>146</v>
      </c>
      <c r="N1179" s="3" t="s">
        <v>575</v>
      </c>
      <c r="O1179" s="5">
        <v>4.033371</v>
      </c>
      <c r="P1179" s="6" t="str">
        <f t="shared" si="2"/>
        <v>Agricultural Food &amp; other Products</v>
      </c>
    </row>
    <row r="1180" hidden="1">
      <c r="A1180" s="3" t="s">
        <v>5103</v>
      </c>
      <c r="B1180" s="4">
        <v>519455.0</v>
      </c>
      <c r="C1180" s="3" t="s">
        <v>5104</v>
      </c>
      <c r="D1180" s="3" t="s">
        <v>5105</v>
      </c>
      <c r="E1180" s="3" t="s">
        <v>5106</v>
      </c>
      <c r="F1180" s="3" t="s">
        <v>19</v>
      </c>
      <c r="G1180" s="3" t="s">
        <v>44</v>
      </c>
      <c r="H1180" s="3">
        <v>10.0</v>
      </c>
      <c r="I1180" s="3" t="s">
        <v>5103</v>
      </c>
      <c r="J1180" s="3" t="s">
        <v>22</v>
      </c>
      <c r="K1180" s="3" t="s">
        <v>58</v>
      </c>
      <c r="L1180" s="3" t="s">
        <v>211</v>
      </c>
      <c r="M1180" s="3" t="s">
        <v>211</v>
      </c>
      <c r="N1180" s="3" t="s">
        <v>947</v>
      </c>
      <c r="O1180" s="5">
        <v>120.116917</v>
      </c>
      <c r="P1180" s="6" t="str">
        <f t="shared" si="2"/>
        <v>Consumer Durables</v>
      </c>
    </row>
    <row r="1181" hidden="1">
      <c r="A1181" s="3" t="s">
        <v>5107</v>
      </c>
      <c r="B1181" s="4">
        <v>519457.0</v>
      </c>
      <c r="C1181" s="3" t="s">
        <v>5108</v>
      </c>
      <c r="D1181" s="3" t="s">
        <v>5109</v>
      </c>
      <c r="E1181" s="3" t="s">
        <v>5110</v>
      </c>
      <c r="F1181" s="3" t="s">
        <v>19</v>
      </c>
      <c r="G1181" s="3" t="s">
        <v>44</v>
      </c>
      <c r="H1181" s="3">
        <v>10.0</v>
      </c>
      <c r="I1181" s="3" t="s">
        <v>5107</v>
      </c>
      <c r="J1181" s="3" t="s">
        <v>22</v>
      </c>
      <c r="K1181" s="3" t="s">
        <v>145</v>
      </c>
      <c r="L1181" s="3" t="s">
        <v>145</v>
      </c>
      <c r="M1181" s="3" t="s">
        <v>597</v>
      </c>
      <c r="N1181" s="3" t="s">
        <v>598</v>
      </c>
      <c r="O1181" s="5">
        <v>140.6424593</v>
      </c>
      <c r="P1181" s="6" t="str">
        <f t="shared" si="2"/>
        <v>Food Products</v>
      </c>
    </row>
    <row r="1182" hidden="1">
      <c r="A1182" s="3" t="s">
        <v>5111</v>
      </c>
      <c r="B1182" s="4">
        <v>519463.0</v>
      </c>
      <c r="C1182" s="3" t="s">
        <v>5112</v>
      </c>
      <c r="D1182" s="3" t="s">
        <v>5113</v>
      </c>
      <c r="E1182" s="3" t="s">
        <v>5114</v>
      </c>
      <c r="F1182" s="3" t="s">
        <v>19</v>
      </c>
      <c r="G1182" s="3" t="s">
        <v>44</v>
      </c>
      <c r="H1182" s="3">
        <v>10.0</v>
      </c>
      <c r="I1182" s="3" t="s">
        <v>5111</v>
      </c>
      <c r="J1182" s="3" t="s">
        <v>22</v>
      </c>
      <c r="K1182" s="3" t="s">
        <v>145</v>
      </c>
      <c r="L1182" s="3" t="s">
        <v>145</v>
      </c>
      <c r="M1182" s="3" t="s">
        <v>146</v>
      </c>
      <c r="N1182" s="3" t="s">
        <v>2645</v>
      </c>
      <c r="O1182" s="5">
        <v>20.0426631</v>
      </c>
      <c r="P1182" s="6" t="str">
        <f t="shared" si="2"/>
        <v>Agricultural Food &amp; other Products</v>
      </c>
    </row>
    <row r="1183" hidden="1">
      <c r="A1183" s="3" t="s">
        <v>5115</v>
      </c>
      <c r="B1183" s="4">
        <v>519471.0</v>
      </c>
      <c r="C1183" s="3" t="s">
        <v>5116</v>
      </c>
      <c r="D1183" s="3" t="s">
        <v>5117</v>
      </c>
      <c r="E1183" s="3" t="s">
        <v>5118</v>
      </c>
      <c r="F1183" s="3" t="s">
        <v>19</v>
      </c>
      <c r="G1183" s="3" t="s">
        <v>44</v>
      </c>
      <c r="H1183" s="3">
        <v>10.0</v>
      </c>
      <c r="I1183" s="3" t="s">
        <v>5115</v>
      </c>
      <c r="J1183" s="3" t="s">
        <v>22</v>
      </c>
      <c r="K1183" s="3" t="s">
        <v>145</v>
      </c>
      <c r="L1183" s="3" t="s">
        <v>145</v>
      </c>
      <c r="M1183" s="3" t="s">
        <v>146</v>
      </c>
      <c r="N1183" s="3" t="s">
        <v>575</v>
      </c>
      <c r="O1183" s="5">
        <v>85.734451</v>
      </c>
      <c r="P1183" s="6" t="str">
        <f t="shared" si="2"/>
        <v>Agricultural Food &amp; other Products</v>
      </c>
    </row>
    <row r="1184" hidden="1">
      <c r="A1184" s="3" t="s">
        <v>5119</v>
      </c>
      <c r="B1184" s="4">
        <v>519475.0</v>
      </c>
      <c r="C1184" s="3" t="s">
        <v>5120</v>
      </c>
      <c r="D1184" s="3" t="s">
        <v>5121</v>
      </c>
      <c r="E1184" s="3" t="s">
        <v>5122</v>
      </c>
      <c r="F1184" s="3" t="s">
        <v>19</v>
      </c>
      <c r="G1184" s="3" t="s">
        <v>44</v>
      </c>
      <c r="H1184" s="3">
        <v>10.0</v>
      </c>
      <c r="I1184" s="3" t="s">
        <v>5119</v>
      </c>
      <c r="J1184" s="3" t="s">
        <v>22</v>
      </c>
      <c r="K1184" s="3" t="s">
        <v>145</v>
      </c>
      <c r="L1184" s="3" t="s">
        <v>145</v>
      </c>
      <c r="M1184" s="3" t="s">
        <v>597</v>
      </c>
      <c r="N1184" s="3" t="s">
        <v>2344</v>
      </c>
      <c r="O1184" s="5">
        <v>34.0890725</v>
      </c>
      <c r="P1184" s="6" t="str">
        <f t="shared" si="2"/>
        <v>Food Products</v>
      </c>
    </row>
    <row r="1185" hidden="1">
      <c r="A1185" s="3" t="s">
        <v>5123</v>
      </c>
      <c r="B1185" s="4">
        <v>519477.0</v>
      </c>
      <c r="C1185" s="3" t="s">
        <v>5124</v>
      </c>
      <c r="D1185" s="3" t="s">
        <v>5125</v>
      </c>
      <c r="E1185" s="3" t="s">
        <v>5126</v>
      </c>
      <c r="F1185" s="3" t="s">
        <v>19</v>
      </c>
      <c r="G1185" s="3" t="s">
        <v>44</v>
      </c>
      <c r="H1185" s="3">
        <v>10.0</v>
      </c>
      <c r="I1185" s="3" t="s">
        <v>5123</v>
      </c>
      <c r="J1185" s="3" t="s">
        <v>22</v>
      </c>
      <c r="K1185" s="3" t="s">
        <v>145</v>
      </c>
      <c r="L1185" s="3" t="s">
        <v>145</v>
      </c>
      <c r="M1185" s="3" t="s">
        <v>146</v>
      </c>
      <c r="N1185" s="3" t="s">
        <v>575</v>
      </c>
      <c r="O1185" s="5">
        <v>121.3093605</v>
      </c>
      <c r="P1185" s="6" t="str">
        <f t="shared" si="2"/>
        <v>Agricultural Food &amp; other Products</v>
      </c>
    </row>
    <row r="1186" hidden="1">
      <c r="A1186" s="3" t="s">
        <v>5127</v>
      </c>
      <c r="B1186" s="4">
        <v>530689.0</v>
      </c>
      <c r="C1186" s="3" t="s">
        <v>5128</v>
      </c>
      <c r="D1186" s="3" t="s">
        <v>5129</v>
      </c>
      <c r="E1186" s="3" t="s">
        <v>5128</v>
      </c>
      <c r="F1186" s="3" t="s">
        <v>19</v>
      </c>
      <c r="G1186" s="3" t="s">
        <v>72</v>
      </c>
      <c r="H1186" s="3">
        <v>10.0</v>
      </c>
      <c r="I1186" s="3" t="s">
        <v>5130</v>
      </c>
      <c r="J1186" s="3" t="s">
        <v>22</v>
      </c>
      <c r="K1186" s="3" t="s">
        <v>1673</v>
      </c>
      <c r="L1186" s="3" t="s">
        <v>1673</v>
      </c>
      <c r="M1186" s="3" t="s">
        <v>1674</v>
      </c>
      <c r="N1186" s="3" t="s">
        <v>1915</v>
      </c>
      <c r="O1186" s="5">
        <v>103.0089551</v>
      </c>
      <c r="P1186" s="6" t="str">
        <f t="shared" si="2"/>
        <v>Commercial Services &amp; Supplies</v>
      </c>
    </row>
    <row r="1187" hidden="1">
      <c r="A1187" s="3" t="s">
        <v>5131</v>
      </c>
      <c r="B1187" s="4">
        <v>519494.0</v>
      </c>
      <c r="C1187" s="3" t="s">
        <v>5132</v>
      </c>
      <c r="D1187" s="3" t="s">
        <v>5133</v>
      </c>
      <c r="E1187" s="3" t="s">
        <v>5134</v>
      </c>
      <c r="F1187" s="3" t="s">
        <v>19</v>
      </c>
      <c r="G1187" s="3" t="s">
        <v>112</v>
      </c>
      <c r="H1187" s="3">
        <v>10.0</v>
      </c>
      <c r="I1187" s="3" t="s">
        <v>5131</v>
      </c>
      <c r="J1187" s="3" t="s">
        <v>22</v>
      </c>
      <c r="K1187" s="3" t="s">
        <v>145</v>
      </c>
      <c r="L1187" s="3" t="s">
        <v>145</v>
      </c>
      <c r="M1187" s="3" t="s">
        <v>146</v>
      </c>
      <c r="N1187" s="3" t="s">
        <v>575</v>
      </c>
      <c r="O1187" s="5">
        <v>32.3519627</v>
      </c>
      <c r="P1187" s="6" t="str">
        <f t="shared" si="2"/>
        <v>Agricultural Food &amp; other Products</v>
      </c>
    </row>
    <row r="1188" hidden="1">
      <c r="A1188" s="3" t="s">
        <v>5135</v>
      </c>
      <c r="B1188" s="4">
        <v>519500.0</v>
      </c>
      <c r="C1188" s="3" t="s">
        <v>5136</v>
      </c>
      <c r="D1188" s="3" t="s">
        <v>5137</v>
      </c>
      <c r="E1188" s="3" t="s">
        <v>5138</v>
      </c>
      <c r="F1188" s="3" t="s">
        <v>19</v>
      </c>
      <c r="G1188" s="3" t="s">
        <v>72</v>
      </c>
      <c r="H1188" s="3">
        <v>1.0</v>
      </c>
      <c r="I1188" s="3" t="s">
        <v>5135</v>
      </c>
      <c r="J1188" s="3" t="s">
        <v>22</v>
      </c>
      <c r="K1188" s="3" t="s">
        <v>145</v>
      </c>
      <c r="L1188" s="3" t="s">
        <v>145</v>
      </c>
      <c r="M1188" s="3" t="s">
        <v>597</v>
      </c>
      <c r="N1188" s="3" t="s">
        <v>2344</v>
      </c>
      <c r="O1188" s="5">
        <v>20.9018875</v>
      </c>
      <c r="P1188" s="6" t="str">
        <f t="shared" si="2"/>
        <v>Food Products</v>
      </c>
    </row>
    <row r="1189" hidden="1">
      <c r="A1189" s="3" t="s">
        <v>5139</v>
      </c>
      <c r="B1189" s="4">
        <v>519506.0</v>
      </c>
      <c r="C1189" s="3" t="s">
        <v>5140</v>
      </c>
      <c r="D1189" s="3" t="s">
        <v>5141</v>
      </c>
      <c r="E1189" s="3" t="s">
        <v>5142</v>
      </c>
      <c r="F1189" s="3" t="s">
        <v>19</v>
      </c>
      <c r="G1189" s="3" t="s">
        <v>1858</v>
      </c>
      <c r="H1189" s="3">
        <v>10.0</v>
      </c>
      <c r="I1189" s="3" t="s">
        <v>5139</v>
      </c>
      <c r="J1189" s="3" t="s">
        <v>22</v>
      </c>
      <c r="K1189" s="3" t="s">
        <v>145</v>
      </c>
      <c r="L1189" s="3" t="s">
        <v>145</v>
      </c>
      <c r="M1189" s="3" t="s">
        <v>597</v>
      </c>
      <c r="N1189" s="3" t="s">
        <v>1438</v>
      </c>
      <c r="O1189" s="5">
        <v>1.0</v>
      </c>
      <c r="P1189" s="6" t="str">
        <f t="shared" si="2"/>
        <v>Food Products</v>
      </c>
    </row>
    <row r="1190" hidden="1">
      <c r="A1190" s="3" t="s">
        <v>5143</v>
      </c>
      <c r="B1190" s="4">
        <v>519528.0</v>
      </c>
      <c r="C1190" s="3" t="s">
        <v>5144</v>
      </c>
      <c r="D1190" s="3" t="s">
        <v>5145</v>
      </c>
      <c r="E1190" s="3" t="s">
        <v>5146</v>
      </c>
      <c r="F1190" s="3" t="s">
        <v>19</v>
      </c>
      <c r="G1190" s="3" t="s">
        <v>112</v>
      </c>
      <c r="H1190" s="3">
        <v>10.0</v>
      </c>
      <c r="I1190" s="3" t="s">
        <v>5143</v>
      </c>
      <c r="J1190" s="3" t="s">
        <v>22</v>
      </c>
      <c r="K1190" s="3" t="s">
        <v>145</v>
      </c>
      <c r="L1190" s="3" t="s">
        <v>145</v>
      </c>
      <c r="M1190" s="3" t="s">
        <v>146</v>
      </c>
      <c r="N1190" s="3" t="s">
        <v>444</v>
      </c>
      <c r="O1190" s="5">
        <v>1.0</v>
      </c>
      <c r="P1190" s="6" t="str">
        <f t="shared" si="2"/>
        <v>Agricultural Food &amp; other Products</v>
      </c>
    </row>
    <row r="1191" hidden="1">
      <c r="A1191" s="3" t="s">
        <v>5147</v>
      </c>
      <c r="B1191" s="4">
        <v>540786.0</v>
      </c>
      <c r="C1191" s="3" t="s">
        <v>5148</v>
      </c>
      <c r="D1191" s="3" t="s">
        <v>5149</v>
      </c>
      <c r="E1191" s="3" t="s">
        <v>5150</v>
      </c>
      <c r="F1191" s="3" t="s">
        <v>19</v>
      </c>
      <c r="G1191" s="3" t="s">
        <v>86</v>
      </c>
      <c r="H1191" s="3">
        <v>5.0</v>
      </c>
      <c r="I1191" s="3" t="s">
        <v>5151</v>
      </c>
      <c r="J1191" s="3" t="s">
        <v>22</v>
      </c>
      <c r="K1191" s="3" t="s">
        <v>1673</v>
      </c>
      <c r="L1191" s="3" t="s">
        <v>1673</v>
      </c>
      <c r="M1191" s="3" t="s">
        <v>1674</v>
      </c>
      <c r="N1191" s="3" t="s">
        <v>1915</v>
      </c>
      <c r="O1191" s="5">
        <v>102.7162817</v>
      </c>
      <c r="P1191" s="6" t="str">
        <f t="shared" si="2"/>
        <v>Commercial Services &amp; Supplies</v>
      </c>
    </row>
    <row r="1192">
      <c r="A1192" s="3" t="s">
        <v>5152</v>
      </c>
      <c r="B1192" s="4">
        <v>543626.0</v>
      </c>
      <c r="C1192" s="3" t="s">
        <v>5153</v>
      </c>
      <c r="D1192" s="3" t="s">
        <v>5154</v>
      </c>
      <c r="E1192" s="3" t="s">
        <v>5155</v>
      </c>
      <c r="F1192" s="3" t="s">
        <v>19</v>
      </c>
      <c r="G1192" s="3" t="s">
        <v>112</v>
      </c>
      <c r="H1192" s="3">
        <v>10.0</v>
      </c>
      <c r="I1192" s="3" t="s">
        <v>5156</v>
      </c>
      <c r="J1192" s="3" t="s">
        <v>22</v>
      </c>
      <c r="K1192" s="3" t="s">
        <v>58</v>
      </c>
      <c r="L1192" s="3" t="s">
        <v>73</v>
      </c>
      <c r="M1192" s="3" t="s">
        <v>988</v>
      </c>
      <c r="N1192" s="3" t="s">
        <v>1509</v>
      </c>
      <c r="O1192" s="5">
        <v>8833.0587113</v>
      </c>
      <c r="P1192" s="6" t="str">
        <f t="shared" si="2"/>
        <v>Retailing</v>
      </c>
    </row>
    <row r="1193" hidden="1">
      <c r="A1193" s="3" t="s">
        <v>5157</v>
      </c>
      <c r="B1193" s="4">
        <v>519566.0</v>
      </c>
      <c r="C1193" s="3" t="s">
        <v>5158</v>
      </c>
      <c r="D1193" s="3" t="s">
        <v>5159</v>
      </c>
      <c r="E1193" s="3" t="s">
        <v>5160</v>
      </c>
      <c r="F1193" s="3" t="s">
        <v>19</v>
      </c>
      <c r="G1193" s="3" t="s">
        <v>44</v>
      </c>
      <c r="H1193" s="3">
        <v>10.0</v>
      </c>
      <c r="I1193" s="3" t="s">
        <v>5157</v>
      </c>
      <c r="J1193" s="3" t="s">
        <v>22</v>
      </c>
      <c r="K1193" s="3" t="s">
        <v>145</v>
      </c>
      <c r="L1193" s="3" t="s">
        <v>145</v>
      </c>
      <c r="M1193" s="3" t="s">
        <v>597</v>
      </c>
      <c r="N1193" s="3" t="s">
        <v>5161</v>
      </c>
      <c r="O1193" s="5">
        <v>51.6144276</v>
      </c>
      <c r="P1193" s="6" t="str">
        <f t="shared" si="2"/>
        <v>Food Products</v>
      </c>
    </row>
    <row r="1194" hidden="1">
      <c r="A1194" s="3" t="s">
        <v>5162</v>
      </c>
      <c r="B1194" s="4">
        <v>519574.0</v>
      </c>
      <c r="C1194" s="3" t="s">
        <v>5163</v>
      </c>
      <c r="D1194" s="3" t="s">
        <v>5164</v>
      </c>
      <c r="E1194" s="3" t="s">
        <v>5165</v>
      </c>
      <c r="F1194" s="3" t="s">
        <v>19</v>
      </c>
      <c r="G1194" s="3" t="s">
        <v>44</v>
      </c>
      <c r="H1194" s="3">
        <v>10.0</v>
      </c>
      <c r="I1194" s="3" t="s">
        <v>5162</v>
      </c>
      <c r="J1194" s="3" t="s">
        <v>22</v>
      </c>
      <c r="K1194" s="3" t="s">
        <v>145</v>
      </c>
      <c r="L1194" s="3" t="s">
        <v>145</v>
      </c>
      <c r="M1194" s="3" t="s">
        <v>146</v>
      </c>
      <c r="N1194" s="3" t="s">
        <v>2645</v>
      </c>
      <c r="O1194" s="5">
        <v>20.0197582</v>
      </c>
      <c r="P1194" s="6" t="str">
        <f t="shared" si="2"/>
        <v>Agricultural Food &amp; other Products</v>
      </c>
    </row>
    <row r="1195">
      <c r="A1195" s="3" t="s">
        <v>5166</v>
      </c>
      <c r="B1195" s="4">
        <v>543669.0</v>
      </c>
      <c r="C1195" s="3" t="s">
        <v>5167</v>
      </c>
      <c r="D1195" s="3" t="s">
        <v>5168</v>
      </c>
      <c r="E1195" s="3" t="s">
        <v>5169</v>
      </c>
      <c r="F1195" s="3" t="s">
        <v>19</v>
      </c>
      <c r="G1195" s="3" t="s">
        <v>112</v>
      </c>
      <c r="H1195" s="3">
        <v>10.0</v>
      </c>
      <c r="I1195" s="3" t="s">
        <v>5170</v>
      </c>
      <c r="J1195" s="3" t="s">
        <v>22</v>
      </c>
      <c r="K1195" s="3" t="s">
        <v>58</v>
      </c>
      <c r="L1195" s="3" t="s">
        <v>59</v>
      </c>
      <c r="M1195" s="3" t="s">
        <v>59</v>
      </c>
      <c r="N1195" s="3" t="s">
        <v>60</v>
      </c>
      <c r="O1195" s="5">
        <v>8390.3131699</v>
      </c>
      <c r="P1195" s="6" t="str">
        <f t="shared" si="2"/>
        <v>Residential, Commercial Projects</v>
      </c>
    </row>
    <row r="1196" hidden="1">
      <c r="A1196" s="3" t="s">
        <v>5171</v>
      </c>
      <c r="B1196" s="4">
        <v>519602.0</v>
      </c>
      <c r="C1196" s="3" t="s">
        <v>5172</v>
      </c>
      <c r="D1196" s="3" t="s">
        <v>5173</v>
      </c>
      <c r="E1196" s="3" t="s">
        <v>5172</v>
      </c>
      <c r="F1196" s="3" t="s">
        <v>19</v>
      </c>
      <c r="G1196" s="3" t="s">
        <v>112</v>
      </c>
      <c r="H1196" s="3">
        <v>5.0</v>
      </c>
      <c r="I1196" s="3" t="s">
        <v>5171</v>
      </c>
      <c r="J1196" s="3" t="s">
        <v>22</v>
      </c>
      <c r="K1196" s="3" t="s">
        <v>473</v>
      </c>
      <c r="L1196" s="3" t="s">
        <v>473</v>
      </c>
      <c r="M1196" s="3" t="s">
        <v>1391</v>
      </c>
      <c r="N1196" s="3" t="s">
        <v>1840</v>
      </c>
      <c r="O1196" s="5">
        <v>1022.9653317</v>
      </c>
      <c r="P1196" s="6" t="str">
        <f t="shared" si="2"/>
        <v>Computers - Software &amp; Consulting</v>
      </c>
    </row>
    <row r="1197" hidden="1">
      <c r="A1197" s="3" t="s">
        <v>5174</v>
      </c>
      <c r="B1197" s="4">
        <v>519604.0</v>
      </c>
      <c r="C1197" s="3" t="s">
        <v>5175</v>
      </c>
      <c r="D1197" s="3" t="s">
        <v>5176</v>
      </c>
      <c r="E1197" s="3" t="s">
        <v>5177</v>
      </c>
      <c r="F1197" s="3" t="s">
        <v>19</v>
      </c>
      <c r="G1197" s="3" t="s">
        <v>44</v>
      </c>
      <c r="H1197" s="3">
        <v>10.0</v>
      </c>
      <c r="I1197" s="3" t="s">
        <v>5174</v>
      </c>
      <c r="J1197" s="3" t="s">
        <v>22</v>
      </c>
      <c r="K1197" s="3" t="s">
        <v>145</v>
      </c>
      <c r="L1197" s="3" t="s">
        <v>145</v>
      </c>
      <c r="M1197" s="3" t="s">
        <v>597</v>
      </c>
      <c r="N1197" s="3" t="s">
        <v>2344</v>
      </c>
      <c r="O1197" s="5">
        <v>1.0</v>
      </c>
      <c r="P1197" s="6" t="str">
        <f t="shared" si="2"/>
        <v>Food Products</v>
      </c>
    </row>
    <row r="1198" hidden="1">
      <c r="A1198" s="3" t="s">
        <v>5178</v>
      </c>
      <c r="B1198" s="4">
        <v>519606.0</v>
      </c>
      <c r="C1198" s="3" t="s">
        <v>5179</v>
      </c>
      <c r="D1198" s="3" t="s">
        <v>5180</v>
      </c>
      <c r="E1198" s="3" t="s">
        <v>5181</v>
      </c>
      <c r="F1198" s="3" t="s">
        <v>19</v>
      </c>
      <c r="G1198" s="3" t="s">
        <v>72</v>
      </c>
      <c r="H1198" s="3">
        <v>10.0</v>
      </c>
      <c r="I1198" s="3" t="s">
        <v>5178</v>
      </c>
      <c r="J1198" s="3" t="s">
        <v>22</v>
      </c>
      <c r="K1198" s="3" t="s">
        <v>145</v>
      </c>
      <c r="L1198" s="3" t="s">
        <v>145</v>
      </c>
      <c r="M1198" s="3" t="s">
        <v>146</v>
      </c>
      <c r="N1198" s="3" t="s">
        <v>575</v>
      </c>
      <c r="O1198" s="5">
        <v>1.0</v>
      </c>
      <c r="P1198" s="6" t="str">
        <f t="shared" si="2"/>
        <v>Agricultural Food &amp; other Products</v>
      </c>
    </row>
    <row r="1199" hidden="1">
      <c r="A1199" s="3" t="s">
        <v>5182</v>
      </c>
      <c r="B1199" s="4">
        <v>519612.0</v>
      </c>
      <c r="C1199" s="3" t="s">
        <v>5183</v>
      </c>
      <c r="D1199" s="3" t="s">
        <v>5184</v>
      </c>
      <c r="E1199" s="3" t="s">
        <v>5185</v>
      </c>
      <c r="F1199" s="3" t="s">
        <v>19</v>
      </c>
      <c r="G1199" s="3" t="s">
        <v>44</v>
      </c>
      <c r="H1199" s="3">
        <v>10.0</v>
      </c>
      <c r="I1199" s="3" t="s">
        <v>5182</v>
      </c>
      <c r="J1199" s="3" t="s">
        <v>22</v>
      </c>
      <c r="K1199" s="3" t="s">
        <v>145</v>
      </c>
      <c r="L1199" s="3" t="s">
        <v>145</v>
      </c>
      <c r="M1199" s="3" t="s">
        <v>597</v>
      </c>
      <c r="N1199" s="3" t="s">
        <v>2344</v>
      </c>
      <c r="O1199" s="5">
        <v>1.0</v>
      </c>
      <c r="P1199" s="6" t="str">
        <f t="shared" si="2"/>
        <v>Food Products</v>
      </c>
    </row>
    <row r="1200" hidden="1">
      <c r="A1200" s="3" t="s">
        <v>5186</v>
      </c>
      <c r="B1200" s="4">
        <v>520008.0</v>
      </c>
      <c r="C1200" s="3" t="s">
        <v>5187</v>
      </c>
      <c r="D1200" s="3" t="s">
        <v>5188</v>
      </c>
      <c r="E1200" s="3" t="s">
        <v>5189</v>
      </c>
      <c r="F1200" s="3" t="s">
        <v>19</v>
      </c>
      <c r="G1200" s="3" t="s">
        <v>112</v>
      </c>
      <c r="H1200" s="3">
        <v>1.0</v>
      </c>
      <c r="I1200" s="3" t="s">
        <v>5186</v>
      </c>
      <c r="J1200" s="3" t="s">
        <v>22</v>
      </c>
      <c r="K1200" s="3" t="s">
        <v>58</v>
      </c>
      <c r="L1200" s="3" t="s">
        <v>133</v>
      </c>
      <c r="M1200" s="3" t="s">
        <v>134</v>
      </c>
      <c r="N1200" s="3" t="s">
        <v>135</v>
      </c>
      <c r="O1200" s="5">
        <v>1760.1132225</v>
      </c>
      <c r="P1200" s="6" t="str">
        <f t="shared" si="2"/>
        <v>Auto Components &amp; Equipments</v>
      </c>
    </row>
    <row r="1201" hidden="1">
      <c r="A1201" s="3" t="s">
        <v>5190</v>
      </c>
      <c r="B1201" s="4">
        <v>520021.0</v>
      </c>
      <c r="C1201" s="3" t="s">
        <v>5191</v>
      </c>
      <c r="D1201" s="3" t="s">
        <v>5192</v>
      </c>
      <c r="E1201" s="3" t="s">
        <v>5193</v>
      </c>
      <c r="F1201" s="3" t="s">
        <v>19</v>
      </c>
      <c r="G1201" s="3" t="s">
        <v>86</v>
      </c>
      <c r="H1201" s="3">
        <v>10.0</v>
      </c>
      <c r="I1201" s="3" t="s">
        <v>5190</v>
      </c>
      <c r="J1201" s="3" t="s">
        <v>22</v>
      </c>
      <c r="K1201" s="3" t="s">
        <v>58</v>
      </c>
      <c r="L1201" s="3" t="s">
        <v>133</v>
      </c>
      <c r="M1201" s="3" t="s">
        <v>134</v>
      </c>
      <c r="N1201" s="3" t="s">
        <v>135</v>
      </c>
      <c r="O1201" s="5">
        <v>317.8255276</v>
      </c>
      <c r="P1201" s="6" t="str">
        <f t="shared" si="2"/>
        <v>Auto Components &amp; Equipments</v>
      </c>
    </row>
    <row r="1202" hidden="1">
      <c r="A1202" s="3" t="s">
        <v>5194</v>
      </c>
      <c r="B1202" s="4">
        <v>520043.0</v>
      </c>
      <c r="C1202" s="3" t="s">
        <v>5195</v>
      </c>
      <c r="D1202" s="3" t="s">
        <v>5196</v>
      </c>
      <c r="E1202" s="3" t="s">
        <v>5197</v>
      </c>
      <c r="F1202" s="3" t="s">
        <v>19</v>
      </c>
      <c r="G1202" s="3" t="s">
        <v>112</v>
      </c>
      <c r="H1202" s="3">
        <v>2.0</v>
      </c>
      <c r="I1202" s="3" t="s">
        <v>5194</v>
      </c>
      <c r="J1202" s="3" t="s">
        <v>22</v>
      </c>
      <c r="K1202" s="3" t="s">
        <v>58</v>
      </c>
      <c r="L1202" s="3" t="s">
        <v>133</v>
      </c>
      <c r="M1202" s="3" t="s">
        <v>134</v>
      </c>
      <c r="N1202" s="3" t="s">
        <v>135</v>
      </c>
      <c r="O1202" s="5">
        <v>626.869986</v>
      </c>
      <c r="P1202" s="6" t="str">
        <f t="shared" si="2"/>
        <v>Auto Components &amp; Equipments</v>
      </c>
    </row>
    <row r="1203" hidden="1">
      <c r="A1203" s="3" t="s">
        <v>5198</v>
      </c>
      <c r="B1203" s="4">
        <v>520051.0</v>
      </c>
      <c r="C1203" s="3" t="s">
        <v>5199</v>
      </c>
      <c r="D1203" s="3" t="s">
        <v>5200</v>
      </c>
      <c r="E1203" s="3" t="s">
        <v>5201</v>
      </c>
      <c r="F1203" s="3" t="s">
        <v>19</v>
      </c>
      <c r="G1203" s="3" t="s">
        <v>20</v>
      </c>
      <c r="H1203" s="3">
        <v>1.0</v>
      </c>
      <c r="I1203" s="3" t="s">
        <v>5198</v>
      </c>
      <c r="J1203" s="3" t="s">
        <v>22</v>
      </c>
      <c r="K1203" s="3" t="s">
        <v>58</v>
      </c>
      <c r="L1203" s="3" t="s">
        <v>133</v>
      </c>
      <c r="M1203" s="3" t="s">
        <v>134</v>
      </c>
      <c r="N1203" s="3" t="s">
        <v>135</v>
      </c>
      <c r="O1203" s="5">
        <v>4899.8141497</v>
      </c>
      <c r="P1203" s="6" t="str">
        <f t="shared" si="2"/>
        <v>Auto Components &amp; Equipments</v>
      </c>
    </row>
    <row r="1204">
      <c r="A1204" s="3" t="s">
        <v>5202</v>
      </c>
      <c r="B1204" s="4">
        <v>543936.0</v>
      </c>
      <c r="C1204" s="3" t="s">
        <v>5203</v>
      </c>
      <c r="D1204" s="3" t="s">
        <v>5204</v>
      </c>
      <c r="E1204" s="3" t="s">
        <v>5205</v>
      </c>
      <c r="F1204" s="3" t="s">
        <v>19</v>
      </c>
      <c r="G1204" s="3" t="s">
        <v>112</v>
      </c>
      <c r="H1204" s="3">
        <v>10.0</v>
      </c>
      <c r="I1204" s="3" t="s">
        <v>5206</v>
      </c>
      <c r="J1204" s="3" t="s">
        <v>22</v>
      </c>
      <c r="K1204" s="3" t="s">
        <v>58</v>
      </c>
      <c r="L1204" s="3" t="s">
        <v>211</v>
      </c>
      <c r="M1204" s="3" t="s">
        <v>211</v>
      </c>
      <c r="N1204" s="3" t="s">
        <v>947</v>
      </c>
      <c r="O1204" s="5">
        <v>8813.638395</v>
      </c>
      <c r="P1204" s="6" t="str">
        <f t="shared" si="2"/>
        <v>Consumer Durables</v>
      </c>
    </row>
    <row r="1205">
      <c r="A1205" s="3" t="s">
        <v>1260</v>
      </c>
      <c r="B1205" s="4">
        <v>543952.0</v>
      </c>
      <c r="C1205" s="3" t="s">
        <v>5207</v>
      </c>
      <c r="D1205" s="3" t="s">
        <v>5208</v>
      </c>
      <c r="E1205" s="3" t="s">
        <v>5209</v>
      </c>
      <c r="F1205" s="3" t="s">
        <v>19</v>
      </c>
      <c r="G1205" s="3" t="s">
        <v>112</v>
      </c>
      <c r="H1205" s="3">
        <v>2.0</v>
      </c>
      <c r="I1205" s="3" t="s">
        <v>5210</v>
      </c>
      <c r="J1205" s="3" t="s">
        <v>22</v>
      </c>
      <c r="K1205" s="3" t="s">
        <v>58</v>
      </c>
      <c r="L1205" s="3" t="s">
        <v>73</v>
      </c>
      <c r="M1205" s="3" t="s">
        <v>800</v>
      </c>
      <c r="N1205" s="3" t="s">
        <v>801</v>
      </c>
      <c r="O1205" s="5">
        <v>6130.19022</v>
      </c>
      <c r="P1205" s="6" t="str">
        <f t="shared" si="2"/>
        <v>Other Consumer Services</v>
      </c>
    </row>
    <row r="1206" hidden="1">
      <c r="A1206" s="3" t="s">
        <v>5211</v>
      </c>
      <c r="B1206" s="4">
        <v>520059.0</v>
      </c>
      <c r="C1206" s="3" t="s">
        <v>5212</v>
      </c>
      <c r="D1206" s="3" t="s">
        <v>5213</v>
      </c>
      <c r="E1206" s="3" t="s">
        <v>5214</v>
      </c>
      <c r="F1206" s="3" t="s">
        <v>19</v>
      </c>
      <c r="G1206" s="3" t="s">
        <v>112</v>
      </c>
      <c r="H1206" s="3">
        <v>2.0</v>
      </c>
      <c r="I1206" s="3" t="s">
        <v>5211</v>
      </c>
      <c r="J1206" s="3" t="s">
        <v>22</v>
      </c>
      <c r="K1206" s="3" t="s">
        <v>58</v>
      </c>
      <c r="L1206" s="3" t="s">
        <v>133</v>
      </c>
      <c r="M1206" s="3" t="s">
        <v>134</v>
      </c>
      <c r="N1206" s="3" t="s">
        <v>135</v>
      </c>
      <c r="O1206" s="5">
        <v>899.9279312</v>
      </c>
      <c r="P1206" s="6" t="str">
        <f t="shared" si="2"/>
        <v>Auto Components &amp; Equipments</v>
      </c>
    </row>
    <row r="1207" hidden="1">
      <c r="A1207" s="3" t="s">
        <v>5215</v>
      </c>
      <c r="B1207" s="4">
        <v>520066.0</v>
      </c>
      <c r="C1207" s="3" t="s">
        <v>5216</v>
      </c>
      <c r="D1207" s="3" t="s">
        <v>5217</v>
      </c>
      <c r="E1207" s="3" t="s">
        <v>5218</v>
      </c>
      <c r="F1207" s="3" t="s">
        <v>19</v>
      </c>
      <c r="G1207" s="3" t="s">
        <v>112</v>
      </c>
      <c r="H1207" s="3">
        <v>2.0</v>
      </c>
      <c r="I1207" s="3" t="s">
        <v>5215</v>
      </c>
      <c r="J1207" s="3" t="s">
        <v>22</v>
      </c>
      <c r="K1207" s="3" t="s">
        <v>58</v>
      </c>
      <c r="L1207" s="3" t="s">
        <v>133</v>
      </c>
      <c r="M1207" s="3" t="s">
        <v>134</v>
      </c>
      <c r="N1207" s="3" t="s">
        <v>135</v>
      </c>
      <c r="O1207" s="5">
        <v>1173.842855</v>
      </c>
      <c r="P1207" s="6" t="str">
        <f t="shared" si="2"/>
        <v>Auto Components &amp; Equipments</v>
      </c>
    </row>
    <row r="1208" hidden="1">
      <c r="A1208" s="3" t="s">
        <v>5219</v>
      </c>
      <c r="B1208" s="4">
        <v>520073.0</v>
      </c>
      <c r="C1208" s="3" t="s">
        <v>5220</v>
      </c>
      <c r="D1208" s="3" t="s">
        <v>5221</v>
      </c>
      <c r="E1208" s="3" t="s">
        <v>5222</v>
      </c>
      <c r="F1208" s="3" t="s">
        <v>19</v>
      </c>
      <c r="G1208" s="3" t="s">
        <v>112</v>
      </c>
      <c r="H1208" s="3">
        <v>10.0</v>
      </c>
      <c r="I1208" s="3" t="s">
        <v>5219</v>
      </c>
      <c r="J1208" s="3" t="s">
        <v>22</v>
      </c>
      <c r="K1208" s="3" t="s">
        <v>58</v>
      </c>
      <c r="L1208" s="3" t="s">
        <v>133</v>
      </c>
      <c r="M1208" s="3" t="s">
        <v>134</v>
      </c>
      <c r="N1208" s="3" t="s">
        <v>135</v>
      </c>
      <c r="O1208" s="5">
        <v>1253.51493</v>
      </c>
      <c r="P1208" s="6" t="str">
        <f t="shared" si="2"/>
        <v>Auto Components &amp; Equipments</v>
      </c>
    </row>
    <row r="1209" hidden="1">
      <c r="A1209" s="3" t="s">
        <v>5223</v>
      </c>
      <c r="B1209" s="4">
        <v>520075.0</v>
      </c>
      <c r="C1209" s="3" t="s">
        <v>5224</v>
      </c>
      <c r="D1209" s="3" t="s">
        <v>5225</v>
      </c>
      <c r="E1209" s="3" t="s">
        <v>5226</v>
      </c>
      <c r="F1209" s="3" t="s">
        <v>19</v>
      </c>
      <c r="G1209" s="3" t="s">
        <v>44</v>
      </c>
      <c r="H1209" s="3">
        <v>10.0</v>
      </c>
      <c r="I1209" s="3" t="s">
        <v>5223</v>
      </c>
      <c r="J1209" s="3" t="s">
        <v>22</v>
      </c>
      <c r="K1209" s="3" t="s">
        <v>58</v>
      </c>
      <c r="L1209" s="3" t="s">
        <v>133</v>
      </c>
      <c r="M1209" s="3" t="s">
        <v>134</v>
      </c>
      <c r="N1209" s="3" t="s">
        <v>135</v>
      </c>
      <c r="O1209" s="5">
        <v>185.6235326</v>
      </c>
      <c r="P1209" s="6" t="str">
        <f t="shared" si="2"/>
        <v>Auto Components &amp; Equipments</v>
      </c>
    </row>
    <row r="1210" hidden="1">
      <c r="A1210" s="3" t="s">
        <v>5227</v>
      </c>
      <c r="B1210" s="4">
        <v>520081.0</v>
      </c>
      <c r="C1210" s="3" t="s">
        <v>5228</v>
      </c>
      <c r="D1210" s="3" t="s">
        <v>5229</v>
      </c>
      <c r="E1210" s="3" t="s">
        <v>5230</v>
      </c>
      <c r="F1210" s="3" t="s">
        <v>19</v>
      </c>
      <c r="G1210" s="3" t="s">
        <v>1858</v>
      </c>
      <c r="H1210" s="3">
        <v>10.0</v>
      </c>
      <c r="I1210" s="3" t="s">
        <v>5227</v>
      </c>
      <c r="J1210" s="3" t="s">
        <v>22</v>
      </c>
      <c r="K1210" s="3" t="s">
        <v>97</v>
      </c>
      <c r="L1210" s="3" t="s">
        <v>98</v>
      </c>
      <c r="M1210" s="3" t="s">
        <v>100</v>
      </c>
      <c r="N1210" s="3" t="s">
        <v>612</v>
      </c>
      <c r="O1210" s="5">
        <v>13.49117</v>
      </c>
      <c r="P1210" s="6" t="str">
        <f t="shared" si="2"/>
        <v>Industrial Products</v>
      </c>
    </row>
    <row r="1211" hidden="1">
      <c r="A1211" s="3" t="s">
        <v>2987</v>
      </c>
      <c r="B1211" s="4">
        <v>540006.0</v>
      </c>
      <c r="C1211" s="3" t="s">
        <v>5231</v>
      </c>
      <c r="D1211" s="3" t="s">
        <v>5232</v>
      </c>
      <c r="E1211" s="3" t="s">
        <v>5233</v>
      </c>
      <c r="F1211" s="3" t="s">
        <v>19</v>
      </c>
      <c r="G1211" s="3" t="s">
        <v>44</v>
      </c>
      <c r="H1211" s="3">
        <v>2.0</v>
      </c>
      <c r="I1211" s="3" t="s">
        <v>5234</v>
      </c>
      <c r="J1211" s="3" t="s">
        <v>22</v>
      </c>
      <c r="K1211" s="3" t="s">
        <v>1673</v>
      </c>
      <c r="L1211" s="3" t="s">
        <v>1673</v>
      </c>
      <c r="M1211" s="3" t="s">
        <v>1689</v>
      </c>
      <c r="N1211" s="3" t="s">
        <v>1690</v>
      </c>
      <c r="O1211" s="5">
        <v>100.9118</v>
      </c>
      <c r="P1211" s="6" t="str">
        <f t="shared" si="2"/>
        <v>Transport Services</v>
      </c>
    </row>
    <row r="1212">
      <c r="A1212" s="3" t="s">
        <v>5235</v>
      </c>
      <c r="B1212" s="4">
        <v>543957.0</v>
      </c>
      <c r="C1212" s="3" t="s">
        <v>5236</v>
      </c>
      <c r="D1212" s="3" t="s">
        <v>5237</v>
      </c>
      <c r="E1212" s="3" t="s">
        <v>5238</v>
      </c>
      <c r="F1212" s="3" t="s">
        <v>19</v>
      </c>
      <c r="G1212" s="3" t="s">
        <v>112</v>
      </c>
      <c r="H1212" s="3">
        <v>2.0</v>
      </c>
      <c r="I1212" s="3" t="s">
        <v>5239</v>
      </c>
      <c r="J1212" s="3" t="s">
        <v>22</v>
      </c>
      <c r="K1212" s="3" t="s">
        <v>58</v>
      </c>
      <c r="L1212" s="3" t="s">
        <v>211</v>
      </c>
      <c r="M1212" s="3" t="s">
        <v>211</v>
      </c>
      <c r="N1212" s="3" t="s">
        <v>932</v>
      </c>
      <c r="O1212" s="5">
        <v>10633.2892883</v>
      </c>
      <c r="P1212" s="6" t="str">
        <f t="shared" si="2"/>
        <v>Consumer Durables</v>
      </c>
    </row>
    <row r="1213">
      <c r="A1213" s="3" t="s">
        <v>5240</v>
      </c>
      <c r="B1213" s="4">
        <v>543990.0</v>
      </c>
      <c r="C1213" s="3" t="s">
        <v>5241</v>
      </c>
      <c r="D1213" s="3" t="s">
        <v>5242</v>
      </c>
      <c r="E1213" s="3" t="s">
        <v>5243</v>
      </c>
      <c r="F1213" s="3" t="s">
        <v>19</v>
      </c>
      <c r="G1213" s="3" t="s">
        <v>112</v>
      </c>
      <c r="H1213" s="3">
        <v>1.0</v>
      </c>
      <c r="I1213" s="3" t="s">
        <v>5244</v>
      </c>
      <c r="J1213" s="3" t="s">
        <v>22</v>
      </c>
      <c r="K1213" s="3" t="s">
        <v>58</v>
      </c>
      <c r="L1213" s="3" t="s">
        <v>59</v>
      </c>
      <c r="M1213" s="3" t="s">
        <v>59</v>
      </c>
      <c r="N1213" s="3" t="s">
        <v>60</v>
      </c>
      <c r="O1213" s="5">
        <v>19730.0471394</v>
      </c>
      <c r="P1213" s="6" t="str">
        <f t="shared" si="2"/>
        <v>Residential, Commercial Projects</v>
      </c>
    </row>
    <row r="1214" hidden="1">
      <c r="A1214" s="3" t="s">
        <v>5245</v>
      </c>
      <c r="B1214" s="4">
        <v>520119.0</v>
      </c>
      <c r="C1214" s="3" t="s">
        <v>5246</v>
      </c>
      <c r="D1214" s="3" t="s">
        <v>5247</v>
      </c>
      <c r="E1214" s="3" t="s">
        <v>5248</v>
      </c>
      <c r="F1214" s="3" t="s">
        <v>19</v>
      </c>
      <c r="G1214" s="3" t="s">
        <v>112</v>
      </c>
      <c r="H1214" s="3">
        <v>10.0</v>
      </c>
      <c r="I1214" s="3" t="s">
        <v>5245</v>
      </c>
      <c r="J1214" s="3" t="s">
        <v>22</v>
      </c>
      <c r="K1214" s="3" t="s">
        <v>58</v>
      </c>
      <c r="L1214" s="3" t="s">
        <v>133</v>
      </c>
      <c r="M1214" s="3" t="s">
        <v>134</v>
      </c>
      <c r="N1214" s="3" t="s">
        <v>135</v>
      </c>
      <c r="O1214" s="5">
        <v>1660.5028737</v>
      </c>
      <c r="P1214" s="6" t="str">
        <f t="shared" si="2"/>
        <v>Auto Components &amp; Equipments</v>
      </c>
    </row>
    <row r="1215" hidden="1">
      <c r="A1215" s="3" t="s">
        <v>5249</v>
      </c>
      <c r="B1215" s="4">
        <v>520121.0</v>
      </c>
      <c r="C1215" s="3" t="s">
        <v>5250</v>
      </c>
      <c r="D1215" s="3" t="s">
        <v>5251</v>
      </c>
      <c r="E1215" s="3" t="s">
        <v>5252</v>
      </c>
      <c r="F1215" s="3" t="s">
        <v>19</v>
      </c>
      <c r="G1215" s="3" t="s">
        <v>44</v>
      </c>
      <c r="H1215" s="3">
        <v>10.0</v>
      </c>
      <c r="I1215" s="3" t="s">
        <v>5249</v>
      </c>
      <c r="J1215" s="3" t="s">
        <v>22</v>
      </c>
      <c r="K1215" s="3" t="s">
        <v>97</v>
      </c>
      <c r="L1215" s="3" t="s">
        <v>98</v>
      </c>
      <c r="M1215" s="3" t="s">
        <v>100</v>
      </c>
      <c r="N1215" s="3" t="s">
        <v>580</v>
      </c>
      <c r="O1215" s="5">
        <v>1.0</v>
      </c>
      <c r="P1215" s="6" t="str">
        <f t="shared" si="2"/>
        <v>Industrial Products</v>
      </c>
    </row>
    <row r="1216" hidden="1">
      <c r="A1216" s="3" t="s">
        <v>5253</v>
      </c>
      <c r="B1216" s="4">
        <v>533090.0</v>
      </c>
      <c r="C1216" s="3" t="s">
        <v>5254</v>
      </c>
      <c r="D1216" s="3" t="s">
        <v>5255</v>
      </c>
      <c r="E1216" s="3" t="s">
        <v>5256</v>
      </c>
      <c r="F1216" s="3" t="s">
        <v>19</v>
      </c>
      <c r="G1216" s="3" t="s">
        <v>86</v>
      </c>
      <c r="H1216" s="3">
        <v>1.0</v>
      </c>
      <c r="I1216" s="3" t="s">
        <v>5257</v>
      </c>
      <c r="J1216" s="3" t="s">
        <v>22</v>
      </c>
      <c r="K1216" s="3" t="s">
        <v>1673</v>
      </c>
      <c r="L1216" s="3" t="s">
        <v>1673</v>
      </c>
      <c r="M1216" s="3" t="s">
        <v>1674</v>
      </c>
      <c r="N1216" s="3" t="s">
        <v>1915</v>
      </c>
      <c r="O1216" s="5">
        <v>97.415263</v>
      </c>
      <c r="P1216" s="6" t="str">
        <f t="shared" si="2"/>
        <v>Commercial Services &amp; Supplies</v>
      </c>
    </row>
    <row r="1217" hidden="1">
      <c r="A1217" s="3" t="s">
        <v>5258</v>
      </c>
      <c r="B1217" s="4">
        <v>523289.0</v>
      </c>
      <c r="C1217" s="3" t="s">
        <v>5259</v>
      </c>
      <c r="D1217" s="3" t="s">
        <v>5260</v>
      </c>
      <c r="E1217" s="3" t="s">
        <v>5261</v>
      </c>
      <c r="F1217" s="3" t="s">
        <v>19</v>
      </c>
      <c r="G1217" s="3" t="s">
        <v>44</v>
      </c>
      <c r="H1217" s="3">
        <v>10.0</v>
      </c>
      <c r="I1217" s="3" t="s">
        <v>5262</v>
      </c>
      <c r="J1217" s="3" t="s">
        <v>22</v>
      </c>
      <c r="K1217" s="3" t="s">
        <v>1673</v>
      </c>
      <c r="L1217" s="3" t="s">
        <v>1673</v>
      </c>
      <c r="M1217" s="3" t="s">
        <v>1674</v>
      </c>
      <c r="N1217" s="3" t="s">
        <v>1915</v>
      </c>
      <c r="O1217" s="5">
        <v>96.116068</v>
      </c>
      <c r="P1217" s="6" t="str">
        <f t="shared" si="2"/>
        <v>Commercial Services &amp; Supplies</v>
      </c>
    </row>
    <row r="1218" hidden="1">
      <c r="A1218" s="3" t="s">
        <v>5263</v>
      </c>
      <c r="B1218" s="4">
        <v>526241.0</v>
      </c>
      <c r="C1218" s="3" t="s">
        <v>5264</v>
      </c>
      <c r="D1218" s="3" t="s">
        <v>5265</v>
      </c>
      <c r="E1218" s="3" t="s">
        <v>5266</v>
      </c>
      <c r="F1218" s="3" t="s">
        <v>19</v>
      </c>
      <c r="G1218" s="3" t="s">
        <v>44</v>
      </c>
      <c r="H1218" s="3">
        <v>5.0</v>
      </c>
      <c r="I1218" s="3" t="s">
        <v>5267</v>
      </c>
      <c r="J1218" s="3" t="s">
        <v>22</v>
      </c>
      <c r="K1218" s="3" t="s">
        <v>1673</v>
      </c>
      <c r="L1218" s="3" t="s">
        <v>1673</v>
      </c>
      <c r="M1218" s="3" t="s">
        <v>1674</v>
      </c>
      <c r="N1218" s="3" t="s">
        <v>1915</v>
      </c>
      <c r="O1218" s="5">
        <v>87.2006832</v>
      </c>
      <c r="P1218" s="6" t="str">
        <f t="shared" si="2"/>
        <v>Commercial Services &amp; Supplies</v>
      </c>
    </row>
    <row r="1219" hidden="1">
      <c r="A1219" s="3" t="s">
        <v>5268</v>
      </c>
      <c r="B1219" s="4">
        <v>520141.0</v>
      </c>
      <c r="C1219" s="3" t="s">
        <v>5269</v>
      </c>
      <c r="D1219" s="3" t="s">
        <v>5270</v>
      </c>
      <c r="E1219" s="3" t="s">
        <v>5271</v>
      </c>
      <c r="F1219" s="3" t="s">
        <v>19</v>
      </c>
      <c r="G1219" s="3" t="s">
        <v>72</v>
      </c>
      <c r="H1219" s="3">
        <v>10.0</v>
      </c>
      <c r="I1219" s="3" t="s">
        <v>5268</v>
      </c>
      <c r="J1219" s="3" t="s">
        <v>22</v>
      </c>
      <c r="K1219" s="3" t="s">
        <v>58</v>
      </c>
      <c r="L1219" s="3" t="s">
        <v>133</v>
      </c>
      <c r="M1219" s="3" t="s">
        <v>134</v>
      </c>
      <c r="N1219" s="3" t="s">
        <v>135</v>
      </c>
      <c r="O1219" s="5">
        <v>23.276652</v>
      </c>
      <c r="P1219" s="6" t="str">
        <f t="shared" si="2"/>
        <v>Auto Components &amp; Equipments</v>
      </c>
    </row>
    <row r="1220" hidden="1">
      <c r="A1220" s="3" t="s">
        <v>3417</v>
      </c>
      <c r="B1220" s="4">
        <v>539814.0</v>
      </c>
      <c r="C1220" s="3" t="s">
        <v>5272</v>
      </c>
      <c r="D1220" s="3" t="s">
        <v>5273</v>
      </c>
      <c r="E1220" s="3" t="s">
        <v>5274</v>
      </c>
      <c r="F1220" s="3" t="s">
        <v>19</v>
      </c>
      <c r="G1220" s="3" t="s">
        <v>72</v>
      </c>
      <c r="H1220" s="3">
        <v>10.0</v>
      </c>
      <c r="I1220" s="3" t="s">
        <v>5275</v>
      </c>
      <c r="J1220" s="3" t="s">
        <v>22</v>
      </c>
      <c r="K1220" s="3" t="s">
        <v>1673</v>
      </c>
      <c r="L1220" s="3" t="s">
        <v>1673</v>
      </c>
      <c r="M1220" s="3" t="s">
        <v>1674</v>
      </c>
      <c r="N1220" s="3" t="s">
        <v>1915</v>
      </c>
      <c r="O1220" s="5">
        <v>86.2519407</v>
      </c>
      <c r="P1220" s="6" t="str">
        <f t="shared" si="2"/>
        <v>Commercial Services &amp; Supplies</v>
      </c>
    </row>
    <row r="1221" hidden="1">
      <c r="A1221" s="3" t="s">
        <v>5276</v>
      </c>
      <c r="B1221" s="4">
        <v>539222.0</v>
      </c>
      <c r="C1221" s="3" t="s">
        <v>5277</v>
      </c>
      <c r="D1221" s="3" t="s">
        <v>5278</v>
      </c>
      <c r="E1221" s="3" t="s">
        <v>5279</v>
      </c>
      <c r="F1221" s="3" t="s">
        <v>19</v>
      </c>
      <c r="G1221" s="3" t="s">
        <v>86</v>
      </c>
      <c r="H1221" s="3">
        <v>1.0</v>
      </c>
      <c r="I1221" s="3" t="s">
        <v>5280</v>
      </c>
      <c r="J1221" s="3" t="s">
        <v>22</v>
      </c>
      <c r="K1221" s="3" t="s">
        <v>1673</v>
      </c>
      <c r="L1221" s="3" t="s">
        <v>1673</v>
      </c>
      <c r="M1221" s="3" t="s">
        <v>1674</v>
      </c>
      <c r="N1221" s="3" t="s">
        <v>1915</v>
      </c>
      <c r="O1221" s="5">
        <v>83.9635368</v>
      </c>
      <c r="P1221" s="6" t="str">
        <f t="shared" si="2"/>
        <v>Commercial Services &amp; Supplies</v>
      </c>
    </row>
    <row r="1222" hidden="1">
      <c r="A1222" s="3" t="s">
        <v>5281</v>
      </c>
      <c r="B1222" s="4">
        <v>540730.0</v>
      </c>
      <c r="C1222" s="3" t="s">
        <v>5282</v>
      </c>
      <c r="D1222" s="3" t="s">
        <v>5283</v>
      </c>
      <c r="E1222" s="3" t="s">
        <v>5284</v>
      </c>
      <c r="F1222" s="3" t="s">
        <v>19</v>
      </c>
      <c r="G1222" s="3" t="s">
        <v>86</v>
      </c>
      <c r="H1222" s="3">
        <v>10.0</v>
      </c>
      <c r="I1222" s="3" t="s">
        <v>5285</v>
      </c>
      <c r="J1222" s="3" t="s">
        <v>22</v>
      </c>
      <c r="K1222" s="3" t="s">
        <v>1673</v>
      </c>
      <c r="L1222" s="3" t="s">
        <v>1673</v>
      </c>
      <c r="M1222" s="3" t="s">
        <v>1674</v>
      </c>
      <c r="N1222" s="3" t="s">
        <v>1915</v>
      </c>
      <c r="O1222" s="5">
        <v>83.1764543</v>
      </c>
      <c r="P1222" s="6" t="str">
        <f t="shared" si="2"/>
        <v>Commercial Services &amp; Supplies</v>
      </c>
    </row>
    <row r="1223" hidden="1">
      <c r="A1223" s="3" t="s">
        <v>5286</v>
      </c>
      <c r="B1223" s="4">
        <v>521005.0</v>
      </c>
      <c r="C1223" s="3" t="s">
        <v>5287</v>
      </c>
      <c r="D1223" s="3" t="s">
        <v>5288</v>
      </c>
      <c r="E1223" s="3" t="s">
        <v>5289</v>
      </c>
      <c r="F1223" s="3" t="s">
        <v>19</v>
      </c>
      <c r="G1223" s="3" t="s">
        <v>44</v>
      </c>
      <c r="H1223" s="3">
        <v>10.0</v>
      </c>
      <c r="I1223" s="3" t="s">
        <v>5286</v>
      </c>
      <c r="J1223" s="3" t="s">
        <v>22</v>
      </c>
      <c r="K1223" s="3" t="s">
        <v>473</v>
      </c>
      <c r="L1223" s="3" t="s">
        <v>473</v>
      </c>
      <c r="M1223" s="3" t="s">
        <v>1538</v>
      </c>
      <c r="N1223" s="3" t="s">
        <v>1539</v>
      </c>
      <c r="O1223" s="5">
        <v>105.2273</v>
      </c>
      <c r="P1223" s="6" t="str">
        <f t="shared" si="2"/>
        <v>IT - Services</v>
      </c>
    </row>
    <row r="1224" hidden="1">
      <c r="A1224" s="3" t="s">
        <v>5290</v>
      </c>
      <c r="B1224" s="4">
        <v>521014.0</v>
      </c>
      <c r="C1224" s="3" t="s">
        <v>5291</v>
      </c>
      <c r="D1224" s="3" t="s">
        <v>5292</v>
      </c>
      <c r="E1224" s="3" t="s">
        <v>5293</v>
      </c>
      <c r="F1224" s="3" t="s">
        <v>19</v>
      </c>
      <c r="G1224" s="3" t="s">
        <v>112</v>
      </c>
      <c r="H1224" s="3">
        <v>10.0</v>
      </c>
      <c r="I1224" s="3" t="s">
        <v>5290</v>
      </c>
      <c r="J1224" s="3" t="s">
        <v>22</v>
      </c>
      <c r="K1224" s="3" t="s">
        <v>58</v>
      </c>
      <c r="L1224" s="3" t="s">
        <v>80</v>
      </c>
      <c r="M1224" s="3" t="s">
        <v>81</v>
      </c>
      <c r="N1224" s="3" t="s">
        <v>82</v>
      </c>
      <c r="O1224" s="5">
        <v>11.7941382</v>
      </c>
      <c r="P1224" s="6" t="str">
        <f t="shared" si="2"/>
        <v>Textiles &amp; Apparels</v>
      </c>
    </row>
    <row r="1225">
      <c r="A1225" s="3" t="s">
        <v>1265</v>
      </c>
      <c r="B1225" s="4">
        <v>544008.0</v>
      </c>
      <c r="C1225" s="3" t="s">
        <v>5294</v>
      </c>
      <c r="D1225" s="3" t="s">
        <v>5295</v>
      </c>
      <c r="E1225" s="3" t="s">
        <v>5296</v>
      </c>
      <c r="F1225" s="3" t="s">
        <v>19</v>
      </c>
      <c r="G1225" s="3" t="s">
        <v>112</v>
      </c>
      <c r="H1225" s="3">
        <v>10.0</v>
      </c>
      <c r="I1225" s="3" t="s">
        <v>5297</v>
      </c>
      <c r="J1225" s="3" t="s">
        <v>22</v>
      </c>
      <c r="K1225" s="3" t="s">
        <v>58</v>
      </c>
      <c r="L1225" s="3" t="s">
        <v>59</v>
      </c>
      <c r="M1225" s="3" t="s">
        <v>59</v>
      </c>
      <c r="N1225" s="3" t="s">
        <v>60</v>
      </c>
      <c r="O1225" s="5">
        <v>6923.0774433</v>
      </c>
      <c r="P1225" s="6" t="str">
        <f t="shared" si="2"/>
        <v>Residential, Commercial Projects</v>
      </c>
    </row>
    <row r="1226" hidden="1">
      <c r="A1226" s="3" t="s">
        <v>5298</v>
      </c>
      <c r="B1226" s="4">
        <v>521018.0</v>
      </c>
      <c r="C1226" s="3" t="s">
        <v>5299</v>
      </c>
      <c r="D1226" s="3" t="s">
        <v>5300</v>
      </c>
      <c r="E1226" s="3" t="s">
        <v>5301</v>
      </c>
      <c r="F1226" s="3" t="s">
        <v>19</v>
      </c>
      <c r="G1226" s="3" t="s">
        <v>112</v>
      </c>
      <c r="H1226" s="3">
        <v>10.0</v>
      </c>
      <c r="I1226" s="3" t="s">
        <v>5298</v>
      </c>
      <c r="J1226" s="3" t="s">
        <v>22</v>
      </c>
      <c r="K1226" s="3" t="s">
        <v>58</v>
      </c>
      <c r="L1226" s="3" t="s">
        <v>80</v>
      </c>
      <c r="M1226" s="3" t="s">
        <v>81</v>
      </c>
      <c r="N1226" s="3" t="s">
        <v>82</v>
      </c>
      <c r="O1226" s="5">
        <v>298.9510345</v>
      </c>
      <c r="P1226" s="6" t="str">
        <f t="shared" si="2"/>
        <v>Textiles &amp; Apparels</v>
      </c>
    </row>
    <row r="1227" hidden="1">
      <c r="A1227" s="3" t="s">
        <v>5302</v>
      </c>
      <c r="B1227" s="4">
        <v>521034.0</v>
      </c>
      <c r="C1227" s="3" t="s">
        <v>5303</v>
      </c>
      <c r="D1227" s="3" t="s">
        <v>5304</v>
      </c>
      <c r="E1227" s="3" t="s">
        <v>5305</v>
      </c>
      <c r="F1227" s="3" t="s">
        <v>19</v>
      </c>
      <c r="G1227" s="3" t="s">
        <v>86</v>
      </c>
      <c r="H1227" s="3">
        <v>10.0</v>
      </c>
      <c r="I1227" s="3" t="s">
        <v>5302</v>
      </c>
      <c r="J1227" s="3" t="s">
        <v>22</v>
      </c>
      <c r="K1227" s="3" t="s">
        <v>58</v>
      </c>
      <c r="L1227" s="3" t="s">
        <v>80</v>
      </c>
      <c r="M1227" s="3" t="s">
        <v>81</v>
      </c>
      <c r="N1227" s="3" t="s">
        <v>82</v>
      </c>
      <c r="O1227" s="5">
        <v>110.686864</v>
      </c>
      <c r="P1227" s="6" t="str">
        <f t="shared" si="2"/>
        <v>Textiles &amp; Apparels</v>
      </c>
    </row>
    <row r="1228" hidden="1">
      <c r="A1228" s="3" t="s">
        <v>5306</v>
      </c>
      <c r="B1228" s="4">
        <v>521036.0</v>
      </c>
      <c r="C1228" s="3" t="s">
        <v>5307</v>
      </c>
      <c r="D1228" s="3" t="s">
        <v>5308</v>
      </c>
      <c r="E1228" s="3" t="s">
        <v>5309</v>
      </c>
      <c r="F1228" s="3" t="s">
        <v>19</v>
      </c>
      <c r="G1228" s="3" t="s">
        <v>72</v>
      </c>
      <c r="H1228" s="3">
        <v>10.0</v>
      </c>
      <c r="I1228" s="3" t="s">
        <v>5306</v>
      </c>
      <c r="J1228" s="3" t="s">
        <v>22</v>
      </c>
      <c r="K1228" s="3" t="s">
        <v>58</v>
      </c>
      <c r="L1228" s="3" t="s">
        <v>80</v>
      </c>
      <c r="M1228" s="3" t="s">
        <v>81</v>
      </c>
      <c r="N1228" s="3" t="s">
        <v>82</v>
      </c>
      <c r="O1228" s="5">
        <v>2.884987</v>
      </c>
      <c r="P1228" s="6" t="str">
        <f t="shared" si="2"/>
        <v>Textiles &amp; Apparels</v>
      </c>
    </row>
    <row r="1229" hidden="1">
      <c r="A1229" s="3" t="s">
        <v>5310</v>
      </c>
      <c r="B1229" s="4">
        <v>521048.0</v>
      </c>
      <c r="C1229" s="3" t="s">
        <v>5311</v>
      </c>
      <c r="D1229" s="3" t="s">
        <v>5312</v>
      </c>
      <c r="E1229" s="3" t="s">
        <v>5313</v>
      </c>
      <c r="F1229" s="3" t="s">
        <v>19</v>
      </c>
      <c r="G1229" s="3" t="s">
        <v>44</v>
      </c>
      <c r="H1229" s="3">
        <v>10.0</v>
      </c>
      <c r="I1229" s="3" t="s">
        <v>5310</v>
      </c>
      <c r="J1229" s="3" t="s">
        <v>22</v>
      </c>
      <c r="K1229" s="3" t="s">
        <v>58</v>
      </c>
      <c r="L1229" s="3" t="s">
        <v>80</v>
      </c>
      <c r="M1229" s="3" t="s">
        <v>81</v>
      </c>
      <c r="N1229" s="3" t="s">
        <v>82</v>
      </c>
      <c r="O1229" s="5">
        <v>27.0980225</v>
      </c>
      <c r="P1229" s="6" t="str">
        <f t="shared" si="2"/>
        <v>Textiles &amp; Apparels</v>
      </c>
    </row>
    <row r="1230" hidden="1">
      <c r="A1230" s="3" t="s">
        <v>5314</v>
      </c>
      <c r="B1230" s="4">
        <v>521054.0</v>
      </c>
      <c r="C1230" s="3" t="s">
        <v>5315</v>
      </c>
      <c r="D1230" s="3" t="s">
        <v>5316</v>
      </c>
      <c r="E1230" s="3" t="s">
        <v>5317</v>
      </c>
      <c r="F1230" s="3" t="s">
        <v>19</v>
      </c>
      <c r="G1230" s="3" t="s">
        <v>72</v>
      </c>
      <c r="H1230" s="3">
        <v>10.0</v>
      </c>
      <c r="I1230" s="3" t="s">
        <v>5314</v>
      </c>
      <c r="J1230" s="3" t="s">
        <v>22</v>
      </c>
      <c r="K1230" s="3" t="s">
        <v>58</v>
      </c>
      <c r="L1230" s="3" t="s">
        <v>80</v>
      </c>
      <c r="M1230" s="3" t="s">
        <v>81</v>
      </c>
      <c r="N1230" s="3" t="s">
        <v>82</v>
      </c>
      <c r="O1230" s="5">
        <v>13.8459765</v>
      </c>
      <c r="P1230" s="6" t="str">
        <f t="shared" si="2"/>
        <v>Textiles &amp; Apparels</v>
      </c>
    </row>
    <row r="1231" hidden="1">
      <c r="A1231" s="3" t="s">
        <v>5318</v>
      </c>
      <c r="B1231" s="4">
        <v>521062.0</v>
      </c>
      <c r="C1231" s="3" t="s">
        <v>5319</v>
      </c>
      <c r="D1231" s="3" t="s">
        <v>5320</v>
      </c>
      <c r="E1231" s="3" t="s">
        <v>5319</v>
      </c>
      <c r="F1231" s="3" t="s">
        <v>19</v>
      </c>
      <c r="G1231" s="3" t="s">
        <v>72</v>
      </c>
      <c r="H1231" s="3">
        <v>10.0</v>
      </c>
      <c r="I1231" s="3" t="s">
        <v>5318</v>
      </c>
      <c r="J1231" s="3" t="s">
        <v>22</v>
      </c>
      <c r="K1231" s="3" t="s">
        <v>58</v>
      </c>
      <c r="L1231" s="3" t="s">
        <v>182</v>
      </c>
      <c r="M1231" s="3" t="s">
        <v>1168</v>
      </c>
      <c r="N1231" s="3" t="s">
        <v>1169</v>
      </c>
      <c r="O1231" s="5">
        <v>8.5015246</v>
      </c>
      <c r="P1231" s="6" t="str">
        <f t="shared" si="2"/>
        <v>Entertainment</v>
      </c>
    </row>
    <row r="1232">
      <c r="A1232" s="3" t="s">
        <v>1270</v>
      </c>
      <c r="B1232" s="4">
        <v>544012.0</v>
      </c>
      <c r="C1232" s="3" t="s">
        <v>5321</v>
      </c>
      <c r="D1232" s="3" t="s">
        <v>5322</v>
      </c>
      <c r="E1232" s="3" t="s">
        <v>5323</v>
      </c>
      <c r="F1232" s="3" t="s">
        <v>19</v>
      </c>
      <c r="G1232" s="3" t="s">
        <v>112</v>
      </c>
      <c r="H1232" s="3">
        <v>5.0</v>
      </c>
      <c r="I1232" s="3" t="s">
        <v>5324</v>
      </c>
      <c r="J1232" s="3" t="s">
        <v>22</v>
      </c>
      <c r="K1232" s="3" t="s">
        <v>58</v>
      </c>
      <c r="L1232" s="3" t="s">
        <v>211</v>
      </c>
      <c r="M1232" s="3" t="s">
        <v>211</v>
      </c>
      <c r="N1232" s="3" t="s">
        <v>2812</v>
      </c>
      <c r="O1232" s="5">
        <v>19439.0558058</v>
      </c>
      <c r="P1232" s="6" t="str">
        <f t="shared" si="2"/>
        <v>Consumer Durables</v>
      </c>
    </row>
    <row r="1233" hidden="1">
      <c r="A1233" s="3" t="s">
        <v>5325</v>
      </c>
      <c r="B1233" s="4">
        <v>521068.0</v>
      </c>
      <c r="C1233" s="3" t="s">
        <v>5326</v>
      </c>
      <c r="D1233" s="3" t="s">
        <v>5327</v>
      </c>
      <c r="E1233" s="3" t="s">
        <v>5328</v>
      </c>
      <c r="F1233" s="3" t="s">
        <v>19</v>
      </c>
      <c r="G1233" s="3" t="s">
        <v>1858</v>
      </c>
      <c r="H1233" s="3">
        <v>10.0</v>
      </c>
      <c r="I1233" s="3" t="s">
        <v>5325</v>
      </c>
      <c r="J1233" s="3" t="s">
        <v>22</v>
      </c>
      <c r="K1233" s="3" t="s">
        <v>58</v>
      </c>
      <c r="L1233" s="3" t="s">
        <v>80</v>
      </c>
      <c r="M1233" s="3" t="s">
        <v>81</v>
      </c>
      <c r="N1233" s="3" t="s">
        <v>82</v>
      </c>
      <c r="O1233" s="5">
        <v>19.6909204</v>
      </c>
      <c r="P1233" s="6" t="str">
        <f t="shared" si="2"/>
        <v>Textiles &amp; Apparels</v>
      </c>
    </row>
    <row r="1234">
      <c r="A1234" s="3" t="s">
        <v>1274</v>
      </c>
      <c r="B1234" s="4">
        <v>544022.0</v>
      </c>
      <c r="C1234" s="3" t="s">
        <v>5329</v>
      </c>
      <c r="D1234" s="3" t="s">
        <v>5330</v>
      </c>
      <c r="E1234" s="3" t="s">
        <v>5331</v>
      </c>
      <c r="F1234" s="3" t="s">
        <v>19</v>
      </c>
      <c r="G1234" s="3" t="s">
        <v>112</v>
      </c>
      <c r="H1234" s="3">
        <v>2.0</v>
      </c>
      <c r="I1234" s="3" t="s">
        <v>5332</v>
      </c>
      <c r="J1234" s="3" t="s">
        <v>22</v>
      </c>
      <c r="K1234" s="3" t="s">
        <v>58</v>
      </c>
      <c r="L1234" s="3" t="s">
        <v>133</v>
      </c>
      <c r="M1234" s="3" t="s">
        <v>134</v>
      </c>
      <c r="N1234" s="3" t="s">
        <v>135</v>
      </c>
      <c r="O1234" s="5">
        <v>7445.6485949</v>
      </c>
      <c r="P1234" s="6" t="str">
        <f t="shared" si="2"/>
        <v>Auto Components &amp; Equipments</v>
      </c>
    </row>
    <row r="1235" hidden="1">
      <c r="A1235" s="3" t="s">
        <v>5333</v>
      </c>
      <c r="B1235" s="4">
        <v>521080.0</v>
      </c>
      <c r="C1235" s="3" t="s">
        <v>5334</v>
      </c>
      <c r="D1235" s="3" t="s">
        <v>5335</v>
      </c>
      <c r="E1235" s="3" t="s">
        <v>5336</v>
      </c>
      <c r="F1235" s="3" t="s">
        <v>19</v>
      </c>
      <c r="G1235" s="3" t="s">
        <v>44</v>
      </c>
      <c r="H1235" s="3">
        <v>10.0</v>
      </c>
      <c r="I1235" s="3" t="s">
        <v>5333</v>
      </c>
      <c r="J1235" s="3" t="s">
        <v>22</v>
      </c>
      <c r="K1235" s="3" t="s">
        <v>58</v>
      </c>
      <c r="L1235" s="3" t="s">
        <v>80</v>
      </c>
      <c r="M1235" s="3" t="s">
        <v>81</v>
      </c>
      <c r="N1235" s="3" t="s">
        <v>82</v>
      </c>
      <c r="O1235" s="5">
        <v>1.0</v>
      </c>
      <c r="P1235" s="6" t="str">
        <f t="shared" si="2"/>
        <v>Textiles &amp; Apparels</v>
      </c>
    </row>
    <row r="1236" hidden="1">
      <c r="A1236" s="3" t="s">
        <v>5337</v>
      </c>
      <c r="B1236" s="4">
        <v>521097.0</v>
      </c>
      <c r="C1236" s="3" t="s">
        <v>5338</v>
      </c>
      <c r="D1236" s="3" t="s">
        <v>5339</v>
      </c>
      <c r="E1236" s="3" t="s">
        <v>5340</v>
      </c>
      <c r="F1236" s="3" t="s">
        <v>19</v>
      </c>
      <c r="G1236" s="3" t="s">
        <v>44</v>
      </c>
      <c r="H1236" s="3">
        <v>10.0</v>
      </c>
      <c r="I1236" s="3" t="s">
        <v>5337</v>
      </c>
      <c r="J1236" s="3" t="s">
        <v>22</v>
      </c>
      <c r="K1236" s="3" t="s">
        <v>58</v>
      </c>
      <c r="L1236" s="3" t="s">
        <v>80</v>
      </c>
      <c r="M1236" s="3" t="s">
        <v>81</v>
      </c>
      <c r="N1236" s="3" t="s">
        <v>82</v>
      </c>
      <c r="O1236" s="5">
        <v>132.005617</v>
      </c>
      <c r="P1236" s="6" t="str">
        <f t="shared" si="2"/>
        <v>Textiles &amp; Apparels</v>
      </c>
    </row>
    <row r="1237" hidden="1">
      <c r="A1237" s="3" t="s">
        <v>5341</v>
      </c>
      <c r="B1237" s="4">
        <v>521105.0</v>
      </c>
      <c r="C1237" s="3" t="s">
        <v>5342</v>
      </c>
      <c r="D1237" s="3" t="s">
        <v>5343</v>
      </c>
      <c r="E1237" s="3" t="s">
        <v>5344</v>
      </c>
      <c r="F1237" s="3" t="s">
        <v>19</v>
      </c>
      <c r="G1237" s="3" t="s">
        <v>44</v>
      </c>
      <c r="H1237" s="3">
        <v>10.0</v>
      </c>
      <c r="I1237" s="3" t="s">
        <v>5341</v>
      </c>
      <c r="J1237" s="3" t="s">
        <v>22</v>
      </c>
      <c r="K1237" s="3" t="s">
        <v>58</v>
      </c>
      <c r="L1237" s="3" t="s">
        <v>73</v>
      </c>
      <c r="M1237" s="3" t="s">
        <v>988</v>
      </c>
      <c r="N1237" s="3" t="s">
        <v>1614</v>
      </c>
      <c r="O1237" s="5">
        <v>37.7683558</v>
      </c>
      <c r="P1237" s="6" t="str">
        <f t="shared" si="2"/>
        <v>Retailing</v>
      </c>
    </row>
    <row r="1238" hidden="1">
      <c r="A1238" s="3" t="s">
        <v>5345</v>
      </c>
      <c r="B1238" s="4">
        <v>521109.0</v>
      </c>
      <c r="C1238" s="3" t="s">
        <v>5346</v>
      </c>
      <c r="D1238" s="3" t="s">
        <v>5347</v>
      </c>
      <c r="E1238" s="3" t="s">
        <v>5348</v>
      </c>
      <c r="F1238" s="3" t="s">
        <v>19</v>
      </c>
      <c r="G1238" s="3" t="s">
        <v>112</v>
      </c>
      <c r="H1238" s="3">
        <v>5.0</v>
      </c>
      <c r="I1238" s="3" t="s">
        <v>5345</v>
      </c>
      <c r="J1238" s="3" t="s">
        <v>22</v>
      </c>
      <c r="K1238" s="3" t="s">
        <v>58</v>
      </c>
      <c r="L1238" s="3" t="s">
        <v>80</v>
      </c>
      <c r="M1238" s="3" t="s">
        <v>81</v>
      </c>
      <c r="N1238" s="3" t="s">
        <v>82</v>
      </c>
      <c r="O1238" s="5">
        <v>108.4214261</v>
      </c>
      <c r="P1238" s="6" t="str">
        <f t="shared" si="2"/>
        <v>Textiles &amp; Apparels</v>
      </c>
    </row>
    <row r="1239" hidden="1">
      <c r="A1239" s="3" t="s">
        <v>5349</v>
      </c>
      <c r="B1239" s="4">
        <v>521113.0</v>
      </c>
      <c r="C1239" s="3" t="s">
        <v>5350</v>
      </c>
      <c r="D1239" s="3" t="s">
        <v>5351</v>
      </c>
      <c r="E1239" s="3" t="s">
        <v>5352</v>
      </c>
      <c r="F1239" s="3" t="s">
        <v>19</v>
      </c>
      <c r="G1239" s="3" t="s">
        <v>44</v>
      </c>
      <c r="H1239" s="3">
        <v>10.0</v>
      </c>
      <c r="I1239" s="3" t="s">
        <v>5349</v>
      </c>
      <c r="J1239" s="3" t="s">
        <v>22</v>
      </c>
      <c r="K1239" s="3" t="s">
        <v>58</v>
      </c>
      <c r="L1239" s="3" t="s">
        <v>80</v>
      </c>
      <c r="M1239" s="3" t="s">
        <v>81</v>
      </c>
      <c r="N1239" s="3" t="s">
        <v>82</v>
      </c>
      <c r="O1239" s="5">
        <v>38.139234</v>
      </c>
      <c r="P1239" s="6" t="str">
        <f t="shared" si="2"/>
        <v>Textiles &amp; Apparels</v>
      </c>
    </row>
    <row r="1240" hidden="1">
      <c r="A1240" s="3" t="s">
        <v>5353</v>
      </c>
      <c r="B1240" s="4">
        <v>521131.0</v>
      </c>
      <c r="C1240" s="3" t="s">
        <v>5354</v>
      </c>
      <c r="D1240" s="3" t="s">
        <v>5355</v>
      </c>
      <c r="E1240" s="3" t="s">
        <v>5356</v>
      </c>
      <c r="F1240" s="3" t="s">
        <v>19</v>
      </c>
      <c r="G1240" s="3" t="s">
        <v>72</v>
      </c>
      <c r="H1240" s="3">
        <v>10.0</v>
      </c>
      <c r="I1240" s="3" t="s">
        <v>5353</v>
      </c>
      <c r="J1240" s="3" t="s">
        <v>22</v>
      </c>
      <c r="K1240" s="3" t="s">
        <v>58</v>
      </c>
      <c r="L1240" s="3" t="s">
        <v>80</v>
      </c>
      <c r="M1240" s="3" t="s">
        <v>81</v>
      </c>
      <c r="N1240" s="3" t="s">
        <v>82</v>
      </c>
      <c r="O1240" s="5">
        <v>20.6632803</v>
      </c>
      <c r="P1240" s="6" t="str">
        <f t="shared" si="2"/>
        <v>Textiles &amp; Apparels</v>
      </c>
    </row>
    <row r="1241" hidden="1">
      <c r="A1241" s="3" t="s">
        <v>5357</v>
      </c>
      <c r="B1241" s="4">
        <v>521133.0</v>
      </c>
      <c r="C1241" s="3" t="s">
        <v>5358</v>
      </c>
      <c r="D1241" s="3" t="s">
        <v>5359</v>
      </c>
      <c r="E1241" s="3" t="s">
        <v>5360</v>
      </c>
      <c r="F1241" s="3" t="s">
        <v>19</v>
      </c>
      <c r="G1241" s="3" t="s">
        <v>1858</v>
      </c>
      <c r="H1241" s="3">
        <v>5.0</v>
      </c>
      <c r="I1241" s="3" t="s">
        <v>5357</v>
      </c>
      <c r="J1241" s="3" t="s">
        <v>22</v>
      </c>
      <c r="K1241" s="3" t="s">
        <v>58</v>
      </c>
      <c r="L1241" s="3" t="s">
        <v>80</v>
      </c>
      <c r="M1241" s="3" t="s">
        <v>81</v>
      </c>
      <c r="N1241" s="3" t="s">
        <v>82</v>
      </c>
      <c r="O1241" s="5">
        <v>21.60294</v>
      </c>
      <c r="P1241" s="6" t="str">
        <f t="shared" si="2"/>
        <v>Textiles &amp; Apparels</v>
      </c>
    </row>
    <row r="1242" hidden="1">
      <c r="A1242" s="3" t="s">
        <v>5361</v>
      </c>
      <c r="B1242" s="4">
        <v>521137.0</v>
      </c>
      <c r="C1242" s="3" t="s">
        <v>5362</v>
      </c>
      <c r="D1242" s="3" t="s">
        <v>5363</v>
      </c>
      <c r="E1242" s="3" t="s">
        <v>5364</v>
      </c>
      <c r="F1242" s="3" t="s">
        <v>19</v>
      </c>
      <c r="G1242" s="3" t="s">
        <v>44</v>
      </c>
      <c r="H1242" s="3">
        <v>10.0</v>
      </c>
      <c r="I1242" s="3" t="s">
        <v>5361</v>
      </c>
      <c r="J1242" s="3" t="s">
        <v>22</v>
      </c>
      <c r="K1242" s="3" t="s">
        <v>58</v>
      </c>
      <c r="L1242" s="3" t="s">
        <v>80</v>
      </c>
      <c r="M1242" s="3" t="s">
        <v>81</v>
      </c>
      <c r="N1242" s="3" t="s">
        <v>82</v>
      </c>
      <c r="O1242" s="5">
        <v>1.0</v>
      </c>
      <c r="P1242" s="6" t="str">
        <f t="shared" si="2"/>
        <v>Textiles &amp; Apparels</v>
      </c>
    </row>
    <row r="1243" hidden="1">
      <c r="A1243" s="3" t="s">
        <v>5365</v>
      </c>
      <c r="B1243" s="4">
        <v>521141.0</v>
      </c>
      <c r="C1243" s="3" t="s">
        <v>5366</v>
      </c>
      <c r="D1243" s="3" t="s">
        <v>5367</v>
      </c>
      <c r="E1243" s="3" t="s">
        <v>5368</v>
      </c>
      <c r="F1243" s="3" t="s">
        <v>19</v>
      </c>
      <c r="G1243" s="3" t="s">
        <v>44</v>
      </c>
      <c r="H1243" s="3">
        <v>10.0</v>
      </c>
      <c r="I1243" s="3" t="s">
        <v>5365</v>
      </c>
      <c r="J1243" s="3" t="s">
        <v>22</v>
      </c>
      <c r="K1243" s="3" t="s">
        <v>58</v>
      </c>
      <c r="L1243" s="3" t="s">
        <v>80</v>
      </c>
      <c r="M1243" s="3" t="s">
        <v>81</v>
      </c>
      <c r="N1243" s="3" t="s">
        <v>82</v>
      </c>
      <c r="O1243" s="5">
        <v>35.4441773</v>
      </c>
      <c r="P1243" s="6" t="str">
        <f t="shared" si="2"/>
        <v>Textiles &amp; Apparels</v>
      </c>
    </row>
    <row r="1244" hidden="1">
      <c r="A1244" s="3" t="s">
        <v>5369</v>
      </c>
      <c r="B1244" s="4">
        <v>521149.0</v>
      </c>
      <c r="C1244" s="3" t="s">
        <v>5370</v>
      </c>
      <c r="D1244" s="3" t="s">
        <v>5371</v>
      </c>
      <c r="E1244" s="3" t="s">
        <v>5372</v>
      </c>
      <c r="F1244" s="3" t="s">
        <v>19</v>
      </c>
      <c r="G1244" s="3" t="s">
        <v>44</v>
      </c>
      <c r="H1244" s="3">
        <v>2.0</v>
      </c>
      <c r="I1244" s="3" t="s">
        <v>5369</v>
      </c>
      <c r="J1244" s="3" t="s">
        <v>22</v>
      </c>
      <c r="K1244" s="3" t="s">
        <v>58</v>
      </c>
      <c r="L1244" s="3" t="s">
        <v>59</v>
      </c>
      <c r="M1244" s="3" t="s">
        <v>59</v>
      </c>
      <c r="N1244" s="3" t="s">
        <v>60</v>
      </c>
      <c r="O1244" s="5">
        <v>25.895642</v>
      </c>
      <c r="P1244" s="6" t="str">
        <f t="shared" si="2"/>
        <v>Residential, Commercial Projects</v>
      </c>
    </row>
    <row r="1245" hidden="1">
      <c r="A1245" s="3" t="s">
        <v>5373</v>
      </c>
      <c r="B1245" s="4">
        <v>521151.0</v>
      </c>
      <c r="C1245" s="3" t="s">
        <v>5374</v>
      </c>
      <c r="D1245" s="3" t="s">
        <v>5375</v>
      </c>
      <c r="E1245" s="3" t="s">
        <v>5376</v>
      </c>
      <c r="F1245" s="3" t="s">
        <v>19</v>
      </c>
      <c r="G1245" s="3" t="s">
        <v>44</v>
      </c>
      <c r="H1245" s="3">
        <v>10.0</v>
      </c>
      <c r="I1245" s="3" t="s">
        <v>5373</v>
      </c>
      <c r="J1245" s="3" t="s">
        <v>22</v>
      </c>
      <c r="K1245" s="3" t="s">
        <v>58</v>
      </c>
      <c r="L1245" s="3" t="s">
        <v>80</v>
      </c>
      <c r="M1245" s="3" t="s">
        <v>81</v>
      </c>
      <c r="N1245" s="3" t="s">
        <v>82</v>
      </c>
      <c r="O1245" s="5">
        <v>60.5856774</v>
      </c>
      <c r="P1245" s="6" t="str">
        <f t="shared" si="2"/>
        <v>Textiles &amp; Apparels</v>
      </c>
    </row>
    <row r="1246" hidden="1">
      <c r="A1246" s="3" t="s">
        <v>5377</v>
      </c>
      <c r="B1246" s="4">
        <v>521161.0</v>
      </c>
      <c r="C1246" s="3" t="s">
        <v>5378</v>
      </c>
      <c r="D1246" s="3" t="s">
        <v>5379</v>
      </c>
      <c r="E1246" s="3" t="s">
        <v>5380</v>
      </c>
      <c r="F1246" s="3" t="s">
        <v>19</v>
      </c>
      <c r="G1246" s="3" t="s">
        <v>44</v>
      </c>
      <c r="H1246" s="3">
        <v>10.0</v>
      </c>
      <c r="I1246" s="3" t="s">
        <v>5377</v>
      </c>
      <c r="J1246" s="3" t="s">
        <v>22</v>
      </c>
      <c r="K1246" s="3" t="s">
        <v>58</v>
      </c>
      <c r="L1246" s="3" t="s">
        <v>80</v>
      </c>
      <c r="M1246" s="3" t="s">
        <v>81</v>
      </c>
      <c r="N1246" s="3" t="s">
        <v>82</v>
      </c>
      <c r="O1246" s="5">
        <v>14.0676827</v>
      </c>
      <c r="P1246" s="6" t="str">
        <f t="shared" si="2"/>
        <v>Textiles &amp; Apparels</v>
      </c>
    </row>
    <row r="1247" hidden="1">
      <c r="A1247" s="3" t="s">
        <v>5381</v>
      </c>
      <c r="B1247" s="4">
        <v>521163.0</v>
      </c>
      <c r="C1247" s="3" t="s">
        <v>5382</v>
      </c>
      <c r="D1247" s="3" t="s">
        <v>5383</v>
      </c>
      <c r="E1247" s="3" t="s">
        <v>5384</v>
      </c>
      <c r="F1247" s="3" t="s">
        <v>19</v>
      </c>
      <c r="G1247" s="3" t="s">
        <v>86</v>
      </c>
      <c r="H1247" s="3">
        <v>10.0</v>
      </c>
      <c r="I1247" s="3" t="s">
        <v>5381</v>
      </c>
      <c r="J1247" s="3" t="s">
        <v>22</v>
      </c>
      <c r="K1247" s="3" t="s">
        <v>58</v>
      </c>
      <c r="L1247" s="3" t="s">
        <v>80</v>
      </c>
      <c r="M1247" s="3" t="s">
        <v>81</v>
      </c>
      <c r="N1247" s="3" t="s">
        <v>944</v>
      </c>
      <c r="O1247" s="5">
        <v>430.6806964</v>
      </c>
      <c r="P1247" s="6" t="str">
        <f t="shared" si="2"/>
        <v>Textiles &amp; Apparels</v>
      </c>
    </row>
    <row r="1248" hidden="1">
      <c r="A1248" s="3" t="s">
        <v>5385</v>
      </c>
      <c r="B1248" s="4">
        <v>521178.0</v>
      </c>
      <c r="C1248" s="3" t="s">
        <v>5386</v>
      </c>
      <c r="D1248" s="3" t="s">
        <v>5387</v>
      </c>
      <c r="E1248" s="3" t="s">
        <v>5388</v>
      </c>
      <c r="F1248" s="3" t="s">
        <v>19</v>
      </c>
      <c r="G1248" s="3" t="s">
        <v>44</v>
      </c>
      <c r="H1248" s="3">
        <v>10.0</v>
      </c>
      <c r="I1248" s="3" t="s">
        <v>5385</v>
      </c>
      <c r="J1248" s="3" t="s">
        <v>22</v>
      </c>
      <c r="K1248" s="3" t="s">
        <v>58</v>
      </c>
      <c r="L1248" s="3" t="s">
        <v>80</v>
      </c>
      <c r="M1248" s="3" t="s">
        <v>81</v>
      </c>
      <c r="N1248" s="3" t="s">
        <v>82</v>
      </c>
      <c r="O1248" s="5">
        <v>43.5569647</v>
      </c>
      <c r="P1248" s="6" t="str">
        <f t="shared" si="2"/>
        <v>Textiles &amp; Apparels</v>
      </c>
    </row>
    <row r="1249" hidden="1">
      <c r="A1249" s="3" t="s">
        <v>5389</v>
      </c>
      <c r="B1249" s="4">
        <v>521180.0</v>
      </c>
      <c r="C1249" s="3" t="s">
        <v>5390</v>
      </c>
      <c r="D1249" s="3" t="s">
        <v>5391</v>
      </c>
      <c r="E1249" s="3" t="s">
        <v>5392</v>
      </c>
      <c r="F1249" s="3" t="s">
        <v>19</v>
      </c>
      <c r="G1249" s="3" t="s">
        <v>112</v>
      </c>
      <c r="H1249" s="3">
        <v>1.0</v>
      </c>
      <c r="I1249" s="3" t="s">
        <v>5389</v>
      </c>
      <c r="J1249" s="3" t="s">
        <v>22</v>
      </c>
      <c r="K1249" s="3" t="s">
        <v>58</v>
      </c>
      <c r="L1249" s="3" t="s">
        <v>80</v>
      </c>
      <c r="M1249" s="3" t="s">
        <v>81</v>
      </c>
      <c r="N1249" s="3" t="s">
        <v>82</v>
      </c>
      <c r="O1249" s="5">
        <v>47.6911312</v>
      </c>
      <c r="P1249" s="6" t="str">
        <f t="shared" si="2"/>
        <v>Textiles &amp; Apparels</v>
      </c>
    </row>
    <row r="1250" hidden="1">
      <c r="A1250" s="3" t="s">
        <v>5393</v>
      </c>
      <c r="B1250" s="4">
        <v>521194.0</v>
      </c>
      <c r="C1250" s="3" t="s">
        <v>5394</v>
      </c>
      <c r="D1250" s="3" t="s">
        <v>5395</v>
      </c>
      <c r="E1250" s="3" t="s">
        <v>5396</v>
      </c>
      <c r="F1250" s="3" t="s">
        <v>19</v>
      </c>
      <c r="G1250" s="3" t="s">
        <v>112</v>
      </c>
      <c r="H1250" s="3">
        <v>10.0</v>
      </c>
      <c r="I1250" s="3" t="s">
        <v>5393</v>
      </c>
      <c r="J1250" s="3" t="s">
        <v>22</v>
      </c>
      <c r="K1250" s="3" t="s">
        <v>204</v>
      </c>
      <c r="L1250" s="3" t="s">
        <v>204</v>
      </c>
      <c r="M1250" s="3" t="s">
        <v>378</v>
      </c>
      <c r="N1250" s="3" t="s">
        <v>384</v>
      </c>
      <c r="O1250" s="5">
        <v>643.7414908</v>
      </c>
      <c r="P1250" s="6" t="str">
        <f t="shared" si="2"/>
        <v>Finance</v>
      </c>
    </row>
    <row r="1251" hidden="1">
      <c r="A1251" s="3" t="s">
        <v>5397</v>
      </c>
      <c r="B1251" s="4">
        <v>521200.0</v>
      </c>
      <c r="C1251" s="3" t="s">
        <v>5398</v>
      </c>
      <c r="D1251" s="3" t="s">
        <v>5399</v>
      </c>
      <c r="E1251" s="3" t="s">
        <v>5400</v>
      </c>
      <c r="F1251" s="3" t="s">
        <v>19</v>
      </c>
      <c r="G1251" s="3" t="s">
        <v>112</v>
      </c>
      <c r="H1251" s="3">
        <v>10.0</v>
      </c>
      <c r="I1251" s="3" t="s">
        <v>5397</v>
      </c>
      <c r="J1251" s="3" t="s">
        <v>22</v>
      </c>
      <c r="K1251" s="3" t="s">
        <v>58</v>
      </c>
      <c r="L1251" s="3" t="s">
        <v>80</v>
      </c>
      <c r="M1251" s="3" t="s">
        <v>81</v>
      </c>
      <c r="N1251" s="3" t="s">
        <v>82</v>
      </c>
      <c r="O1251" s="5">
        <v>136.4158609</v>
      </c>
      <c r="P1251" s="6" t="str">
        <f t="shared" si="2"/>
        <v>Textiles &amp; Apparels</v>
      </c>
    </row>
    <row r="1252" hidden="1">
      <c r="A1252" s="3" t="s">
        <v>5401</v>
      </c>
      <c r="B1252" s="4">
        <v>521206.0</v>
      </c>
      <c r="C1252" s="3" t="s">
        <v>5402</v>
      </c>
      <c r="D1252" s="3" t="s">
        <v>5403</v>
      </c>
      <c r="E1252" s="3" t="s">
        <v>5404</v>
      </c>
      <c r="F1252" s="3" t="s">
        <v>19</v>
      </c>
      <c r="G1252" s="3" t="s">
        <v>44</v>
      </c>
      <c r="H1252" s="3">
        <v>2.0</v>
      </c>
      <c r="I1252" s="3" t="s">
        <v>5401</v>
      </c>
      <c r="J1252" s="3" t="s">
        <v>22</v>
      </c>
      <c r="K1252" s="3" t="s">
        <v>58</v>
      </c>
      <c r="L1252" s="3" t="s">
        <v>80</v>
      </c>
      <c r="M1252" s="3" t="s">
        <v>81</v>
      </c>
      <c r="N1252" s="3" t="s">
        <v>944</v>
      </c>
      <c r="O1252" s="5">
        <v>19.4436468</v>
      </c>
      <c r="P1252" s="6" t="str">
        <f t="shared" si="2"/>
        <v>Textiles &amp; Apparels</v>
      </c>
    </row>
    <row r="1253" hidden="1">
      <c r="A1253" s="3" t="s">
        <v>5405</v>
      </c>
      <c r="B1253" s="4">
        <v>521216.0</v>
      </c>
      <c r="C1253" s="3" t="s">
        <v>5406</v>
      </c>
      <c r="D1253" s="3" t="s">
        <v>5407</v>
      </c>
      <c r="E1253" s="3" t="s">
        <v>5408</v>
      </c>
      <c r="F1253" s="3" t="s">
        <v>19</v>
      </c>
      <c r="G1253" s="3" t="s">
        <v>72</v>
      </c>
      <c r="H1253" s="3">
        <v>10.0</v>
      </c>
      <c r="I1253" s="3" t="s">
        <v>5405</v>
      </c>
      <c r="J1253" s="3" t="s">
        <v>22</v>
      </c>
      <c r="K1253" s="3" t="s">
        <v>58</v>
      </c>
      <c r="L1253" s="3" t="s">
        <v>80</v>
      </c>
      <c r="M1253" s="3" t="s">
        <v>81</v>
      </c>
      <c r="N1253" s="3" t="s">
        <v>82</v>
      </c>
      <c r="O1253" s="5">
        <v>75.103741</v>
      </c>
      <c r="P1253" s="6" t="str">
        <f t="shared" si="2"/>
        <v>Textiles &amp; Apparels</v>
      </c>
    </row>
    <row r="1254" hidden="1">
      <c r="A1254" s="3" t="s">
        <v>5409</v>
      </c>
      <c r="B1254" s="4">
        <v>521220.0</v>
      </c>
      <c r="C1254" s="3" t="s">
        <v>5410</v>
      </c>
      <c r="D1254" s="3" t="s">
        <v>5411</v>
      </c>
      <c r="E1254" s="3" t="s">
        <v>5412</v>
      </c>
      <c r="F1254" s="3" t="s">
        <v>19</v>
      </c>
      <c r="G1254" s="3" t="s">
        <v>112</v>
      </c>
      <c r="H1254" s="3">
        <v>5.0</v>
      </c>
      <c r="I1254" s="3" t="s">
        <v>5409</v>
      </c>
      <c r="J1254" s="3" t="s">
        <v>22</v>
      </c>
      <c r="K1254" s="3" t="s">
        <v>58</v>
      </c>
      <c r="L1254" s="3" t="s">
        <v>80</v>
      </c>
      <c r="M1254" s="3" t="s">
        <v>81</v>
      </c>
      <c r="N1254" s="3" t="s">
        <v>82</v>
      </c>
      <c r="O1254" s="5">
        <v>118.3674985</v>
      </c>
      <c r="P1254" s="6" t="str">
        <f t="shared" si="2"/>
        <v>Textiles &amp; Apparels</v>
      </c>
    </row>
    <row r="1255" hidden="1">
      <c r="A1255" s="3" t="s">
        <v>5413</v>
      </c>
      <c r="B1255" s="4">
        <v>521222.0</v>
      </c>
      <c r="C1255" s="3" t="s">
        <v>5414</v>
      </c>
      <c r="D1255" s="3" t="s">
        <v>5415</v>
      </c>
      <c r="E1255" s="3" t="s">
        <v>5416</v>
      </c>
      <c r="F1255" s="3" t="s">
        <v>19</v>
      </c>
      <c r="G1255" s="3" t="s">
        <v>72</v>
      </c>
      <c r="H1255" s="3">
        <v>10.0</v>
      </c>
      <c r="I1255" s="3" t="s">
        <v>5413</v>
      </c>
      <c r="J1255" s="3" t="s">
        <v>22</v>
      </c>
      <c r="K1255" s="3" t="s">
        <v>58</v>
      </c>
      <c r="L1255" s="3" t="s">
        <v>80</v>
      </c>
      <c r="M1255" s="3" t="s">
        <v>81</v>
      </c>
      <c r="N1255" s="3" t="s">
        <v>2471</v>
      </c>
      <c r="O1255" s="5">
        <v>24.0079545</v>
      </c>
      <c r="P1255" s="6" t="str">
        <f t="shared" si="2"/>
        <v>Textiles &amp; Apparels</v>
      </c>
    </row>
    <row r="1256" hidden="1">
      <c r="A1256" s="3" t="s">
        <v>5417</v>
      </c>
      <c r="B1256" s="4">
        <v>521226.0</v>
      </c>
      <c r="C1256" s="3" t="s">
        <v>5418</v>
      </c>
      <c r="D1256" s="3" t="s">
        <v>5419</v>
      </c>
      <c r="E1256" s="3" t="s">
        <v>5420</v>
      </c>
      <c r="F1256" s="3" t="s">
        <v>19</v>
      </c>
      <c r="G1256" s="3" t="s">
        <v>72</v>
      </c>
      <c r="H1256" s="3">
        <v>10.0</v>
      </c>
      <c r="I1256" s="3" t="s">
        <v>5417</v>
      </c>
      <c r="J1256" s="3" t="s">
        <v>22</v>
      </c>
      <c r="K1256" s="3" t="s">
        <v>58</v>
      </c>
      <c r="L1256" s="3" t="s">
        <v>80</v>
      </c>
      <c r="M1256" s="3" t="s">
        <v>81</v>
      </c>
      <c r="N1256" s="3" t="s">
        <v>82</v>
      </c>
      <c r="O1256" s="5">
        <v>21.9316397</v>
      </c>
      <c r="P1256" s="6" t="str">
        <f t="shared" si="2"/>
        <v>Textiles &amp; Apparels</v>
      </c>
    </row>
    <row r="1257" hidden="1">
      <c r="A1257" s="3" t="s">
        <v>5421</v>
      </c>
      <c r="B1257" s="4">
        <v>521228.0</v>
      </c>
      <c r="C1257" s="3" t="s">
        <v>5422</v>
      </c>
      <c r="D1257" s="3" t="s">
        <v>5423</v>
      </c>
      <c r="E1257" s="3" t="s">
        <v>5424</v>
      </c>
      <c r="F1257" s="3" t="s">
        <v>19</v>
      </c>
      <c r="G1257" s="3" t="s">
        <v>72</v>
      </c>
      <c r="H1257" s="3">
        <v>1.0</v>
      </c>
      <c r="I1257" s="3" t="s">
        <v>5421</v>
      </c>
      <c r="J1257" s="3" t="s">
        <v>22</v>
      </c>
      <c r="K1257" s="3" t="s">
        <v>58</v>
      </c>
      <c r="L1257" s="3" t="s">
        <v>59</v>
      </c>
      <c r="M1257" s="3" t="s">
        <v>59</v>
      </c>
      <c r="N1257" s="3" t="s">
        <v>60</v>
      </c>
      <c r="O1257" s="5">
        <v>1.0</v>
      </c>
      <c r="P1257" s="6" t="str">
        <f t="shared" si="2"/>
        <v>Residential, Commercial Projects</v>
      </c>
    </row>
    <row r="1258" hidden="1">
      <c r="A1258" s="3" t="s">
        <v>5425</v>
      </c>
      <c r="B1258" s="4">
        <v>539834.0</v>
      </c>
      <c r="C1258" s="3" t="s">
        <v>5426</v>
      </c>
      <c r="D1258" s="3" t="s">
        <v>5427</v>
      </c>
      <c r="E1258" s="3" t="s">
        <v>5428</v>
      </c>
      <c r="F1258" s="3" t="s">
        <v>19</v>
      </c>
      <c r="G1258" s="3" t="s">
        <v>44</v>
      </c>
      <c r="H1258" s="3">
        <v>10.0</v>
      </c>
      <c r="I1258" s="3" t="s">
        <v>5429</v>
      </c>
      <c r="J1258" s="3" t="s">
        <v>22</v>
      </c>
      <c r="K1258" s="3" t="s">
        <v>1673</v>
      </c>
      <c r="L1258" s="3" t="s">
        <v>1673</v>
      </c>
      <c r="M1258" s="3" t="s">
        <v>1674</v>
      </c>
      <c r="N1258" s="3" t="s">
        <v>1915</v>
      </c>
      <c r="O1258" s="5">
        <v>82.5740202</v>
      </c>
      <c r="P1258" s="6" t="str">
        <f t="shared" si="2"/>
        <v>Commercial Services &amp; Supplies</v>
      </c>
    </row>
    <row r="1259" hidden="1">
      <c r="A1259" s="3" t="s">
        <v>5430</v>
      </c>
      <c r="B1259" s="4">
        <v>521234.0</v>
      </c>
      <c r="C1259" s="3" t="s">
        <v>5431</v>
      </c>
      <c r="D1259" s="3" t="s">
        <v>5432</v>
      </c>
      <c r="E1259" s="3" t="s">
        <v>5433</v>
      </c>
      <c r="F1259" s="3" t="s">
        <v>19</v>
      </c>
      <c r="G1259" s="3" t="s">
        <v>72</v>
      </c>
      <c r="H1259" s="3">
        <v>10.0</v>
      </c>
      <c r="I1259" s="3" t="s">
        <v>5430</v>
      </c>
      <c r="J1259" s="3" t="s">
        <v>22</v>
      </c>
      <c r="K1259" s="3" t="s">
        <v>58</v>
      </c>
      <c r="L1259" s="3" t="s">
        <v>80</v>
      </c>
      <c r="M1259" s="3" t="s">
        <v>81</v>
      </c>
      <c r="N1259" s="3" t="s">
        <v>82</v>
      </c>
      <c r="O1259" s="5">
        <v>14.661145</v>
      </c>
      <c r="P1259" s="6" t="str">
        <f t="shared" si="2"/>
        <v>Textiles &amp; Apparels</v>
      </c>
    </row>
    <row r="1260" hidden="1">
      <c r="A1260" s="3" t="s">
        <v>5434</v>
      </c>
      <c r="B1260" s="4">
        <v>521238.0</v>
      </c>
      <c r="C1260" s="3" t="s">
        <v>5435</v>
      </c>
      <c r="D1260" s="3" t="s">
        <v>5436</v>
      </c>
      <c r="E1260" s="3" t="s">
        <v>5437</v>
      </c>
      <c r="F1260" s="3" t="s">
        <v>19</v>
      </c>
      <c r="G1260" s="3" t="s">
        <v>72</v>
      </c>
      <c r="H1260" s="3">
        <v>10.0</v>
      </c>
      <c r="I1260" s="3" t="s">
        <v>5434</v>
      </c>
      <c r="J1260" s="3" t="s">
        <v>22</v>
      </c>
      <c r="K1260" s="3" t="s">
        <v>473</v>
      </c>
      <c r="L1260" s="3" t="s">
        <v>473</v>
      </c>
      <c r="M1260" s="3" t="s">
        <v>474</v>
      </c>
      <c r="N1260" s="3" t="s">
        <v>475</v>
      </c>
      <c r="O1260" s="5">
        <v>1.0</v>
      </c>
      <c r="P1260" s="6" t="str">
        <f t="shared" si="2"/>
        <v>IT - Hardware</v>
      </c>
    </row>
    <row r="1261" hidden="1">
      <c r="A1261" s="3" t="s">
        <v>5438</v>
      </c>
      <c r="B1261" s="4">
        <v>521240.0</v>
      </c>
      <c r="C1261" s="3" t="s">
        <v>5439</v>
      </c>
      <c r="D1261" s="3" t="s">
        <v>5440</v>
      </c>
      <c r="E1261" s="3" t="s">
        <v>5441</v>
      </c>
      <c r="F1261" s="3" t="s">
        <v>19</v>
      </c>
      <c r="G1261" s="3" t="s">
        <v>44</v>
      </c>
      <c r="H1261" s="3">
        <v>10.0</v>
      </c>
      <c r="I1261" s="3" t="s">
        <v>5438</v>
      </c>
      <c r="J1261" s="3" t="s">
        <v>22</v>
      </c>
      <c r="K1261" s="3" t="s">
        <v>58</v>
      </c>
      <c r="L1261" s="3" t="s">
        <v>80</v>
      </c>
      <c r="M1261" s="3" t="s">
        <v>81</v>
      </c>
      <c r="N1261" s="3" t="s">
        <v>82</v>
      </c>
      <c r="O1261" s="5">
        <v>67.580256</v>
      </c>
      <c r="P1261" s="6" t="str">
        <f t="shared" si="2"/>
        <v>Textiles &amp; Apparels</v>
      </c>
    </row>
    <row r="1262" hidden="1">
      <c r="A1262" s="3" t="s">
        <v>5442</v>
      </c>
      <c r="B1262" s="4">
        <v>521242.0</v>
      </c>
      <c r="C1262" s="3" t="s">
        <v>5443</v>
      </c>
      <c r="D1262" s="3" t="s">
        <v>5444</v>
      </c>
      <c r="E1262" s="3" t="s">
        <v>5445</v>
      </c>
      <c r="F1262" s="3" t="s">
        <v>19</v>
      </c>
      <c r="G1262" s="3" t="s">
        <v>72</v>
      </c>
      <c r="H1262" s="3">
        <v>10.0</v>
      </c>
      <c r="I1262" s="3" t="s">
        <v>5442</v>
      </c>
      <c r="J1262" s="3" t="s">
        <v>22</v>
      </c>
      <c r="K1262" s="3" t="s">
        <v>58</v>
      </c>
      <c r="L1262" s="3" t="s">
        <v>80</v>
      </c>
      <c r="M1262" s="3" t="s">
        <v>81</v>
      </c>
      <c r="N1262" s="3" t="s">
        <v>82</v>
      </c>
      <c r="O1262" s="5">
        <v>10.7779</v>
      </c>
      <c r="P1262" s="6" t="str">
        <f t="shared" si="2"/>
        <v>Textiles &amp; Apparels</v>
      </c>
    </row>
    <row r="1263" hidden="1">
      <c r="A1263" s="3" t="s">
        <v>5446</v>
      </c>
      <c r="B1263" s="4">
        <v>521244.0</v>
      </c>
      <c r="C1263" s="3" t="s">
        <v>5447</v>
      </c>
      <c r="D1263" s="3" t="s">
        <v>5448</v>
      </c>
      <c r="E1263" s="3" t="s">
        <v>5449</v>
      </c>
      <c r="F1263" s="3" t="s">
        <v>19</v>
      </c>
      <c r="G1263" s="3" t="s">
        <v>72</v>
      </c>
      <c r="H1263" s="3">
        <v>10.0</v>
      </c>
      <c r="I1263" s="3" t="s">
        <v>5446</v>
      </c>
      <c r="J1263" s="3" t="s">
        <v>22</v>
      </c>
      <c r="K1263" s="3" t="s">
        <v>58</v>
      </c>
      <c r="L1263" s="3" t="s">
        <v>80</v>
      </c>
      <c r="M1263" s="3" t="s">
        <v>81</v>
      </c>
      <c r="N1263" s="3" t="s">
        <v>82</v>
      </c>
      <c r="O1263" s="5">
        <v>73.3542</v>
      </c>
      <c r="P1263" s="6" t="str">
        <f t="shared" si="2"/>
        <v>Textiles &amp; Apparels</v>
      </c>
    </row>
    <row r="1264" hidden="1">
      <c r="A1264" s="3" t="s">
        <v>5450</v>
      </c>
      <c r="B1264" s="4">
        <v>521246.0</v>
      </c>
      <c r="C1264" s="3" t="s">
        <v>5451</v>
      </c>
      <c r="D1264" s="3" t="s">
        <v>5452</v>
      </c>
      <c r="E1264" s="3" t="s">
        <v>5453</v>
      </c>
      <c r="F1264" s="3" t="s">
        <v>19</v>
      </c>
      <c r="G1264" s="3" t="s">
        <v>86</v>
      </c>
      <c r="H1264" s="3">
        <v>1.0</v>
      </c>
      <c r="I1264" s="3" t="s">
        <v>5450</v>
      </c>
      <c r="J1264" s="3" t="s">
        <v>22</v>
      </c>
      <c r="K1264" s="3" t="s">
        <v>204</v>
      </c>
      <c r="L1264" s="3" t="s">
        <v>204</v>
      </c>
      <c r="M1264" s="3" t="s">
        <v>378</v>
      </c>
      <c r="N1264" s="3" t="s">
        <v>384</v>
      </c>
      <c r="O1264" s="5">
        <v>124.3347581</v>
      </c>
      <c r="P1264" s="6" t="str">
        <f t="shared" si="2"/>
        <v>Finance</v>
      </c>
    </row>
    <row r="1265" hidden="1">
      <c r="A1265" s="3" t="s">
        <v>5454</v>
      </c>
      <c r="B1265" s="4">
        <v>521248.0</v>
      </c>
      <c r="C1265" s="3" t="s">
        <v>5455</v>
      </c>
      <c r="D1265" s="3" t="s">
        <v>5456</v>
      </c>
      <c r="E1265" s="3" t="s">
        <v>5457</v>
      </c>
      <c r="F1265" s="3" t="s">
        <v>19</v>
      </c>
      <c r="G1265" s="3" t="s">
        <v>112</v>
      </c>
      <c r="H1265" s="3">
        <v>1.0</v>
      </c>
      <c r="I1265" s="3" t="s">
        <v>5454</v>
      </c>
      <c r="J1265" s="3" t="s">
        <v>22</v>
      </c>
      <c r="K1265" s="3" t="s">
        <v>58</v>
      </c>
      <c r="L1265" s="3" t="s">
        <v>80</v>
      </c>
      <c r="M1265" s="3" t="s">
        <v>81</v>
      </c>
      <c r="N1265" s="3" t="s">
        <v>944</v>
      </c>
      <c r="O1265" s="5">
        <v>1382.2501737</v>
      </c>
      <c r="P1265" s="6" t="str">
        <f t="shared" si="2"/>
        <v>Textiles &amp; Apparels</v>
      </c>
    </row>
    <row r="1266" hidden="1">
      <c r="A1266" s="3" t="s">
        <v>5458</v>
      </c>
      <c r="B1266" s="4">
        <v>522001.0</v>
      </c>
      <c r="C1266" s="3" t="s">
        <v>5459</v>
      </c>
      <c r="D1266" s="3" t="s">
        <v>5460</v>
      </c>
      <c r="E1266" s="3" t="s">
        <v>5461</v>
      </c>
      <c r="F1266" s="3" t="s">
        <v>19</v>
      </c>
      <c r="G1266" s="3" t="s">
        <v>72</v>
      </c>
      <c r="H1266" s="3">
        <v>10.0</v>
      </c>
      <c r="I1266" s="3" t="s">
        <v>5458</v>
      </c>
      <c r="J1266" s="3" t="s">
        <v>22</v>
      </c>
      <c r="K1266" s="3" t="s">
        <v>97</v>
      </c>
      <c r="L1266" s="3" t="s">
        <v>98</v>
      </c>
      <c r="M1266" s="3" t="s">
        <v>99</v>
      </c>
      <c r="N1266" s="3" t="s">
        <v>100</v>
      </c>
      <c r="O1266" s="5">
        <v>66.5307</v>
      </c>
      <c r="P1266" s="6" t="str">
        <f t="shared" si="2"/>
        <v>Industrial Products</v>
      </c>
    </row>
    <row r="1267" hidden="1">
      <c r="A1267" s="3" t="s">
        <v>5462</v>
      </c>
      <c r="B1267" s="4">
        <v>522004.0</v>
      </c>
      <c r="C1267" s="3" t="s">
        <v>5463</v>
      </c>
      <c r="D1267" s="3" t="s">
        <v>5464</v>
      </c>
      <c r="E1267" s="3" t="s">
        <v>5465</v>
      </c>
      <c r="F1267" s="3" t="s">
        <v>19</v>
      </c>
      <c r="G1267" s="3" t="s">
        <v>72</v>
      </c>
      <c r="H1267" s="3">
        <v>5.0</v>
      </c>
      <c r="I1267" s="3" t="s">
        <v>5462</v>
      </c>
      <c r="J1267" s="3" t="s">
        <v>22</v>
      </c>
      <c r="K1267" s="3" t="s">
        <v>97</v>
      </c>
      <c r="L1267" s="3" t="s">
        <v>98</v>
      </c>
      <c r="M1267" s="3" t="s">
        <v>99</v>
      </c>
      <c r="N1267" s="3" t="s">
        <v>100</v>
      </c>
      <c r="O1267" s="5">
        <v>429.1534533</v>
      </c>
      <c r="P1267" s="6" t="str">
        <f t="shared" si="2"/>
        <v>Industrial Products</v>
      </c>
    </row>
    <row r="1268" hidden="1">
      <c r="A1268" s="3" t="s">
        <v>5466</v>
      </c>
      <c r="B1268" s="4">
        <v>522005.0</v>
      </c>
      <c r="C1268" s="3" t="s">
        <v>5467</v>
      </c>
      <c r="D1268" s="3" t="s">
        <v>5468</v>
      </c>
      <c r="E1268" s="3" t="s">
        <v>5469</v>
      </c>
      <c r="F1268" s="3" t="s">
        <v>19</v>
      </c>
      <c r="G1268" s="3" t="s">
        <v>44</v>
      </c>
      <c r="H1268" s="3">
        <v>10.0</v>
      </c>
      <c r="I1268" s="3" t="s">
        <v>5466</v>
      </c>
      <c r="J1268" s="3" t="s">
        <v>22</v>
      </c>
      <c r="K1268" s="3" t="s">
        <v>97</v>
      </c>
      <c r="L1268" s="3" t="s">
        <v>98</v>
      </c>
      <c r="M1268" s="3" t="s">
        <v>99</v>
      </c>
      <c r="N1268" s="3" t="s">
        <v>100</v>
      </c>
      <c r="O1268" s="5">
        <v>77.4780444</v>
      </c>
      <c r="P1268" s="6" t="str">
        <f t="shared" si="2"/>
        <v>Industrial Products</v>
      </c>
    </row>
    <row r="1269" hidden="1">
      <c r="A1269" s="3" t="s">
        <v>5470</v>
      </c>
      <c r="B1269" s="4">
        <v>522014.0</v>
      </c>
      <c r="C1269" s="3" t="s">
        <v>5471</v>
      </c>
      <c r="D1269" s="3" t="s">
        <v>5472</v>
      </c>
      <c r="E1269" s="3" t="s">
        <v>5473</v>
      </c>
      <c r="F1269" s="3" t="s">
        <v>19</v>
      </c>
      <c r="G1269" s="3" t="s">
        <v>112</v>
      </c>
      <c r="H1269" s="3">
        <v>10.0</v>
      </c>
      <c r="I1269" s="3" t="s">
        <v>5470</v>
      </c>
      <c r="J1269" s="3" t="s">
        <v>22</v>
      </c>
      <c r="K1269" s="3" t="s">
        <v>97</v>
      </c>
      <c r="L1269" s="3" t="s">
        <v>98</v>
      </c>
      <c r="M1269" s="3" t="s">
        <v>99</v>
      </c>
      <c r="N1269" s="3" t="s">
        <v>100</v>
      </c>
      <c r="O1269" s="5">
        <v>476.0042756</v>
      </c>
      <c r="P1269" s="6" t="str">
        <f t="shared" si="2"/>
        <v>Industrial Products</v>
      </c>
    </row>
    <row r="1270" hidden="1">
      <c r="A1270" s="3" t="s">
        <v>5474</v>
      </c>
      <c r="B1270" s="4">
        <v>522017.0</v>
      </c>
      <c r="C1270" s="3" t="s">
        <v>5475</v>
      </c>
      <c r="D1270" s="3" t="s">
        <v>5476</v>
      </c>
      <c r="E1270" s="3" t="s">
        <v>5477</v>
      </c>
      <c r="F1270" s="3" t="s">
        <v>19</v>
      </c>
      <c r="G1270" s="3" t="s">
        <v>44</v>
      </c>
      <c r="H1270" s="3">
        <v>10.0</v>
      </c>
      <c r="I1270" s="3" t="s">
        <v>5474</v>
      </c>
      <c r="J1270" s="3" t="s">
        <v>22</v>
      </c>
      <c r="K1270" s="3" t="s">
        <v>97</v>
      </c>
      <c r="L1270" s="3" t="s">
        <v>98</v>
      </c>
      <c r="M1270" s="3" t="s">
        <v>99</v>
      </c>
      <c r="N1270" s="3" t="s">
        <v>100</v>
      </c>
      <c r="O1270" s="5">
        <v>328.854964</v>
      </c>
      <c r="P1270" s="6" t="str">
        <f t="shared" si="2"/>
        <v>Industrial Products</v>
      </c>
    </row>
    <row r="1271" hidden="1">
      <c r="A1271" s="3" t="s">
        <v>5478</v>
      </c>
      <c r="B1271" s="4">
        <v>522027.0</v>
      </c>
      <c r="C1271" s="3" t="s">
        <v>5479</v>
      </c>
      <c r="D1271" s="3" t="s">
        <v>5480</v>
      </c>
      <c r="E1271" s="3" t="s">
        <v>5481</v>
      </c>
      <c r="F1271" s="3" t="s">
        <v>19</v>
      </c>
      <c r="G1271" s="3" t="s">
        <v>44</v>
      </c>
      <c r="H1271" s="3">
        <v>10.0</v>
      </c>
      <c r="I1271" s="3" t="s">
        <v>5478</v>
      </c>
      <c r="J1271" s="3" t="s">
        <v>22</v>
      </c>
      <c r="K1271" s="3" t="s">
        <v>97</v>
      </c>
      <c r="L1271" s="3" t="s">
        <v>98</v>
      </c>
      <c r="M1271" s="3" t="s">
        <v>99</v>
      </c>
      <c r="N1271" s="3" t="s">
        <v>100</v>
      </c>
      <c r="O1271" s="5">
        <v>1.0</v>
      </c>
      <c r="P1271" s="6" t="str">
        <f t="shared" si="2"/>
        <v>Industrial Products</v>
      </c>
    </row>
    <row r="1272" hidden="1">
      <c r="A1272" s="3" t="s">
        <v>5482</v>
      </c>
      <c r="B1272" s="4">
        <v>522029.0</v>
      </c>
      <c r="C1272" s="3" t="s">
        <v>5483</v>
      </c>
      <c r="D1272" s="3" t="s">
        <v>5484</v>
      </c>
      <c r="E1272" s="3" t="s">
        <v>5485</v>
      </c>
      <c r="F1272" s="3" t="s">
        <v>19</v>
      </c>
      <c r="G1272" s="3" t="s">
        <v>112</v>
      </c>
      <c r="H1272" s="3">
        <v>2.0</v>
      </c>
      <c r="I1272" s="3" t="s">
        <v>5482</v>
      </c>
      <c r="J1272" s="3" t="s">
        <v>22</v>
      </c>
      <c r="K1272" s="3" t="s">
        <v>97</v>
      </c>
      <c r="L1272" s="3" t="s">
        <v>98</v>
      </c>
      <c r="M1272" s="3" t="s">
        <v>99</v>
      </c>
      <c r="N1272" s="3" t="s">
        <v>100</v>
      </c>
      <c r="O1272" s="5">
        <v>1052.2071767</v>
      </c>
      <c r="P1272" s="6" t="str">
        <f t="shared" si="2"/>
        <v>Industrial Products</v>
      </c>
    </row>
    <row r="1273" hidden="1">
      <c r="A1273" s="3" t="s">
        <v>5486</v>
      </c>
      <c r="B1273" s="4">
        <v>522034.0</v>
      </c>
      <c r="C1273" s="3" t="s">
        <v>5487</v>
      </c>
      <c r="D1273" s="3" t="s">
        <v>5488</v>
      </c>
      <c r="E1273" s="3" t="s">
        <v>5489</v>
      </c>
      <c r="F1273" s="3" t="s">
        <v>19</v>
      </c>
      <c r="G1273" s="3" t="s">
        <v>112</v>
      </c>
      <c r="H1273" s="3">
        <v>1.0</v>
      </c>
      <c r="I1273" s="3" t="s">
        <v>5486</v>
      </c>
      <c r="J1273" s="3" t="s">
        <v>22</v>
      </c>
      <c r="K1273" s="3" t="s">
        <v>97</v>
      </c>
      <c r="L1273" s="3" t="s">
        <v>98</v>
      </c>
      <c r="M1273" s="3" t="s">
        <v>99</v>
      </c>
      <c r="N1273" s="3" t="s">
        <v>100</v>
      </c>
      <c r="O1273" s="5">
        <v>4548.69918</v>
      </c>
      <c r="P1273" s="6" t="str">
        <f t="shared" si="2"/>
        <v>Industrial Products</v>
      </c>
    </row>
    <row r="1274" hidden="1">
      <c r="A1274" s="3" t="s">
        <v>5490</v>
      </c>
      <c r="B1274" s="4">
        <v>522036.0</v>
      </c>
      <c r="C1274" s="3" t="s">
        <v>5491</v>
      </c>
      <c r="D1274" s="3" t="s">
        <v>5492</v>
      </c>
      <c r="E1274" s="3" t="s">
        <v>5493</v>
      </c>
      <c r="F1274" s="3" t="s">
        <v>19</v>
      </c>
      <c r="G1274" s="3" t="s">
        <v>72</v>
      </c>
      <c r="H1274" s="3">
        <v>10.0</v>
      </c>
      <c r="I1274" s="3" t="s">
        <v>5490</v>
      </c>
      <c r="J1274" s="3" t="s">
        <v>22</v>
      </c>
      <c r="K1274" s="3" t="s">
        <v>97</v>
      </c>
      <c r="L1274" s="3" t="s">
        <v>98</v>
      </c>
      <c r="M1274" s="3" t="s">
        <v>99</v>
      </c>
      <c r="N1274" s="3" t="s">
        <v>100</v>
      </c>
      <c r="O1274" s="5">
        <v>32.9558966</v>
      </c>
      <c r="P1274" s="6" t="str">
        <f t="shared" si="2"/>
        <v>Industrial Products</v>
      </c>
    </row>
    <row r="1275" hidden="1">
      <c r="A1275" s="3" t="s">
        <v>5494</v>
      </c>
      <c r="B1275" s="4">
        <v>522064.0</v>
      </c>
      <c r="C1275" s="3" t="s">
        <v>5495</v>
      </c>
      <c r="D1275" s="3" t="s">
        <v>5496</v>
      </c>
      <c r="E1275" s="3" t="s">
        <v>5497</v>
      </c>
      <c r="F1275" s="3" t="s">
        <v>19</v>
      </c>
      <c r="G1275" s="3" t="s">
        <v>112</v>
      </c>
      <c r="H1275" s="3">
        <v>10.0</v>
      </c>
      <c r="I1275" s="3" t="s">
        <v>5494</v>
      </c>
      <c r="J1275" s="3" t="s">
        <v>22</v>
      </c>
      <c r="K1275" s="3" t="s">
        <v>97</v>
      </c>
      <c r="L1275" s="3" t="s">
        <v>98</v>
      </c>
      <c r="M1275" s="3" t="s">
        <v>99</v>
      </c>
      <c r="N1275" s="3" t="s">
        <v>100</v>
      </c>
      <c r="O1275" s="5">
        <v>3872.69736</v>
      </c>
      <c r="P1275" s="6" t="str">
        <f t="shared" si="2"/>
        <v>Industrial Products</v>
      </c>
    </row>
    <row r="1276" hidden="1">
      <c r="A1276" s="3" t="s">
        <v>5498</v>
      </c>
      <c r="B1276" s="4">
        <v>522073.0</v>
      </c>
      <c r="C1276" s="3" t="s">
        <v>5499</v>
      </c>
      <c r="D1276" s="3" t="s">
        <v>5500</v>
      </c>
      <c r="E1276" s="3" t="s">
        <v>5501</v>
      </c>
      <c r="F1276" s="3" t="s">
        <v>19</v>
      </c>
      <c r="G1276" s="3" t="s">
        <v>86</v>
      </c>
      <c r="H1276" s="3">
        <v>10.0</v>
      </c>
      <c r="I1276" s="3" t="s">
        <v>5498</v>
      </c>
      <c r="J1276" s="3" t="s">
        <v>22</v>
      </c>
      <c r="K1276" s="3" t="s">
        <v>58</v>
      </c>
      <c r="L1276" s="3" t="s">
        <v>133</v>
      </c>
      <c r="M1276" s="3" t="s">
        <v>134</v>
      </c>
      <c r="N1276" s="3" t="s">
        <v>135</v>
      </c>
      <c r="O1276" s="5">
        <v>1853.46855</v>
      </c>
      <c r="P1276" s="6" t="str">
        <f t="shared" si="2"/>
        <v>Auto Components &amp; Equipments</v>
      </c>
    </row>
    <row r="1277">
      <c r="A1277" s="3" t="s">
        <v>5502</v>
      </c>
      <c r="B1277" s="4">
        <v>544129.0</v>
      </c>
      <c r="C1277" s="3" t="s">
        <v>5503</v>
      </c>
      <c r="D1277" s="3" t="s">
        <v>5504</v>
      </c>
      <c r="E1277" s="3" t="s">
        <v>5505</v>
      </c>
      <c r="F1277" s="3" t="s">
        <v>19</v>
      </c>
      <c r="G1277" s="3" t="s">
        <v>112</v>
      </c>
      <c r="H1277" s="3">
        <v>10.0</v>
      </c>
      <c r="I1277" s="3" t="s">
        <v>5506</v>
      </c>
      <c r="J1277" s="3" t="s">
        <v>22</v>
      </c>
      <c r="K1277" s="3" t="s">
        <v>58</v>
      </c>
      <c r="L1277" s="3" t="s">
        <v>73</v>
      </c>
      <c r="M1277" s="3" t="s">
        <v>74</v>
      </c>
      <c r="N1277" s="3" t="s">
        <v>75</v>
      </c>
      <c r="O1277" s="5">
        <v>9588.6846525</v>
      </c>
      <c r="P1277" s="6" t="str">
        <f t="shared" si="2"/>
        <v>Leisure Services</v>
      </c>
    </row>
    <row r="1278" hidden="1">
      <c r="A1278" s="3" t="s">
        <v>5507</v>
      </c>
      <c r="B1278" s="4">
        <v>522091.0</v>
      </c>
      <c r="C1278" s="3" t="s">
        <v>5508</v>
      </c>
      <c r="D1278" s="3" t="s">
        <v>5509</v>
      </c>
      <c r="E1278" s="3" t="s">
        <v>5510</v>
      </c>
      <c r="F1278" s="3" t="s">
        <v>19</v>
      </c>
      <c r="G1278" s="3" t="s">
        <v>72</v>
      </c>
      <c r="H1278" s="3">
        <v>5.0</v>
      </c>
      <c r="I1278" s="3" t="s">
        <v>5507</v>
      </c>
      <c r="J1278" s="3" t="s">
        <v>22</v>
      </c>
      <c r="K1278" s="3" t="s">
        <v>97</v>
      </c>
      <c r="L1278" s="3" t="s">
        <v>98</v>
      </c>
      <c r="M1278" s="3" t="s">
        <v>1747</v>
      </c>
      <c r="N1278" s="3" t="s">
        <v>1767</v>
      </c>
      <c r="O1278" s="5">
        <v>144.039531</v>
      </c>
      <c r="P1278" s="6" t="str">
        <f t="shared" si="2"/>
        <v>Heavy Electrical Equipment</v>
      </c>
    </row>
    <row r="1279" hidden="1">
      <c r="A1279" s="3" t="s">
        <v>5511</v>
      </c>
      <c r="B1279" s="4">
        <v>522101.0</v>
      </c>
      <c r="C1279" s="3" t="s">
        <v>5512</v>
      </c>
      <c r="D1279" s="3" t="s">
        <v>5513</v>
      </c>
      <c r="E1279" s="3" t="s">
        <v>5514</v>
      </c>
      <c r="F1279" s="3" t="s">
        <v>19</v>
      </c>
      <c r="G1279" s="3" t="s">
        <v>112</v>
      </c>
      <c r="H1279" s="3">
        <v>10.0</v>
      </c>
      <c r="I1279" s="3" t="s">
        <v>5511</v>
      </c>
      <c r="J1279" s="3" t="s">
        <v>22</v>
      </c>
      <c r="K1279" s="3" t="s">
        <v>97</v>
      </c>
      <c r="L1279" s="3" t="s">
        <v>98</v>
      </c>
      <c r="M1279" s="3" t="s">
        <v>99</v>
      </c>
      <c r="N1279" s="3" t="s">
        <v>100</v>
      </c>
      <c r="O1279" s="5">
        <v>1862.5294998</v>
      </c>
      <c r="P1279" s="6" t="str">
        <f t="shared" si="2"/>
        <v>Industrial Products</v>
      </c>
    </row>
    <row r="1280" hidden="1">
      <c r="A1280" s="3" t="s">
        <v>5515</v>
      </c>
      <c r="B1280" s="4">
        <v>522105.0</v>
      </c>
      <c r="C1280" s="3" t="s">
        <v>5516</v>
      </c>
      <c r="D1280" s="3" t="s">
        <v>5517</v>
      </c>
      <c r="E1280" s="3" t="s">
        <v>5518</v>
      </c>
      <c r="F1280" s="3" t="s">
        <v>19</v>
      </c>
      <c r="G1280" s="3" t="s">
        <v>44</v>
      </c>
      <c r="H1280" s="3">
        <v>2.0</v>
      </c>
      <c r="I1280" s="3" t="s">
        <v>5515</v>
      </c>
      <c r="J1280" s="3" t="s">
        <v>22</v>
      </c>
      <c r="K1280" s="3" t="s">
        <v>97</v>
      </c>
      <c r="L1280" s="3" t="s">
        <v>98</v>
      </c>
      <c r="M1280" s="3" t="s">
        <v>99</v>
      </c>
      <c r="N1280" s="3" t="s">
        <v>100</v>
      </c>
      <c r="O1280" s="5">
        <v>401.4037837</v>
      </c>
      <c r="P1280" s="6" t="str">
        <f t="shared" si="2"/>
        <v>Industrial Products</v>
      </c>
    </row>
    <row r="1281" hidden="1">
      <c r="A1281" s="3" t="s">
        <v>5519</v>
      </c>
      <c r="B1281" s="4">
        <v>522108.0</v>
      </c>
      <c r="C1281" s="3" t="s">
        <v>5520</v>
      </c>
      <c r="D1281" s="3" t="s">
        <v>5521</v>
      </c>
      <c r="E1281" s="3" t="s">
        <v>5522</v>
      </c>
      <c r="F1281" s="3" t="s">
        <v>19</v>
      </c>
      <c r="G1281" s="3" t="s">
        <v>112</v>
      </c>
      <c r="H1281" s="3">
        <v>10.0</v>
      </c>
      <c r="I1281" s="3" t="s">
        <v>5519</v>
      </c>
      <c r="J1281" s="3" t="s">
        <v>22</v>
      </c>
      <c r="K1281" s="3" t="s">
        <v>97</v>
      </c>
      <c r="L1281" s="3" t="s">
        <v>98</v>
      </c>
      <c r="M1281" s="3" t="s">
        <v>100</v>
      </c>
      <c r="N1281" s="3" t="s">
        <v>983</v>
      </c>
      <c r="O1281" s="5">
        <v>1567.36804</v>
      </c>
      <c r="P1281" s="6" t="str">
        <f t="shared" si="2"/>
        <v>Industrial Products</v>
      </c>
    </row>
    <row r="1282">
      <c r="A1282" s="3" t="s">
        <v>5523</v>
      </c>
      <c r="B1282" s="4">
        <v>544174.0</v>
      </c>
      <c r="C1282" s="3" t="s">
        <v>5524</v>
      </c>
      <c r="D1282" s="3" t="s">
        <v>5525</v>
      </c>
      <c r="E1282" s="3" t="s">
        <v>5526</v>
      </c>
      <c r="F1282" s="3" t="s">
        <v>19</v>
      </c>
      <c r="G1282" s="3" t="s">
        <v>112</v>
      </c>
      <c r="H1282" s="3">
        <v>1.0</v>
      </c>
      <c r="I1282" s="3" t="s">
        <v>5527</v>
      </c>
      <c r="J1282" s="3" t="s">
        <v>22</v>
      </c>
      <c r="K1282" s="3" t="s">
        <v>58</v>
      </c>
      <c r="L1282" s="3" t="s">
        <v>73</v>
      </c>
      <c r="M1282" s="3" t="s">
        <v>74</v>
      </c>
      <c r="N1282" s="3" t="s">
        <v>565</v>
      </c>
      <c r="O1282" s="5">
        <v>19643.713615</v>
      </c>
      <c r="P1282" s="6" t="str">
        <f t="shared" si="2"/>
        <v>Leisure Services</v>
      </c>
    </row>
    <row r="1283" hidden="1">
      <c r="A1283" s="3" t="s">
        <v>5528</v>
      </c>
      <c r="B1283" s="4">
        <v>522122.0</v>
      </c>
      <c r="C1283" s="3" t="s">
        <v>5529</v>
      </c>
      <c r="D1283" s="3" t="s">
        <v>5530</v>
      </c>
      <c r="E1283" s="3" t="s">
        <v>5531</v>
      </c>
      <c r="F1283" s="3" t="s">
        <v>19</v>
      </c>
      <c r="G1283" s="3" t="s">
        <v>44</v>
      </c>
      <c r="H1283" s="3">
        <v>10.0</v>
      </c>
      <c r="I1283" s="3" t="s">
        <v>5528</v>
      </c>
      <c r="J1283" s="3" t="s">
        <v>22</v>
      </c>
      <c r="K1283" s="3" t="s">
        <v>58</v>
      </c>
      <c r="L1283" s="3" t="s">
        <v>80</v>
      </c>
      <c r="M1283" s="3" t="s">
        <v>81</v>
      </c>
      <c r="N1283" s="3" t="s">
        <v>82</v>
      </c>
      <c r="O1283" s="5">
        <v>935.615067</v>
      </c>
      <c r="P1283" s="6" t="str">
        <f t="shared" si="2"/>
        <v>Textiles &amp; Apparels</v>
      </c>
    </row>
    <row r="1284" hidden="1">
      <c r="A1284" s="3" t="s">
        <v>5532</v>
      </c>
      <c r="B1284" s="4">
        <v>522152.0</v>
      </c>
      <c r="C1284" s="3" t="s">
        <v>5533</v>
      </c>
      <c r="D1284" s="3" t="s">
        <v>5534</v>
      </c>
      <c r="E1284" s="3" t="s">
        <v>5535</v>
      </c>
      <c r="F1284" s="3" t="s">
        <v>19</v>
      </c>
      <c r="G1284" s="3" t="s">
        <v>72</v>
      </c>
      <c r="H1284" s="3">
        <v>10.0</v>
      </c>
      <c r="I1284" s="3" t="s">
        <v>5532</v>
      </c>
      <c r="J1284" s="3" t="s">
        <v>22</v>
      </c>
      <c r="K1284" s="3" t="s">
        <v>97</v>
      </c>
      <c r="L1284" s="3" t="s">
        <v>98</v>
      </c>
      <c r="M1284" s="3" t="s">
        <v>99</v>
      </c>
      <c r="N1284" s="3" t="s">
        <v>100</v>
      </c>
      <c r="O1284" s="5">
        <v>50.5706951</v>
      </c>
      <c r="P1284" s="6" t="str">
        <f t="shared" si="2"/>
        <v>Industrial Products</v>
      </c>
    </row>
    <row r="1285">
      <c r="A1285" s="3" t="s">
        <v>5536</v>
      </c>
      <c r="B1285" s="4">
        <v>570001.0</v>
      </c>
      <c r="C1285" s="3" t="s">
        <v>1076</v>
      </c>
      <c r="D1285" s="3" t="s">
        <v>5537</v>
      </c>
      <c r="E1285" s="3" t="s">
        <v>5538</v>
      </c>
      <c r="F1285" s="3" t="s">
        <v>19</v>
      </c>
      <c r="G1285" s="3" t="s">
        <v>20</v>
      </c>
      <c r="H1285" s="3">
        <v>2.0</v>
      </c>
      <c r="I1285" s="3" t="s">
        <v>5539</v>
      </c>
      <c r="J1285" s="3" t="s">
        <v>22</v>
      </c>
      <c r="K1285" s="3" t="s">
        <v>58</v>
      </c>
      <c r="L1285" s="3" t="s">
        <v>133</v>
      </c>
      <c r="M1285" s="3" t="s">
        <v>906</v>
      </c>
      <c r="N1285" s="3" t="s">
        <v>907</v>
      </c>
      <c r="O1285" s="5">
        <v>353404.232</v>
      </c>
      <c r="P1285" s="6" t="str">
        <f t="shared" si="2"/>
        <v>Automobiles</v>
      </c>
    </row>
    <row r="1286" hidden="1">
      <c r="A1286" s="3" t="s">
        <v>5540</v>
      </c>
      <c r="B1286" s="4">
        <v>522165.0</v>
      </c>
      <c r="C1286" s="3" t="s">
        <v>5541</v>
      </c>
      <c r="D1286" s="3" t="s">
        <v>5542</v>
      </c>
      <c r="E1286" s="3" t="s">
        <v>5543</v>
      </c>
      <c r="F1286" s="3" t="s">
        <v>19</v>
      </c>
      <c r="G1286" s="3" t="s">
        <v>44</v>
      </c>
      <c r="H1286" s="3">
        <v>10.0</v>
      </c>
      <c r="I1286" s="3" t="s">
        <v>5540</v>
      </c>
      <c r="J1286" s="3" t="s">
        <v>22</v>
      </c>
      <c r="K1286" s="3" t="s">
        <v>23</v>
      </c>
      <c r="L1286" s="3" t="s">
        <v>65</v>
      </c>
      <c r="M1286" s="3" t="s">
        <v>106</v>
      </c>
      <c r="N1286" s="3" t="s">
        <v>4039</v>
      </c>
      <c r="O1286" s="5">
        <v>169.5130035</v>
      </c>
      <c r="P1286" s="6" t="str">
        <f t="shared" si="2"/>
        <v>Ferrous Metals</v>
      </c>
    </row>
    <row r="1287" hidden="1">
      <c r="A1287" s="3" t="s">
        <v>5544</v>
      </c>
      <c r="B1287" s="4">
        <v>522171.0</v>
      </c>
      <c r="C1287" s="3" t="s">
        <v>5545</v>
      </c>
      <c r="D1287" s="3" t="s">
        <v>5546</v>
      </c>
      <c r="E1287" s="3" t="s">
        <v>5547</v>
      </c>
      <c r="F1287" s="3" t="s">
        <v>19</v>
      </c>
      <c r="G1287" s="3" t="s">
        <v>72</v>
      </c>
      <c r="H1287" s="3">
        <v>10.0</v>
      </c>
      <c r="I1287" s="3" t="s">
        <v>5544</v>
      </c>
      <c r="J1287" s="3" t="s">
        <v>22</v>
      </c>
      <c r="K1287" s="3" t="s">
        <v>97</v>
      </c>
      <c r="L1287" s="3" t="s">
        <v>98</v>
      </c>
      <c r="M1287" s="3" t="s">
        <v>99</v>
      </c>
      <c r="N1287" s="3" t="s">
        <v>100</v>
      </c>
      <c r="O1287" s="5">
        <v>1.0</v>
      </c>
      <c r="P1287" s="6" t="str">
        <f t="shared" si="2"/>
        <v>Industrial Products</v>
      </c>
    </row>
    <row r="1288" hidden="1">
      <c r="A1288" s="3" t="s">
        <v>5548</v>
      </c>
      <c r="B1288" s="4">
        <v>522183.0</v>
      </c>
      <c r="C1288" s="3" t="s">
        <v>5549</v>
      </c>
      <c r="D1288" s="3" t="s">
        <v>5550</v>
      </c>
      <c r="E1288" s="3" t="s">
        <v>5551</v>
      </c>
      <c r="F1288" s="3" t="s">
        <v>19</v>
      </c>
      <c r="G1288" s="3" t="s">
        <v>72</v>
      </c>
      <c r="H1288" s="3">
        <v>10.0</v>
      </c>
      <c r="I1288" s="3" t="s">
        <v>5548</v>
      </c>
      <c r="J1288" s="3" t="s">
        <v>22</v>
      </c>
      <c r="K1288" s="3" t="s">
        <v>97</v>
      </c>
      <c r="L1288" s="3" t="s">
        <v>98</v>
      </c>
      <c r="M1288" s="3" t="s">
        <v>99</v>
      </c>
      <c r="N1288" s="3" t="s">
        <v>100</v>
      </c>
      <c r="O1288" s="5">
        <v>146.1990782</v>
      </c>
      <c r="P1288" s="6" t="str">
        <f t="shared" si="2"/>
        <v>Industrial Products</v>
      </c>
    </row>
    <row r="1289" hidden="1">
      <c r="A1289" s="3" t="s">
        <v>5552</v>
      </c>
      <c r="B1289" s="4">
        <v>522195.0</v>
      </c>
      <c r="C1289" s="3" t="s">
        <v>5553</v>
      </c>
      <c r="D1289" s="3" t="s">
        <v>5554</v>
      </c>
      <c r="E1289" s="3" t="s">
        <v>5555</v>
      </c>
      <c r="F1289" s="3" t="s">
        <v>19</v>
      </c>
      <c r="G1289" s="3" t="s">
        <v>44</v>
      </c>
      <c r="H1289" s="3">
        <v>10.0</v>
      </c>
      <c r="I1289" s="3" t="s">
        <v>5552</v>
      </c>
      <c r="J1289" s="3" t="s">
        <v>22</v>
      </c>
      <c r="K1289" s="3" t="s">
        <v>58</v>
      </c>
      <c r="L1289" s="3" t="s">
        <v>133</v>
      </c>
      <c r="M1289" s="3" t="s">
        <v>134</v>
      </c>
      <c r="N1289" s="3" t="s">
        <v>135</v>
      </c>
      <c r="O1289" s="5">
        <v>641.6666231</v>
      </c>
      <c r="P1289" s="6" t="str">
        <f t="shared" si="2"/>
        <v>Auto Components &amp; Equipments</v>
      </c>
    </row>
    <row r="1290">
      <c r="A1290" s="3" t="s">
        <v>5556</v>
      </c>
      <c r="B1290" s="4" t="s">
        <v>5557</v>
      </c>
      <c r="C1290" s="3" t="s">
        <v>5558</v>
      </c>
      <c r="D1290" s="3" t="s">
        <v>5557</v>
      </c>
      <c r="E1290" s="3" t="s">
        <v>5558</v>
      </c>
      <c r="F1290" s="3" t="s">
        <v>19</v>
      </c>
      <c r="I1290" s="3" t="s">
        <v>5559</v>
      </c>
      <c r="J1290" s="3" t="s">
        <v>22</v>
      </c>
      <c r="K1290" s="3" t="s">
        <v>58</v>
      </c>
      <c r="L1290" s="3" t="s">
        <v>133</v>
      </c>
      <c r="M1290" s="3" t="s">
        <v>134</v>
      </c>
      <c r="N1290" s="3" t="s">
        <v>135</v>
      </c>
      <c r="O1290" s="5">
        <v>8368.5733482</v>
      </c>
      <c r="P1290" s="6" t="str">
        <f t="shared" si="2"/>
        <v>Auto Components &amp; Equipments</v>
      </c>
    </row>
    <row r="1291" hidden="1">
      <c r="A1291" s="3" t="s">
        <v>5560</v>
      </c>
      <c r="B1291" s="4">
        <v>522207.0</v>
      </c>
      <c r="C1291" s="3" t="s">
        <v>5561</v>
      </c>
      <c r="D1291" s="3" t="s">
        <v>5562</v>
      </c>
      <c r="E1291" s="3" t="s">
        <v>5563</v>
      </c>
      <c r="F1291" s="3" t="s">
        <v>19</v>
      </c>
      <c r="G1291" s="3" t="s">
        <v>44</v>
      </c>
      <c r="H1291" s="3">
        <v>10.0</v>
      </c>
      <c r="I1291" s="3" t="s">
        <v>5560</v>
      </c>
      <c r="J1291" s="3" t="s">
        <v>22</v>
      </c>
      <c r="K1291" s="3" t="s">
        <v>58</v>
      </c>
      <c r="L1291" s="3" t="s">
        <v>133</v>
      </c>
      <c r="M1291" s="3" t="s">
        <v>134</v>
      </c>
      <c r="N1291" s="3" t="s">
        <v>135</v>
      </c>
      <c r="O1291" s="5">
        <v>67.3512812</v>
      </c>
      <c r="P1291" s="6" t="str">
        <f t="shared" si="2"/>
        <v>Auto Components &amp; Equipments</v>
      </c>
    </row>
    <row r="1292" hidden="1">
      <c r="A1292" s="3" t="s">
        <v>5564</v>
      </c>
      <c r="B1292" s="4">
        <v>522209.0</v>
      </c>
      <c r="C1292" s="3" t="s">
        <v>5565</v>
      </c>
      <c r="D1292" s="3" t="s">
        <v>5566</v>
      </c>
      <c r="E1292" s="3" t="s">
        <v>5567</v>
      </c>
      <c r="F1292" s="3" t="s">
        <v>19</v>
      </c>
      <c r="G1292" s="3" t="s">
        <v>72</v>
      </c>
      <c r="H1292" s="3">
        <v>10.0</v>
      </c>
      <c r="I1292" s="3" t="s">
        <v>5564</v>
      </c>
      <c r="J1292" s="3" t="s">
        <v>22</v>
      </c>
      <c r="K1292" s="3" t="s">
        <v>204</v>
      </c>
      <c r="L1292" s="3" t="s">
        <v>204</v>
      </c>
      <c r="M1292" s="3" t="s">
        <v>378</v>
      </c>
      <c r="N1292" s="3" t="s">
        <v>468</v>
      </c>
      <c r="O1292" s="5">
        <v>1.0</v>
      </c>
      <c r="P1292" s="6" t="str">
        <f t="shared" si="2"/>
        <v>Finance</v>
      </c>
    </row>
    <row r="1293" hidden="1">
      <c r="A1293" s="3" t="s">
        <v>5568</v>
      </c>
      <c r="B1293" s="4">
        <v>522215.0</v>
      </c>
      <c r="C1293" s="3" t="s">
        <v>5569</v>
      </c>
      <c r="D1293" s="3" t="s">
        <v>5570</v>
      </c>
      <c r="E1293" s="3" t="s">
        <v>5571</v>
      </c>
      <c r="F1293" s="3" t="s">
        <v>19</v>
      </c>
      <c r="G1293" s="3" t="s">
        <v>20</v>
      </c>
      <c r="H1293" s="3">
        <v>2.0</v>
      </c>
      <c r="I1293" s="3" t="s">
        <v>5568</v>
      </c>
      <c r="J1293" s="3" t="s">
        <v>22</v>
      </c>
      <c r="K1293" s="3" t="s">
        <v>97</v>
      </c>
      <c r="L1293" s="3" t="s">
        <v>98</v>
      </c>
      <c r="M1293" s="3" t="s">
        <v>99</v>
      </c>
      <c r="N1293" s="3" t="s">
        <v>100</v>
      </c>
      <c r="O1293" s="5">
        <v>3273.71011</v>
      </c>
      <c r="P1293" s="6" t="str">
        <f t="shared" si="2"/>
        <v>Industrial Products</v>
      </c>
    </row>
    <row r="1294" hidden="1">
      <c r="A1294" s="3" t="s">
        <v>5572</v>
      </c>
      <c r="B1294" s="4">
        <v>522217.0</v>
      </c>
      <c r="C1294" s="3" t="s">
        <v>5573</v>
      </c>
      <c r="D1294" s="3" t="s">
        <v>5574</v>
      </c>
      <c r="E1294" s="3" t="s">
        <v>5575</v>
      </c>
      <c r="F1294" s="3" t="s">
        <v>19</v>
      </c>
      <c r="G1294" s="3" t="s">
        <v>112</v>
      </c>
      <c r="H1294" s="3">
        <v>10.0</v>
      </c>
      <c r="I1294" s="3" t="s">
        <v>5572</v>
      </c>
      <c r="J1294" s="3" t="s">
        <v>22</v>
      </c>
      <c r="K1294" s="3" t="s">
        <v>97</v>
      </c>
      <c r="L1294" s="3" t="s">
        <v>98</v>
      </c>
      <c r="M1294" s="3" t="s">
        <v>99</v>
      </c>
      <c r="N1294" s="3" t="s">
        <v>100</v>
      </c>
      <c r="O1294" s="5">
        <v>288.0616103</v>
      </c>
      <c r="P1294" s="6" t="str">
        <f t="shared" si="2"/>
        <v>Industrial Products</v>
      </c>
    </row>
    <row r="1295" hidden="1">
      <c r="A1295" s="3" t="s">
        <v>5576</v>
      </c>
      <c r="B1295" s="4">
        <v>522229.0</v>
      </c>
      <c r="C1295" s="3" t="s">
        <v>5577</v>
      </c>
      <c r="D1295" s="3" t="s">
        <v>5578</v>
      </c>
      <c r="E1295" s="3" t="s">
        <v>5579</v>
      </c>
      <c r="F1295" s="3" t="s">
        <v>19</v>
      </c>
      <c r="G1295" s="3" t="s">
        <v>44</v>
      </c>
      <c r="H1295" s="3">
        <v>5.0</v>
      </c>
      <c r="I1295" s="3" t="s">
        <v>5576</v>
      </c>
      <c r="J1295" s="3" t="s">
        <v>22</v>
      </c>
      <c r="K1295" s="3" t="s">
        <v>97</v>
      </c>
      <c r="L1295" s="3" t="s">
        <v>98</v>
      </c>
      <c r="M1295" s="3" t="s">
        <v>806</v>
      </c>
      <c r="N1295" s="3" t="s">
        <v>806</v>
      </c>
      <c r="O1295" s="5">
        <v>1522.2608945</v>
      </c>
      <c r="P1295" s="6" t="str">
        <f t="shared" si="2"/>
        <v>Aerospace &amp; Defense</v>
      </c>
    </row>
    <row r="1296" hidden="1">
      <c r="A1296" s="3" t="s">
        <v>5580</v>
      </c>
      <c r="B1296" s="4">
        <v>522231.0</v>
      </c>
      <c r="C1296" s="3" t="s">
        <v>5581</v>
      </c>
      <c r="D1296" s="3" t="s">
        <v>5582</v>
      </c>
      <c r="E1296" s="3" t="s">
        <v>5583</v>
      </c>
      <c r="F1296" s="3" t="s">
        <v>19</v>
      </c>
      <c r="G1296" s="3" t="s">
        <v>44</v>
      </c>
      <c r="H1296" s="3">
        <v>10.0</v>
      </c>
      <c r="I1296" s="3" t="s">
        <v>5580</v>
      </c>
      <c r="J1296" s="3" t="s">
        <v>22</v>
      </c>
      <c r="K1296" s="3" t="s">
        <v>97</v>
      </c>
      <c r="L1296" s="3" t="s">
        <v>965</v>
      </c>
      <c r="M1296" s="3" t="s">
        <v>965</v>
      </c>
      <c r="N1296" s="3" t="s">
        <v>966</v>
      </c>
      <c r="O1296" s="5">
        <v>50.1223354</v>
      </c>
      <c r="P1296" s="6" t="str">
        <f t="shared" si="2"/>
        <v>Civil Construction</v>
      </c>
    </row>
    <row r="1297" hidden="1">
      <c r="A1297" s="3" t="s">
        <v>5584</v>
      </c>
      <c r="B1297" s="4">
        <v>543535.0</v>
      </c>
      <c r="C1297" s="3" t="s">
        <v>5585</v>
      </c>
      <c r="D1297" s="3" t="s">
        <v>5586</v>
      </c>
      <c r="E1297" s="3" t="s">
        <v>5587</v>
      </c>
      <c r="F1297" s="3" t="s">
        <v>19</v>
      </c>
      <c r="G1297" s="3" t="s">
        <v>86</v>
      </c>
      <c r="H1297" s="3">
        <v>10.0</v>
      </c>
      <c r="I1297" s="3" t="s">
        <v>5588</v>
      </c>
      <c r="J1297" s="3" t="s">
        <v>22</v>
      </c>
      <c r="K1297" s="3" t="s">
        <v>1673</v>
      </c>
      <c r="L1297" s="3" t="s">
        <v>1673</v>
      </c>
      <c r="M1297" s="3" t="s">
        <v>1674</v>
      </c>
      <c r="N1297" s="3" t="s">
        <v>1705</v>
      </c>
      <c r="O1297" s="5">
        <v>81.9297574</v>
      </c>
      <c r="P1297" s="6" t="str">
        <f t="shared" si="2"/>
        <v>Commercial Services &amp; Supplies</v>
      </c>
    </row>
    <row r="1298" hidden="1">
      <c r="A1298" s="3" t="s">
        <v>5589</v>
      </c>
      <c r="B1298" s="4">
        <v>522237.0</v>
      </c>
      <c r="C1298" s="3" t="s">
        <v>5590</v>
      </c>
      <c r="D1298" s="3" t="s">
        <v>5591</v>
      </c>
      <c r="E1298" s="3" t="s">
        <v>5592</v>
      </c>
      <c r="F1298" s="3" t="s">
        <v>19</v>
      </c>
      <c r="G1298" s="3" t="s">
        <v>72</v>
      </c>
      <c r="H1298" s="3">
        <v>10.0</v>
      </c>
      <c r="I1298" s="3" t="s">
        <v>5589</v>
      </c>
      <c r="J1298" s="3" t="s">
        <v>22</v>
      </c>
      <c r="K1298" s="3" t="s">
        <v>97</v>
      </c>
      <c r="L1298" s="3" t="s">
        <v>98</v>
      </c>
      <c r="M1298" s="3" t="s">
        <v>99</v>
      </c>
      <c r="N1298" s="3" t="s">
        <v>100</v>
      </c>
      <c r="O1298" s="5">
        <v>1.0</v>
      </c>
      <c r="P1298" s="6" t="str">
        <f t="shared" si="2"/>
        <v>Industrial Products</v>
      </c>
    </row>
    <row r="1299" hidden="1">
      <c r="A1299" s="3" t="s">
        <v>5593</v>
      </c>
      <c r="B1299" s="4">
        <v>522241.0</v>
      </c>
      <c r="C1299" s="3" t="s">
        <v>5594</v>
      </c>
      <c r="D1299" s="3" t="s">
        <v>5595</v>
      </c>
      <c r="E1299" s="3" t="s">
        <v>5596</v>
      </c>
      <c r="F1299" s="3" t="s">
        <v>19</v>
      </c>
      <c r="G1299" s="3" t="s">
        <v>112</v>
      </c>
      <c r="H1299" s="3">
        <v>10.0</v>
      </c>
      <c r="I1299" s="3" t="s">
        <v>5593</v>
      </c>
      <c r="J1299" s="3" t="s">
        <v>22</v>
      </c>
      <c r="K1299" s="3" t="s">
        <v>58</v>
      </c>
      <c r="L1299" s="3" t="s">
        <v>133</v>
      </c>
      <c r="M1299" s="3" t="s">
        <v>134</v>
      </c>
      <c r="N1299" s="3" t="s">
        <v>135</v>
      </c>
      <c r="O1299" s="5">
        <v>3040.4735902</v>
      </c>
      <c r="P1299" s="6" t="str">
        <f t="shared" si="2"/>
        <v>Auto Components &amp; Equipments</v>
      </c>
    </row>
    <row r="1300" hidden="1">
      <c r="A1300" s="3" t="s">
        <v>5597</v>
      </c>
      <c r="B1300" s="4">
        <v>522249.0</v>
      </c>
      <c r="C1300" s="3" t="s">
        <v>5598</v>
      </c>
      <c r="D1300" s="3" t="s">
        <v>5599</v>
      </c>
      <c r="E1300" s="3" t="s">
        <v>5600</v>
      </c>
      <c r="F1300" s="3" t="s">
        <v>19</v>
      </c>
      <c r="G1300" s="3" t="s">
        <v>112</v>
      </c>
      <c r="H1300" s="3">
        <v>5.0</v>
      </c>
      <c r="I1300" s="3" t="s">
        <v>5597</v>
      </c>
      <c r="J1300" s="3" t="s">
        <v>22</v>
      </c>
      <c r="K1300" s="3" t="s">
        <v>58</v>
      </c>
      <c r="L1300" s="3" t="s">
        <v>211</v>
      </c>
      <c r="M1300" s="3" t="s">
        <v>211</v>
      </c>
      <c r="N1300" s="3" t="s">
        <v>3963</v>
      </c>
      <c r="O1300" s="5">
        <v>2770.2840875</v>
      </c>
      <c r="P1300" s="6" t="str">
        <f t="shared" si="2"/>
        <v>Consumer Durables</v>
      </c>
    </row>
    <row r="1301" hidden="1">
      <c r="A1301" s="3" t="s">
        <v>5601</v>
      </c>
      <c r="B1301" s="4">
        <v>522251.0</v>
      </c>
      <c r="C1301" s="3" t="s">
        <v>5602</v>
      </c>
      <c r="D1301" s="3" t="s">
        <v>5603</v>
      </c>
      <c r="E1301" s="3" t="s">
        <v>5604</v>
      </c>
      <c r="F1301" s="3" t="s">
        <v>19</v>
      </c>
      <c r="G1301" s="3" t="s">
        <v>72</v>
      </c>
      <c r="H1301" s="3">
        <v>10.0</v>
      </c>
      <c r="I1301" s="3" t="s">
        <v>5601</v>
      </c>
      <c r="J1301" s="3" t="s">
        <v>22</v>
      </c>
      <c r="K1301" s="3" t="s">
        <v>97</v>
      </c>
      <c r="L1301" s="3" t="s">
        <v>98</v>
      </c>
      <c r="M1301" s="3" t="s">
        <v>99</v>
      </c>
      <c r="N1301" s="3" t="s">
        <v>100</v>
      </c>
      <c r="O1301" s="5">
        <v>182.2632228</v>
      </c>
      <c r="P1301" s="6" t="str">
        <f t="shared" si="2"/>
        <v>Industrial Products</v>
      </c>
    </row>
    <row r="1302" hidden="1">
      <c r="A1302" s="3" t="s">
        <v>5605</v>
      </c>
      <c r="B1302" s="4">
        <v>522257.0</v>
      </c>
      <c r="C1302" s="3" t="s">
        <v>5606</v>
      </c>
      <c r="D1302" s="3" t="s">
        <v>5607</v>
      </c>
      <c r="E1302" s="3" t="s">
        <v>5608</v>
      </c>
      <c r="F1302" s="3" t="s">
        <v>19</v>
      </c>
      <c r="G1302" s="3" t="s">
        <v>86</v>
      </c>
      <c r="H1302" s="3">
        <v>1.0</v>
      </c>
      <c r="I1302" s="3" t="s">
        <v>5605</v>
      </c>
      <c r="J1302" s="3" t="s">
        <v>22</v>
      </c>
      <c r="K1302" s="3" t="s">
        <v>97</v>
      </c>
      <c r="L1302" s="3" t="s">
        <v>98</v>
      </c>
      <c r="M1302" s="3" t="s">
        <v>99</v>
      </c>
      <c r="N1302" s="3" t="s">
        <v>100</v>
      </c>
      <c r="O1302" s="5">
        <v>1908.8658</v>
      </c>
      <c r="P1302" s="6" t="str">
        <f t="shared" si="2"/>
        <v>Industrial Products</v>
      </c>
    </row>
    <row r="1303" hidden="1">
      <c r="A1303" s="3" t="s">
        <v>5609</v>
      </c>
      <c r="B1303" s="4">
        <v>522261.0</v>
      </c>
      <c r="C1303" s="3" t="s">
        <v>5610</v>
      </c>
      <c r="D1303" s="3" t="s">
        <v>5611</v>
      </c>
      <c r="E1303" s="3" t="s">
        <v>5612</v>
      </c>
      <c r="F1303" s="3" t="s">
        <v>19</v>
      </c>
      <c r="G1303" s="3" t="s">
        <v>86</v>
      </c>
      <c r="H1303" s="3">
        <v>1.0</v>
      </c>
      <c r="I1303" s="3" t="s">
        <v>5609</v>
      </c>
      <c r="J1303" s="3" t="s">
        <v>22</v>
      </c>
      <c r="K1303" s="3" t="s">
        <v>410</v>
      </c>
      <c r="L1303" s="3" t="s">
        <v>411</v>
      </c>
      <c r="M1303" s="3" t="s">
        <v>412</v>
      </c>
      <c r="N1303" s="3" t="s">
        <v>3177</v>
      </c>
      <c r="O1303" s="5">
        <v>2709.60998</v>
      </c>
      <c r="P1303" s="6" t="str">
        <f t="shared" si="2"/>
        <v>Oil</v>
      </c>
    </row>
    <row r="1304" hidden="1">
      <c r="A1304" s="3" t="s">
        <v>5613</v>
      </c>
      <c r="B1304" s="4">
        <v>522267.0</v>
      </c>
      <c r="C1304" s="3" t="s">
        <v>5614</v>
      </c>
      <c r="D1304" s="3" t="s">
        <v>5615</v>
      </c>
      <c r="E1304" s="3" t="s">
        <v>5616</v>
      </c>
      <c r="F1304" s="3" t="s">
        <v>19</v>
      </c>
      <c r="G1304" s="3" t="s">
        <v>44</v>
      </c>
      <c r="H1304" s="3">
        <v>10.0</v>
      </c>
      <c r="I1304" s="3" t="s">
        <v>5613</v>
      </c>
      <c r="J1304" s="3" t="s">
        <v>22</v>
      </c>
      <c r="K1304" s="3" t="s">
        <v>97</v>
      </c>
      <c r="L1304" s="3" t="s">
        <v>98</v>
      </c>
      <c r="M1304" s="3" t="s">
        <v>99</v>
      </c>
      <c r="N1304" s="3" t="s">
        <v>100</v>
      </c>
      <c r="O1304" s="5">
        <v>30.431394</v>
      </c>
      <c r="P1304" s="6" t="str">
        <f t="shared" si="2"/>
        <v>Industrial Products</v>
      </c>
    </row>
    <row r="1305" hidden="1">
      <c r="A1305" s="3" t="s">
        <v>5617</v>
      </c>
      <c r="B1305" s="4">
        <v>522273.0</v>
      </c>
      <c r="C1305" s="3" t="s">
        <v>5618</v>
      </c>
      <c r="D1305" s="3" t="s">
        <v>5619</v>
      </c>
      <c r="E1305" s="3" t="s">
        <v>5620</v>
      </c>
      <c r="F1305" s="3" t="s">
        <v>19</v>
      </c>
      <c r="G1305" s="3" t="s">
        <v>72</v>
      </c>
      <c r="H1305" s="3">
        <v>10.0</v>
      </c>
      <c r="I1305" s="3" t="s">
        <v>5617</v>
      </c>
      <c r="J1305" s="3" t="s">
        <v>22</v>
      </c>
      <c r="K1305" s="3" t="s">
        <v>97</v>
      </c>
      <c r="L1305" s="3" t="s">
        <v>98</v>
      </c>
      <c r="M1305" s="3" t="s">
        <v>100</v>
      </c>
      <c r="N1305" s="3" t="s">
        <v>612</v>
      </c>
      <c r="O1305" s="5">
        <v>1.0</v>
      </c>
      <c r="P1305" s="6" t="str">
        <f t="shared" si="2"/>
        <v>Industrial Products</v>
      </c>
    </row>
    <row r="1306">
      <c r="A1306" s="3" t="s">
        <v>5621</v>
      </c>
      <c r="B1306" s="4">
        <v>500164.0</v>
      </c>
      <c r="C1306" s="3" t="s">
        <v>5622</v>
      </c>
      <c r="D1306" s="3" t="s">
        <v>5623</v>
      </c>
      <c r="E1306" s="3" t="s">
        <v>5624</v>
      </c>
      <c r="F1306" s="3" t="s">
        <v>19</v>
      </c>
      <c r="G1306" s="3" t="s">
        <v>20</v>
      </c>
      <c r="H1306" s="3">
        <v>1.0</v>
      </c>
      <c r="I1306" s="3" t="s">
        <v>428</v>
      </c>
      <c r="J1306" s="3" t="s">
        <v>22</v>
      </c>
      <c r="K1306" s="3" t="s">
        <v>2675</v>
      </c>
      <c r="L1306" s="3" t="s">
        <v>2675</v>
      </c>
      <c r="M1306" s="3" t="s">
        <v>2675</v>
      </c>
      <c r="N1306" s="3" t="s">
        <v>2675</v>
      </c>
      <c r="O1306" s="5">
        <v>28919.795492</v>
      </c>
      <c r="P1306" s="6" t="str">
        <f t="shared" si="2"/>
        <v>Diversified</v>
      </c>
    </row>
    <row r="1307" hidden="1">
      <c r="A1307" s="3" t="s">
        <v>5625</v>
      </c>
      <c r="B1307" s="4">
        <v>522281.0</v>
      </c>
      <c r="C1307" s="3" t="s">
        <v>5626</v>
      </c>
      <c r="D1307" s="3" t="s">
        <v>5627</v>
      </c>
      <c r="E1307" s="3" t="s">
        <v>5628</v>
      </c>
      <c r="F1307" s="3" t="s">
        <v>19</v>
      </c>
      <c r="G1307" s="3" t="s">
        <v>112</v>
      </c>
      <c r="H1307" s="3">
        <v>5.0</v>
      </c>
      <c r="I1307" s="3" t="s">
        <v>5625</v>
      </c>
      <c r="J1307" s="3" t="s">
        <v>22</v>
      </c>
      <c r="K1307" s="3" t="s">
        <v>97</v>
      </c>
      <c r="L1307" s="3" t="s">
        <v>98</v>
      </c>
      <c r="M1307" s="3" t="s">
        <v>1747</v>
      </c>
      <c r="N1307" s="3" t="s">
        <v>1748</v>
      </c>
      <c r="O1307" s="5">
        <v>1672.4501365</v>
      </c>
      <c r="P1307" s="6" t="str">
        <f t="shared" si="2"/>
        <v>Electrical Equipment</v>
      </c>
    </row>
    <row r="1308" hidden="1">
      <c r="A1308" s="3" t="s">
        <v>5629</v>
      </c>
      <c r="B1308" s="4">
        <v>522285.0</v>
      </c>
      <c r="C1308" s="3" t="s">
        <v>5630</v>
      </c>
      <c r="D1308" s="3" t="s">
        <v>5631</v>
      </c>
      <c r="E1308" s="3" t="s">
        <v>5632</v>
      </c>
      <c r="F1308" s="3" t="s">
        <v>19</v>
      </c>
      <c r="G1308" s="3" t="s">
        <v>112</v>
      </c>
      <c r="H1308" s="3">
        <v>10.0</v>
      </c>
      <c r="I1308" s="3" t="s">
        <v>5629</v>
      </c>
      <c r="J1308" s="3" t="s">
        <v>22</v>
      </c>
      <c r="K1308" s="3" t="s">
        <v>97</v>
      </c>
      <c r="L1308" s="3" t="s">
        <v>98</v>
      </c>
      <c r="M1308" s="3" t="s">
        <v>100</v>
      </c>
      <c r="N1308" s="3" t="s">
        <v>612</v>
      </c>
      <c r="O1308" s="5">
        <v>4687.9640632</v>
      </c>
      <c r="P1308" s="6" t="str">
        <f t="shared" si="2"/>
        <v>Industrial Products</v>
      </c>
    </row>
    <row r="1309">
      <c r="A1309" s="3" t="s">
        <v>5633</v>
      </c>
      <c r="B1309" s="4">
        <v>503310.0</v>
      </c>
      <c r="C1309" s="3" t="s">
        <v>5634</v>
      </c>
      <c r="D1309" s="3" t="s">
        <v>5635</v>
      </c>
      <c r="E1309" s="3" t="s">
        <v>5636</v>
      </c>
      <c r="F1309" s="3" t="s">
        <v>19</v>
      </c>
      <c r="G1309" s="3" t="s">
        <v>20</v>
      </c>
      <c r="H1309" s="3">
        <v>1.0</v>
      </c>
      <c r="I1309" s="3" t="s">
        <v>1609</v>
      </c>
      <c r="J1309" s="3" t="s">
        <v>22</v>
      </c>
      <c r="K1309" s="3" t="s">
        <v>2675</v>
      </c>
      <c r="L1309" s="3" t="s">
        <v>2675</v>
      </c>
      <c r="M1309" s="3" t="s">
        <v>2675</v>
      </c>
      <c r="N1309" s="3" t="s">
        <v>2675</v>
      </c>
      <c r="O1309" s="5">
        <v>18543.5233255</v>
      </c>
      <c r="P1309" s="6" t="str">
        <f t="shared" si="2"/>
        <v>Diversified</v>
      </c>
    </row>
    <row r="1310" hidden="1">
      <c r="A1310" s="3" t="s">
        <v>5637</v>
      </c>
      <c r="B1310" s="4">
        <v>526481.0</v>
      </c>
      <c r="C1310" s="3" t="s">
        <v>5638</v>
      </c>
      <c r="D1310" s="3" t="s">
        <v>5639</v>
      </c>
      <c r="E1310" s="3" t="s">
        <v>5640</v>
      </c>
      <c r="F1310" s="3" t="s">
        <v>19</v>
      </c>
      <c r="G1310" s="3" t="s">
        <v>44</v>
      </c>
      <c r="H1310" s="3">
        <v>10.0</v>
      </c>
      <c r="I1310" s="3" t="s">
        <v>5641</v>
      </c>
      <c r="J1310" s="3" t="s">
        <v>22</v>
      </c>
      <c r="K1310" s="3" t="s">
        <v>1673</v>
      </c>
      <c r="L1310" s="3" t="s">
        <v>1673</v>
      </c>
      <c r="M1310" s="3" t="s">
        <v>1674</v>
      </c>
      <c r="N1310" s="3" t="s">
        <v>1675</v>
      </c>
      <c r="O1310" s="5">
        <v>81.7528364</v>
      </c>
      <c r="P1310" s="6" t="str">
        <f t="shared" si="2"/>
        <v>Commercial Services &amp; Supplies</v>
      </c>
    </row>
    <row r="1311" hidden="1">
      <c r="A1311" s="3" t="s">
        <v>5642</v>
      </c>
      <c r="B1311" s="4">
        <v>522292.0</v>
      </c>
      <c r="C1311" s="3" t="s">
        <v>5643</v>
      </c>
      <c r="D1311" s="3" t="s">
        <v>5644</v>
      </c>
      <c r="E1311" s="3" t="s">
        <v>5645</v>
      </c>
      <c r="F1311" s="3" t="s">
        <v>19</v>
      </c>
      <c r="G1311" s="3" t="s">
        <v>44</v>
      </c>
      <c r="H1311" s="3">
        <v>10.0</v>
      </c>
      <c r="I1311" s="3" t="s">
        <v>5642</v>
      </c>
      <c r="J1311" s="3" t="s">
        <v>22</v>
      </c>
      <c r="K1311" s="3" t="s">
        <v>97</v>
      </c>
      <c r="L1311" s="3" t="s">
        <v>98</v>
      </c>
      <c r="M1311" s="3" t="s">
        <v>100</v>
      </c>
      <c r="N1311" s="3" t="s">
        <v>580</v>
      </c>
      <c r="O1311" s="5">
        <v>81.4421206</v>
      </c>
      <c r="P1311" s="6" t="str">
        <f t="shared" si="2"/>
        <v>Industrial Products</v>
      </c>
    </row>
    <row r="1312" hidden="1">
      <c r="A1312" s="3" t="s">
        <v>5646</v>
      </c>
      <c r="B1312" s="4">
        <v>522294.0</v>
      </c>
      <c r="C1312" s="3" t="s">
        <v>5647</v>
      </c>
      <c r="D1312" s="3" t="s">
        <v>5648</v>
      </c>
      <c r="E1312" s="3" t="s">
        <v>5649</v>
      </c>
      <c r="F1312" s="3" t="s">
        <v>19</v>
      </c>
      <c r="G1312" s="3" t="s">
        <v>44</v>
      </c>
      <c r="H1312" s="3">
        <v>10.0</v>
      </c>
      <c r="I1312" s="3" t="s">
        <v>5646</v>
      </c>
      <c r="J1312" s="3" t="s">
        <v>22</v>
      </c>
      <c r="K1312" s="3" t="s">
        <v>97</v>
      </c>
      <c r="L1312" s="3" t="s">
        <v>98</v>
      </c>
      <c r="M1312" s="3" t="s">
        <v>99</v>
      </c>
      <c r="N1312" s="3" t="s">
        <v>100</v>
      </c>
      <c r="O1312" s="5">
        <v>124.1369148</v>
      </c>
      <c r="P1312" s="6" t="str">
        <f t="shared" si="2"/>
        <v>Industrial Products</v>
      </c>
    </row>
    <row r="1313" hidden="1">
      <c r="A1313" s="3" t="s">
        <v>5650</v>
      </c>
      <c r="B1313" s="4">
        <v>522295.0</v>
      </c>
      <c r="C1313" s="3" t="s">
        <v>5651</v>
      </c>
      <c r="D1313" s="3" t="s">
        <v>5652</v>
      </c>
      <c r="E1313" s="3" t="s">
        <v>5653</v>
      </c>
      <c r="F1313" s="3" t="s">
        <v>19</v>
      </c>
      <c r="G1313" s="3" t="s">
        <v>112</v>
      </c>
      <c r="H1313" s="3">
        <v>10.0</v>
      </c>
      <c r="I1313" s="3" t="s">
        <v>5650</v>
      </c>
      <c r="J1313" s="3" t="s">
        <v>22</v>
      </c>
      <c r="K1313" s="3" t="s">
        <v>473</v>
      </c>
      <c r="L1313" s="3" t="s">
        <v>473</v>
      </c>
      <c r="M1313" s="3" t="s">
        <v>474</v>
      </c>
      <c r="N1313" s="3" t="s">
        <v>475</v>
      </c>
      <c r="O1313" s="5">
        <v>1373.530722</v>
      </c>
      <c r="P1313" s="6" t="str">
        <f t="shared" si="2"/>
        <v>IT - Hardware</v>
      </c>
    </row>
    <row r="1314" hidden="1">
      <c r="A1314" s="3" t="s">
        <v>5654</v>
      </c>
      <c r="B1314" s="4">
        <v>522650.0</v>
      </c>
      <c r="C1314" s="3" t="s">
        <v>5655</v>
      </c>
      <c r="D1314" s="3" t="s">
        <v>5656</v>
      </c>
      <c r="E1314" s="3" t="s">
        <v>5657</v>
      </c>
      <c r="F1314" s="3" t="s">
        <v>19</v>
      </c>
      <c r="G1314" s="3" t="s">
        <v>72</v>
      </c>
      <c r="H1314" s="3">
        <v>10.0</v>
      </c>
      <c r="I1314" s="3" t="s">
        <v>5654</v>
      </c>
      <c r="J1314" s="3" t="s">
        <v>22</v>
      </c>
      <c r="K1314" s="3" t="s">
        <v>97</v>
      </c>
      <c r="L1314" s="3" t="s">
        <v>98</v>
      </c>
      <c r="M1314" s="3" t="s">
        <v>99</v>
      </c>
      <c r="N1314" s="3" t="s">
        <v>100</v>
      </c>
      <c r="O1314" s="5">
        <v>309.0405199</v>
      </c>
      <c r="P1314" s="6" t="str">
        <f t="shared" si="2"/>
        <v>Industrial Products</v>
      </c>
    </row>
    <row r="1315" hidden="1">
      <c r="A1315" s="3" t="s">
        <v>5658</v>
      </c>
      <c r="B1315" s="4">
        <v>523007.0</v>
      </c>
      <c r="C1315" s="3" t="s">
        <v>5659</v>
      </c>
      <c r="D1315" s="3" t="s">
        <v>5660</v>
      </c>
      <c r="E1315" s="3" t="s">
        <v>5661</v>
      </c>
      <c r="F1315" s="3" t="s">
        <v>19</v>
      </c>
      <c r="G1315" s="3" t="s">
        <v>44</v>
      </c>
      <c r="H1315" s="3">
        <v>10.0</v>
      </c>
      <c r="I1315" s="3" t="s">
        <v>5658</v>
      </c>
      <c r="J1315" s="3" t="s">
        <v>22</v>
      </c>
      <c r="K1315" s="3" t="s">
        <v>58</v>
      </c>
      <c r="L1315" s="3" t="s">
        <v>59</v>
      </c>
      <c r="M1315" s="3" t="s">
        <v>59</v>
      </c>
      <c r="N1315" s="3" t="s">
        <v>60</v>
      </c>
      <c r="O1315" s="5">
        <v>91.4858137</v>
      </c>
      <c r="P1315" s="6" t="str">
        <f t="shared" si="2"/>
        <v>Residential, Commercial Projects</v>
      </c>
    </row>
    <row r="1316" hidden="1">
      <c r="A1316" s="3" t="s">
        <v>5662</v>
      </c>
      <c r="B1316" s="4">
        <v>523011.0</v>
      </c>
      <c r="C1316" s="3" t="s">
        <v>5663</v>
      </c>
      <c r="D1316" s="3" t="s">
        <v>5664</v>
      </c>
      <c r="E1316" s="3" t="s">
        <v>5665</v>
      </c>
      <c r="F1316" s="3" t="s">
        <v>19</v>
      </c>
      <c r="G1316" s="3" t="s">
        <v>112</v>
      </c>
      <c r="H1316" s="3">
        <v>10.0</v>
      </c>
      <c r="I1316" s="3" t="s">
        <v>5662</v>
      </c>
      <c r="J1316" s="3" t="s">
        <v>22</v>
      </c>
      <c r="K1316" s="3" t="s">
        <v>58</v>
      </c>
      <c r="L1316" s="3" t="s">
        <v>80</v>
      </c>
      <c r="M1316" s="3" t="s">
        <v>81</v>
      </c>
      <c r="N1316" s="3" t="s">
        <v>82</v>
      </c>
      <c r="O1316" s="5">
        <v>209.7649355</v>
      </c>
      <c r="P1316" s="6" t="str">
        <f t="shared" si="2"/>
        <v>Textiles &amp; Apparels</v>
      </c>
    </row>
    <row r="1317" hidden="1">
      <c r="A1317" s="3" t="s">
        <v>5666</v>
      </c>
      <c r="B1317" s="4">
        <v>523019.0</v>
      </c>
      <c r="C1317" s="3" t="s">
        <v>5667</v>
      </c>
      <c r="D1317" s="3" t="s">
        <v>5668</v>
      </c>
      <c r="E1317" s="3" t="s">
        <v>5669</v>
      </c>
      <c r="F1317" s="3" t="s">
        <v>19</v>
      </c>
      <c r="G1317" s="3" t="s">
        <v>44</v>
      </c>
      <c r="H1317" s="3">
        <v>10.0</v>
      </c>
      <c r="I1317" s="3" t="s">
        <v>5666</v>
      </c>
      <c r="J1317" s="3" t="s">
        <v>22</v>
      </c>
      <c r="K1317" s="3" t="s">
        <v>204</v>
      </c>
      <c r="L1317" s="3" t="s">
        <v>204</v>
      </c>
      <c r="M1317" s="3" t="s">
        <v>378</v>
      </c>
      <c r="N1317" s="3" t="s">
        <v>468</v>
      </c>
      <c r="O1317" s="5">
        <v>146.763638</v>
      </c>
      <c r="P1317" s="6" t="str">
        <f t="shared" si="2"/>
        <v>Finance</v>
      </c>
    </row>
    <row r="1318" hidden="1">
      <c r="A1318" s="3" t="s">
        <v>5670</v>
      </c>
      <c r="B1318" s="4">
        <v>523021.0</v>
      </c>
      <c r="C1318" s="3" t="s">
        <v>5671</v>
      </c>
      <c r="D1318" s="3" t="s">
        <v>5672</v>
      </c>
      <c r="E1318" s="3" t="s">
        <v>5673</v>
      </c>
      <c r="F1318" s="3" t="s">
        <v>19</v>
      </c>
      <c r="G1318" s="3" t="s">
        <v>44</v>
      </c>
      <c r="H1318" s="3">
        <v>10.0</v>
      </c>
      <c r="I1318" s="3" t="s">
        <v>5670</v>
      </c>
      <c r="J1318" s="3" t="s">
        <v>22</v>
      </c>
      <c r="K1318" s="3" t="s">
        <v>97</v>
      </c>
      <c r="L1318" s="3" t="s">
        <v>98</v>
      </c>
      <c r="M1318" s="3" t="s">
        <v>100</v>
      </c>
      <c r="N1318" s="3" t="s">
        <v>373</v>
      </c>
      <c r="O1318" s="5">
        <v>41.8684145</v>
      </c>
      <c r="P1318" s="6" t="str">
        <f t="shared" si="2"/>
        <v>Industrial Products</v>
      </c>
    </row>
    <row r="1319" hidden="1">
      <c r="A1319" s="3" t="s">
        <v>5674</v>
      </c>
      <c r="B1319" s="4">
        <v>523023.0</v>
      </c>
      <c r="C1319" s="3" t="s">
        <v>5675</v>
      </c>
      <c r="D1319" s="3" t="s">
        <v>5676</v>
      </c>
      <c r="E1319" s="3" t="s">
        <v>5677</v>
      </c>
      <c r="F1319" s="3" t="s">
        <v>19</v>
      </c>
      <c r="G1319" s="3" t="s">
        <v>112</v>
      </c>
      <c r="H1319" s="3">
        <v>2.0</v>
      </c>
      <c r="I1319" s="3" t="s">
        <v>5674</v>
      </c>
      <c r="J1319" s="3" t="s">
        <v>22</v>
      </c>
      <c r="K1319" s="3" t="s">
        <v>58</v>
      </c>
      <c r="L1319" s="3" t="s">
        <v>73</v>
      </c>
      <c r="M1319" s="3" t="s">
        <v>74</v>
      </c>
      <c r="N1319" s="3" t="s">
        <v>75</v>
      </c>
      <c r="O1319" s="5">
        <v>593.8587531</v>
      </c>
      <c r="P1319" s="6" t="str">
        <f t="shared" si="2"/>
        <v>Leisure Services</v>
      </c>
    </row>
    <row r="1320">
      <c r="A1320" s="3" t="s">
        <v>1278</v>
      </c>
      <c r="B1320" s="4">
        <v>523367.0</v>
      </c>
      <c r="C1320" s="3" t="s">
        <v>5678</v>
      </c>
      <c r="D1320" s="3" t="s">
        <v>5679</v>
      </c>
      <c r="E1320" s="3" t="s">
        <v>5678</v>
      </c>
      <c r="F1320" s="3" t="s">
        <v>19</v>
      </c>
      <c r="G1320" s="3" t="s">
        <v>20</v>
      </c>
      <c r="H1320" s="3">
        <v>2.0</v>
      </c>
      <c r="I1320" s="3" t="s">
        <v>5680</v>
      </c>
      <c r="J1320" s="3" t="s">
        <v>22</v>
      </c>
      <c r="K1320" s="3" t="s">
        <v>2675</v>
      </c>
      <c r="L1320" s="3" t="s">
        <v>2675</v>
      </c>
      <c r="M1320" s="3" t="s">
        <v>2675</v>
      </c>
      <c r="N1320" s="3" t="s">
        <v>2675</v>
      </c>
      <c r="O1320" s="5">
        <v>15599.5308</v>
      </c>
      <c r="P1320" s="6" t="str">
        <f t="shared" si="2"/>
        <v>Diversified</v>
      </c>
    </row>
    <row r="1321" hidden="1">
      <c r="A1321" s="3" t="s">
        <v>5681</v>
      </c>
      <c r="B1321" s="4">
        <v>523054.0</v>
      </c>
      <c r="C1321" s="3" t="s">
        <v>5682</v>
      </c>
      <c r="D1321" s="3" t="s">
        <v>5683</v>
      </c>
      <c r="E1321" s="3" t="s">
        <v>5684</v>
      </c>
      <c r="F1321" s="3" t="s">
        <v>19</v>
      </c>
      <c r="G1321" s="3" t="s">
        <v>72</v>
      </c>
      <c r="H1321" s="3">
        <v>10.0</v>
      </c>
      <c r="I1321" s="3" t="s">
        <v>5681</v>
      </c>
      <c r="J1321" s="3" t="s">
        <v>22</v>
      </c>
      <c r="K1321" s="3" t="s">
        <v>58</v>
      </c>
      <c r="L1321" s="3" t="s">
        <v>80</v>
      </c>
      <c r="M1321" s="3" t="s">
        <v>81</v>
      </c>
      <c r="N1321" s="3" t="s">
        <v>82</v>
      </c>
      <c r="O1321" s="5">
        <v>150.1988659</v>
      </c>
      <c r="P1321" s="6" t="str">
        <f t="shared" si="2"/>
        <v>Textiles &amp; Apparels</v>
      </c>
    </row>
    <row r="1322" hidden="1">
      <c r="A1322" s="3" t="s">
        <v>5685</v>
      </c>
      <c r="B1322" s="4">
        <v>523062.0</v>
      </c>
      <c r="C1322" s="3" t="s">
        <v>5686</v>
      </c>
      <c r="D1322" s="3" t="s">
        <v>5687</v>
      </c>
      <c r="E1322" s="3" t="s">
        <v>5688</v>
      </c>
      <c r="F1322" s="3" t="s">
        <v>19</v>
      </c>
      <c r="G1322" s="3" t="s">
        <v>44</v>
      </c>
      <c r="H1322" s="3">
        <v>10.0</v>
      </c>
      <c r="I1322" s="3" t="s">
        <v>5685</v>
      </c>
      <c r="J1322" s="3" t="s">
        <v>22</v>
      </c>
      <c r="K1322" s="3" t="s">
        <v>204</v>
      </c>
      <c r="L1322" s="3" t="s">
        <v>204</v>
      </c>
      <c r="M1322" s="3" t="s">
        <v>378</v>
      </c>
      <c r="N1322" s="3" t="s">
        <v>379</v>
      </c>
      <c r="O1322" s="5">
        <v>1.0</v>
      </c>
      <c r="P1322" s="6" t="str">
        <f t="shared" si="2"/>
        <v>Non Banking Financial Company (NBFC)</v>
      </c>
    </row>
    <row r="1323" hidden="1">
      <c r="A1323" s="3" t="s">
        <v>5689</v>
      </c>
      <c r="B1323" s="4">
        <v>523100.0</v>
      </c>
      <c r="C1323" s="3" t="s">
        <v>5690</v>
      </c>
      <c r="D1323" s="3" t="s">
        <v>5691</v>
      </c>
      <c r="E1323" s="3" t="s">
        <v>5692</v>
      </c>
      <c r="F1323" s="3" t="s">
        <v>19</v>
      </c>
      <c r="G1323" s="3" t="s">
        <v>44</v>
      </c>
      <c r="H1323" s="3">
        <v>10.0</v>
      </c>
      <c r="I1323" s="3" t="s">
        <v>5689</v>
      </c>
      <c r="J1323" s="3" t="s">
        <v>22</v>
      </c>
      <c r="K1323" s="3" t="s">
        <v>97</v>
      </c>
      <c r="L1323" s="3" t="s">
        <v>98</v>
      </c>
      <c r="M1323" s="3" t="s">
        <v>99</v>
      </c>
      <c r="N1323" s="3" t="s">
        <v>100</v>
      </c>
      <c r="O1323" s="5">
        <v>216.5288492</v>
      </c>
      <c r="P1323" s="6" t="str">
        <f t="shared" si="2"/>
        <v>Industrial Products</v>
      </c>
    </row>
    <row r="1324" hidden="1">
      <c r="A1324" s="3" t="s">
        <v>5693</v>
      </c>
      <c r="B1324" s="4">
        <v>523105.0</v>
      </c>
      <c r="C1324" s="3" t="s">
        <v>5694</v>
      </c>
      <c r="D1324" s="3" t="s">
        <v>5695</v>
      </c>
      <c r="E1324" s="3" t="s">
        <v>5696</v>
      </c>
      <c r="F1324" s="3" t="s">
        <v>19</v>
      </c>
      <c r="G1324" s="3" t="s">
        <v>44</v>
      </c>
      <c r="H1324" s="3">
        <v>10.0</v>
      </c>
      <c r="I1324" s="3" t="s">
        <v>5693</v>
      </c>
      <c r="J1324" s="3" t="s">
        <v>22</v>
      </c>
      <c r="K1324" s="3" t="s">
        <v>97</v>
      </c>
      <c r="L1324" s="3" t="s">
        <v>98</v>
      </c>
      <c r="M1324" s="3" t="s">
        <v>100</v>
      </c>
      <c r="N1324" s="3" t="s">
        <v>373</v>
      </c>
      <c r="O1324" s="5">
        <v>1053.644088</v>
      </c>
      <c r="P1324" s="6" t="str">
        <f t="shared" si="2"/>
        <v>Industrial Products</v>
      </c>
    </row>
    <row r="1325" hidden="1">
      <c r="A1325" s="3" t="s">
        <v>5697</v>
      </c>
      <c r="B1325" s="4">
        <v>523113.0</v>
      </c>
      <c r="C1325" s="3" t="s">
        <v>5698</v>
      </c>
      <c r="D1325" s="3" t="s">
        <v>5699</v>
      </c>
      <c r="E1325" s="3" t="s">
        <v>5700</v>
      </c>
      <c r="F1325" s="3" t="s">
        <v>19</v>
      </c>
      <c r="G1325" s="3" t="s">
        <v>72</v>
      </c>
      <c r="H1325" s="3">
        <v>10.0</v>
      </c>
      <c r="I1325" s="3" t="s">
        <v>5697</v>
      </c>
      <c r="J1325" s="3" t="s">
        <v>22</v>
      </c>
      <c r="K1325" s="3" t="s">
        <v>204</v>
      </c>
      <c r="L1325" s="3" t="s">
        <v>204</v>
      </c>
      <c r="M1325" s="3" t="s">
        <v>378</v>
      </c>
      <c r="N1325" s="3" t="s">
        <v>379</v>
      </c>
      <c r="O1325" s="5">
        <v>1.0</v>
      </c>
      <c r="P1325" s="6" t="str">
        <f t="shared" si="2"/>
        <v>Non Banking Financial Company (NBFC)</v>
      </c>
    </row>
    <row r="1326" hidden="1">
      <c r="A1326" s="3" t="s">
        <v>4402</v>
      </c>
      <c r="B1326" s="4">
        <v>522235.0</v>
      </c>
      <c r="C1326" s="3" t="s">
        <v>5701</v>
      </c>
      <c r="D1326" s="3" t="s">
        <v>5702</v>
      </c>
      <c r="E1326" s="3" t="s">
        <v>5701</v>
      </c>
      <c r="F1326" s="3" t="s">
        <v>19</v>
      </c>
      <c r="G1326" s="3" t="s">
        <v>72</v>
      </c>
      <c r="H1326" s="3">
        <v>2.0</v>
      </c>
      <c r="I1326" s="3" t="s">
        <v>5584</v>
      </c>
      <c r="J1326" s="3" t="s">
        <v>22</v>
      </c>
      <c r="K1326" s="3" t="s">
        <v>1673</v>
      </c>
      <c r="L1326" s="3" t="s">
        <v>1673</v>
      </c>
      <c r="M1326" s="3" t="s">
        <v>1674</v>
      </c>
      <c r="N1326" s="3" t="s">
        <v>1915</v>
      </c>
      <c r="O1326" s="5">
        <v>81.5005575</v>
      </c>
      <c r="P1326" s="6" t="str">
        <f t="shared" si="2"/>
        <v>Commercial Services &amp; Supplies</v>
      </c>
    </row>
    <row r="1327" hidden="1">
      <c r="A1327" s="3" t="s">
        <v>5703</v>
      </c>
      <c r="B1327" s="4">
        <v>523120.0</v>
      </c>
      <c r="C1327" s="3" t="s">
        <v>5704</v>
      </c>
      <c r="D1327" s="3" t="s">
        <v>5705</v>
      </c>
      <c r="E1327" s="3" t="s">
        <v>5706</v>
      </c>
      <c r="F1327" s="3" t="s">
        <v>19</v>
      </c>
      <c r="G1327" s="3" t="s">
        <v>44</v>
      </c>
      <c r="H1327" s="3">
        <v>10.0</v>
      </c>
      <c r="I1327" s="3" t="s">
        <v>5703</v>
      </c>
      <c r="J1327" s="3" t="s">
        <v>22</v>
      </c>
      <c r="K1327" s="3" t="s">
        <v>145</v>
      </c>
      <c r="L1327" s="3" t="s">
        <v>145</v>
      </c>
      <c r="M1327" s="3" t="s">
        <v>2790</v>
      </c>
      <c r="N1327" s="3" t="s">
        <v>2791</v>
      </c>
      <c r="O1327" s="5">
        <v>15.5028101</v>
      </c>
      <c r="P1327" s="6" t="str">
        <f t="shared" si="2"/>
        <v>Personal Products</v>
      </c>
    </row>
    <row r="1328" hidden="1">
      <c r="A1328" s="3" t="s">
        <v>5707</v>
      </c>
      <c r="B1328" s="4">
        <v>523127.0</v>
      </c>
      <c r="C1328" s="3" t="s">
        <v>5708</v>
      </c>
      <c r="D1328" s="3" t="s">
        <v>5709</v>
      </c>
      <c r="E1328" s="3" t="s">
        <v>5710</v>
      </c>
      <c r="F1328" s="3" t="s">
        <v>19</v>
      </c>
      <c r="G1328" s="3" t="s">
        <v>112</v>
      </c>
      <c r="H1328" s="3">
        <v>10.0</v>
      </c>
      <c r="I1328" s="3" t="s">
        <v>5707</v>
      </c>
      <c r="J1328" s="3" t="s">
        <v>22</v>
      </c>
      <c r="K1328" s="3" t="s">
        <v>58</v>
      </c>
      <c r="L1328" s="3" t="s">
        <v>73</v>
      </c>
      <c r="M1328" s="3" t="s">
        <v>74</v>
      </c>
      <c r="N1328" s="3" t="s">
        <v>75</v>
      </c>
      <c r="O1328" s="5">
        <v>2895.2834993</v>
      </c>
      <c r="P1328" s="6" t="str">
        <f t="shared" si="2"/>
        <v>Leisure Services</v>
      </c>
    </row>
    <row r="1329" hidden="1">
      <c r="A1329" s="3" t="s">
        <v>5711</v>
      </c>
      <c r="B1329" s="4">
        <v>523144.0</v>
      </c>
      <c r="C1329" s="3" t="s">
        <v>5712</v>
      </c>
      <c r="D1329" s="3" t="s">
        <v>5713</v>
      </c>
      <c r="E1329" s="3" t="s">
        <v>5714</v>
      </c>
      <c r="F1329" s="3" t="s">
        <v>19</v>
      </c>
      <c r="G1329" s="3" t="s">
        <v>44</v>
      </c>
      <c r="H1329" s="3">
        <v>10.0</v>
      </c>
      <c r="I1329" s="3" t="s">
        <v>5711</v>
      </c>
      <c r="J1329" s="3" t="s">
        <v>22</v>
      </c>
      <c r="K1329" s="3" t="s">
        <v>45</v>
      </c>
      <c r="L1329" s="3" t="s">
        <v>45</v>
      </c>
      <c r="M1329" s="3" t="s">
        <v>46</v>
      </c>
      <c r="N1329" s="3" t="s">
        <v>47</v>
      </c>
      <c r="O1329" s="5">
        <v>59.9926268</v>
      </c>
      <c r="P1329" s="6" t="str">
        <f t="shared" si="2"/>
        <v>Pharmaceuticals</v>
      </c>
    </row>
    <row r="1330" hidden="1">
      <c r="A1330" s="3" t="s">
        <v>5715</v>
      </c>
      <c r="B1330" s="4">
        <v>523844.0</v>
      </c>
      <c r="C1330" s="3" t="s">
        <v>5716</v>
      </c>
      <c r="D1330" s="3" t="s">
        <v>5717</v>
      </c>
      <c r="E1330" s="3" t="s">
        <v>5718</v>
      </c>
      <c r="F1330" s="3" t="s">
        <v>19</v>
      </c>
      <c r="G1330" s="3" t="s">
        <v>72</v>
      </c>
      <c r="H1330" s="3">
        <v>10.0</v>
      </c>
      <c r="I1330" s="3" t="s">
        <v>5719</v>
      </c>
      <c r="J1330" s="3" t="s">
        <v>22</v>
      </c>
      <c r="K1330" s="3" t="s">
        <v>1673</v>
      </c>
      <c r="L1330" s="3" t="s">
        <v>1673</v>
      </c>
      <c r="M1330" s="3" t="s">
        <v>1674</v>
      </c>
      <c r="N1330" s="3" t="s">
        <v>1915</v>
      </c>
      <c r="O1330" s="5">
        <v>80.9427052</v>
      </c>
      <c r="P1330" s="6" t="str">
        <f t="shared" si="2"/>
        <v>Commercial Services &amp; Supplies</v>
      </c>
    </row>
    <row r="1331" hidden="1">
      <c r="A1331" s="3" t="s">
        <v>5720</v>
      </c>
      <c r="B1331" s="4">
        <v>523160.0</v>
      </c>
      <c r="C1331" s="3" t="s">
        <v>5721</v>
      </c>
      <c r="D1331" s="3" t="s">
        <v>5722</v>
      </c>
      <c r="E1331" s="3" t="s">
        <v>5723</v>
      </c>
      <c r="F1331" s="3" t="s">
        <v>19</v>
      </c>
      <c r="G1331" s="3" t="s">
        <v>44</v>
      </c>
      <c r="H1331" s="3">
        <v>5.0</v>
      </c>
      <c r="I1331" s="3" t="s">
        <v>5720</v>
      </c>
      <c r="J1331" s="3" t="s">
        <v>22</v>
      </c>
      <c r="K1331" s="3" t="s">
        <v>97</v>
      </c>
      <c r="L1331" s="3" t="s">
        <v>98</v>
      </c>
      <c r="M1331" s="3" t="s">
        <v>100</v>
      </c>
      <c r="N1331" s="3" t="s">
        <v>1500</v>
      </c>
      <c r="O1331" s="5">
        <v>853.8991441</v>
      </c>
      <c r="P1331" s="6" t="str">
        <f t="shared" si="2"/>
        <v>Industrial Products</v>
      </c>
    </row>
    <row r="1332" hidden="1">
      <c r="A1332" s="3" t="s">
        <v>5724</v>
      </c>
      <c r="B1332" s="4">
        <v>523186.0</v>
      </c>
      <c r="C1332" s="3" t="s">
        <v>5725</v>
      </c>
      <c r="D1332" s="3" t="s">
        <v>5726</v>
      </c>
      <c r="E1332" s="3" t="s">
        <v>5725</v>
      </c>
      <c r="F1332" s="3" t="s">
        <v>19</v>
      </c>
      <c r="G1332" s="3" t="s">
        <v>44</v>
      </c>
      <c r="H1332" s="3">
        <v>10.0</v>
      </c>
      <c r="I1332" s="3" t="s">
        <v>5724</v>
      </c>
      <c r="J1332" s="3" t="s">
        <v>22</v>
      </c>
      <c r="K1332" s="3" t="s">
        <v>97</v>
      </c>
      <c r="L1332" s="3" t="s">
        <v>98</v>
      </c>
      <c r="M1332" s="3" t="s">
        <v>100</v>
      </c>
      <c r="N1332" s="3" t="s">
        <v>373</v>
      </c>
      <c r="O1332" s="5">
        <v>140.4304502</v>
      </c>
      <c r="P1332" s="6" t="str">
        <f t="shared" si="2"/>
        <v>Industrial Products</v>
      </c>
    </row>
    <row r="1333" hidden="1">
      <c r="A1333" s="3" t="s">
        <v>5727</v>
      </c>
      <c r="B1333" s="4">
        <v>523204.0</v>
      </c>
      <c r="C1333" s="3" t="s">
        <v>5728</v>
      </c>
      <c r="D1333" s="3" t="s">
        <v>5729</v>
      </c>
      <c r="E1333" s="3" t="s">
        <v>5730</v>
      </c>
      <c r="F1333" s="3" t="s">
        <v>19</v>
      </c>
      <c r="G1333" s="3" t="s">
        <v>86</v>
      </c>
      <c r="H1333" s="3">
        <v>2.0</v>
      </c>
      <c r="I1333" s="3" t="s">
        <v>5727</v>
      </c>
      <c r="J1333" s="3" t="s">
        <v>22</v>
      </c>
      <c r="K1333" s="3" t="s">
        <v>410</v>
      </c>
      <c r="L1333" s="3" t="s">
        <v>411</v>
      </c>
      <c r="M1333" s="3" t="s">
        <v>412</v>
      </c>
      <c r="N1333" s="3" t="s">
        <v>3177</v>
      </c>
      <c r="O1333" s="5">
        <v>393.6244942</v>
      </c>
      <c r="P1333" s="6" t="str">
        <f t="shared" si="2"/>
        <v>Oil</v>
      </c>
    </row>
    <row r="1334" hidden="1">
      <c r="A1334" s="3" t="s">
        <v>5731</v>
      </c>
      <c r="B1334" s="4">
        <v>523207.0</v>
      </c>
      <c r="C1334" s="3" t="s">
        <v>5732</v>
      </c>
      <c r="D1334" s="3" t="s">
        <v>5733</v>
      </c>
      <c r="E1334" s="3" t="s">
        <v>5734</v>
      </c>
      <c r="F1334" s="3" t="s">
        <v>19</v>
      </c>
      <c r="G1334" s="3" t="s">
        <v>112</v>
      </c>
      <c r="H1334" s="3">
        <v>1.0</v>
      </c>
      <c r="I1334" s="3" t="s">
        <v>5731</v>
      </c>
      <c r="J1334" s="3" t="s">
        <v>22</v>
      </c>
      <c r="K1334" s="3" t="s">
        <v>145</v>
      </c>
      <c r="L1334" s="3" t="s">
        <v>145</v>
      </c>
      <c r="M1334" s="3" t="s">
        <v>1757</v>
      </c>
      <c r="N1334" s="3" t="s">
        <v>5735</v>
      </c>
      <c r="O1334" s="5">
        <v>1543.7477825</v>
      </c>
      <c r="P1334" s="6" t="str">
        <f t="shared" si="2"/>
        <v>Household Products</v>
      </c>
    </row>
    <row r="1335" hidden="1">
      <c r="A1335" s="3" t="s">
        <v>5736</v>
      </c>
      <c r="B1335" s="4">
        <v>523222.0</v>
      </c>
      <c r="C1335" s="3" t="s">
        <v>5737</v>
      </c>
      <c r="D1335" s="3" t="s">
        <v>5738</v>
      </c>
      <c r="E1335" s="3" t="s">
        <v>5739</v>
      </c>
      <c r="F1335" s="3" t="s">
        <v>19</v>
      </c>
      <c r="G1335" s="3" t="s">
        <v>72</v>
      </c>
      <c r="H1335" s="3">
        <v>10.0</v>
      </c>
      <c r="I1335" s="3" t="s">
        <v>5736</v>
      </c>
      <c r="J1335" s="3" t="s">
        <v>22</v>
      </c>
      <c r="K1335" s="3" t="s">
        <v>1647</v>
      </c>
      <c r="L1335" s="3" t="s">
        <v>1648</v>
      </c>
      <c r="M1335" s="3" t="s">
        <v>1648</v>
      </c>
      <c r="N1335" s="3" t="s">
        <v>1649</v>
      </c>
      <c r="O1335" s="5">
        <v>1.0</v>
      </c>
      <c r="P1335" s="6" t="str">
        <f t="shared" si="2"/>
        <v>Power</v>
      </c>
    </row>
    <row r="1336" hidden="1">
      <c r="A1336" s="3" t="s">
        <v>5740</v>
      </c>
      <c r="B1336" s="4">
        <v>523229.0</v>
      </c>
      <c r="C1336" s="3" t="s">
        <v>5741</v>
      </c>
      <c r="D1336" s="3" t="s">
        <v>5742</v>
      </c>
      <c r="E1336" s="3" t="s">
        <v>5743</v>
      </c>
      <c r="F1336" s="3" t="s">
        <v>19</v>
      </c>
      <c r="G1336" s="3" t="s">
        <v>44</v>
      </c>
      <c r="H1336" s="3">
        <v>2.0</v>
      </c>
      <c r="I1336" s="3" t="s">
        <v>5740</v>
      </c>
      <c r="J1336" s="3" t="s">
        <v>22</v>
      </c>
      <c r="K1336" s="3" t="s">
        <v>58</v>
      </c>
      <c r="L1336" s="3" t="s">
        <v>133</v>
      </c>
      <c r="M1336" s="3" t="s">
        <v>134</v>
      </c>
      <c r="N1336" s="3" t="s">
        <v>135</v>
      </c>
      <c r="O1336" s="5">
        <v>494.5504048</v>
      </c>
      <c r="P1336" s="6" t="str">
        <f t="shared" si="2"/>
        <v>Auto Components &amp; Equipments</v>
      </c>
    </row>
    <row r="1337" hidden="1">
      <c r="A1337" s="3" t="s">
        <v>5744</v>
      </c>
      <c r="B1337" s="4">
        <v>523232.0</v>
      </c>
      <c r="C1337" s="3" t="s">
        <v>5745</v>
      </c>
      <c r="D1337" s="3" t="s">
        <v>5746</v>
      </c>
      <c r="E1337" s="3" t="s">
        <v>5747</v>
      </c>
      <c r="F1337" s="3" t="s">
        <v>19</v>
      </c>
      <c r="G1337" s="3" t="s">
        <v>44</v>
      </c>
      <c r="H1337" s="3">
        <v>5.0</v>
      </c>
      <c r="I1337" s="3" t="s">
        <v>5744</v>
      </c>
      <c r="J1337" s="3" t="s">
        <v>22</v>
      </c>
      <c r="K1337" s="3" t="s">
        <v>410</v>
      </c>
      <c r="L1337" s="3" t="s">
        <v>411</v>
      </c>
      <c r="M1337" s="3" t="s">
        <v>5748</v>
      </c>
      <c r="N1337" s="3" t="s">
        <v>5749</v>
      </c>
      <c r="O1337" s="5">
        <v>1.0</v>
      </c>
      <c r="P1337" s="6" t="str">
        <f t="shared" si="2"/>
        <v>Petroleum Products</v>
      </c>
    </row>
    <row r="1338" hidden="1">
      <c r="A1338" s="3" t="s">
        <v>5750</v>
      </c>
      <c r="B1338" s="4">
        <v>523242.0</v>
      </c>
      <c r="C1338" s="3" t="s">
        <v>5751</v>
      </c>
      <c r="D1338" s="3" t="s">
        <v>5752</v>
      </c>
      <c r="E1338" s="3" t="s">
        <v>5753</v>
      </c>
      <c r="F1338" s="3" t="s">
        <v>19</v>
      </c>
      <c r="G1338" s="3" t="s">
        <v>1858</v>
      </c>
      <c r="H1338" s="3">
        <v>10.0</v>
      </c>
      <c r="I1338" s="3" t="s">
        <v>5750</v>
      </c>
      <c r="J1338" s="3" t="s">
        <v>22</v>
      </c>
      <c r="K1338" s="3" t="s">
        <v>58</v>
      </c>
      <c r="L1338" s="3" t="s">
        <v>211</v>
      </c>
      <c r="M1338" s="3" t="s">
        <v>211</v>
      </c>
      <c r="N1338" s="3" t="s">
        <v>3963</v>
      </c>
      <c r="O1338" s="5">
        <v>9.2860582</v>
      </c>
      <c r="P1338" s="6" t="str">
        <f t="shared" si="2"/>
        <v>Consumer Durables</v>
      </c>
    </row>
    <row r="1339" hidden="1">
      <c r="A1339" s="3" t="s">
        <v>5754</v>
      </c>
      <c r="B1339" s="4">
        <v>523248.0</v>
      </c>
      <c r="C1339" s="3" t="s">
        <v>5755</v>
      </c>
      <c r="D1339" s="3" t="s">
        <v>5756</v>
      </c>
      <c r="E1339" s="3" t="s">
        <v>5757</v>
      </c>
      <c r="F1339" s="3" t="s">
        <v>19</v>
      </c>
      <c r="G1339" s="3" t="s">
        <v>44</v>
      </c>
      <c r="H1339" s="3">
        <v>10.0</v>
      </c>
      <c r="I1339" s="3" t="s">
        <v>5754</v>
      </c>
      <c r="J1339" s="3" t="s">
        <v>22</v>
      </c>
      <c r="K1339" s="3" t="s">
        <v>58</v>
      </c>
      <c r="L1339" s="3" t="s">
        <v>133</v>
      </c>
      <c r="M1339" s="3" t="s">
        <v>134</v>
      </c>
      <c r="N1339" s="3" t="s">
        <v>135</v>
      </c>
      <c r="O1339" s="5">
        <v>145.4784185</v>
      </c>
      <c r="P1339" s="6" t="str">
        <f t="shared" si="2"/>
        <v>Auto Components &amp; Equipments</v>
      </c>
    </row>
    <row r="1340" hidden="1">
      <c r="A1340" s="3" t="s">
        <v>5758</v>
      </c>
      <c r="B1340" s="4">
        <v>523260.0</v>
      </c>
      <c r="C1340" s="3" t="s">
        <v>5759</v>
      </c>
      <c r="D1340" s="3" t="s">
        <v>5760</v>
      </c>
      <c r="E1340" s="3" t="s">
        <v>5761</v>
      </c>
      <c r="F1340" s="3" t="s">
        <v>19</v>
      </c>
      <c r="G1340" s="3" t="s">
        <v>86</v>
      </c>
      <c r="H1340" s="3">
        <v>10.0</v>
      </c>
      <c r="I1340" s="3" t="s">
        <v>5758</v>
      </c>
      <c r="J1340" s="3" t="s">
        <v>22</v>
      </c>
      <c r="K1340" s="3" t="s">
        <v>58</v>
      </c>
      <c r="L1340" s="3" t="s">
        <v>211</v>
      </c>
      <c r="M1340" s="3" t="s">
        <v>211</v>
      </c>
      <c r="N1340" s="3" t="s">
        <v>848</v>
      </c>
      <c r="O1340" s="5">
        <v>52.7219306</v>
      </c>
      <c r="P1340" s="6" t="str">
        <f t="shared" si="2"/>
        <v>Consumer Durables</v>
      </c>
    </row>
    <row r="1341" hidden="1">
      <c r="A1341" s="3" t="s">
        <v>5762</v>
      </c>
      <c r="B1341" s="4">
        <v>523261.0</v>
      </c>
      <c r="C1341" s="3" t="s">
        <v>5763</v>
      </c>
      <c r="D1341" s="3" t="s">
        <v>5764</v>
      </c>
      <c r="E1341" s="3" t="s">
        <v>5765</v>
      </c>
      <c r="F1341" s="3" t="s">
        <v>19</v>
      </c>
      <c r="G1341" s="3" t="s">
        <v>112</v>
      </c>
      <c r="H1341" s="3">
        <v>10.0</v>
      </c>
      <c r="I1341" s="3" t="s">
        <v>5762</v>
      </c>
      <c r="J1341" s="3" t="s">
        <v>22</v>
      </c>
      <c r="K1341" s="3" t="s">
        <v>145</v>
      </c>
      <c r="L1341" s="3" t="s">
        <v>145</v>
      </c>
      <c r="M1341" s="3" t="s">
        <v>597</v>
      </c>
      <c r="N1341" s="3" t="s">
        <v>5161</v>
      </c>
      <c r="O1341" s="5">
        <v>2695.4895805</v>
      </c>
      <c r="P1341" s="6" t="str">
        <f t="shared" si="2"/>
        <v>Food Products</v>
      </c>
    </row>
    <row r="1342" hidden="1">
      <c r="A1342" s="3" t="s">
        <v>5766</v>
      </c>
      <c r="B1342" s="4">
        <v>523269.0</v>
      </c>
      <c r="C1342" s="3" t="s">
        <v>5767</v>
      </c>
      <c r="D1342" s="3" t="s">
        <v>5768</v>
      </c>
      <c r="E1342" s="3" t="s">
        <v>5769</v>
      </c>
      <c r="F1342" s="3" t="s">
        <v>19</v>
      </c>
      <c r="G1342" s="3" t="s">
        <v>112</v>
      </c>
      <c r="H1342" s="3">
        <v>2.0</v>
      </c>
      <c r="I1342" s="3" t="s">
        <v>5766</v>
      </c>
      <c r="J1342" s="3" t="s">
        <v>22</v>
      </c>
      <c r="K1342" s="3" t="s">
        <v>58</v>
      </c>
      <c r="L1342" s="3" t="s">
        <v>73</v>
      </c>
      <c r="M1342" s="3" t="s">
        <v>74</v>
      </c>
      <c r="N1342" s="3" t="s">
        <v>75</v>
      </c>
      <c r="O1342" s="5">
        <v>665.9540656</v>
      </c>
      <c r="P1342" s="6" t="str">
        <f t="shared" si="2"/>
        <v>Leisure Services</v>
      </c>
    </row>
    <row r="1343" hidden="1">
      <c r="A1343" s="3" t="s">
        <v>5770</v>
      </c>
      <c r="B1343" s="4">
        <v>523277.0</v>
      </c>
      <c r="C1343" s="3" t="s">
        <v>5771</v>
      </c>
      <c r="D1343" s="3" t="s">
        <v>5772</v>
      </c>
      <c r="E1343" s="3" t="s">
        <v>5773</v>
      </c>
      <c r="F1343" s="3" t="s">
        <v>19</v>
      </c>
      <c r="G1343" s="3" t="s">
        <v>44</v>
      </c>
      <c r="H1343" s="3">
        <v>1.0</v>
      </c>
      <c r="I1343" s="3" t="s">
        <v>5770</v>
      </c>
      <c r="J1343" s="3" t="s">
        <v>22</v>
      </c>
      <c r="K1343" s="3" t="s">
        <v>58</v>
      </c>
      <c r="L1343" s="3" t="s">
        <v>182</v>
      </c>
      <c r="M1343" s="3" t="s">
        <v>1168</v>
      </c>
      <c r="N1343" s="3" t="s">
        <v>1568</v>
      </c>
      <c r="O1343" s="5">
        <v>78.6688877</v>
      </c>
      <c r="P1343" s="6" t="str">
        <f t="shared" si="2"/>
        <v>Entertainment</v>
      </c>
    </row>
    <row r="1344" hidden="1">
      <c r="A1344" s="3" t="s">
        <v>5774</v>
      </c>
      <c r="B1344" s="4">
        <v>523283.0</v>
      </c>
      <c r="C1344" s="3" t="s">
        <v>5775</v>
      </c>
      <c r="D1344" s="3" t="s">
        <v>5776</v>
      </c>
      <c r="E1344" s="3" t="s">
        <v>5777</v>
      </c>
      <c r="F1344" s="3" t="s">
        <v>19</v>
      </c>
      <c r="G1344" s="3" t="s">
        <v>112</v>
      </c>
      <c r="H1344" s="3">
        <v>10.0</v>
      </c>
      <c r="I1344" s="3" t="s">
        <v>5774</v>
      </c>
      <c r="J1344" s="3" t="s">
        <v>22</v>
      </c>
      <c r="K1344" s="3" t="s">
        <v>58</v>
      </c>
      <c r="L1344" s="3" t="s">
        <v>211</v>
      </c>
      <c r="M1344" s="3" t="s">
        <v>211</v>
      </c>
      <c r="N1344" s="3" t="s">
        <v>3963</v>
      </c>
      <c r="O1344" s="5">
        <v>239.6911272</v>
      </c>
      <c r="P1344" s="6" t="str">
        <f t="shared" si="2"/>
        <v>Consumer Durables</v>
      </c>
    </row>
    <row r="1345" hidden="1">
      <c r="A1345" s="3" t="s">
        <v>5262</v>
      </c>
      <c r="B1345" s="4">
        <v>501430.0</v>
      </c>
      <c r="C1345" s="3" t="s">
        <v>5778</v>
      </c>
      <c r="D1345" s="3" t="s">
        <v>5779</v>
      </c>
      <c r="E1345" s="3" t="s">
        <v>5780</v>
      </c>
      <c r="F1345" s="3" t="s">
        <v>19</v>
      </c>
      <c r="G1345" s="3" t="s">
        <v>44</v>
      </c>
      <c r="H1345" s="3">
        <v>10.0</v>
      </c>
      <c r="I1345" s="3" t="s">
        <v>1403</v>
      </c>
      <c r="J1345" s="3" t="s">
        <v>22</v>
      </c>
      <c r="K1345" s="3" t="s">
        <v>1673</v>
      </c>
      <c r="L1345" s="3" t="s">
        <v>1673</v>
      </c>
      <c r="M1345" s="3" t="s">
        <v>1674</v>
      </c>
      <c r="N1345" s="3" t="s">
        <v>1915</v>
      </c>
      <c r="O1345" s="5">
        <v>80.736808</v>
      </c>
      <c r="P1345" s="6" t="str">
        <f t="shared" si="2"/>
        <v>Commercial Services &amp; Supplies</v>
      </c>
    </row>
    <row r="1346" hidden="1">
      <c r="A1346" s="3" t="s">
        <v>5781</v>
      </c>
      <c r="B1346" s="4">
        <v>523301.0</v>
      </c>
      <c r="C1346" s="3" t="s">
        <v>5782</v>
      </c>
      <c r="D1346" s="3" t="s">
        <v>5783</v>
      </c>
      <c r="E1346" s="3" t="s">
        <v>5784</v>
      </c>
      <c r="F1346" s="3" t="s">
        <v>19</v>
      </c>
      <c r="G1346" s="3" t="s">
        <v>112</v>
      </c>
      <c r="H1346" s="3">
        <v>10.0</v>
      </c>
      <c r="I1346" s="3" t="s">
        <v>5781</v>
      </c>
      <c r="J1346" s="3" t="s">
        <v>22</v>
      </c>
      <c r="K1346" s="3" t="s">
        <v>97</v>
      </c>
      <c r="L1346" s="3" t="s">
        <v>98</v>
      </c>
      <c r="M1346" s="3" t="s">
        <v>100</v>
      </c>
      <c r="N1346" s="3" t="s">
        <v>373</v>
      </c>
      <c r="O1346" s="5">
        <v>2296.9320038</v>
      </c>
      <c r="P1346" s="6" t="str">
        <f t="shared" si="2"/>
        <v>Industrial Products</v>
      </c>
    </row>
    <row r="1347" hidden="1">
      <c r="A1347" s="3" t="s">
        <v>5785</v>
      </c>
      <c r="B1347" s="4">
        <v>523309.0</v>
      </c>
      <c r="C1347" s="3" t="s">
        <v>5786</v>
      </c>
      <c r="D1347" s="3" t="s">
        <v>5787</v>
      </c>
      <c r="E1347" s="3" t="s">
        <v>5788</v>
      </c>
      <c r="F1347" s="3" t="s">
        <v>19</v>
      </c>
      <c r="G1347" s="3" t="s">
        <v>72</v>
      </c>
      <c r="H1347" s="3">
        <v>10.0</v>
      </c>
      <c r="I1347" s="3" t="s">
        <v>5785</v>
      </c>
      <c r="J1347" s="3" t="s">
        <v>22</v>
      </c>
      <c r="K1347" s="3" t="s">
        <v>145</v>
      </c>
      <c r="L1347" s="3" t="s">
        <v>145</v>
      </c>
      <c r="M1347" s="3" t="s">
        <v>2558</v>
      </c>
      <c r="N1347" s="3" t="s">
        <v>2559</v>
      </c>
      <c r="O1347" s="5">
        <v>138.334959</v>
      </c>
      <c r="P1347" s="6" t="str">
        <f t="shared" si="2"/>
        <v>Beverages</v>
      </c>
    </row>
    <row r="1348" hidden="1">
      <c r="A1348" s="3" t="s">
        <v>5789</v>
      </c>
      <c r="B1348" s="4">
        <v>523315.0</v>
      </c>
      <c r="C1348" s="3" t="s">
        <v>5790</v>
      </c>
      <c r="D1348" s="3" t="s">
        <v>5791</v>
      </c>
      <c r="E1348" s="3" t="s">
        <v>5792</v>
      </c>
      <c r="F1348" s="3" t="s">
        <v>19</v>
      </c>
      <c r="G1348" s="3" t="s">
        <v>1858</v>
      </c>
      <c r="H1348" s="3">
        <v>10.0</v>
      </c>
      <c r="I1348" s="3" t="s">
        <v>5789</v>
      </c>
      <c r="J1348" s="3" t="s">
        <v>22</v>
      </c>
      <c r="K1348" s="3" t="s">
        <v>23</v>
      </c>
      <c r="L1348" s="3" t="s">
        <v>32</v>
      </c>
      <c r="M1348" s="3" t="s">
        <v>33</v>
      </c>
      <c r="N1348" s="3" t="s">
        <v>34</v>
      </c>
      <c r="O1348" s="5">
        <v>1.0</v>
      </c>
      <c r="P1348" s="6" t="str">
        <f t="shared" si="2"/>
        <v>Paper, Forest &amp; Jute Products</v>
      </c>
    </row>
    <row r="1349" hidden="1">
      <c r="A1349" s="3" t="s">
        <v>5793</v>
      </c>
      <c r="B1349" s="4">
        <v>523319.0</v>
      </c>
      <c r="C1349" s="3" t="s">
        <v>5794</v>
      </c>
      <c r="D1349" s="3" t="s">
        <v>5795</v>
      </c>
      <c r="E1349" s="3" t="s">
        <v>5796</v>
      </c>
      <c r="F1349" s="3" t="s">
        <v>19</v>
      </c>
      <c r="G1349" s="3" t="s">
        <v>112</v>
      </c>
      <c r="H1349" s="3">
        <v>10.0</v>
      </c>
      <c r="I1349" s="3" t="s">
        <v>5793</v>
      </c>
      <c r="J1349" s="3" t="s">
        <v>22</v>
      </c>
      <c r="K1349" s="3" t="s">
        <v>2675</v>
      </c>
      <c r="L1349" s="3" t="s">
        <v>2675</v>
      </c>
      <c r="M1349" s="3" t="s">
        <v>2675</v>
      </c>
      <c r="N1349" s="3" t="s">
        <v>2675</v>
      </c>
      <c r="O1349" s="5">
        <v>4628.2050158</v>
      </c>
      <c r="P1349" s="6" t="str">
        <f t="shared" si="2"/>
        <v>Diversified</v>
      </c>
    </row>
    <row r="1350" hidden="1">
      <c r="A1350" s="3" t="s">
        <v>5797</v>
      </c>
      <c r="B1350" s="4">
        <v>523323.0</v>
      </c>
      <c r="C1350" s="3" t="s">
        <v>5798</v>
      </c>
      <c r="D1350" s="3" t="s">
        <v>5799</v>
      </c>
      <c r="E1350" s="3" t="s">
        <v>5800</v>
      </c>
      <c r="F1350" s="3" t="s">
        <v>19</v>
      </c>
      <c r="G1350" s="3" t="s">
        <v>112</v>
      </c>
      <c r="H1350" s="3">
        <v>10.0</v>
      </c>
      <c r="I1350" s="3" t="s">
        <v>5797</v>
      </c>
      <c r="J1350" s="3" t="s">
        <v>22</v>
      </c>
      <c r="K1350" s="3" t="s">
        <v>45</v>
      </c>
      <c r="L1350" s="3" t="s">
        <v>45</v>
      </c>
      <c r="M1350" s="3" t="s">
        <v>4488</v>
      </c>
      <c r="N1350" s="3" t="s">
        <v>5801</v>
      </c>
      <c r="O1350" s="5">
        <v>4736.1852749</v>
      </c>
      <c r="P1350" s="6" t="str">
        <f t="shared" si="2"/>
        <v>Healthcare Services</v>
      </c>
    </row>
    <row r="1351" hidden="1">
      <c r="A1351" s="3" t="s">
        <v>5802</v>
      </c>
      <c r="B1351" s="4">
        <v>523329.0</v>
      </c>
      <c r="C1351" s="3" t="s">
        <v>5803</v>
      </c>
      <c r="D1351" s="3" t="s">
        <v>5804</v>
      </c>
      <c r="E1351" s="3" t="s">
        <v>5805</v>
      </c>
      <c r="F1351" s="3" t="s">
        <v>19</v>
      </c>
      <c r="G1351" s="3" t="s">
        <v>112</v>
      </c>
      <c r="H1351" s="3">
        <v>2.0</v>
      </c>
      <c r="I1351" s="3" t="s">
        <v>5802</v>
      </c>
      <c r="J1351" s="3" t="s">
        <v>22</v>
      </c>
      <c r="K1351" s="3" t="s">
        <v>58</v>
      </c>
      <c r="L1351" s="3" t="s">
        <v>59</v>
      </c>
      <c r="M1351" s="3" t="s">
        <v>59</v>
      </c>
      <c r="N1351" s="3" t="s">
        <v>60</v>
      </c>
      <c r="O1351" s="5">
        <v>1003.4903206</v>
      </c>
      <c r="P1351" s="6" t="str">
        <f t="shared" si="2"/>
        <v>Residential, Commercial Projects</v>
      </c>
    </row>
    <row r="1352" hidden="1">
      <c r="A1352" s="3" t="s">
        <v>5806</v>
      </c>
      <c r="B1352" s="4">
        <v>523343.0</v>
      </c>
      <c r="C1352" s="3" t="s">
        <v>5807</v>
      </c>
      <c r="D1352" s="3" t="s">
        <v>5808</v>
      </c>
      <c r="E1352" s="3" t="s">
        <v>5809</v>
      </c>
      <c r="F1352" s="3" t="s">
        <v>19</v>
      </c>
      <c r="G1352" s="3" t="s">
        <v>72</v>
      </c>
      <c r="H1352" s="3">
        <v>10.0</v>
      </c>
      <c r="I1352" s="3" t="s">
        <v>5806</v>
      </c>
      <c r="J1352" s="3" t="s">
        <v>22</v>
      </c>
      <c r="K1352" s="3" t="s">
        <v>204</v>
      </c>
      <c r="L1352" s="3" t="s">
        <v>204</v>
      </c>
      <c r="M1352" s="3" t="s">
        <v>378</v>
      </c>
      <c r="N1352" s="3" t="s">
        <v>379</v>
      </c>
      <c r="O1352" s="5">
        <v>1.0</v>
      </c>
      <c r="P1352" s="6" t="str">
        <f t="shared" si="2"/>
        <v>Non Banking Financial Company (NBFC)</v>
      </c>
    </row>
    <row r="1353">
      <c r="A1353" s="3" t="s">
        <v>5680</v>
      </c>
      <c r="B1353" s="4">
        <v>523395.0</v>
      </c>
      <c r="C1353" s="3" t="s">
        <v>5810</v>
      </c>
      <c r="D1353" s="3" t="s">
        <v>5811</v>
      </c>
      <c r="E1353" s="3" t="s">
        <v>5812</v>
      </c>
      <c r="F1353" s="3" t="s">
        <v>19</v>
      </c>
      <c r="G1353" s="3" t="s">
        <v>20</v>
      </c>
      <c r="H1353" s="3">
        <v>10.0</v>
      </c>
      <c r="I1353" s="3" t="s">
        <v>5813</v>
      </c>
      <c r="J1353" s="3" t="s">
        <v>22</v>
      </c>
      <c r="K1353" s="3" t="s">
        <v>2675</v>
      </c>
      <c r="L1353" s="3" t="s">
        <v>2675</v>
      </c>
      <c r="M1353" s="3" t="s">
        <v>2675</v>
      </c>
      <c r="N1353" s="3" t="s">
        <v>2675</v>
      </c>
      <c r="O1353" s="5">
        <v>42295.77436</v>
      </c>
      <c r="P1353" s="6" t="str">
        <f t="shared" si="2"/>
        <v>Diversified</v>
      </c>
    </row>
    <row r="1354" hidden="1">
      <c r="A1354" s="3" t="s">
        <v>5814</v>
      </c>
      <c r="B1354" s="4">
        <v>523369.0</v>
      </c>
      <c r="C1354" s="3" t="s">
        <v>5815</v>
      </c>
      <c r="D1354" s="3" t="s">
        <v>5816</v>
      </c>
      <c r="E1354" s="3" t="s">
        <v>5817</v>
      </c>
      <c r="F1354" s="3" t="s">
        <v>19</v>
      </c>
      <c r="G1354" s="3" t="s">
        <v>112</v>
      </c>
      <c r="H1354" s="3">
        <v>2.0</v>
      </c>
      <c r="I1354" s="3" t="s">
        <v>5814</v>
      </c>
      <c r="J1354" s="3" t="s">
        <v>22</v>
      </c>
      <c r="K1354" s="3" t="s">
        <v>145</v>
      </c>
      <c r="L1354" s="3" t="s">
        <v>145</v>
      </c>
      <c r="M1354" s="3" t="s">
        <v>146</v>
      </c>
      <c r="N1354" s="3" t="s">
        <v>147</v>
      </c>
      <c r="O1354" s="5">
        <v>1892.6147741</v>
      </c>
      <c r="P1354" s="6" t="str">
        <f t="shared" si="2"/>
        <v>Agricultural Food &amp; other Products</v>
      </c>
    </row>
    <row r="1355" hidden="1">
      <c r="A1355" s="3" t="s">
        <v>5818</v>
      </c>
      <c r="B1355" s="4">
        <v>523371.0</v>
      </c>
      <c r="C1355" s="3" t="s">
        <v>5819</v>
      </c>
      <c r="D1355" s="3" t="s">
        <v>5820</v>
      </c>
      <c r="E1355" s="3" t="s">
        <v>5821</v>
      </c>
      <c r="F1355" s="3" t="s">
        <v>19</v>
      </c>
      <c r="G1355" s="3" t="s">
        <v>112</v>
      </c>
      <c r="H1355" s="3">
        <v>10.0</v>
      </c>
      <c r="I1355" s="3" t="s">
        <v>5818</v>
      </c>
      <c r="J1355" s="3" t="s">
        <v>22</v>
      </c>
      <c r="K1355" s="3" t="s">
        <v>145</v>
      </c>
      <c r="L1355" s="3" t="s">
        <v>145</v>
      </c>
      <c r="M1355" s="3" t="s">
        <v>146</v>
      </c>
      <c r="N1355" s="3" t="s">
        <v>147</v>
      </c>
      <c r="O1355" s="5">
        <v>474.7210291</v>
      </c>
      <c r="P1355" s="6" t="str">
        <f t="shared" si="2"/>
        <v>Agricultural Food &amp; other Products</v>
      </c>
    </row>
    <row r="1356" hidden="1">
      <c r="A1356" s="3" t="s">
        <v>5822</v>
      </c>
      <c r="B1356" s="4">
        <v>523373.0</v>
      </c>
      <c r="C1356" s="3" t="s">
        <v>5823</v>
      </c>
      <c r="D1356" s="3" t="s">
        <v>5824</v>
      </c>
      <c r="E1356" s="3" t="s">
        <v>5825</v>
      </c>
      <c r="F1356" s="3" t="s">
        <v>19</v>
      </c>
      <c r="G1356" s="3" t="s">
        <v>72</v>
      </c>
      <c r="H1356" s="3">
        <v>10.0</v>
      </c>
      <c r="I1356" s="3" t="s">
        <v>5822</v>
      </c>
      <c r="J1356" s="3" t="s">
        <v>22</v>
      </c>
      <c r="K1356" s="3" t="s">
        <v>58</v>
      </c>
      <c r="L1356" s="3" t="s">
        <v>211</v>
      </c>
      <c r="M1356" s="3" t="s">
        <v>211</v>
      </c>
      <c r="N1356" s="3" t="s">
        <v>947</v>
      </c>
      <c r="O1356" s="5">
        <v>28.8984361</v>
      </c>
      <c r="P1356" s="6" t="str">
        <f t="shared" si="2"/>
        <v>Consumer Durables</v>
      </c>
    </row>
    <row r="1357" hidden="1">
      <c r="A1357" s="3" t="s">
        <v>5826</v>
      </c>
      <c r="B1357" s="4">
        <v>523384.0</v>
      </c>
      <c r="C1357" s="3" t="s">
        <v>5827</v>
      </c>
      <c r="D1357" s="3" t="s">
        <v>5828</v>
      </c>
      <c r="E1357" s="3" t="s">
        <v>5829</v>
      </c>
      <c r="F1357" s="3" t="s">
        <v>19</v>
      </c>
      <c r="G1357" s="3" t="s">
        <v>112</v>
      </c>
      <c r="H1357" s="3">
        <v>10.0</v>
      </c>
      <c r="I1357" s="3" t="s">
        <v>5826</v>
      </c>
      <c r="J1357" s="3" t="s">
        <v>22</v>
      </c>
      <c r="K1357" s="3" t="s">
        <v>204</v>
      </c>
      <c r="L1357" s="3" t="s">
        <v>204</v>
      </c>
      <c r="M1357" s="3" t="s">
        <v>378</v>
      </c>
      <c r="N1357" s="3" t="s">
        <v>468</v>
      </c>
      <c r="O1357" s="5">
        <v>240.2132809</v>
      </c>
      <c r="P1357" s="6" t="str">
        <f t="shared" si="2"/>
        <v>Finance</v>
      </c>
    </row>
    <row r="1358" hidden="1">
      <c r="A1358" s="3" t="s">
        <v>5830</v>
      </c>
      <c r="B1358" s="4">
        <v>523385.0</v>
      </c>
      <c r="C1358" s="3" t="s">
        <v>5831</v>
      </c>
      <c r="D1358" s="3" t="s">
        <v>5832</v>
      </c>
      <c r="E1358" s="3" t="s">
        <v>5833</v>
      </c>
      <c r="F1358" s="3" t="s">
        <v>19</v>
      </c>
      <c r="G1358" s="3" t="s">
        <v>112</v>
      </c>
      <c r="H1358" s="3">
        <v>10.0</v>
      </c>
      <c r="I1358" s="3" t="s">
        <v>5830</v>
      </c>
      <c r="J1358" s="3" t="s">
        <v>22</v>
      </c>
      <c r="K1358" s="3" t="s">
        <v>58</v>
      </c>
      <c r="L1358" s="3" t="s">
        <v>211</v>
      </c>
      <c r="M1358" s="3" t="s">
        <v>211</v>
      </c>
      <c r="N1358" s="3" t="s">
        <v>848</v>
      </c>
      <c r="O1358" s="5">
        <v>2874.4475922</v>
      </c>
      <c r="P1358" s="6" t="str">
        <f t="shared" si="2"/>
        <v>Consumer Durables</v>
      </c>
    </row>
    <row r="1359" hidden="1">
      <c r="A1359" s="3" t="s">
        <v>5834</v>
      </c>
      <c r="B1359" s="4">
        <v>523391.0</v>
      </c>
      <c r="C1359" s="3" t="s">
        <v>5835</v>
      </c>
      <c r="D1359" s="3" t="s">
        <v>5836</v>
      </c>
      <c r="E1359" s="3" t="s">
        <v>5837</v>
      </c>
      <c r="F1359" s="3" t="s">
        <v>19</v>
      </c>
      <c r="G1359" s="3" t="s">
        <v>112</v>
      </c>
      <c r="H1359" s="3">
        <v>5.0</v>
      </c>
      <c r="I1359" s="3" t="s">
        <v>5834</v>
      </c>
      <c r="J1359" s="3" t="s">
        <v>22</v>
      </c>
      <c r="K1359" s="3" t="s">
        <v>97</v>
      </c>
      <c r="L1359" s="3" t="s">
        <v>98</v>
      </c>
      <c r="M1359" s="3" t="s">
        <v>100</v>
      </c>
      <c r="N1359" s="3" t="s">
        <v>373</v>
      </c>
      <c r="O1359" s="5">
        <v>628.0267755</v>
      </c>
      <c r="P1359" s="6" t="str">
        <f t="shared" si="2"/>
        <v>Industrial Products</v>
      </c>
    </row>
    <row r="1360">
      <c r="A1360" s="3" t="s">
        <v>5813</v>
      </c>
      <c r="B1360" s="4">
        <v>500003.0</v>
      </c>
      <c r="C1360" s="3" t="s">
        <v>5838</v>
      </c>
      <c r="D1360" s="3" t="s">
        <v>5839</v>
      </c>
      <c r="E1360" s="3" t="s">
        <v>5840</v>
      </c>
      <c r="F1360" s="3" t="s">
        <v>19</v>
      </c>
      <c r="G1360" s="3" t="s">
        <v>20</v>
      </c>
      <c r="H1360" s="3">
        <v>1.0</v>
      </c>
      <c r="I1360" s="3" t="s">
        <v>27</v>
      </c>
      <c r="J1360" s="3" t="s">
        <v>22</v>
      </c>
      <c r="K1360" s="3" t="s">
        <v>410</v>
      </c>
      <c r="L1360" s="3" t="s">
        <v>411</v>
      </c>
      <c r="M1360" s="3" t="s">
        <v>5841</v>
      </c>
      <c r="N1360" s="3" t="s">
        <v>5842</v>
      </c>
      <c r="O1360" s="5">
        <v>30576.2026745</v>
      </c>
      <c r="P1360" s="6" t="str">
        <f t="shared" si="2"/>
        <v>Gas</v>
      </c>
    </row>
    <row r="1361">
      <c r="A1361" s="3" t="s">
        <v>1283</v>
      </c>
      <c r="B1361" s="4">
        <v>500104.0</v>
      </c>
      <c r="C1361" s="3" t="s">
        <v>5843</v>
      </c>
      <c r="D1361" s="3" t="s">
        <v>5844</v>
      </c>
      <c r="E1361" s="3" t="s">
        <v>5845</v>
      </c>
      <c r="F1361" s="3" t="s">
        <v>19</v>
      </c>
      <c r="G1361" s="3" t="s">
        <v>20</v>
      </c>
      <c r="H1361" s="3">
        <v>10.0</v>
      </c>
      <c r="I1361" s="3" t="s">
        <v>276</v>
      </c>
      <c r="J1361" s="3" t="s">
        <v>22</v>
      </c>
      <c r="K1361" s="3" t="s">
        <v>410</v>
      </c>
      <c r="L1361" s="3" t="s">
        <v>411</v>
      </c>
      <c r="M1361" s="3" t="s">
        <v>5748</v>
      </c>
      <c r="N1361" s="3" t="s">
        <v>5749</v>
      </c>
      <c r="O1361" s="5">
        <v>70057.0738037</v>
      </c>
      <c r="P1361" s="6" t="str">
        <f t="shared" si="2"/>
        <v>Petroleum Products</v>
      </c>
    </row>
    <row r="1362">
      <c r="A1362" s="3" t="s">
        <v>5846</v>
      </c>
      <c r="B1362" s="4">
        <v>500109.0</v>
      </c>
      <c r="C1362" s="3" t="s">
        <v>5847</v>
      </c>
      <c r="D1362" s="3" t="s">
        <v>5848</v>
      </c>
      <c r="E1362" s="3" t="s">
        <v>5849</v>
      </c>
      <c r="F1362" s="3" t="s">
        <v>19</v>
      </c>
      <c r="G1362" s="3" t="s">
        <v>20</v>
      </c>
      <c r="H1362" s="3">
        <v>10.0</v>
      </c>
      <c r="I1362" s="3" t="s">
        <v>293</v>
      </c>
      <c r="J1362" s="3" t="s">
        <v>22</v>
      </c>
      <c r="K1362" s="3" t="s">
        <v>410</v>
      </c>
      <c r="L1362" s="3" t="s">
        <v>411</v>
      </c>
      <c r="M1362" s="3" t="s">
        <v>5748</v>
      </c>
      <c r="N1362" s="3" t="s">
        <v>5749</v>
      </c>
      <c r="O1362" s="5">
        <v>37488.6238636</v>
      </c>
      <c r="P1362" s="6" t="str">
        <f t="shared" si="2"/>
        <v>Petroleum Products</v>
      </c>
    </row>
    <row r="1363" hidden="1">
      <c r="A1363" s="3" t="s">
        <v>5850</v>
      </c>
      <c r="B1363" s="4">
        <v>523411.0</v>
      </c>
      <c r="C1363" s="3" t="s">
        <v>5851</v>
      </c>
      <c r="D1363" s="3" t="s">
        <v>5852</v>
      </c>
      <c r="E1363" s="3" t="s">
        <v>5853</v>
      </c>
      <c r="F1363" s="3" t="s">
        <v>19</v>
      </c>
      <c r="G1363" s="3" t="s">
        <v>44</v>
      </c>
      <c r="H1363" s="3">
        <v>10.0</v>
      </c>
      <c r="I1363" s="3" t="s">
        <v>5850</v>
      </c>
      <c r="J1363" s="3" t="s">
        <v>22</v>
      </c>
      <c r="K1363" s="3" t="s">
        <v>189</v>
      </c>
      <c r="L1363" s="3" t="s">
        <v>189</v>
      </c>
      <c r="M1363" s="3" t="s">
        <v>190</v>
      </c>
      <c r="N1363" s="3" t="s">
        <v>190</v>
      </c>
      <c r="O1363" s="5">
        <v>956.403855</v>
      </c>
      <c r="P1363" s="6" t="str">
        <f t="shared" si="2"/>
        <v>Telecom - Equipment &amp; Accessories</v>
      </c>
    </row>
    <row r="1364" hidden="1">
      <c r="A1364" s="3" t="s">
        <v>5854</v>
      </c>
      <c r="B1364" s="4">
        <v>523419.0</v>
      </c>
      <c r="C1364" s="3" t="s">
        <v>5855</v>
      </c>
      <c r="D1364" s="3" t="s">
        <v>5856</v>
      </c>
      <c r="E1364" s="3" t="s">
        <v>5857</v>
      </c>
      <c r="F1364" s="3" t="s">
        <v>19</v>
      </c>
      <c r="G1364" s="3" t="s">
        <v>86</v>
      </c>
      <c r="H1364" s="3">
        <v>10.0</v>
      </c>
      <c r="I1364" s="3" t="s">
        <v>5854</v>
      </c>
      <c r="J1364" s="3" t="s">
        <v>22</v>
      </c>
      <c r="K1364" s="3" t="s">
        <v>189</v>
      </c>
      <c r="L1364" s="3" t="s">
        <v>189</v>
      </c>
      <c r="M1364" s="3" t="s">
        <v>190</v>
      </c>
      <c r="N1364" s="3" t="s">
        <v>190</v>
      </c>
      <c r="O1364" s="5">
        <v>45.5391726</v>
      </c>
      <c r="P1364" s="6" t="str">
        <f t="shared" si="2"/>
        <v>Telecom - Equipment &amp; Accessories</v>
      </c>
    </row>
    <row r="1365" hidden="1">
      <c r="A1365" s="3" t="s">
        <v>5858</v>
      </c>
      <c r="B1365" s="4">
        <v>523425.0</v>
      </c>
      <c r="C1365" s="3" t="s">
        <v>5859</v>
      </c>
      <c r="D1365" s="3" t="s">
        <v>5860</v>
      </c>
      <c r="E1365" s="3" t="s">
        <v>5861</v>
      </c>
      <c r="F1365" s="3" t="s">
        <v>19</v>
      </c>
      <c r="G1365" s="3" t="s">
        <v>72</v>
      </c>
      <c r="H1365" s="3">
        <v>10.0</v>
      </c>
      <c r="I1365" s="3" t="s">
        <v>5858</v>
      </c>
      <c r="J1365" s="3" t="s">
        <v>22</v>
      </c>
      <c r="K1365" s="3" t="s">
        <v>58</v>
      </c>
      <c r="L1365" s="3" t="s">
        <v>211</v>
      </c>
      <c r="M1365" s="3" t="s">
        <v>211</v>
      </c>
      <c r="N1365" s="3" t="s">
        <v>947</v>
      </c>
      <c r="O1365" s="5">
        <v>1.0</v>
      </c>
      <c r="P1365" s="6" t="str">
        <f t="shared" si="2"/>
        <v>Consumer Durables</v>
      </c>
    </row>
    <row r="1366" hidden="1">
      <c r="A1366" s="3" t="s">
        <v>2122</v>
      </c>
      <c r="B1366" s="4">
        <v>542668.0</v>
      </c>
      <c r="C1366" s="3" t="s">
        <v>5862</v>
      </c>
      <c r="D1366" s="3" t="s">
        <v>5863</v>
      </c>
      <c r="E1366" s="3" t="s">
        <v>5864</v>
      </c>
      <c r="F1366" s="3" t="s">
        <v>19</v>
      </c>
      <c r="G1366" s="3" t="s">
        <v>2428</v>
      </c>
      <c r="H1366" s="3">
        <v>10.0</v>
      </c>
      <c r="I1366" s="3" t="s">
        <v>5865</v>
      </c>
      <c r="J1366" s="3" t="s">
        <v>22</v>
      </c>
      <c r="K1366" s="3" t="s">
        <v>1673</v>
      </c>
      <c r="L1366" s="3" t="s">
        <v>1673</v>
      </c>
      <c r="M1366" s="3" t="s">
        <v>1674</v>
      </c>
      <c r="N1366" s="3" t="s">
        <v>1675</v>
      </c>
      <c r="O1366" s="5">
        <v>80.4576128</v>
      </c>
      <c r="P1366" s="6" t="str">
        <f t="shared" si="2"/>
        <v>Commercial Services &amp; Supplies</v>
      </c>
    </row>
    <row r="1367">
      <c r="A1367" s="3" t="s">
        <v>479</v>
      </c>
      <c r="B1367" s="4">
        <v>500110.0</v>
      </c>
      <c r="C1367" s="3" t="s">
        <v>5866</v>
      </c>
      <c r="D1367" s="3" t="s">
        <v>5867</v>
      </c>
      <c r="E1367" s="3" t="s">
        <v>5868</v>
      </c>
      <c r="F1367" s="3" t="s">
        <v>19</v>
      </c>
      <c r="G1367" s="3" t="s">
        <v>20</v>
      </c>
      <c r="H1367" s="3">
        <v>10.0</v>
      </c>
      <c r="I1367" s="3" t="s">
        <v>298</v>
      </c>
      <c r="J1367" s="3" t="s">
        <v>22</v>
      </c>
      <c r="K1367" s="3" t="s">
        <v>410</v>
      </c>
      <c r="L1367" s="3" t="s">
        <v>411</v>
      </c>
      <c r="M1367" s="3" t="s">
        <v>5748</v>
      </c>
      <c r="N1367" s="3" t="s">
        <v>5749</v>
      </c>
      <c r="O1367" s="5">
        <v>14480.0784</v>
      </c>
      <c r="P1367" s="6" t="str">
        <f t="shared" si="2"/>
        <v>Petroleum Products</v>
      </c>
    </row>
    <row r="1368" hidden="1">
      <c r="A1368" s="3" t="s">
        <v>5869</v>
      </c>
      <c r="B1368" s="4">
        <v>523465.0</v>
      </c>
      <c r="C1368" s="3" t="s">
        <v>5870</v>
      </c>
      <c r="D1368" s="3" t="s">
        <v>5871</v>
      </c>
      <c r="E1368" s="3" t="s">
        <v>5872</v>
      </c>
      <c r="F1368" s="3" t="s">
        <v>19</v>
      </c>
      <c r="G1368" s="3" t="s">
        <v>112</v>
      </c>
      <c r="H1368" s="3">
        <v>10.0</v>
      </c>
      <c r="I1368" s="3" t="s">
        <v>5869</v>
      </c>
      <c r="J1368" s="3" t="s">
        <v>22</v>
      </c>
      <c r="K1368" s="3" t="s">
        <v>204</v>
      </c>
      <c r="L1368" s="3" t="s">
        <v>204</v>
      </c>
      <c r="M1368" s="3" t="s">
        <v>378</v>
      </c>
      <c r="N1368" s="3" t="s">
        <v>3066</v>
      </c>
      <c r="O1368" s="5">
        <v>68.8563145</v>
      </c>
      <c r="P1368" s="6" t="str">
        <f t="shared" si="2"/>
        <v>Finance</v>
      </c>
    </row>
    <row r="1369" hidden="1">
      <c r="A1369" s="3" t="s">
        <v>5873</v>
      </c>
      <c r="B1369" s="4">
        <v>523467.0</v>
      </c>
      <c r="C1369" s="3" t="s">
        <v>5874</v>
      </c>
      <c r="D1369" s="3" t="s">
        <v>5875</v>
      </c>
      <c r="E1369" s="3" t="s">
        <v>5876</v>
      </c>
      <c r="F1369" s="3" t="s">
        <v>19</v>
      </c>
      <c r="G1369" s="3" t="s">
        <v>44</v>
      </c>
      <c r="H1369" s="3">
        <v>1.0</v>
      </c>
      <c r="I1369" s="3" t="s">
        <v>5873</v>
      </c>
      <c r="J1369" s="3" t="s">
        <v>22</v>
      </c>
      <c r="K1369" s="3" t="s">
        <v>23</v>
      </c>
      <c r="L1369" s="3" t="s">
        <v>162</v>
      </c>
      <c r="M1369" s="3" t="s">
        <v>1491</v>
      </c>
      <c r="N1369" s="3" t="s">
        <v>1491</v>
      </c>
      <c r="O1369" s="5">
        <v>17.6932562</v>
      </c>
      <c r="P1369" s="6" t="str">
        <f t="shared" si="2"/>
        <v>Other Construction Materials</v>
      </c>
    </row>
    <row r="1370" hidden="1">
      <c r="A1370" s="3" t="s">
        <v>5877</v>
      </c>
      <c r="B1370" s="4">
        <v>523475.0</v>
      </c>
      <c r="C1370" s="3" t="s">
        <v>5878</v>
      </c>
      <c r="D1370" s="3" t="s">
        <v>5879</v>
      </c>
      <c r="E1370" s="3" t="s">
        <v>5880</v>
      </c>
      <c r="F1370" s="3" t="s">
        <v>19</v>
      </c>
      <c r="G1370" s="3" t="s">
        <v>44</v>
      </c>
      <c r="H1370" s="3">
        <v>10.0</v>
      </c>
      <c r="I1370" s="3" t="s">
        <v>5877</v>
      </c>
      <c r="J1370" s="3" t="s">
        <v>22</v>
      </c>
      <c r="K1370" s="3" t="s">
        <v>145</v>
      </c>
      <c r="L1370" s="3" t="s">
        <v>145</v>
      </c>
      <c r="M1370" s="3" t="s">
        <v>597</v>
      </c>
      <c r="N1370" s="3" t="s">
        <v>2344</v>
      </c>
      <c r="O1370" s="5">
        <v>789.039615</v>
      </c>
      <c r="P1370" s="6" t="str">
        <f t="shared" si="2"/>
        <v>Food Products</v>
      </c>
    </row>
    <row r="1371" hidden="1">
      <c r="A1371" s="3" t="s">
        <v>5881</v>
      </c>
      <c r="B1371" s="4">
        <v>523483.0</v>
      </c>
      <c r="C1371" s="3" t="s">
        <v>5882</v>
      </c>
      <c r="D1371" s="3" t="s">
        <v>5883</v>
      </c>
      <c r="E1371" s="3" t="s">
        <v>5884</v>
      </c>
      <c r="F1371" s="3" t="s">
        <v>19</v>
      </c>
      <c r="G1371" s="3" t="s">
        <v>44</v>
      </c>
      <c r="H1371" s="3">
        <v>10.0</v>
      </c>
      <c r="I1371" s="3" t="s">
        <v>5881</v>
      </c>
      <c r="J1371" s="3" t="s">
        <v>22</v>
      </c>
      <c r="K1371" s="3" t="s">
        <v>58</v>
      </c>
      <c r="L1371" s="3" t="s">
        <v>211</v>
      </c>
      <c r="M1371" s="3" t="s">
        <v>211</v>
      </c>
      <c r="N1371" s="3" t="s">
        <v>4317</v>
      </c>
      <c r="O1371" s="5">
        <v>160.3479822</v>
      </c>
      <c r="P1371" s="6" t="str">
        <f t="shared" si="2"/>
        <v>Consumer Durables</v>
      </c>
    </row>
    <row r="1372" hidden="1">
      <c r="A1372" s="3" t="s">
        <v>5885</v>
      </c>
      <c r="B1372" s="4">
        <v>523489.0</v>
      </c>
      <c r="C1372" s="3" t="s">
        <v>5886</v>
      </c>
      <c r="D1372" s="3" t="s">
        <v>5887</v>
      </c>
      <c r="E1372" s="3" t="s">
        <v>5888</v>
      </c>
      <c r="F1372" s="3" t="s">
        <v>19</v>
      </c>
      <c r="G1372" s="3" t="s">
        <v>44</v>
      </c>
      <c r="H1372" s="3">
        <v>10.0</v>
      </c>
      <c r="I1372" s="3" t="s">
        <v>5885</v>
      </c>
      <c r="J1372" s="3" t="s">
        <v>22</v>
      </c>
      <c r="K1372" s="3" t="s">
        <v>45</v>
      </c>
      <c r="L1372" s="3" t="s">
        <v>45</v>
      </c>
      <c r="M1372" s="3" t="s">
        <v>4488</v>
      </c>
      <c r="N1372" s="3" t="s">
        <v>4489</v>
      </c>
      <c r="O1372" s="5">
        <v>28.8879942</v>
      </c>
      <c r="P1372" s="6" t="str">
        <f t="shared" si="2"/>
        <v>Healthcare Services</v>
      </c>
    </row>
    <row r="1373" hidden="1">
      <c r="A1373" s="3" t="s">
        <v>5889</v>
      </c>
      <c r="B1373" s="4">
        <v>543515.0</v>
      </c>
      <c r="C1373" s="3" t="s">
        <v>5890</v>
      </c>
      <c r="D1373" s="3" t="s">
        <v>5891</v>
      </c>
      <c r="E1373" s="3" t="s">
        <v>5892</v>
      </c>
      <c r="F1373" s="3" t="s">
        <v>19</v>
      </c>
      <c r="G1373" s="3" t="s">
        <v>2428</v>
      </c>
      <c r="H1373" s="3">
        <v>10.0</v>
      </c>
      <c r="I1373" s="3" t="s">
        <v>5893</v>
      </c>
      <c r="J1373" s="3" t="s">
        <v>22</v>
      </c>
      <c r="K1373" s="3" t="s">
        <v>1673</v>
      </c>
      <c r="L1373" s="3" t="s">
        <v>1673</v>
      </c>
      <c r="M1373" s="3" t="s">
        <v>1674</v>
      </c>
      <c r="N1373" s="3" t="s">
        <v>1915</v>
      </c>
      <c r="O1373" s="5">
        <v>80.4500647</v>
      </c>
      <c r="P1373" s="6" t="str">
        <f t="shared" si="2"/>
        <v>Commercial Services &amp; Supplies</v>
      </c>
    </row>
    <row r="1374" hidden="1">
      <c r="A1374" s="3" t="s">
        <v>5894</v>
      </c>
      <c r="B1374" s="4">
        <v>523537.0</v>
      </c>
      <c r="C1374" s="3" t="s">
        <v>5895</v>
      </c>
      <c r="D1374" s="3" t="s">
        <v>5896</v>
      </c>
      <c r="E1374" s="3" t="s">
        <v>5897</v>
      </c>
      <c r="F1374" s="3" t="s">
        <v>19</v>
      </c>
      <c r="G1374" s="3" t="s">
        <v>44</v>
      </c>
      <c r="H1374" s="3">
        <v>2.0</v>
      </c>
      <c r="I1374" s="3" t="s">
        <v>5894</v>
      </c>
      <c r="J1374" s="3" t="s">
        <v>22</v>
      </c>
      <c r="K1374" s="3" t="s">
        <v>58</v>
      </c>
      <c r="L1374" s="3" t="s">
        <v>80</v>
      </c>
      <c r="M1374" s="3" t="s">
        <v>81</v>
      </c>
      <c r="N1374" s="3" t="s">
        <v>82</v>
      </c>
      <c r="O1374" s="5">
        <v>125.7591822</v>
      </c>
      <c r="P1374" s="6" t="str">
        <f t="shared" si="2"/>
        <v>Textiles &amp; Apparels</v>
      </c>
    </row>
    <row r="1375" hidden="1">
      <c r="A1375" s="3" t="s">
        <v>5898</v>
      </c>
      <c r="B1375" s="4">
        <v>523539.0</v>
      </c>
      <c r="C1375" s="3" t="s">
        <v>5899</v>
      </c>
      <c r="D1375" s="3" t="s">
        <v>5900</v>
      </c>
      <c r="E1375" s="3" t="s">
        <v>5901</v>
      </c>
      <c r="F1375" s="3" t="s">
        <v>19</v>
      </c>
      <c r="G1375" s="3" t="s">
        <v>112</v>
      </c>
      <c r="H1375" s="3">
        <v>1.0</v>
      </c>
      <c r="I1375" s="3" t="s">
        <v>5898</v>
      </c>
      <c r="J1375" s="3" t="s">
        <v>22</v>
      </c>
      <c r="K1375" s="3" t="s">
        <v>97</v>
      </c>
      <c r="L1375" s="3" t="s">
        <v>98</v>
      </c>
      <c r="M1375" s="3" t="s">
        <v>100</v>
      </c>
      <c r="N1375" s="3" t="s">
        <v>221</v>
      </c>
      <c r="O1375" s="5">
        <v>2965.4407631</v>
      </c>
      <c r="P1375" s="6" t="str">
        <f t="shared" si="2"/>
        <v>Industrial Products</v>
      </c>
    </row>
    <row r="1376" hidden="1">
      <c r="A1376" s="3" t="s">
        <v>5902</v>
      </c>
      <c r="B1376" s="4">
        <v>523550.0</v>
      </c>
      <c r="C1376" s="3" t="s">
        <v>5903</v>
      </c>
      <c r="D1376" s="3" t="s">
        <v>5904</v>
      </c>
      <c r="E1376" s="3" t="s">
        <v>5905</v>
      </c>
      <c r="F1376" s="3" t="s">
        <v>19</v>
      </c>
      <c r="G1376" s="3" t="s">
        <v>72</v>
      </c>
      <c r="H1376" s="3">
        <v>10.0</v>
      </c>
      <c r="I1376" s="3" t="s">
        <v>5902</v>
      </c>
      <c r="J1376" s="3" t="s">
        <v>22</v>
      </c>
      <c r="K1376" s="3" t="s">
        <v>2675</v>
      </c>
      <c r="L1376" s="3" t="s">
        <v>2675</v>
      </c>
      <c r="M1376" s="3" t="s">
        <v>2675</v>
      </c>
      <c r="N1376" s="3" t="s">
        <v>2675</v>
      </c>
      <c r="O1376" s="5">
        <v>63.4137865</v>
      </c>
      <c r="P1376" s="6" t="str">
        <f t="shared" si="2"/>
        <v>Diversified</v>
      </c>
    </row>
    <row r="1377" hidden="1">
      <c r="A1377" s="3" t="s">
        <v>5906</v>
      </c>
      <c r="B1377" s="4">
        <v>523558.0</v>
      </c>
      <c r="C1377" s="3" t="s">
        <v>5907</v>
      </c>
      <c r="D1377" s="3" t="s">
        <v>5908</v>
      </c>
      <c r="E1377" s="3" t="s">
        <v>5909</v>
      </c>
      <c r="F1377" s="3" t="s">
        <v>19</v>
      </c>
      <c r="G1377" s="3" t="s">
        <v>44</v>
      </c>
      <c r="H1377" s="3">
        <v>2.0</v>
      </c>
      <c r="I1377" s="3" t="s">
        <v>5906</v>
      </c>
      <c r="J1377" s="3" t="s">
        <v>22</v>
      </c>
      <c r="K1377" s="3" t="s">
        <v>58</v>
      </c>
      <c r="L1377" s="3" t="s">
        <v>211</v>
      </c>
      <c r="M1377" s="3" t="s">
        <v>211</v>
      </c>
      <c r="N1377" s="3" t="s">
        <v>5910</v>
      </c>
      <c r="O1377" s="5">
        <v>510.1614</v>
      </c>
      <c r="P1377" s="6" t="str">
        <f t="shared" si="2"/>
        <v>Consumer Durables</v>
      </c>
    </row>
    <row r="1378" hidden="1">
      <c r="A1378" s="3" t="s">
        <v>5911</v>
      </c>
      <c r="B1378" s="4">
        <v>523566.0</v>
      </c>
      <c r="C1378" s="3" t="s">
        <v>5912</v>
      </c>
      <c r="D1378" s="3" t="s">
        <v>5913</v>
      </c>
      <c r="E1378" s="3" t="s">
        <v>5914</v>
      </c>
      <c r="F1378" s="3" t="s">
        <v>19</v>
      </c>
      <c r="G1378" s="3" t="s">
        <v>44</v>
      </c>
      <c r="H1378" s="3">
        <v>10.0</v>
      </c>
      <c r="I1378" s="3" t="s">
        <v>5911</v>
      </c>
      <c r="J1378" s="3" t="s">
        <v>22</v>
      </c>
      <c r="K1378" s="3" t="s">
        <v>58</v>
      </c>
      <c r="L1378" s="3" t="s">
        <v>59</v>
      </c>
      <c r="M1378" s="3" t="s">
        <v>59</v>
      </c>
      <c r="N1378" s="3" t="s">
        <v>60</v>
      </c>
      <c r="O1378" s="5">
        <v>35.5508149</v>
      </c>
      <c r="P1378" s="6" t="str">
        <f t="shared" si="2"/>
        <v>Residential, Commercial Projects</v>
      </c>
    </row>
    <row r="1379" hidden="1">
      <c r="A1379" s="3" t="s">
        <v>5915</v>
      </c>
      <c r="B1379" s="4">
        <v>523574.0</v>
      </c>
      <c r="C1379" s="3" t="s">
        <v>5916</v>
      </c>
      <c r="D1379" s="3" t="s">
        <v>5917</v>
      </c>
      <c r="E1379" s="3" t="s">
        <v>5918</v>
      </c>
      <c r="F1379" s="3" t="s">
        <v>19</v>
      </c>
      <c r="G1379" s="3" t="s">
        <v>57</v>
      </c>
      <c r="H1379" s="3">
        <v>2.0</v>
      </c>
      <c r="I1379" s="3" t="s">
        <v>5915</v>
      </c>
      <c r="J1379" s="3" t="s">
        <v>22</v>
      </c>
      <c r="K1379" s="3" t="s">
        <v>58</v>
      </c>
      <c r="L1379" s="3" t="s">
        <v>73</v>
      </c>
      <c r="M1379" s="3" t="s">
        <v>988</v>
      </c>
      <c r="N1379" s="3" t="s">
        <v>1509</v>
      </c>
      <c r="O1379" s="5">
        <v>59.660623</v>
      </c>
      <c r="P1379" s="6" t="str">
        <f t="shared" si="2"/>
        <v>Retailing</v>
      </c>
    </row>
    <row r="1380" hidden="1">
      <c r="A1380" s="3" t="s">
        <v>5919</v>
      </c>
      <c r="B1380" s="4">
        <v>523586.0</v>
      </c>
      <c r="C1380" s="3" t="s">
        <v>5920</v>
      </c>
      <c r="D1380" s="3" t="s">
        <v>5921</v>
      </c>
      <c r="E1380" s="3" t="s">
        <v>5922</v>
      </c>
      <c r="F1380" s="3" t="s">
        <v>19</v>
      </c>
      <c r="G1380" s="3" t="s">
        <v>44</v>
      </c>
      <c r="H1380" s="3">
        <v>10.0</v>
      </c>
      <c r="I1380" s="3" t="s">
        <v>5919</v>
      </c>
      <c r="J1380" s="3" t="s">
        <v>22</v>
      </c>
      <c r="K1380" s="3" t="s">
        <v>23</v>
      </c>
      <c r="L1380" s="3" t="s">
        <v>24</v>
      </c>
      <c r="M1380" s="3" t="s">
        <v>25</v>
      </c>
      <c r="N1380" s="3" t="s">
        <v>26</v>
      </c>
      <c r="O1380" s="5">
        <v>322.374026</v>
      </c>
      <c r="P1380" s="6" t="str">
        <f t="shared" si="2"/>
        <v>Specialty Chemicals</v>
      </c>
    </row>
    <row r="1381" hidden="1">
      <c r="A1381" s="3" t="s">
        <v>5923</v>
      </c>
      <c r="B1381" s="4">
        <v>523594.0</v>
      </c>
      <c r="C1381" s="3" t="s">
        <v>5924</v>
      </c>
      <c r="D1381" s="3" t="s">
        <v>5925</v>
      </c>
      <c r="E1381" s="3" t="s">
        <v>5926</v>
      </c>
      <c r="F1381" s="3" t="s">
        <v>19</v>
      </c>
      <c r="G1381" s="3" t="s">
        <v>44</v>
      </c>
      <c r="H1381" s="3">
        <v>10.0</v>
      </c>
      <c r="I1381" s="3" t="s">
        <v>5923</v>
      </c>
      <c r="J1381" s="3" t="s">
        <v>22</v>
      </c>
      <c r="K1381" s="3" t="s">
        <v>97</v>
      </c>
      <c r="L1381" s="3" t="s">
        <v>98</v>
      </c>
      <c r="M1381" s="3" t="s">
        <v>100</v>
      </c>
      <c r="N1381" s="3" t="s">
        <v>580</v>
      </c>
      <c r="O1381" s="5">
        <v>20.0411036</v>
      </c>
      <c r="P1381" s="6" t="str">
        <f t="shared" si="2"/>
        <v>Industrial Products</v>
      </c>
    </row>
    <row r="1382" hidden="1">
      <c r="A1382" s="3" t="s">
        <v>5927</v>
      </c>
      <c r="B1382" s="4">
        <v>531744.0</v>
      </c>
      <c r="C1382" s="3" t="s">
        <v>5928</v>
      </c>
      <c r="D1382" s="3" t="s">
        <v>5929</v>
      </c>
      <c r="E1382" s="3" t="s">
        <v>5930</v>
      </c>
      <c r="F1382" s="3" t="s">
        <v>19</v>
      </c>
      <c r="G1382" s="3" t="s">
        <v>72</v>
      </c>
      <c r="H1382" s="3">
        <v>10.0</v>
      </c>
      <c r="I1382" s="3" t="s">
        <v>5931</v>
      </c>
      <c r="J1382" s="3" t="s">
        <v>22</v>
      </c>
      <c r="K1382" s="3" t="s">
        <v>1673</v>
      </c>
      <c r="L1382" s="3" t="s">
        <v>1673</v>
      </c>
      <c r="M1382" s="3" t="s">
        <v>1674</v>
      </c>
      <c r="N1382" s="3" t="s">
        <v>1915</v>
      </c>
      <c r="O1382" s="5">
        <v>79.6161381</v>
      </c>
      <c r="P1382" s="6" t="str">
        <f t="shared" si="2"/>
        <v>Commercial Services &amp; Supplies</v>
      </c>
    </row>
    <row r="1383" hidden="1">
      <c r="A1383" s="3" t="s">
        <v>5932</v>
      </c>
      <c r="B1383" s="4">
        <v>523606.0</v>
      </c>
      <c r="C1383" s="3" t="s">
        <v>5933</v>
      </c>
      <c r="D1383" s="3" t="s">
        <v>5934</v>
      </c>
      <c r="E1383" s="3" t="s">
        <v>5935</v>
      </c>
      <c r="F1383" s="3" t="s">
        <v>19</v>
      </c>
      <c r="G1383" s="3" t="s">
        <v>72</v>
      </c>
      <c r="H1383" s="3">
        <v>10.0</v>
      </c>
      <c r="I1383" s="3" t="s">
        <v>5932</v>
      </c>
      <c r="J1383" s="3" t="s">
        <v>22</v>
      </c>
      <c r="K1383" s="3" t="s">
        <v>97</v>
      </c>
      <c r="L1383" s="3" t="s">
        <v>98</v>
      </c>
      <c r="M1383" s="3" t="s">
        <v>806</v>
      </c>
      <c r="N1383" s="3" t="s">
        <v>806</v>
      </c>
      <c r="O1383" s="5">
        <v>1330.209623</v>
      </c>
      <c r="P1383" s="6" t="str">
        <f t="shared" si="2"/>
        <v>Aerospace &amp; Defense</v>
      </c>
    </row>
    <row r="1384">
      <c r="A1384" s="3" t="s">
        <v>5936</v>
      </c>
      <c r="B1384" s="4">
        <v>500312.0</v>
      </c>
      <c r="C1384" s="3" t="s">
        <v>5937</v>
      </c>
      <c r="D1384" s="3" t="s">
        <v>5938</v>
      </c>
      <c r="E1384" s="3" t="s">
        <v>5939</v>
      </c>
      <c r="F1384" s="3" t="s">
        <v>19</v>
      </c>
      <c r="G1384" s="3" t="s">
        <v>20</v>
      </c>
      <c r="H1384" s="3">
        <v>5.0</v>
      </c>
      <c r="I1384" s="3" t="s">
        <v>812</v>
      </c>
      <c r="J1384" s="3" t="s">
        <v>22</v>
      </c>
      <c r="K1384" s="3" t="s">
        <v>410</v>
      </c>
      <c r="L1384" s="3" t="s">
        <v>411</v>
      </c>
      <c r="M1384" s="3" t="s">
        <v>412</v>
      </c>
      <c r="N1384" s="3" t="s">
        <v>504</v>
      </c>
      <c r="O1384" s="5">
        <v>348552.9907728</v>
      </c>
      <c r="P1384" s="6" t="str">
        <f t="shared" si="2"/>
        <v>Oil</v>
      </c>
    </row>
    <row r="1385" hidden="1">
      <c r="A1385" s="3" t="s">
        <v>1868</v>
      </c>
      <c r="B1385" s="4">
        <v>539097.0</v>
      </c>
      <c r="C1385" s="3" t="s">
        <v>5940</v>
      </c>
      <c r="D1385" s="3" t="s">
        <v>5941</v>
      </c>
      <c r="E1385" s="3" t="s">
        <v>5942</v>
      </c>
      <c r="F1385" s="3" t="s">
        <v>19</v>
      </c>
      <c r="G1385" s="3" t="s">
        <v>112</v>
      </c>
      <c r="H1385" s="3">
        <v>2.0</v>
      </c>
      <c r="I1385" s="3" t="s">
        <v>5943</v>
      </c>
      <c r="J1385" s="3" t="s">
        <v>22</v>
      </c>
      <c r="K1385" s="3" t="s">
        <v>1673</v>
      </c>
      <c r="L1385" s="3" t="s">
        <v>1673</v>
      </c>
      <c r="M1385" s="3" t="s">
        <v>1674</v>
      </c>
      <c r="N1385" s="3" t="s">
        <v>1915</v>
      </c>
      <c r="O1385" s="5">
        <v>79.0834906</v>
      </c>
      <c r="P1385" s="6" t="str">
        <f t="shared" si="2"/>
        <v>Commercial Services &amp; Supplies</v>
      </c>
    </row>
    <row r="1386" hidden="1">
      <c r="A1386" s="3" t="s">
        <v>5944</v>
      </c>
      <c r="B1386" s="4">
        <v>523620.0</v>
      </c>
      <c r="C1386" s="3" t="s">
        <v>5945</v>
      </c>
      <c r="D1386" s="3" t="s">
        <v>5946</v>
      </c>
      <c r="E1386" s="3" t="s">
        <v>5947</v>
      </c>
      <c r="F1386" s="3" t="s">
        <v>19</v>
      </c>
      <c r="G1386" s="3" t="s">
        <v>72</v>
      </c>
      <c r="H1386" s="3">
        <v>10.0</v>
      </c>
      <c r="I1386" s="3" t="s">
        <v>5944</v>
      </c>
      <c r="J1386" s="3" t="s">
        <v>22</v>
      </c>
      <c r="K1386" s="3" t="s">
        <v>45</v>
      </c>
      <c r="L1386" s="3" t="s">
        <v>45</v>
      </c>
      <c r="M1386" s="3" t="s">
        <v>46</v>
      </c>
      <c r="N1386" s="3" t="s">
        <v>47</v>
      </c>
      <c r="O1386" s="5">
        <v>36.4112645</v>
      </c>
      <c r="P1386" s="6" t="str">
        <f t="shared" si="2"/>
        <v>Pharmaceuticals</v>
      </c>
    </row>
    <row r="1387" hidden="1">
      <c r="A1387" s="3" t="s">
        <v>5948</v>
      </c>
      <c r="B1387" s="4">
        <v>523628.0</v>
      </c>
      <c r="C1387" s="3" t="s">
        <v>5949</v>
      </c>
      <c r="D1387" s="3" t="s">
        <v>5950</v>
      </c>
      <c r="E1387" s="3" t="s">
        <v>5951</v>
      </c>
      <c r="F1387" s="3" t="s">
        <v>19</v>
      </c>
      <c r="G1387" s="3" t="s">
        <v>57</v>
      </c>
      <c r="H1387" s="3">
        <v>10.0</v>
      </c>
      <c r="I1387" s="3" t="s">
        <v>5948</v>
      </c>
      <c r="J1387" s="3" t="s">
        <v>22</v>
      </c>
      <c r="K1387" s="3" t="s">
        <v>58</v>
      </c>
      <c r="L1387" s="3" t="s">
        <v>59</v>
      </c>
      <c r="M1387" s="3" t="s">
        <v>59</v>
      </c>
      <c r="N1387" s="3" t="s">
        <v>60</v>
      </c>
      <c r="O1387" s="5">
        <v>66.0716546</v>
      </c>
      <c r="P1387" s="6" t="str">
        <f t="shared" si="2"/>
        <v>Residential, Commercial Projects</v>
      </c>
    </row>
    <row r="1388">
      <c r="A1388" s="3" t="s">
        <v>485</v>
      </c>
      <c r="B1388" s="4">
        <v>500325.0</v>
      </c>
      <c r="C1388" s="3" t="s">
        <v>5952</v>
      </c>
      <c r="D1388" s="3" t="s">
        <v>5953</v>
      </c>
      <c r="E1388" s="3" t="s">
        <v>5954</v>
      </c>
      <c r="F1388" s="3" t="s">
        <v>19</v>
      </c>
      <c r="G1388" s="3" t="s">
        <v>20</v>
      </c>
      <c r="H1388" s="3">
        <v>10.0</v>
      </c>
      <c r="I1388" s="3" t="s">
        <v>839</v>
      </c>
      <c r="J1388" s="3" t="s">
        <v>22</v>
      </c>
      <c r="K1388" s="3" t="s">
        <v>410</v>
      </c>
      <c r="L1388" s="3" t="s">
        <v>411</v>
      </c>
      <c r="M1388" s="3" t="s">
        <v>5748</v>
      </c>
      <c r="N1388" s="3" t="s">
        <v>5749</v>
      </c>
      <c r="O1388" s="5">
        <v>2105986.7710168</v>
      </c>
      <c r="P1388" s="6" t="str">
        <f t="shared" si="2"/>
        <v>Petroleum Products</v>
      </c>
    </row>
    <row r="1389" hidden="1">
      <c r="A1389" s="3" t="s">
        <v>5955</v>
      </c>
      <c r="B1389" s="4">
        <v>523638.0</v>
      </c>
      <c r="C1389" s="3" t="s">
        <v>5956</v>
      </c>
      <c r="D1389" s="3" t="s">
        <v>5957</v>
      </c>
      <c r="E1389" s="3" t="s">
        <v>5958</v>
      </c>
      <c r="F1389" s="3" t="s">
        <v>19</v>
      </c>
      <c r="G1389" s="3" t="s">
        <v>44</v>
      </c>
      <c r="H1389" s="3">
        <v>10.0</v>
      </c>
      <c r="I1389" s="3" t="s">
        <v>5955</v>
      </c>
      <c r="J1389" s="3" t="s">
        <v>22</v>
      </c>
      <c r="K1389" s="3" t="s">
        <v>58</v>
      </c>
      <c r="L1389" s="3" t="s">
        <v>133</v>
      </c>
      <c r="M1389" s="3" t="s">
        <v>134</v>
      </c>
      <c r="N1389" s="3" t="s">
        <v>135</v>
      </c>
      <c r="O1389" s="5">
        <v>262.00128</v>
      </c>
      <c r="P1389" s="6" t="str">
        <f t="shared" si="2"/>
        <v>Auto Components &amp; Equipments</v>
      </c>
    </row>
    <row r="1390">
      <c r="A1390" s="3" t="s">
        <v>490</v>
      </c>
      <c r="B1390" s="4">
        <v>500547.0</v>
      </c>
      <c r="C1390" s="3" t="s">
        <v>5959</v>
      </c>
      <c r="D1390" s="3" t="s">
        <v>5960</v>
      </c>
      <c r="E1390" s="3" t="s">
        <v>5961</v>
      </c>
      <c r="F1390" s="3" t="s">
        <v>19</v>
      </c>
      <c r="G1390" s="3" t="s">
        <v>20</v>
      </c>
      <c r="H1390" s="3">
        <v>10.0</v>
      </c>
      <c r="I1390" s="3" t="s">
        <v>1157</v>
      </c>
      <c r="J1390" s="3" t="s">
        <v>22</v>
      </c>
      <c r="K1390" s="3" t="s">
        <v>410</v>
      </c>
      <c r="L1390" s="3" t="s">
        <v>411</v>
      </c>
      <c r="M1390" s="3" t="s">
        <v>5748</v>
      </c>
      <c r="N1390" s="3" t="s">
        <v>5749</v>
      </c>
      <c r="O1390" s="5">
        <v>66007.8651201</v>
      </c>
      <c r="P1390" s="6" t="str">
        <f t="shared" si="2"/>
        <v>Petroleum Products</v>
      </c>
    </row>
    <row r="1391" hidden="1">
      <c r="A1391" s="3" t="s">
        <v>5962</v>
      </c>
      <c r="B1391" s="4">
        <v>523648.0</v>
      </c>
      <c r="C1391" s="3" t="s">
        <v>5963</v>
      </c>
      <c r="D1391" s="3" t="s">
        <v>5964</v>
      </c>
      <c r="E1391" s="3" t="s">
        <v>5965</v>
      </c>
      <c r="F1391" s="3" t="s">
        <v>19</v>
      </c>
      <c r="G1391" s="3" t="s">
        <v>112</v>
      </c>
      <c r="H1391" s="3">
        <v>5.0</v>
      </c>
      <c r="I1391" s="3" t="s">
        <v>5962</v>
      </c>
      <c r="J1391" s="3" t="s">
        <v>22</v>
      </c>
      <c r="K1391" s="3" t="s">
        <v>23</v>
      </c>
      <c r="L1391" s="3" t="s">
        <v>24</v>
      </c>
      <c r="M1391" s="3" t="s">
        <v>25</v>
      </c>
      <c r="N1391" s="3" t="s">
        <v>26</v>
      </c>
      <c r="O1391" s="5">
        <v>704.1433451</v>
      </c>
      <c r="P1391" s="6" t="str">
        <f t="shared" si="2"/>
        <v>Specialty Chemicals</v>
      </c>
    </row>
    <row r="1392" hidden="1">
      <c r="A1392" s="3" t="s">
        <v>5966</v>
      </c>
      <c r="B1392" s="4">
        <v>531364.0</v>
      </c>
      <c r="C1392" s="3" t="s">
        <v>5967</v>
      </c>
      <c r="D1392" s="3" t="s">
        <v>5968</v>
      </c>
      <c r="E1392" s="3" t="s">
        <v>5969</v>
      </c>
      <c r="F1392" s="3" t="s">
        <v>19</v>
      </c>
      <c r="G1392" s="3" t="s">
        <v>44</v>
      </c>
      <c r="H1392" s="3">
        <v>10.0</v>
      </c>
      <c r="I1392" s="3" t="s">
        <v>5970</v>
      </c>
      <c r="J1392" s="3" t="s">
        <v>22</v>
      </c>
      <c r="K1392" s="3" t="s">
        <v>1673</v>
      </c>
      <c r="L1392" s="3" t="s">
        <v>1673</v>
      </c>
      <c r="M1392" s="3" t="s">
        <v>1674</v>
      </c>
      <c r="N1392" s="3" t="s">
        <v>3189</v>
      </c>
      <c r="O1392" s="5">
        <v>78.84505</v>
      </c>
      <c r="P1392" s="6" t="str">
        <f t="shared" si="2"/>
        <v>Commercial Services &amp; Supplies</v>
      </c>
    </row>
    <row r="1393" hidden="1">
      <c r="A1393" s="3" t="s">
        <v>5971</v>
      </c>
      <c r="B1393" s="4">
        <v>523652.0</v>
      </c>
      <c r="C1393" s="3" t="s">
        <v>5972</v>
      </c>
      <c r="D1393" s="3" t="s">
        <v>5973</v>
      </c>
      <c r="E1393" s="3" t="s">
        <v>5972</v>
      </c>
      <c r="F1393" s="3" t="s">
        <v>19</v>
      </c>
      <c r="G1393" s="3" t="s">
        <v>72</v>
      </c>
      <c r="H1393" s="3">
        <v>10.0</v>
      </c>
      <c r="I1393" s="3" t="s">
        <v>5971</v>
      </c>
      <c r="J1393" s="3" t="s">
        <v>22</v>
      </c>
      <c r="K1393" s="3" t="s">
        <v>97</v>
      </c>
      <c r="L1393" s="3" t="s">
        <v>98</v>
      </c>
      <c r="M1393" s="3" t="s">
        <v>100</v>
      </c>
      <c r="N1393" s="3" t="s">
        <v>580</v>
      </c>
      <c r="O1393" s="5">
        <v>1.0</v>
      </c>
      <c r="P1393" s="6" t="str">
        <f t="shared" si="2"/>
        <v>Industrial Products</v>
      </c>
    </row>
    <row r="1394" hidden="1">
      <c r="A1394" s="3" t="s">
        <v>5974</v>
      </c>
      <c r="B1394" s="4">
        <v>523660.0</v>
      </c>
      <c r="C1394" s="3" t="s">
        <v>5975</v>
      </c>
      <c r="D1394" s="3" t="s">
        <v>5976</v>
      </c>
      <c r="E1394" s="3" t="s">
        <v>5977</v>
      </c>
      <c r="F1394" s="3" t="s">
        <v>19</v>
      </c>
      <c r="G1394" s="3" t="s">
        <v>44</v>
      </c>
      <c r="H1394" s="3">
        <v>10.0</v>
      </c>
      <c r="I1394" s="3" t="s">
        <v>5974</v>
      </c>
      <c r="J1394" s="3" t="s">
        <v>22</v>
      </c>
      <c r="K1394" s="3" t="s">
        <v>145</v>
      </c>
      <c r="L1394" s="3" t="s">
        <v>145</v>
      </c>
      <c r="M1394" s="3" t="s">
        <v>597</v>
      </c>
      <c r="N1394" s="3" t="s">
        <v>1438</v>
      </c>
      <c r="O1394" s="5">
        <v>344.8778602</v>
      </c>
      <c r="P1394" s="6" t="str">
        <f t="shared" si="2"/>
        <v>Food Products</v>
      </c>
    </row>
    <row r="1395" hidden="1">
      <c r="A1395" s="3" t="s">
        <v>5978</v>
      </c>
      <c r="B1395" s="4">
        <v>523672.0</v>
      </c>
      <c r="C1395" s="3" t="s">
        <v>5979</v>
      </c>
      <c r="D1395" s="3" t="s">
        <v>5980</v>
      </c>
      <c r="E1395" s="3" t="s">
        <v>5981</v>
      </c>
      <c r="F1395" s="3" t="s">
        <v>19</v>
      </c>
      <c r="G1395" s="3" t="s">
        <v>44</v>
      </c>
      <c r="H1395" s="3">
        <v>10.0</v>
      </c>
      <c r="I1395" s="3" t="s">
        <v>5978</v>
      </c>
      <c r="J1395" s="3" t="s">
        <v>22</v>
      </c>
      <c r="K1395" s="3" t="s">
        <v>145</v>
      </c>
      <c r="L1395" s="3" t="s">
        <v>145</v>
      </c>
      <c r="M1395" s="3" t="s">
        <v>146</v>
      </c>
      <c r="N1395" s="3" t="s">
        <v>2645</v>
      </c>
      <c r="O1395" s="5">
        <v>161.237229</v>
      </c>
      <c r="P1395" s="6" t="str">
        <f t="shared" si="2"/>
        <v>Agricultural Food &amp; other Products</v>
      </c>
    </row>
    <row r="1396" hidden="1">
      <c r="A1396" s="3" t="s">
        <v>5982</v>
      </c>
      <c r="B1396" s="4">
        <v>523676.0</v>
      </c>
      <c r="C1396" s="3" t="s">
        <v>5983</v>
      </c>
      <c r="D1396" s="3" t="s">
        <v>5984</v>
      </c>
      <c r="E1396" s="3" t="s">
        <v>5985</v>
      </c>
      <c r="F1396" s="3" t="s">
        <v>19</v>
      </c>
      <c r="G1396" s="3" t="s">
        <v>72</v>
      </c>
      <c r="H1396" s="3">
        <v>10.0</v>
      </c>
      <c r="I1396" s="3" t="s">
        <v>5982</v>
      </c>
      <c r="J1396" s="3" t="s">
        <v>22</v>
      </c>
      <c r="K1396" s="3" t="s">
        <v>58</v>
      </c>
      <c r="L1396" s="3" t="s">
        <v>211</v>
      </c>
      <c r="M1396" s="3" t="s">
        <v>211</v>
      </c>
      <c r="N1396" s="3" t="s">
        <v>947</v>
      </c>
      <c r="O1396" s="5">
        <v>124.5221325</v>
      </c>
      <c r="P1396" s="6" t="str">
        <f t="shared" si="2"/>
        <v>Consumer Durables</v>
      </c>
    </row>
    <row r="1397" hidden="1">
      <c r="A1397" s="3" t="s">
        <v>5986</v>
      </c>
      <c r="B1397" s="4">
        <v>523694.0</v>
      </c>
      <c r="C1397" s="3" t="s">
        <v>5987</v>
      </c>
      <c r="D1397" s="3" t="s">
        <v>5988</v>
      </c>
      <c r="E1397" s="3" t="s">
        <v>5989</v>
      </c>
      <c r="F1397" s="3" t="s">
        <v>19</v>
      </c>
      <c r="G1397" s="3" t="s">
        <v>112</v>
      </c>
      <c r="H1397" s="3">
        <v>2.0</v>
      </c>
      <c r="I1397" s="3" t="s">
        <v>5986</v>
      </c>
      <c r="J1397" s="3" t="s">
        <v>22</v>
      </c>
      <c r="K1397" s="3" t="s">
        <v>97</v>
      </c>
      <c r="L1397" s="3" t="s">
        <v>98</v>
      </c>
      <c r="M1397" s="3" t="s">
        <v>100</v>
      </c>
      <c r="N1397" s="3" t="s">
        <v>862</v>
      </c>
      <c r="O1397" s="5">
        <v>2244.7704038</v>
      </c>
      <c r="P1397" s="6" t="str">
        <f t="shared" si="2"/>
        <v>Industrial Products</v>
      </c>
    </row>
    <row r="1398" hidden="1">
      <c r="A1398" s="3" t="s">
        <v>5990</v>
      </c>
      <c r="B1398" s="4">
        <v>523696.0</v>
      </c>
      <c r="C1398" s="3" t="s">
        <v>5991</v>
      </c>
      <c r="D1398" s="3" t="s">
        <v>5992</v>
      </c>
      <c r="E1398" s="3" t="s">
        <v>5991</v>
      </c>
      <c r="F1398" s="3" t="s">
        <v>19</v>
      </c>
      <c r="G1398" s="3" t="s">
        <v>72</v>
      </c>
      <c r="H1398" s="3">
        <v>10.0</v>
      </c>
      <c r="I1398" s="3" t="s">
        <v>5990</v>
      </c>
      <c r="J1398" s="3" t="s">
        <v>22</v>
      </c>
      <c r="K1398" s="3" t="s">
        <v>45</v>
      </c>
      <c r="L1398" s="3" t="s">
        <v>45</v>
      </c>
      <c r="M1398" s="3" t="s">
        <v>4488</v>
      </c>
      <c r="N1398" s="3" t="s">
        <v>5801</v>
      </c>
      <c r="O1398" s="5">
        <v>118.5907376</v>
      </c>
      <c r="P1398" s="6" t="str">
        <f t="shared" si="2"/>
        <v>Healthcare Services</v>
      </c>
    </row>
    <row r="1399">
      <c r="A1399" s="3" t="s">
        <v>5993</v>
      </c>
      <c r="B1399" s="4">
        <v>500870.0</v>
      </c>
      <c r="C1399" s="3" t="s">
        <v>5994</v>
      </c>
      <c r="D1399" s="3" t="s">
        <v>5995</v>
      </c>
      <c r="E1399" s="3" t="s">
        <v>5996</v>
      </c>
      <c r="F1399" s="3" t="s">
        <v>19</v>
      </c>
      <c r="G1399" s="3" t="s">
        <v>20</v>
      </c>
      <c r="H1399" s="3">
        <v>5.0</v>
      </c>
      <c r="I1399" s="3" t="s">
        <v>1279</v>
      </c>
      <c r="J1399" s="3" t="s">
        <v>22</v>
      </c>
      <c r="K1399" s="3" t="s">
        <v>410</v>
      </c>
      <c r="L1399" s="3" t="s">
        <v>411</v>
      </c>
      <c r="M1399" s="3" t="s">
        <v>5748</v>
      </c>
      <c r="N1399" s="3" t="s">
        <v>5997</v>
      </c>
      <c r="O1399" s="5">
        <v>21300.93223</v>
      </c>
      <c r="P1399" s="6" t="str">
        <f t="shared" si="2"/>
        <v>Petroleum Products</v>
      </c>
    </row>
    <row r="1400" hidden="1">
      <c r="A1400" s="3" t="s">
        <v>5998</v>
      </c>
      <c r="B1400" s="4">
        <v>523708.0</v>
      </c>
      <c r="C1400" s="3" t="s">
        <v>5999</v>
      </c>
      <c r="D1400" s="3" t="s">
        <v>6000</v>
      </c>
      <c r="E1400" s="3" t="s">
        <v>6001</v>
      </c>
      <c r="F1400" s="3" t="s">
        <v>19</v>
      </c>
      <c r="G1400" s="3" t="s">
        <v>112</v>
      </c>
      <c r="H1400" s="3">
        <v>10.0</v>
      </c>
      <c r="I1400" s="3" t="s">
        <v>5998</v>
      </c>
      <c r="J1400" s="3" t="s">
        <v>22</v>
      </c>
      <c r="K1400" s="3" t="s">
        <v>97</v>
      </c>
      <c r="L1400" s="3" t="s">
        <v>98</v>
      </c>
      <c r="M1400" s="3" t="s">
        <v>99</v>
      </c>
      <c r="N1400" s="3" t="s">
        <v>100</v>
      </c>
      <c r="O1400" s="5">
        <v>1480.5791</v>
      </c>
      <c r="P1400" s="6" t="str">
        <f t="shared" si="2"/>
        <v>Industrial Products</v>
      </c>
    </row>
    <row r="1401" hidden="1">
      <c r="A1401" s="3" t="s">
        <v>6002</v>
      </c>
      <c r="B1401" s="4">
        <v>523710.0</v>
      </c>
      <c r="C1401" s="3" t="s">
        <v>6003</v>
      </c>
      <c r="D1401" s="3" t="s">
        <v>6004</v>
      </c>
      <c r="E1401" s="3" t="s">
        <v>6005</v>
      </c>
      <c r="F1401" s="3" t="s">
        <v>19</v>
      </c>
      <c r="G1401" s="3" t="s">
        <v>44</v>
      </c>
      <c r="H1401" s="3">
        <v>10.0</v>
      </c>
      <c r="I1401" s="3" t="s">
        <v>6002</v>
      </c>
      <c r="J1401" s="3" t="s">
        <v>22</v>
      </c>
      <c r="K1401" s="3" t="s">
        <v>58</v>
      </c>
      <c r="L1401" s="3" t="s">
        <v>73</v>
      </c>
      <c r="M1401" s="3" t="s">
        <v>74</v>
      </c>
      <c r="N1401" s="3" t="s">
        <v>75</v>
      </c>
      <c r="O1401" s="5">
        <v>654.8101895</v>
      </c>
      <c r="P1401" s="6" t="str">
        <f t="shared" si="2"/>
        <v>Leisure Services</v>
      </c>
    </row>
    <row r="1402" hidden="1">
      <c r="A1402" s="3" t="s">
        <v>6006</v>
      </c>
      <c r="B1402" s="4">
        <v>523712.0</v>
      </c>
      <c r="C1402" s="3" t="s">
        <v>6007</v>
      </c>
      <c r="D1402" s="3" t="s">
        <v>6008</v>
      </c>
      <c r="E1402" s="3" t="s">
        <v>6009</v>
      </c>
      <c r="F1402" s="3" t="s">
        <v>19</v>
      </c>
      <c r="G1402" s="3" t="s">
        <v>1858</v>
      </c>
      <c r="H1402" s="3">
        <v>2.5</v>
      </c>
      <c r="I1402" s="3" t="s">
        <v>6006</v>
      </c>
      <c r="J1402" s="3" t="s">
        <v>22</v>
      </c>
      <c r="K1402" s="3" t="s">
        <v>97</v>
      </c>
      <c r="L1402" s="3" t="s">
        <v>98</v>
      </c>
      <c r="M1402" s="3" t="s">
        <v>100</v>
      </c>
      <c r="N1402" s="3" t="s">
        <v>580</v>
      </c>
      <c r="O1402" s="5">
        <v>4.863158</v>
      </c>
      <c r="P1402" s="6" t="str">
        <f t="shared" si="2"/>
        <v>Industrial Products</v>
      </c>
    </row>
    <row r="1403" hidden="1">
      <c r="A1403" s="3" t="s">
        <v>6010</v>
      </c>
      <c r="B1403" s="4">
        <v>523716.0</v>
      </c>
      <c r="C1403" s="3" t="s">
        <v>6011</v>
      </c>
      <c r="D1403" s="3" t="s">
        <v>6012</v>
      </c>
      <c r="E1403" s="3" t="s">
        <v>6013</v>
      </c>
      <c r="F1403" s="3" t="s">
        <v>19</v>
      </c>
      <c r="G1403" s="3" t="s">
        <v>112</v>
      </c>
      <c r="H1403" s="3">
        <v>2.0</v>
      </c>
      <c r="I1403" s="3" t="s">
        <v>6010</v>
      </c>
      <c r="J1403" s="3" t="s">
        <v>22</v>
      </c>
      <c r="K1403" s="3" t="s">
        <v>58</v>
      </c>
      <c r="L1403" s="3" t="s">
        <v>59</v>
      </c>
      <c r="M1403" s="3" t="s">
        <v>59</v>
      </c>
      <c r="N1403" s="3" t="s">
        <v>60</v>
      </c>
      <c r="O1403" s="5">
        <v>4420.398375</v>
      </c>
      <c r="P1403" s="6" t="str">
        <f t="shared" si="2"/>
        <v>Residential, Commercial Projects</v>
      </c>
    </row>
    <row r="1404" hidden="1">
      <c r="A1404" s="3" t="s">
        <v>6014</v>
      </c>
      <c r="B1404" s="4">
        <v>523722.0</v>
      </c>
      <c r="C1404" s="3" t="s">
        <v>6015</v>
      </c>
      <c r="D1404" s="3" t="s">
        <v>6016</v>
      </c>
      <c r="E1404" s="3" t="s">
        <v>6017</v>
      </c>
      <c r="F1404" s="3" t="s">
        <v>19</v>
      </c>
      <c r="G1404" s="3" t="s">
        <v>72</v>
      </c>
      <c r="H1404" s="3">
        <v>10.0</v>
      </c>
      <c r="I1404" s="3" t="s">
        <v>6014</v>
      </c>
      <c r="J1404" s="3" t="s">
        <v>22</v>
      </c>
      <c r="K1404" s="3" t="s">
        <v>473</v>
      </c>
      <c r="L1404" s="3" t="s">
        <v>473</v>
      </c>
      <c r="M1404" s="3" t="s">
        <v>1391</v>
      </c>
      <c r="N1404" s="3" t="s">
        <v>1392</v>
      </c>
      <c r="O1404" s="5">
        <v>1.0</v>
      </c>
      <c r="P1404" s="6" t="str">
        <f t="shared" si="2"/>
        <v>IT - Software</v>
      </c>
    </row>
    <row r="1405" hidden="1">
      <c r="A1405" s="3" t="s">
        <v>6018</v>
      </c>
      <c r="B1405" s="4">
        <v>523732.0</v>
      </c>
      <c r="C1405" s="3" t="s">
        <v>6019</v>
      </c>
      <c r="D1405" s="3" t="s">
        <v>6020</v>
      </c>
      <c r="E1405" s="3" t="s">
        <v>6021</v>
      </c>
      <c r="F1405" s="3" t="s">
        <v>19</v>
      </c>
      <c r="G1405" s="3" t="s">
        <v>44</v>
      </c>
      <c r="H1405" s="3">
        <v>10.0</v>
      </c>
      <c r="I1405" s="3" t="s">
        <v>6018</v>
      </c>
      <c r="J1405" s="3" t="s">
        <v>22</v>
      </c>
      <c r="K1405" s="3" t="s">
        <v>58</v>
      </c>
      <c r="L1405" s="3" t="s">
        <v>211</v>
      </c>
      <c r="M1405" s="3" t="s">
        <v>211</v>
      </c>
      <c r="N1405" s="3" t="s">
        <v>1444</v>
      </c>
      <c r="O1405" s="5">
        <v>58.8918921</v>
      </c>
      <c r="P1405" s="6" t="str">
        <f t="shared" si="2"/>
        <v>Consumer Durables</v>
      </c>
    </row>
    <row r="1406" hidden="1">
      <c r="A1406" s="3" t="s">
        <v>6022</v>
      </c>
      <c r="B1406" s="4">
        <v>523736.0</v>
      </c>
      <c r="C1406" s="3" t="s">
        <v>6023</v>
      </c>
      <c r="D1406" s="3" t="s">
        <v>6024</v>
      </c>
      <c r="E1406" s="3" t="s">
        <v>6025</v>
      </c>
      <c r="F1406" s="3" t="s">
        <v>19</v>
      </c>
      <c r="G1406" s="3" t="s">
        <v>112</v>
      </c>
      <c r="H1406" s="3">
        <v>10.0</v>
      </c>
      <c r="I1406" s="3" t="s">
        <v>6022</v>
      </c>
      <c r="J1406" s="3" t="s">
        <v>22</v>
      </c>
      <c r="K1406" s="3" t="s">
        <v>2675</v>
      </c>
      <c r="L1406" s="3" t="s">
        <v>2675</v>
      </c>
      <c r="M1406" s="3" t="s">
        <v>2675</v>
      </c>
      <c r="N1406" s="3" t="s">
        <v>2675</v>
      </c>
      <c r="O1406" s="5">
        <v>1261.606054</v>
      </c>
      <c r="P1406" s="6" t="str">
        <f t="shared" si="2"/>
        <v>Diversified</v>
      </c>
    </row>
    <row r="1407" hidden="1">
      <c r="A1407" s="3" t="s">
        <v>6026</v>
      </c>
      <c r="B1407" s="4">
        <v>523752.0</v>
      </c>
      <c r="C1407" s="3" t="s">
        <v>6027</v>
      </c>
      <c r="D1407" s="3" t="s">
        <v>6028</v>
      </c>
      <c r="E1407" s="3" t="s">
        <v>6029</v>
      </c>
      <c r="F1407" s="3" t="s">
        <v>19</v>
      </c>
      <c r="G1407" s="3" t="s">
        <v>44</v>
      </c>
      <c r="H1407" s="3">
        <v>10.0</v>
      </c>
      <c r="I1407" s="3" t="s">
        <v>6026</v>
      </c>
      <c r="J1407" s="3" t="s">
        <v>22</v>
      </c>
      <c r="K1407" s="3" t="s">
        <v>97</v>
      </c>
      <c r="L1407" s="3" t="s">
        <v>98</v>
      </c>
      <c r="M1407" s="3" t="s">
        <v>99</v>
      </c>
      <c r="N1407" s="3" t="s">
        <v>100</v>
      </c>
      <c r="O1407" s="5">
        <v>108.6385</v>
      </c>
      <c r="P1407" s="6" t="str">
        <f t="shared" si="2"/>
        <v>Industrial Products</v>
      </c>
    </row>
    <row r="1408" hidden="1">
      <c r="A1408" s="3" t="s">
        <v>6030</v>
      </c>
      <c r="B1408" s="4">
        <v>523754.0</v>
      </c>
      <c r="C1408" s="3" t="s">
        <v>6031</v>
      </c>
      <c r="D1408" s="3" t="s">
        <v>6032</v>
      </c>
      <c r="E1408" s="3" t="s">
        <v>6033</v>
      </c>
      <c r="F1408" s="3" t="s">
        <v>19</v>
      </c>
      <c r="G1408" s="3" t="s">
        <v>86</v>
      </c>
      <c r="H1408" s="3">
        <v>10.0</v>
      </c>
      <c r="I1408" s="3" t="s">
        <v>6030</v>
      </c>
      <c r="J1408" s="3" t="s">
        <v>22</v>
      </c>
      <c r="K1408" s="3" t="s">
        <v>97</v>
      </c>
      <c r="L1408" s="3" t="s">
        <v>98</v>
      </c>
      <c r="M1408" s="3" t="s">
        <v>99</v>
      </c>
      <c r="N1408" s="3" t="s">
        <v>100</v>
      </c>
      <c r="O1408" s="5">
        <v>444.1143656</v>
      </c>
      <c r="P1408" s="6" t="str">
        <f t="shared" si="2"/>
        <v>Industrial Products</v>
      </c>
    </row>
    <row r="1409" hidden="1">
      <c r="A1409" s="3" t="s">
        <v>6034</v>
      </c>
      <c r="B1409" s="4">
        <v>543806.0</v>
      </c>
      <c r="C1409" s="3" t="s">
        <v>6035</v>
      </c>
      <c r="D1409" s="3" t="s">
        <v>6036</v>
      </c>
      <c r="E1409" s="3" t="s">
        <v>6037</v>
      </c>
      <c r="F1409" s="3" t="s">
        <v>19</v>
      </c>
      <c r="G1409" s="3" t="s">
        <v>2428</v>
      </c>
      <c r="H1409" s="3">
        <v>10.0</v>
      </c>
      <c r="I1409" s="3" t="s">
        <v>6038</v>
      </c>
      <c r="J1409" s="3" t="s">
        <v>22</v>
      </c>
      <c r="K1409" s="3" t="s">
        <v>1673</v>
      </c>
      <c r="L1409" s="3" t="s">
        <v>1673</v>
      </c>
      <c r="M1409" s="3" t="s">
        <v>1674</v>
      </c>
      <c r="N1409" s="3" t="s">
        <v>1675</v>
      </c>
      <c r="O1409" s="5">
        <v>75.4335225</v>
      </c>
      <c r="P1409" s="6" t="str">
        <f t="shared" si="2"/>
        <v>Commercial Services &amp; Supplies</v>
      </c>
    </row>
    <row r="1410" hidden="1">
      <c r="A1410" s="3" t="s">
        <v>6039</v>
      </c>
      <c r="B1410" s="4">
        <v>523790.0</v>
      </c>
      <c r="C1410" s="3" t="s">
        <v>6040</v>
      </c>
      <c r="D1410" s="3" t="s">
        <v>6041</v>
      </c>
      <c r="E1410" s="3" t="s">
        <v>6042</v>
      </c>
      <c r="F1410" s="3" t="s">
        <v>19</v>
      </c>
      <c r="G1410" s="3" t="s">
        <v>1858</v>
      </c>
      <c r="H1410" s="3">
        <v>10.0</v>
      </c>
      <c r="I1410" s="3" t="s">
        <v>6039</v>
      </c>
      <c r="J1410" s="3" t="s">
        <v>22</v>
      </c>
      <c r="K1410" s="3" t="s">
        <v>58</v>
      </c>
      <c r="L1410" s="3" t="s">
        <v>211</v>
      </c>
      <c r="M1410" s="3" t="s">
        <v>211</v>
      </c>
      <c r="N1410" s="3" t="s">
        <v>947</v>
      </c>
      <c r="O1410" s="5">
        <v>1.0</v>
      </c>
      <c r="P1410" s="6" t="str">
        <f t="shared" si="2"/>
        <v>Consumer Durables</v>
      </c>
    </row>
    <row r="1411" hidden="1">
      <c r="A1411" s="3" t="s">
        <v>6043</v>
      </c>
      <c r="B1411" s="4">
        <v>523792.0</v>
      </c>
      <c r="C1411" s="3" t="s">
        <v>6044</v>
      </c>
      <c r="D1411" s="3" t="s">
        <v>6045</v>
      </c>
      <c r="E1411" s="3" t="s">
        <v>6046</v>
      </c>
      <c r="F1411" s="3" t="s">
        <v>19</v>
      </c>
      <c r="G1411" s="3" t="s">
        <v>112</v>
      </c>
      <c r="H1411" s="3">
        <v>10.0</v>
      </c>
      <c r="I1411" s="3" t="s">
        <v>6043</v>
      </c>
      <c r="J1411" s="3" t="s">
        <v>22</v>
      </c>
      <c r="K1411" s="3" t="s">
        <v>97</v>
      </c>
      <c r="L1411" s="3" t="s">
        <v>98</v>
      </c>
      <c r="M1411" s="3" t="s">
        <v>99</v>
      </c>
      <c r="N1411" s="3" t="s">
        <v>100</v>
      </c>
      <c r="O1411" s="5">
        <v>547.9151004</v>
      </c>
      <c r="P1411" s="6" t="str">
        <f t="shared" si="2"/>
        <v>Industrial Products</v>
      </c>
    </row>
    <row r="1412" hidden="1">
      <c r="A1412" s="3" t="s">
        <v>6047</v>
      </c>
      <c r="B1412" s="4">
        <v>523826.0</v>
      </c>
      <c r="C1412" s="3" t="s">
        <v>6048</v>
      </c>
      <c r="D1412" s="3" t="s">
        <v>6049</v>
      </c>
      <c r="E1412" s="3" t="s">
        <v>6050</v>
      </c>
      <c r="F1412" s="3" t="s">
        <v>19</v>
      </c>
      <c r="G1412" s="3" t="s">
        <v>44</v>
      </c>
      <c r="H1412" s="3">
        <v>10.0</v>
      </c>
      <c r="I1412" s="3" t="s">
        <v>6047</v>
      </c>
      <c r="J1412" s="3" t="s">
        <v>22</v>
      </c>
      <c r="K1412" s="3" t="s">
        <v>58</v>
      </c>
      <c r="L1412" s="3" t="s">
        <v>211</v>
      </c>
      <c r="M1412" s="3" t="s">
        <v>211</v>
      </c>
      <c r="N1412" s="3" t="s">
        <v>947</v>
      </c>
      <c r="O1412" s="5">
        <v>1.0</v>
      </c>
      <c r="P1412" s="6" t="str">
        <f t="shared" si="2"/>
        <v>Consumer Durables</v>
      </c>
    </row>
    <row r="1413" hidden="1">
      <c r="A1413" s="3" t="s">
        <v>6051</v>
      </c>
      <c r="B1413" s="4">
        <v>523828.0</v>
      </c>
      <c r="C1413" s="3" t="s">
        <v>6052</v>
      </c>
      <c r="D1413" s="3" t="s">
        <v>6053</v>
      </c>
      <c r="E1413" s="3" t="s">
        <v>6054</v>
      </c>
      <c r="F1413" s="3" t="s">
        <v>19</v>
      </c>
      <c r="G1413" s="3" t="s">
        <v>112</v>
      </c>
      <c r="H1413" s="3">
        <v>1.0</v>
      </c>
      <c r="I1413" s="3" t="s">
        <v>6051</v>
      </c>
      <c r="J1413" s="3" t="s">
        <v>22</v>
      </c>
      <c r="K1413" s="3" t="s">
        <v>58</v>
      </c>
      <c r="L1413" s="3" t="s">
        <v>133</v>
      </c>
      <c r="M1413" s="3" t="s">
        <v>134</v>
      </c>
      <c r="N1413" s="3" t="s">
        <v>135</v>
      </c>
      <c r="O1413" s="5">
        <v>777.0492652</v>
      </c>
      <c r="P1413" s="6" t="str">
        <f t="shared" si="2"/>
        <v>Auto Components &amp; Equipments</v>
      </c>
    </row>
    <row r="1414" hidden="1">
      <c r="A1414" s="3" t="s">
        <v>6055</v>
      </c>
      <c r="B1414" s="4">
        <v>523832.0</v>
      </c>
      <c r="C1414" s="3" t="s">
        <v>6056</v>
      </c>
      <c r="D1414" s="3" t="s">
        <v>6057</v>
      </c>
      <c r="E1414" s="3" t="s">
        <v>6058</v>
      </c>
      <c r="F1414" s="3" t="s">
        <v>19</v>
      </c>
      <c r="G1414" s="3" t="s">
        <v>44</v>
      </c>
      <c r="H1414" s="3">
        <v>5.0</v>
      </c>
      <c r="I1414" s="3" t="s">
        <v>6055</v>
      </c>
      <c r="J1414" s="3" t="s">
        <v>22</v>
      </c>
      <c r="K1414" s="3" t="s">
        <v>97</v>
      </c>
      <c r="L1414" s="3" t="s">
        <v>98</v>
      </c>
      <c r="M1414" s="3" t="s">
        <v>100</v>
      </c>
      <c r="N1414" s="3" t="s">
        <v>612</v>
      </c>
      <c r="O1414" s="5">
        <v>16.1680774</v>
      </c>
      <c r="P1414" s="6" t="str">
        <f t="shared" si="2"/>
        <v>Industrial Products</v>
      </c>
    </row>
    <row r="1415" hidden="1">
      <c r="A1415" s="3" t="s">
        <v>6059</v>
      </c>
      <c r="B1415" s="4">
        <v>523836.0</v>
      </c>
      <c r="C1415" s="3" t="s">
        <v>6060</v>
      </c>
      <c r="D1415" s="3" t="s">
        <v>6061</v>
      </c>
      <c r="E1415" s="3" t="s">
        <v>6062</v>
      </c>
      <c r="F1415" s="3" t="s">
        <v>19</v>
      </c>
      <c r="G1415" s="3" t="s">
        <v>112</v>
      </c>
      <c r="H1415" s="3">
        <v>10.0</v>
      </c>
      <c r="I1415" s="3" t="s">
        <v>6059</v>
      </c>
      <c r="J1415" s="3" t="s">
        <v>22</v>
      </c>
      <c r="K1415" s="3" t="s">
        <v>97</v>
      </c>
      <c r="L1415" s="3" t="s">
        <v>98</v>
      </c>
      <c r="M1415" s="3" t="s">
        <v>100</v>
      </c>
      <c r="N1415" s="3" t="s">
        <v>373</v>
      </c>
      <c r="O1415" s="5">
        <v>23.636342</v>
      </c>
      <c r="P1415" s="6" t="str">
        <f t="shared" si="2"/>
        <v>Industrial Products</v>
      </c>
    </row>
    <row r="1416" hidden="1">
      <c r="A1416" s="3" t="s">
        <v>6063</v>
      </c>
      <c r="B1416" s="4">
        <v>523838.0</v>
      </c>
      <c r="C1416" s="3" t="s">
        <v>6064</v>
      </c>
      <c r="D1416" s="3" t="s">
        <v>6065</v>
      </c>
      <c r="E1416" s="3" t="s">
        <v>6066</v>
      </c>
      <c r="F1416" s="3" t="s">
        <v>19</v>
      </c>
      <c r="G1416" s="3" t="s">
        <v>86</v>
      </c>
      <c r="H1416" s="3">
        <v>2.0</v>
      </c>
      <c r="I1416" s="3" t="s">
        <v>6063</v>
      </c>
      <c r="J1416" s="3" t="s">
        <v>22</v>
      </c>
      <c r="K1416" s="3" t="s">
        <v>97</v>
      </c>
      <c r="L1416" s="3" t="s">
        <v>965</v>
      </c>
      <c r="M1416" s="3" t="s">
        <v>965</v>
      </c>
      <c r="N1416" s="3" t="s">
        <v>966</v>
      </c>
      <c r="O1416" s="5">
        <v>761.308918</v>
      </c>
      <c r="P1416" s="6" t="str">
        <f t="shared" si="2"/>
        <v>Civil Construction</v>
      </c>
    </row>
    <row r="1417" hidden="1">
      <c r="A1417" s="3" t="s">
        <v>6067</v>
      </c>
      <c r="B1417" s="4">
        <v>523840.0</v>
      </c>
      <c r="C1417" s="3" t="s">
        <v>6068</v>
      </c>
      <c r="D1417" s="3" t="s">
        <v>6069</v>
      </c>
      <c r="E1417" s="3" t="s">
        <v>6070</v>
      </c>
      <c r="F1417" s="3" t="s">
        <v>19</v>
      </c>
      <c r="G1417" s="3" t="s">
        <v>44</v>
      </c>
      <c r="H1417" s="3">
        <v>1.0</v>
      </c>
      <c r="I1417" s="3" t="s">
        <v>6067</v>
      </c>
      <c r="J1417" s="3" t="s">
        <v>22</v>
      </c>
      <c r="K1417" s="3" t="s">
        <v>97</v>
      </c>
      <c r="L1417" s="3" t="s">
        <v>98</v>
      </c>
      <c r="M1417" s="3" t="s">
        <v>100</v>
      </c>
      <c r="N1417" s="3" t="s">
        <v>373</v>
      </c>
      <c r="O1417" s="5">
        <v>70.80879</v>
      </c>
      <c r="P1417" s="6" t="str">
        <f t="shared" si="2"/>
        <v>Industrial Products</v>
      </c>
    </row>
    <row r="1418" hidden="1">
      <c r="A1418" s="3" t="s">
        <v>6071</v>
      </c>
      <c r="B1418" s="4">
        <v>523842.0</v>
      </c>
      <c r="C1418" s="3" t="s">
        <v>6072</v>
      </c>
      <c r="D1418" s="3" t="s">
        <v>6073</v>
      </c>
      <c r="E1418" s="3" t="s">
        <v>6072</v>
      </c>
      <c r="F1418" s="3" t="s">
        <v>19</v>
      </c>
      <c r="G1418" s="3" t="s">
        <v>44</v>
      </c>
      <c r="H1418" s="3">
        <v>1.0</v>
      </c>
      <c r="I1418" s="3" t="s">
        <v>6071</v>
      </c>
      <c r="J1418" s="3" t="s">
        <v>22</v>
      </c>
      <c r="K1418" s="3" t="s">
        <v>58</v>
      </c>
      <c r="L1418" s="3" t="s">
        <v>211</v>
      </c>
      <c r="M1418" s="3" t="s">
        <v>211</v>
      </c>
      <c r="N1418" s="3" t="s">
        <v>3963</v>
      </c>
      <c r="O1418" s="5">
        <v>108.323731</v>
      </c>
      <c r="P1418" s="6" t="str">
        <f t="shared" si="2"/>
        <v>Consumer Durables</v>
      </c>
    </row>
    <row r="1419" hidden="1">
      <c r="A1419" s="3" t="s">
        <v>5719</v>
      </c>
      <c r="B1419" s="4">
        <v>539041.0</v>
      </c>
      <c r="C1419" s="3" t="s">
        <v>6074</v>
      </c>
      <c r="D1419" s="3" t="s">
        <v>6075</v>
      </c>
      <c r="E1419" s="3" t="s">
        <v>6076</v>
      </c>
      <c r="F1419" s="3" t="s">
        <v>19</v>
      </c>
      <c r="G1419" s="3" t="s">
        <v>2428</v>
      </c>
      <c r="H1419" s="3">
        <v>10.0</v>
      </c>
      <c r="I1419" s="3" t="s">
        <v>6077</v>
      </c>
      <c r="J1419" s="3" t="s">
        <v>22</v>
      </c>
      <c r="K1419" s="3" t="s">
        <v>1673</v>
      </c>
      <c r="L1419" s="3" t="s">
        <v>1673</v>
      </c>
      <c r="M1419" s="3" t="s">
        <v>1674</v>
      </c>
      <c r="N1419" s="3" t="s">
        <v>1915</v>
      </c>
      <c r="O1419" s="5">
        <v>74.5674162</v>
      </c>
      <c r="P1419" s="6" t="str">
        <f t="shared" si="2"/>
        <v>Commercial Services &amp; Supplies</v>
      </c>
    </row>
    <row r="1420" hidden="1">
      <c r="A1420" s="3" t="s">
        <v>6078</v>
      </c>
      <c r="B1420" s="4">
        <v>523850.0</v>
      </c>
      <c r="C1420" s="3" t="s">
        <v>6079</v>
      </c>
      <c r="D1420" s="3" t="s">
        <v>6080</v>
      </c>
      <c r="E1420" s="3" t="s">
        <v>6081</v>
      </c>
      <c r="F1420" s="3" t="s">
        <v>19</v>
      </c>
      <c r="G1420" s="3" t="s">
        <v>112</v>
      </c>
      <c r="H1420" s="3">
        <v>10.0</v>
      </c>
      <c r="I1420" s="3" t="s">
        <v>6078</v>
      </c>
      <c r="J1420" s="3" t="s">
        <v>22</v>
      </c>
      <c r="K1420" s="3" t="s">
        <v>97</v>
      </c>
      <c r="L1420" s="3" t="s">
        <v>98</v>
      </c>
      <c r="M1420" s="3" t="s">
        <v>99</v>
      </c>
      <c r="N1420" s="3" t="s">
        <v>100</v>
      </c>
      <c r="O1420" s="5">
        <v>968.719976</v>
      </c>
      <c r="P1420" s="6" t="str">
        <f t="shared" si="2"/>
        <v>Industrial Products</v>
      </c>
    </row>
    <row r="1421" hidden="1">
      <c r="A1421" s="3" t="s">
        <v>6082</v>
      </c>
      <c r="B1421" s="4">
        <v>523888.0</v>
      </c>
      <c r="C1421" s="3" t="s">
        <v>6083</v>
      </c>
      <c r="D1421" s="3" t="s">
        <v>6084</v>
      </c>
      <c r="E1421" s="3" t="s">
        <v>6085</v>
      </c>
      <c r="F1421" s="3" t="s">
        <v>19</v>
      </c>
      <c r="G1421" s="3" t="s">
        <v>2267</v>
      </c>
      <c r="H1421" s="3">
        <v>10.0</v>
      </c>
      <c r="I1421" s="3" t="s">
        <v>6082</v>
      </c>
      <c r="J1421" s="3" t="s">
        <v>22</v>
      </c>
      <c r="K1421" s="3" t="s">
        <v>58</v>
      </c>
      <c r="L1421" s="3" t="s">
        <v>133</v>
      </c>
      <c r="M1421" s="3" t="s">
        <v>134</v>
      </c>
      <c r="N1421" s="3" t="s">
        <v>449</v>
      </c>
      <c r="O1421" s="5">
        <v>1.0</v>
      </c>
      <c r="P1421" s="6" t="str">
        <f t="shared" si="2"/>
        <v>Auto Components</v>
      </c>
    </row>
    <row r="1422" hidden="1">
      <c r="A1422" s="3" t="s">
        <v>6086</v>
      </c>
      <c r="B1422" s="4">
        <v>505343.0</v>
      </c>
      <c r="C1422" s="3" t="s">
        <v>6087</v>
      </c>
      <c r="D1422" s="3" t="s">
        <v>6088</v>
      </c>
      <c r="E1422" s="3" t="s">
        <v>6089</v>
      </c>
      <c r="F1422" s="3" t="s">
        <v>19</v>
      </c>
      <c r="G1422" s="3" t="s">
        <v>57</v>
      </c>
      <c r="H1422" s="3">
        <v>1.0</v>
      </c>
      <c r="I1422" s="3" t="s">
        <v>2050</v>
      </c>
      <c r="J1422" s="3" t="s">
        <v>22</v>
      </c>
      <c r="K1422" s="3" t="s">
        <v>1673</v>
      </c>
      <c r="L1422" s="3" t="s">
        <v>1673</v>
      </c>
      <c r="M1422" s="3" t="s">
        <v>1674</v>
      </c>
      <c r="N1422" s="3" t="s">
        <v>1675</v>
      </c>
      <c r="O1422" s="5">
        <v>72.1632645</v>
      </c>
      <c r="P1422" s="6" t="str">
        <f t="shared" si="2"/>
        <v>Commercial Services &amp; Supplies</v>
      </c>
    </row>
    <row r="1423">
      <c r="A1423" s="3" t="s">
        <v>6090</v>
      </c>
      <c r="B1423" s="4">
        <v>504918.0</v>
      </c>
      <c r="C1423" s="3" t="s">
        <v>6091</v>
      </c>
      <c r="D1423" s="3" t="s">
        <v>6092</v>
      </c>
      <c r="E1423" s="3" t="s">
        <v>6093</v>
      </c>
      <c r="F1423" s="3" t="s">
        <v>19</v>
      </c>
      <c r="G1423" s="3" t="s">
        <v>112</v>
      </c>
      <c r="H1423" s="3">
        <v>10.0</v>
      </c>
      <c r="I1423" s="3" t="s">
        <v>1936</v>
      </c>
      <c r="J1423" s="3" t="s">
        <v>22</v>
      </c>
      <c r="K1423" s="3" t="s">
        <v>410</v>
      </c>
      <c r="L1423" s="3" t="s">
        <v>411</v>
      </c>
      <c r="M1423" s="3" t="s">
        <v>4270</v>
      </c>
      <c r="N1423" s="3" t="s">
        <v>4271</v>
      </c>
      <c r="O1423" s="5">
        <v>8764.309875</v>
      </c>
      <c r="P1423" s="6" t="str">
        <f t="shared" si="2"/>
        <v>Consumable Fuels</v>
      </c>
    </row>
    <row r="1424" hidden="1">
      <c r="A1424" s="3" t="s">
        <v>6094</v>
      </c>
      <c r="B1424" s="4">
        <v>524013.0</v>
      </c>
      <c r="C1424" s="3" t="s">
        <v>6095</v>
      </c>
      <c r="D1424" s="3" t="s">
        <v>6096</v>
      </c>
      <c r="E1424" s="3" t="s">
        <v>6097</v>
      </c>
      <c r="F1424" s="3" t="s">
        <v>19</v>
      </c>
      <c r="G1424" s="3" t="s">
        <v>112</v>
      </c>
      <c r="H1424" s="3">
        <v>10.0</v>
      </c>
      <c r="I1424" s="3" t="s">
        <v>6094</v>
      </c>
      <c r="J1424" s="3" t="s">
        <v>22</v>
      </c>
      <c r="K1424" s="3" t="s">
        <v>23</v>
      </c>
      <c r="L1424" s="3" t="s">
        <v>24</v>
      </c>
      <c r="M1424" s="3" t="s">
        <v>25</v>
      </c>
      <c r="N1424" s="3" t="s">
        <v>52</v>
      </c>
      <c r="O1424" s="5">
        <v>36.5544202</v>
      </c>
      <c r="P1424" s="6" t="str">
        <f t="shared" si="2"/>
        <v>Chemicals &amp; Petrochemicals</v>
      </c>
    </row>
    <row r="1425" hidden="1">
      <c r="A1425" s="3" t="s">
        <v>6098</v>
      </c>
      <c r="B1425" s="4">
        <v>524019.0</v>
      </c>
      <c r="C1425" s="3" t="s">
        <v>6099</v>
      </c>
      <c r="D1425" s="3" t="s">
        <v>6100</v>
      </c>
      <c r="E1425" s="3" t="s">
        <v>6101</v>
      </c>
      <c r="F1425" s="3" t="s">
        <v>19</v>
      </c>
      <c r="G1425" s="3" t="s">
        <v>112</v>
      </c>
      <c r="H1425" s="3">
        <v>10.0</v>
      </c>
      <c r="I1425" s="3" t="s">
        <v>6098</v>
      </c>
      <c r="J1425" s="3" t="s">
        <v>22</v>
      </c>
      <c r="K1425" s="3" t="s">
        <v>97</v>
      </c>
      <c r="L1425" s="3" t="s">
        <v>98</v>
      </c>
      <c r="M1425" s="3" t="s">
        <v>100</v>
      </c>
      <c r="N1425" s="3" t="s">
        <v>580</v>
      </c>
      <c r="O1425" s="5">
        <v>3187.657968</v>
      </c>
      <c r="P1425" s="6" t="str">
        <f t="shared" si="2"/>
        <v>Industrial Products</v>
      </c>
    </row>
    <row r="1426" hidden="1">
      <c r="A1426" s="3" t="s">
        <v>6102</v>
      </c>
      <c r="B1426" s="4">
        <v>524031.0</v>
      </c>
      <c r="C1426" s="3" t="s">
        <v>6103</v>
      </c>
      <c r="D1426" s="3" t="s">
        <v>6104</v>
      </c>
      <c r="E1426" s="3" t="s">
        <v>6103</v>
      </c>
      <c r="F1426" s="3" t="s">
        <v>19</v>
      </c>
      <c r="G1426" s="3" t="s">
        <v>72</v>
      </c>
      <c r="H1426" s="3">
        <v>10.0</v>
      </c>
      <c r="I1426" s="3" t="s">
        <v>6102</v>
      </c>
      <c r="J1426" s="3" t="s">
        <v>22</v>
      </c>
      <c r="K1426" s="3" t="s">
        <v>58</v>
      </c>
      <c r="L1426" s="3" t="s">
        <v>59</v>
      </c>
      <c r="M1426" s="3" t="s">
        <v>59</v>
      </c>
      <c r="N1426" s="3" t="s">
        <v>60</v>
      </c>
      <c r="O1426" s="5">
        <v>5.4771207</v>
      </c>
      <c r="P1426" s="6" t="str">
        <f t="shared" si="2"/>
        <v>Residential, Commercial Projects</v>
      </c>
    </row>
    <row r="1427" hidden="1">
      <c r="A1427" s="3" t="s">
        <v>6105</v>
      </c>
      <c r="B1427" s="4">
        <v>524037.0</v>
      </c>
      <c r="C1427" s="3" t="s">
        <v>6106</v>
      </c>
      <c r="D1427" s="3" t="s">
        <v>6107</v>
      </c>
      <c r="E1427" s="3" t="s">
        <v>6108</v>
      </c>
      <c r="F1427" s="3" t="s">
        <v>19</v>
      </c>
      <c r="G1427" s="3" t="s">
        <v>112</v>
      </c>
      <c r="H1427" s="3">
        <v>10.0</v>
      </c>
      <c r="I1427" s="3" t="s">
        <v>6105</v>
      </c>
      <c r="J1427" s="3" t="s">
        <v>22</v>
      </c>
      <c r="K1427" s="3" t="s">
        <v>23</v>
      </c>
      <c r="L1427" s="3" t="s">
        <v>24</v>
      </c>
      <c r="M1427" s="3" t="s">
        <v>91</v>
      </c>
      <c r="N1427" s="3" t="s">
        <v>92</v>
      </c>
      <c r="O1427" s="5">
        <v>333.8526905</v>
      </c>
      <c r="P1427" s="6" t="str">
        <f t="shared" si="2"/>
        <v>Fertilizers &amp; Agrochemicals</v>
      </c>
    </row>
    <row r="1428" hidden="1">
      <c r="A1428" s="3" t="s">
        <v>6109</v>
      </c>
      <c r="B1428" s="4">
        <v>524038.0</v>
      </c>
      <c r="C1428" s="3" t="s">
        <v>6110</v>
      </c>
      <c r="D1428" s="3" t="s">
        <v>6111</v>
      </c>
      <c r="E1428" s="3" t="s">
        <v>6112</v>
      </c>
      <c r="F1428" s="3" t="s">
        <v>19</v>
      </c>
      <c r="G1428" s="3" t="s">
        <v>44</v>
      </c>
      <c r="H1428" s="3">
        <v>5.0</v>
      </c>
      <c r="I1428" s="3" t="s">
        <v>6109</v>
      </c>
      <c r="J1428" s="3" t="s">
        <v>22</v>
      </c>
      <c r="K1428" s="3" t="s">
        <v>23</v>
      </c>
      <c r="L1428" s="3" t="s">
        <v>24</v>
      </c>
      <c r="M1428" s="3" t="s">
        <v>25</v>
      </c>
      <c r="N1428" s="3" t="s">
        <v>52</v>
      </c>
      <c r="O1428" s="5">
        <v>30.666341</v>
      </c>
      <c r="P1428" s="6" t="str">
        <f t="shared" si="2"/>
        <v>Chemicals &amp; Petrochemicals</v>
      </c>
    </row>
    <row r="1429" hidden="1">
      <c r="A1429" s="3" t="s">
        <v>6113</v>
      </c>
      <c r="B1429" s="4">
        <v>524046.0</v>
      </c>
      <c r="C1429" s="3" t="s">
        <v>6114</v>
      </c>
      <c r="D1429" s="3" t="s">
        <v>6115</v>
      </c>
      <c r="E1429" s="3" t="s">
        <v>6116</v>
      </c>
      <c r="F1429" s="3" t="s">
        <v>19</v>
      </c>
      <c r="G1429" s="3" t="s">
        <v>72</v>
      </c>
      <c r="H1429" s="3">
        <v>10.0</v>
      </c>
      <c r="I1429" s="3" t="s">
        <v>6113</v>
      </c>
      <c r="J1429" s="3" t="s">
        <v>22</v>
      </c>
      <c r="K1429" s="3" t="s">
        <v>97</v>
      </c>
      <c r="L1429" s="3" t="s">
        <v>98</v>
      </c>
      <c r="M1429" s="3" t="s">
        <v>100</v>
      </c>
      <c r="N1429" s="3" t="s">
        <v>580</v>
      </c>
      <c r="O1429" s="5">
        <v>1.0</v>
      </c>
      <c r="P1429" s="6" t="str">
        <f t="shared" si="2"/>
        <v>Industrial Products</v>
      </c>
    </row>
    <row r="1430" hidden="1">
      <c r="A1430" s="3" t="s">
        <v>6117</v>
      </c>
      <c r="B1430" s="4">
        <v>524051.0</v>
      </c>
      <c r="C1430" s="3" t="s">
        <v>6118</v>
      </c>
      <c r="D1430" s="3" t="s">
        <v>6119</v>
      </c>
      <c r="E1430" s="3" t="s">
        <v>6120</v>
      </c>
      <c r="F1430" s="3" t="s">
        <v>19</v>
      </c>
      <c r="G1430" s="3" t="s">
        <v>20</v>
      </c>
      <c r="H1430" s="3">
        <v>10.0</v>
      </c>
      <c r="I1430" s="3" t="s">
        <v>6117</v>
      </c>
      <c r="J1430" s="3" t="s">
        <v>22</v>
      </c>
      <c r="K1430" s="3" t="s">
        <v>97</v>
      </c>
      <c r="L1430" s="3" t="s">
        <v>98</v>
      </c>
      <c r="M1430" s="3" t="s">
        <v>100</v>
      </c>
      <c r="N1430" s="3" t="s">
        <v>373</v>
      </c>
      <c r="O1430" s="5">
        <v>3314.2418515</v>
      </c>
      <c r="P1430" s="6" t="str">
        <f t="shared" si="2"/>
        <v>Industrial Products</v>
      </c>
    </row>
    <row r="1431" hidden="1">
      <c r="A1431" s="3" t="s">
        <v>6121</v>
      </c>
      <c r="B1431" s="4">
        <v>524075.0</v>
      </c>
      <c r="C1431" s="3" t="s">
        <v>6122</v>
      </c>
      <c r="D1431" s="3" t="s">
        <v>6123</v>
      </c>
      <c r="E1431" s="3" t="s">
        <v>6124</v>
      </c>
      <c r="F1431" s="3" t="s">
        <v>19</v>
      </c>
      <c r="G1431" s="3" t="s">
        <v>112</v>
      </c>
      <c r="H1431" s="3">
        <v>10.0</v>
      </c>
      <c r="I1431" s="3" t="s">
        <v>6121</v>
      </c>
      <c r="J1431" s="3" t="s">
        <v>22</v>
      </c>
      <c r="K1431" s="3" t="s">
        <v>45</v>
      </c>
      <c r="L1431" s="3" t="s">
        <v>45</v>
      </c>
      <c r="M1431" s="3" t="s">
        <v>46</v>
      </c>
      <c r="N1431" s="3" t="s">
        <v>47</v>
      </c>
      <c r="O1431" s="5">
        <v>760.960379</v>
      </c>
      <c r="P1431" s="6" t="str">
        <f t="shared" si="2"/>
        <v>Pharmaceuticals</v>
      </c>
    </row>
    <row r="1432" hidden="1">
      <c r="A1432" s="3" t="s">
        <v>6125</v>
      </c>
      <c r="B1432" s="4">
        <v>524080.0</v>
      </c>
      <c r="C1432" s="3" t="s">
        <v>6126</v>
      </c>
      <c r="D1432" s="3" t="s">
        <v>6127</v>
      </c>
      <c r="E1432" s="3" t="s">
        <v>6128</v>
      </c>
      <c r="F1432" s="3" t="s">
        <v>19</v>
      </c>
      <c r="G1432" s="3" t="s">
        <v>72</v>
      </c>
      <c r="H1432" s="3">
        <v>10.0</v>
      </c>
      <c r="I1432" s="3" t="s">
        <v>6125</v>
      </c>
      <c r="J1432" s="3" t="s">
        <v>22</v>
      </c>
      <c r="K1432" s="3" t="s">
        <v>23</v>
      </c>
      <c r="L1432" s="3" t="s">
        <v>24</v>
      </c>
      <c r="M1432" s="3" t="s">
        <v>25</v>
      </c>
      <c r="N1432" s="3" t="s">
        <v>52</v>
      </c>
      <c r="O1432" s="5">
        <v>50.7825516</v>
      </c>
      <c r="P1432" s="6" t="str">
        <f t="shared" si="2"/>
        <v>Chemicals &amp; Petrochemicals</v>
      </c>
    </row>
    <row r="1433" hidden="1">
      <c r="A1433" s="3" t="s">
        <v>6129</v>
      </c>
      <c r="B1433" s="4">
        <v>524091.0</v>
      </c>
      <c r="C1433" s="3" t="s">
        <v>6130</v>
      </c>
      <c r="D1433" s="3" t="s">
        <v>6131</v>
      </c>
      <c r="E1433" s="3" t="s">
        <v>6132</v>
      </c>
      <c r="F1433" s="3" t="s">
        <v>19</v>
      </c>
      <c r="G1433" s="3" t="s">
        <v>112</v>
      </c>
      <c r="H1433" s="3">
        <v>2.0</v>
      </c>
      <c r="I1433" s="3" t="s">
        <v>6129</v>
      </c>
      <c r="J1433" s="3" t="s">
        <v>22</v>
      </c>
      <c r="K1433" s="3" t="s">
        <v>58</v>
      </c>
      <c r="L1433" s="3" t="s">
        <v>211</v>
      </c>
      <c r="M1433" s="3" t="s">
        <v>211</v>
      </c>
      <c r="N1433" s="3" t="s">
        <v>882</v>
      </c>
      <c r="O1433" s="5">
        <v>2333.94898</v>
      </c>
      <c r="P1433" s="6" t="str">
        <f t="shared" si="2"/>
        <v>Consumer Durables</v>
      </c>
    </row>
    <row r="1434" hidden="1">
      <c r="A1434" s="3" t="s">
        <v>6133</v>
      </c>
      <c r="B1434" s="4">
        <v>524109.0</v>
      </c>
      <c r="C1434" s="3" t="s">
        <v>6134</v>
      </c>
      <c r="D1434" s="3" t="s">
        <v>6135</v>
      </c>
      <c r="E1434" s="3" t="s">
        <v>6136</v>
      </c>
      <c r="F1434" s="3" t="s">
        <v>19</v>
      </c>
      <c r="G1434" s="3" t="s">
        <v>112</v>
      </c>
      <c r="H1434" s="3">
        <v>5.0</v>
      </c>
      <c r="I1434" s="3" t="s">
        <v>6133</v>
      </c>
      <c r="J1434" s="3" t="s">
        <v>22</v>
      </c>
      <c r="K1434" s="3" t="s">
        <v>97</v>
      </c>
      <c r="L1434" s="3" t="s">
        <v>98</v>
      </c>
      <c r="M1434" s="3" t="s">
        <v>99</v>
      </c>
      <c r="N1434" s="3" t="s">
        <v>100</v>
      </c>
      <c r="O1434" s="5">
        <v>1453.1407678</v>
      </c>
      <c r="P1434" s="6" t="str">
        <f t="shared" si="2"/>
        <v>Industrial Products</v>
      </c>
    </row>
    <row r="1435" hidden="1">
      <c r="A1435" s="3" t="s">
        <v>6137</v>
      </c>
      <c r="B1435" s="4">
        <v>524129.0</v>
      </c>
      <c r="C1435" s="3" t="s">
        <v>6138</v>
      </c>
      <c r="D1435" s="3" t="s">
        <v>6139</v>
      </c>
      <c r="E1435" s="3" t="s">
        <v>6140</v>
      </c>
      <c r="F1435" s="3" t="s">
        <v>19</v>
      </c>
      <c r="G1435" s="3" t="s">
        <v>112</v>
      </c>
      <c r="H1435" s="3">
        <v>1.0</v>
      </c>
      <c r="I1435" s="3" t="s">
        <v>6137</v>
      </c>
      <c r="J1435" s="3" t="s">
        <v>22</v>
      </c>
      <c r="K1435" s="3" t="s">
        <v>23</v>
      </c>
      <c r="L1435" s="3" t="s">
        <v>24</v>
      </c>
      <c r="M1435" s="3" t="s">
        <v>25</v>
      </c>
      <c r="N1435" s="3" t="s">
        <v>1036</v>
      </c>
      <c r="O1435" s="5">
        <v>748.5195345</v>
      </c>
      <c r="P1435" s="6" t="str">
        <f t="shared" si="2"/>
        <v>Chemicals &amp; Petrochemicals</v>
      </c>
    </row>
    <row r="1436" hidden="1">
      <c r="A1436" s="3" t="s">
        <v>6141</v>
      </c>
      <c r="B1436" s="4">
        <v>524136.0</v>
      </c>
      <c r="C1436" s="3" t="s">
        <v>6142</v>
      </c>
      <c r="D1436" s="3" t="s">
        <v>6143</v>
      </c>
      <c r="E1436" s="3" t="s">
        <v>6144</v>
      </c>
      <c r="F1436" s="3" t="s">
        <v>19</v>
      </c>
      <c r="G1436" s="3" t="s">
        <v>44</v>
      </c>
      <c r="H1436" s="3">
        <v>10.0</v>
      </c>
      <c r="I1436" s="3" t="s">
        <v>6141</v>
      </c>
      <c r="J1436" s="3" t="s">
        <v>22</v>
      </c>
      <c r="K1436" s="3" t="s">
        <v>145</v>
      </c>
      <c r="L1436" s="3" t="s">
        <v>145</v>
      </c>
      <c r="M1436" s="3" t="s">
        <v>1757</v>
      </c>
      <c r="N1436" s="3" t="s">
        <v>1757</v>
      </c>
      <c r="O1436" s="5">
        <v>120.6768649</v>
      </c>
      <c r="P1436" s="6" t="str">
        <f t="shared" si="2"/>
        <v>Household Products</v>
      </c>
    </row>
    <row r="1437" hidden="1">
      <c r="A1437" s="3" t="s">
        <v>6145</v>
      </c>
      <c r="B1437" s="4">
        <v>524156.0</v>
      </c>
      <c r="C1437" s="3" t="s">
        <v>6146</v>
      </c>
      <c r="D1437" s="3" t="s">
        <v>6147</v>
      </c>
      <c r="E1437" s="3" t="s">
        <v>6148</v>
      </c>
      <c r="F1437" s="3" t="s">
        <v>19</v>
      </c>
      <c r="G1437" s="3" t="s">
        <v>44</v>
      </c>
      <c r="H1437" s="3">
        <v>10.0</v>
      </c>
      <c r="I1437" s="3" t="s">
        <v>6145</v>
      </c>
      <c r="J1437" s="3" t="s">
        <v>22</v>
      </c>
      <c r="K1437" s="3" t="s">
        <v>23</v>
      </c>
      <c r="L1437" s="3" t="s">
        <v>24</v>
      </c>
      <c r="M1437" s="3" t="s">
        <v>25</v>
      </c>
      <c r="N1437" s="3" t="s">
        <v>52</v>
      </c>
      <c r="O1437" s="5">
        <v>38.409225</v>
      </c>
      <c r="P1437" s="6" t="str">
        <f t="shared" si="2"/>
        <v>Chemicals &amp; Petrochemicals</v>
      </c>
    </row>
    <row r="1438" hidden="1">
      <c r="A1438" s="3" t="s">
        <v>6149</v>
      </c>
      <c r="B1438" s="4">
        <v>524164.0</v>
      </c>
      <c r="C1438" s="3" t="s">
        <v>6150</v>
      </c>
      <c r="D1438" s="3" t="s">
        <v>6151</v>
      </c>
      <c r="E1438" s="3" t="s">
        <v>6152</v>
      </c>
      <c r="F1438" s="3" t="s">
        <v>19</v>
      </c>
      <c r="G1438" s="3" t="s">
        <v>20</v>
      </c>
      <c r="H1438" s="3">
        <v>10.0</v>
      </c>
      <c r="I1438" s="3" t="s">
        <v>6149</v>
      </c>
      <c r="J1438" s="3" t="s">
        <v>22</v>
      </c>
      <c r="K1438" s="3" t="s">
        <v>45</v>
      </c>
      <c r="L1438" s="3" t="s">
        <v>45</v>
      </c>
      <c r="M1438" s="3" t="s">
        <v>46</v>
      </c>
      <c r="N1438" s="3" t="s">
        <v>47</v>
      </c>
      <c r="O1438" s="5">
        <v>2511.4561207</v>
      </c>
      <c r="P1438" s="6" t="str">
        <f t="shared" si="2"/>
        <v>Pharmaceuticals</v>
      </c>
    </row>
    <row r="1439" hidden="1">
      <c r="A1439" s="3" t="s">
        <v>6153</v>
      </c>
      <c r="B1439" s="4">
        <v>524174.0</v>
      </c>
      <c r="C1439" s="3" t="s">
        <v>6154</v>
      </c>
      <c r="D1439" s="3" t="s">
        <v>6155</v>
      </c>
      <c r="E1439" s="3" t="s">
        <v>6156</v>
      </c>
      <c r="F1439" s="3" t="s">
        <v>19</v>
      </c>
      <c r="G1439" s="3" t="s">
        <v>72</v>
      </c>
      <c r="H1439" s="3">
        <v>1.0</v>
      </c>
      <c r="I1439" s="3" t="s">
        <v>6153</v>
      </c>
      <c r="J1439" s="3" t="s">
        <v>22</v>
      </c>
      <c r="K1439" s="3" t="s">
        <v>23</v>
      </c>
      <c r="L1439" s="3" t="s">
        <v>24</v>
      </c>
      <c r="M1439" s="3" t="s">
        <v>25</v>
      </c>
      <c r="N1439" s="3" t="s">
        <v>52</v>
      </c>
      <c r="O1439" s="5">
        <v>198.3282014</v>
      </c>
      <c r="P1439" s="6" t="str">
        <f t="shared" si="2"/>
        <v>Chemicals &amp; Petrochemicals</v>
      </c>
    </row>
    <row r="1440">
      <c r="A1440" s="3" t="s">
        <v>494</v>
      </c>
      <c r="B1440" s="4">
        <v>530965.0</v>
      </c>
      <c r="C1440" s="3" t="s">
        <v>6157</v>
      </c>
      <c r="D1440" s="3" t="s">
        <v>6158</v>
      </c>
      <c r="E1440" s="3" t="s">
        <v>6159</v>
      </c>
      <c r="F1440" s="3" t="s">
        <v>19</v>
      </c>
      <c r="G1440" s="3" t="s">
        <v>20</v>
      </c>
      <c r="H1440" s="3">
        <v>10.0</v>
      </c>
      <c r="I1440" s="3" t="s">
        <v>6160</v>
      </c>
      <c r="J1440" s="3" t="s">
        <v>22</v>
      </c>
      <c r="K1440" s="3" t="s">
        <v>410</v>
      </c>
      <c r="L1440" s="3" t="s">
        <v>411</v>
      </c>
      <c r="M1440" s="3" t="s">
        <v>5748</v>
      </c>
      <c r="N1440" s="3" t="s">
        <v>5749</v>
      </c>
      <c r="O1440" s="5">
        <v>234796.5750625</v>
      </c>
      <c r="P1440" s="6" t="str">
        <f t="shared" si="2"/>
        <v>Petroleum Products</v>
      </c>
    </row>
    <row r="1441" hidden="1">
      <c r="A1441" s="3" t="s">
        <v>6161</v>
      </c>
      <c r="B1441" s="4">
        <v>524202.0</v>
      </c>
      <c r="C1441" s="3" t="s">
        <v>6162</v>
      </c>
      <c r="D1441" s="3" t="s">
        <v>6163</v>
      </c>
      <c r="E1441" s="3" t="s">
        <v>6164</v>
      </c>
      <c r="F1441" s="3" t="s">
        <v>19</v>
      </c>
      <c r="G1441" s="3" t="s">
        <v>72</v>
      </c>
      <c r="H1441" s="3">
        <v>10.0</v>
      </c>
      <c r="I1441" s="3" t="s">
        <v>6161</v>
      </c>
      <c r="J1441" s="3" t="s">
        <v>22</v>
      </c>
      <c r="K1441" s="3" t="s">
        <v>45</v>
      </c>
      <c r="L1441" s="3" t="s">
        <v>45</v>
      </c>
      <c r="M1441" s="3" t="s">
        <v>46</v>
      </c>
      <c r="N1441" s="3" t="s">
        <v>47</v>
      </c>
      <c r="O1441" s="5">
        <v>215.83206</v>
      </c>
      <c r="P1441" s="6" t="str">
        <f t="shared" si="2"/>
        <v>Pharmaceuticals</v>
      </c>
    </row>
    <row r="1442" hidden="1">
      <c r="A1442" s="3" t="s">
        <v>6165</v>
      </c>
      <c r="B1442" s="4">
        <v>524204.0</v>
      </c>
      <c r="C1442" s="3" t="s">
        <v>6166</v>
      </c>
      <c r="D1442" s="3" t="s">
        <v>6167</v>
      </c>
      <c r="E1442" s="3" t="s">
        <v>6168</v>
      </c>
      <c r="F1442" s="3" t="s">
        <v>19</v>
      </c>
      <c r="G1442" s="3" t="s">
        <v>72</v>
      </c>
      <c r="H1442" s="3">
        <v>10.0</v>
      </c>
      <c r="I1442" s="3" t="s">
        <v>6165</v>
      </c>
      <c r="J1442" s="3" t="s">
        <v>22</v>
      </c>
      <c r="K1442" s="3" t="s">
        <v>23</v>
      </c>
      <c r="L1442" s="3" t="s">
        <v>24</v>
      </c>
      <c r="M1442" s="3" t="s">
        <v>91</v>
      </c>
      <c r="N1442" s="3" t="s">
        <v>92</v>
      </c>
      <c r="O1442" s="5">
        <v>67.0127445</v>
      </c>
      <c r="P1442" s="6" t="str">
        <f t="shared" si="2"/>
        <v>Fertilizers &amp; Agrochemicals</v>
      </c>
    </row>
    <row r="1443">
      <c r="A1443" s="3" t="s">
        <v>499</v>
      </c>
      <c r="B1443" s="4">
        <v>532155.0</v>
      </c>
      <c r="C1443" s="3" t="s">
        <v>6169</v>
      </c>
      <c r="D1443" s="3" t="s">
        <v>6170</v>
      </c>
      <c r="E1443" s="3" t="s">
        <v>6171</v>
      </c>
      <c r="F1443" s="3" t="s">
        <v>19</v>
      </c>
      <c r="G1443" s="3" t="s">
        <v>20</v>
      </c>
      <c r="H1443" s="3">
        <v>10.0</v>
      </c>
      <c r="I1443" s="3" t="s">
        <v>6172</v>
      </c>
      <c r="J1443" s="3" t="s">
        <v>22</v>
      </c>
      <c r="K1443" s="3" t="s">
        <v>410</v>
      </c>
      <c r="L1443" s="3" t="s">
        <v>411</v>
      </c>
      <c r="M1443" s="3" t="s">
        <v>5841</v>
      </c>
      <c r="N1443" s="3" t="s">
        <v>6173</v>
      </c>
      <c r="O1443" s="5">
        <v>143895.3378725</v>
      </c>
      <c r="P1443" s="6" t="str">
        <f t="shared" si="2"/>
        <v>Gas</v>
      </c>
    </row>
    <row r="1444" hidden="1">
      <c r="A1444" s="3" t="s">
        <v>6174</v>
      </c>
      <c r="B1444" s="4">
        <v>524210.0</v>
      </c>
      <c r="C1444" s="3" t="s">
        <v>6175</v>
      </c>
      <c r="D1444" s="3" t="s">
        <v>6176</v>
      </c>
      <c r="E1444" s="3" t="s">
        <v>6177</v>
      </c>
      <c r="F1444" s="3" t="s">
        <v>19</v>
      </c>
      <c r="G1444" s="3" t="s">
        <v>44</v>
      </c>
      <c r="H1444" s="3">
        <v>10.0</v>
      </c>
      <c r="I1444" s="3" t="s">
        <v>6174</v>
      </c>
      <c r="J1444" s="3" t="s">
        <v>22</v>
      </c>
      <c r="K1444" s="3" t="s">
        <v>23</v>
      </c>
      <c r="L1444" s="3" t="s">
        <v>24</v>
      </c>
      <c r="M1444" s="3" t="s">
        <v>25</v>
      </c>
      <c r="N1444" s="3" t="s">
        <v>52</v>
      </c>
      <c r="O1444" s="5">
        <v>29.5573801</v>
      </c>
      <c r="P1444" s="6" t="str">
        <f t="shared" si="2"/>
        <v>Chemicals &amp; Petrochemicals</v>
      </c>
    </row>
    <row r="1445" hidden="1">
      <c r="A1445" s="3" t="s">
        <v>6178</v>
      </c>
      <c r="B1445" s="4">
        <v>524212.0</v>
      </c>
      <c r="C1445" s="3" t="s">
        <v>6179</v>
      </c>
      <c r="D1445" s="3" t="s">
        <v>6180</v>
      </c>
      <c r="E1445" s="3" t="s">
        <v>6181</v>
      </c>
      <c r="F1445" s="3" t="s">
        <v>19</v>
      </c>
      <c r="G1445" s="3" t="s">
        <v>112</v>
      </c>
      <c r="H1445" s="3">
        <v>10.0</v>
      </c>
      <c r="I1445" s="3" t="s">
        <v>6178</v>
      </c>
      <c r="J1445" s="3" t="s">
        <v>22</v>
      </c>
      <c r="K1445" s="3" t="s">
        <v>45</v>
      </c>
      <c r="L1445" s="3" t="s">
        <v>45</v>
      </c>
      <c r="M1445" s="3" t="s">
        <v>46</v>
      </c>
      <c r="N1445" s="3" t="s">
        <v>47</v>
      </c>
      <c r="O1445" s="5">
        <v>510.715191</v>
      </c>
      <c r="P1445" s="6" t="str">
        <f t="shared" si="2"/>
        <v>Pharmaceuticals</v>
      </c>
    </row>
    <row r="1446" hidden="1">
      <c r="A1446" s="3" t="s">
        <v>6182</v>
      </c>
      <c r="B1446" s="4">
        <v>524218.0</v>
      </c>
      <c r="C1446" s="3" t="s">
        <v>6183</v>
      </c>
      <c r="D1446" s="3" t="s">
        <v>6184</v>
      </c>
      <c r="E1446" s="3" t="s">
        <v>6185</v>
      </c>
      <c r="F1446" s="3" t="s">
        <v>19</v>
      </c>
      <c r="G1446" s="3" t="s">
        <v>44</v>
      </c>
      <c r="H1446" s="3">
        <v>10.0</v>
      </c>
      <c r="I1446" s="3" t="s">
        <v>6182</v>
      </c>
      <c r="J1446" s="3" t="s">
        <v>22</v>
      </c>
      <c r="K1446" s="3" t="s">
        <v>23</v>
      </c>
      <c r="L1446" s="3" t="s">
        <v>24</v>
      </c>
      <c r="M1446" s="3" t="s">
        <v>25</v>
      </c>
      <c r="N1446" s="3" t="s">
        <v>26</v>
      </c>
      <c r="O1446" s="5">
        <v>115.8863806</v>
      </c>
      <c r="P1446" s="6" t="str">
        <f t="shared" si="2"/>
        <v>Specialty Chemicals</v>
      </c>
    </row>
    <row r="1447">
      <c r="A1447" s="3" t="s">
        <v>6186</v>
      </c>
      <c r="B1447" s="4">
        <v>532514.0</v>
      </c>
      <c r="C1447" s="3" t="s">
        <v>6187</v>
      </c>
      <c r="D1447" s="3" t="s">
        <v>6188</v>
      </c>
      <c r="E1447" s="3" t="s">
        <v>6189</v>
      </c>
      <c r="F1447" s="3" t="s">
        <v>19</v>
      </c>
      <c r="G1447" s="3" t="s">
        <v>20</v>
      </c>
      <c r="H1447" s="3">
        <v>2.0</v>
      </c>
      <c r="I1447" s="3" t="s">
        <v>6190</v>
      </c>
      <c r="J1447" s="3" t="s">
        <v>22</v>
      </c>
      <c r="K1447" s="3" t="s">
        <v>410</v>
      </c>
      <c r="L1447" s="3" t="s">
        <v>411</v>
      </c>
      <c r="M1447" s="3" t="s">
        <v>5841</v>
      </c>
      <c r="N1447" s="3" t="s">
        <v>6191</v>
      </c>
      <c r="O1447" s="5">
        <v>34913.0991825</v>
      </c>
      <c r="P1447" s="6" t="str">
        <f t="shared" si="2"/>
        <v>Gas</v>
      </c>
    </row>
    <row r="1448">
      <c r="A1448" s="3" t="s">
        <v>512</v>
      </c>
      <c r="B1448" s="4">
        <v>532522.0</v>
      </c>
      <c r="C1448" s="3" t="s">
        <v>6192</v>
      </c>
      <c r="D1448" s="3" t="s">
        <v>6193</v>
      </c>
      <c r="E1448" s="3" t="s">
        <v>6192</v>
      </c>
      <c r="F1448" s="3" t="s">
        <v>19</v>
      </c>
      <c r="G1448" s="3" t="s">
        <v>20</v>
      </c>
      <c r="H1448" s="3">
        <v>10.0</v>
      </c>
      <c r="I1448" s="3" t="s">
        <v>6194</v>
      </c>
      <c r="J1448" s="3" t="s">
        <v>22</v>
      </c>
      <c r="K1448" s="3" t="s">
        <v>410</v>
      </c>
      <c r="L1448" s="3" t="s">
        <v>411</v>
      </c>
      <c r="M1448" s="3" t="s">
        <v>5841</v>
      </c>
      <c r="N1448" s="3" t="s">
        <v>6191</v>
      </c>
      <c r="O1448" s="5">
        <v>49225.8408015</v>
      </c>
      <c r="P1448" s="6" t="str">
        <f t="shared" si="2"/>
        <v>Gas</v>
      </c>
    </row>
    <row r="1449" hidden="1">
      <c r="A1449" s="3" t="s">
        <v>6195</v>
      </c>
      <c r="B1449" s="4">
        <v>524280.0</v>
      </c>
      <c r="C1449" s="3" t="s">
        <v>6196</v>
      </c>
      <c r="D1449" s="3" t="s">
        <v>6197</v>
      </c>
      <c r="E1449" s="3" t="s">
        <v>6198</v>
      </c>
      <c r="F1449" s="3" t="s">
        <v>19</v>
      </c>
      <c r="G1449" s="3" t="s">
        <v>112</v>
      </c>
      <c r="H1449" s="3">
        <v>10.0</v>
      </c>
      <c r="I1449" s="3" t="s">
        <v>6195</v>
      </c>
      <c r="J1449" s="3" t="s">
        <v>22</v>
      </c>
      <c r="K1449" s="3" t="s">
        <v>45</v>
      </c>
      <c r="L1449" s="3" t="s">
        <v>45</v>
      </c>
      <c r="M1449" s="3" t="s">
        <v>46</v>
      </c>
      <c r="N1449" s="3" t="s">
        <v>47</v>
      </c>
      <c r="O1449" s="5">
        <v>1205.210088</v>
      </c>
      <c r="P1449" s="6" t="str">
        <f t="shared" si="2"/>
        <v>Pharmaceuticals</v>
      </c>
    </row>
    <row r="1450" hidden="1">
      <c r="A1450" s="3" t="s">
        <v>6199</v>
      </c>
      <c r="B1450" s="4">
        <v>524288.0</v>
      </c>
      <c r="C1450" s="3" t="s">
        <v>6200</v>
      </c>
      <c r="D1450" s="3" t="s">
        <v>6201</v>
      </c>
      <c r="E1450" s="3" t="s">
        <v>6202</v>
      </c>
      <c r="F1450" s="3" t="s">
        <v>19</v>
      </c>
      <c r="G1450" s="3" t="s">
        <v>44</v>
      </c>
      <c r="H1450" s="3">
        <v>10.0</v>
      </c>
      <c r="I1450" s="3" t="s">
        <v>6199</v>
      </c>
      <c r="J1450" s="3" t="s">
        <v>22</v>
      </c>
      <c r="K1450" s="3" t="s">
        <v>23</v>
      </c>
      <c r="L1450" s="3" t="s">
        <v>24</v>
      </c>
      <c r="M1450" s="3" t="s">
        <v>91</v>
      </c>
      <c r="N1450" s="3" t="s">
        <v>252</v>
      </c>
      <c r="O1450" s="5">
        <v>96.5054822</v>
      </c>
      <c r="P1450" s="6" t="str">
        <f t="shared" si="2"/>
        <v>Fertilizers &amp; Agrochemicals</v>
      </c>
    </row>
    <row r="1451" hidden="1">
      <c r="A1451" s="3" t="s">
        <v>6203</v>
      </c>
      <c r="B1451" s="4">
        <v>524314.0</v>
      </c>
      <c r="C1451" s="3" t="s">
        <v>6204</v>
      </c>
      <c r="D1451" s="3" t="s">
        <v>6205</v>
      </c>
      <c r="E1451" s="3" t="s">
        <v>6206</v>
      </c>
      <c r="F1451" s="3" t="s">
        <v>19</v>
      </c>
      <c r="G1451" s="3" t="s">
        <v>72</v>
      </c>
      <c r="H1451" s="3">
        <v>10.0</v>
      </c>
      <c r="I1451" s="3" t="s">
        <v>6203</v>
      </c>
      <c r="J1451" s="3" t="s">
        <v>22</v>
      </c>
      <c r="K1451" s="3" t="s">
        <v>45</v>
      </c>
      <c r="L1451" s="3" t="s">
        <v>45</v>
      </c>
      <c r="M1451" s="3" t="s">
        <v>46</v>
      </c>
      <c r="N1451" s="3" t="s">
        <v>47</v>
      </c>
      <c r="O1451" s="5">
        <v>37.5501631</v>
      </c>
      <c r="P1451" s="6" t="str">
        <f t="shared" si="2"/>
        <v>Pharmaceuticals</v>
      </c>
    </row>
    <row r="1452" hidden="1">
      <c r="A1452" s="3" t="s">
        <v>6207</v>
      </c>
      <c r="B1452" s="4">
        <v>524324.0</v>
      </c>
      <c r="C1452" s="3" t="s">
        <v>6208</v>
      </c>
      <c r="D1452" s="3" t="s">
        <v>6209</v>
      </c>
      <c r="E1452" s="3" t="s">
        <v>6210</v>
      </c>
      <c r="F1452" s="3" t="s">
        <v>19</v>
      </c>
      <c r="G1452" s="3" t="s">
        <v>86</v>
      </c>
      <c r="H1452" s="3">
        <v>10.0</v>
      </c>
      <c r="I1452" s="3" t="s">
        <v>6207</v>
      </c>
      <c r="J1452" s="3" t="s">
        <v>22</v>
      </c>
      <c r="K1452" s="3" t="s">
        <v>23</v>
      </c>
      <c r="L1452" s="3" t="s">
        <v>24</v>
      </c>
      <c r="M1452" s="3" t="s">
        <v>25</v>
      </c>
      <c r="N1452" s="3" t="s">
        <v>26</v>
      </c>
      <c r="O1452" s="5">
        <v>65.8466548</v>
      </c>
      <c r="P1452" s="6" t="str">
        <f t="shared" si="2"/>
        <v>Specialty Chemicals</v>
      </c>
    </row>
    <row r="1453" hidden="1">
      <c r="A1453" s="3" t="s">
        <v>6211</v>
      </c>
      <c r="B1453" s="4">
        <v>524330.0</v>
      </c>
      <c r="C1453" s="3" t="s">
        <v>6212</v>
      </c>
      <c r="D1453" s="3" t="s">
        <v>6213</v>
      </c>
      <c r="E1453" s="3" t="s">
        <v>6214</v>
      </c>
      <c r="F1453" s="3" t="s">
        <v>19</v>
      </c>
      <c r="G1453" s="3" t="s">
        <v>112</v>
      </c>
      <c r="H1453" s="3">
        <v>5.0</v>
      </c>
      <c r="I1453" s="3" t="s">
        <v>6211</v>
      </c>
      <c r="J1453" s="3" t="s">
        <v>22</v>
      </c>
      <c r="K1453" s="3" t="s">
        <v>23</v>
      </c>
      <c r="L1453" s="3" t="s">
        <v>24</v>
      </c>
      <c r="M1453" s="3" t="s">
        <v>25</v>
      </c>
      <c r="N1453" s="3" t="s">
        <v>26</v>
      </c>
      <c r="O1453" s="5">
        <v>926.875521</v>
      </c>
      <c r="P1453" s="6" t="str">
        <f t="shared" si="2"/>
        <v>Specialty Chemicals</v>
      </c>
    </row>
    <row r="1454" hidden="1">
      <c r="A1454" s="3" t="s">
        <v>6215</v>
      </c>
      <c r="B1454" s="4">
        <v>524332.0</v>
      </c>
      <c r="C1454" s="3" t="s">
        <v>6216</v>
      </c>
      <c r="D1454" s="3" t="s">
        <v>6217</v>
      </c>
      <c r="E1454" s="3" t="s">
        <v>6218</v>
      </c>
      <c r="F1454" s="3" t="s">
        <v>19</v>
      </c>
      <c r="G1454" s="3" t="s">
        <v>112</v>
      </c>
      <c r="H1454" s="3">
        <v>1.0</v>
      </c>
      <c r="I1454" s="3" t="s">
        <v>6215</v>
      </c>
      <c r="J1454" s="3" t="s">
        <v>22</v>
      </c>
      <c r="K1454" s="3" t="s">
        <v>145</v>
      </c>
      <c r="L1454" s="3" t="s">
        <v>145</v>
      </c>
      <c r="M1454" s="3" t="s">
        <v>146</v>
      </c>
      <c r="N1454" s="3" t="s">
        <v>575</v>
      </c>
      <c r="O1454" s="5">
        <v>1560.2329155</v>
      </c>
      <c r="P1454" s="6" t="str">
        <f t="shared" si="2"/>
        <v>Agricultural Food &amp; other Products</v>
      </c>
    </row>
    <row r="1455" hidden="1">
      <c r="A1455" s="3" t="s">
        <v>6219</v>
      </c>
      <c r="B1455" s="4">
        <v>524336.0</v>
      </c>
      <c r="C1455" s="3" t="s">
        <v>6220</v>
      </c>
      <c r="D1455" s="3" t="s">
        <v>6221</v>
      </c>
      <c r="E1455" s="3" t="s">
        <v>6222</v>
      </c>
      <c r="F1455" s="3" t="s">
        <v>19</v>
      </c>
      <c r="G1455" s="3" t="s">
        <v>44</v>
      </c>
      <c r="H1455" s="3">
        <v>10.0</v>
      </c>
      <c r="I1455" s="3" t="s">
        <v>6219</v>
      </c>
      <c r="J1455" s="3" t="s">
        <v>22</v>
      </c>
      <c r="K1455" s="3" t="s">
        <v>23</v>
      </c>
      <c r="L1455" s="3" t="s">
        <v>24</v>
      </c>
      <c r="M1455" s="3" t="s">
        <v>25</v>
      </c>
      <c r="N1455" s="3" t="s">
        <v>52</v>
      </c>
      <c r="O1455" s="5">
        <v>33.3159975</v>
      </c>
      <c r="P1455" s="6" t="str">
        <f t="shared" si="2"/>
        <v>Chemicals &amp; Petrochemicals</v>
      </c>
    </row>
    <row r="1456" hidden="1">
      <c r="A1456" s="3" t="s">
        <v>6223</v>
      </c>
      <c r="B1456" s="4">
        <v>524342.0</v>
      </c>
      <c r="C1456" s="3" t="s">
        <v>6224</v>
      </c>
      <c r="D1456" s="3" t="s">
        <v>6225</v>
      </c>
      <c r="E1456" s="3" t="s">
        <v>6226</v>
      </c>
      <c r="F1456" s="3" t="s">
        <v>19</v>
      </c>
      <c r="G1456" s="3" t="s">
        <v>112</v>
      </c>
      <c r="H1456" s="3">
        <v>1.0</v>
      </c>
      <c r="I1456" s="3" t="s">
        <v>6223</v>
      </c>
      <c r="J1456" s="3" t="s">
        <v>22</v>
      </c>
      <c r="K1456" s="3" t="s">
        <v>23</v>
      </c>
      <c r="L1456" s="3" t="s">
        <v>24</v>
      </c>
      <c r="M1456" s="3" t="s">
        <v>25</v>
      </c>
      <c r="N1456" s="3" t="s">
        <v>52</v>
      </c>
      <c r="O1456" s="5">
        <v>657.1193355</v>
      </c>
      <c r="P1456" s="6" t="str">
        <f t="shared" si="2"/>
        <v>Chemicals &amp; Petrochemicals</v>
      </c>
    </row>
    <row r="1457" hidden="1">
      <c r="A1457" s="3" t="s">
        <v>6227</v>
      </c>
      <c r="B1457" s="4">
        <v>524348.0</v>
      </c>
      <c r="C1457" s="3" t="s">
        <v>6228</v>
      </c>
      <c r="D1457" s="3" t="s">
        <v>6229</v>
      </c>
      <c r="E1457" s="3" t="s">
        <v>6230</v>
      </c>
      <c r="F1457" s="3" t="s">
        <v>19</v>
      </c>
      <c r="G1457" s="3" t="s">
        <v>20</v>
      </c>
      <c r="H1457" s="3">
        <v>10.0</v>
      </c>
      <c r="I1457" s="3" t="s">
        <v>6227</v>
      </c>
      <c r="J1457" s="3" t="s">
        <v>22</v>
      </c>
      <c r="K1457" s="3" t="s">
        <v>45</v>
      </c>
      <c r="L1457" s="3" t="s">
        <v>45</v>
      </c>
      <c r="M1457" s="3" t="s">
        <v>46</v>
      </c>
      <c r="N1457" s="3" t="s">
        <v>47</v>
      </c>
      <c r="O1457" s="5">
        <v>4722.9497877</v>
      </c>
      <c r="P1457" s="6" t="str">
        <f t="shared" si="2"/>
        <v>Pharmaceuticals</v>
      </c>
    </row>
    <row r="1458" hidden="1">
      <c r="A1458" s="3" t="s">
        <v>6231</v>
      </c>
      <c r="B1458" s="4">
        <v>524370.0</v>
      </c>
      <c r="C1458" s="3" t="s">
        <v>6232</v>
      </c>
      <c r="D1458" s="3" t="s">
        <v>6233</v>
      </c>
      <c r="E1458" s="3" t="s">
        <v>6234</v>
      </c>
      <c r="F1458" s="3" t="s">
        <v>19</v>
      </c>
      <c r="G1458" s="3" t="s">
        <v>112</v>
      </c>
      <c r="H1458" s="3">
        <v>2.0</v>
      </c>
      <c r="I1458" s="3" t="s">
        <v>6231</v>
      </c>
      <c r="J1458" s="3" t="s">
        <v>22</v>
      </c>
      <c r="K1458" s="3" t="s">
        <v>23</v>
      </c>
      <c r="L1458" s="3" t="s">
        <v>24</v>
      </c>
      <c r="M1458" s="3" t="s">
        <v>25</v>
      </c>
      <c r="N1458" s="3" t="s">
        <v>368</v>
      </c>
      <c r="O1458" s="5">
        <v>983.3794064</v>
      </c>
      <c r="P1458" s="6" t="str">
        <f t="shared" si="2"/>
        <v>Chemicals &amp; Petrochemicals</v>
      </c>
    </row>
    <row r="1459">
      <c r="A1459" s="3" t="s">
        <v>6235</v>
      </c>
      <c r="B1459" s="4">
        <v>532702.0</v>
      </c>
      <c r="C1459" s="3" t="s">
        <v>6236</v>
      </c>
      <c r="D1459" s="3" t="s">
        <v>6237</v>
      </c>
      <c r="E1459" s="3" t="s">
        <v>6238</v>
      </c>
      <c r="F1459" s="3" t="s">
        <v>19</v>
      </c>
      <c r="G1459" s="3" t="s">
        <v>20</v>
      </c>
      <c r="H1459" s="3">
        <v>10.0</v>
      </c>
      <c r="I1459" s="3" t="s">
        <v>6239</v>
      </c>
      <c r="J1459" s="3" t="s">
        <v>22</v>
      </c>
      <c r="K1459" s="3" t="s">
        <v>410</v>
      </c>
      <c r="L1459" s="3" t="s">
        <v>411</v>
      </c>
      <c r="M1459" s="3" t="s">
        <v>5841</v>
      </c>
      <c r="N1459" s="3" t="s">
        <v>6173</v>
      </c>
      <c r="O1459" s="5">
        <v>16764.81374</v>
      </c>
      <c r="P1459" s="6" t="str">
        <f t="shared" si="2"/>
        <v>Gas</v>
      </c>
    </row>
    <row r="1460" hidden="1">
      <c r="A1460" s="3" t="s">
        <v>6240</v>
      </c>
      <c r="B1460" s="4">
        <v>524394.0</v>
      </c>
      <c r="C1460" s="3" t="s">
        <v>6241</v>
      </c>
      <c r="D1460" s="3" t="s">
        <v>6242</v>
      </c>
      <c r="E1460" s="3" t="s">
        <v>6243</v>
      </c>
      <c r="F1460" s="3" t="s">
        <v>19</v>
      </c>
      <c r="G1460" s="3" t="s">
        <v>112</v>
      </c>
      <c r="H1460" s="3">
        <v>2.0</v>
      </c>
      <c r="I1460" s="3" t="s">
        <v>6240</v>
      </c>
      <c r="J1460" s="3" t="s">
        <v>22</v>
      </c>
      <c r="K1460" s="3" t="s">
        <v>45</v>
      </c>
      <c r="L1460" s="3" t="s">
        <v>45</v>
      </c>
      <c r="M1460" s="3" t="s">
        <v>4488</v>
      </c>
      <c r="N1460" s="3" t="s">
        <v>6244</v>
      </c>
      <c r="O1460" s="5">
        <v>1081.2707912</v>
      </c>
      <c r="P1460" s="6" t="str">
        <f t="shared" si="2"/>
        <v>Healthcare Services</v>
      </c>
    </row>
    <row r="1461" hidden="1">
      <c r="A1461" s="3" t="s">
        <v>6245</v>
      </c>
      <c r="B1461" s="4">
        <v>524396.0</v>
      </c>
      <c r="C1461" s="3" t="s">
        <v>6246</v>
      </c>
      <c r="D1461" s="3" t="s">
        <v>6247</v>
      </c>
      <c r="E1461" s="3" t="s">
        <v>6248</v>
      </c>
      <c r="F1461" s="3" t="s">
        <v>19</v>
      </c>
      <c r="G1461" s="3" t="s">
        <v>112</v>
      </c>
      <c r="H1461" s="3">
        <v>10.0</v>
      </c>
      <c r="I1461" s="3" t="s">
        <v>6245</v>
      </c>
      <c r="J1461" s="3" t="s">
        <v>22</v>
      </c>
      <c r="K1461" s="3" t="s">
        <v>45</v>
      </c>
      <c r="L1461" s="3" t="s">
        <v>45</v>
      </c>
      <c r="M1461" s="3" t="s">
        <v>46</v>
      </c>
      <c r="N1461" s="3" t="s">
        <v>47</v>
      </c>
      <c r="O1461" s="5">
        <v>100.6797194</v>
      </c>
      <c r="P1461" s="6" t="str">
        <f t="shared" si="2"/>
        <v>Pharmaceuticals</v>
      </c>
    </row>
    <row r="1462" hidden="1">
      <c r="A1462" s="3" t="s">
        <v>6249</v>
      </c>
      <c r="B1462" s="4">
        <v>524400.0</v>
      </c>
      <c r="C1462" s="3" t="s">
        <v>6250</v>
      </c>
      <c r="D1462" s="3" t="s">
        <v>6251</v>
      </c>
      <c r="E1462" s="3" t="s">
        <v>6252</v>
      </c>
      <c r="F1462" s="3" t="s">
        <v>19</v>
      </c>
      <c r="G1462" s="3" t="s">
        <v>44</v>
      </c>
      <c r="H1462" s="3">
        <v>10.0</v>
      </c>
      <c r="I1462" s="3" t="s">
        <v>6249</v>
      </c>
      <c r="J1462" s="3" t="s">
        <v>22</v>
      </c>
      <c r="K1462" s="3" t="s">
        <v>45</v>
      </c>
      <c r="L1462" s="3" t="s">
        <v>45</v>
      </c>
      <c r="M1462" s="3" t="s">
        <v>46</v>
      </c>
      <c r="N1462" s="3" t="s">
        <v>47</v>
      </c>
      <c r="O1462" s="5">
        <v>20.1538788</v>
      </c>
      <c r="P1462" s="6" t="str">
        <f t="shared" si="2"/>
        <v>Pharmaceuticals</v>
      </c>
    </row>
    <row r="1463">
      <c r="A1463" s="3" t="s">
        <v>6253</v>
      </c>
      <c r="B1463" s="4">
        <v>533106.0</v>
      </c>
      <c r="C1463" s="3" t="s">
        <v>6254</v>
      </c>
      <c r="D1463" s="3" t="s">
        <v>6255</v>
      </c>
      <c r="E1463" s="3" t="s">
        <v>6256</v>
      </c>
      <c r="F1463" s="3" t="s">
        <v>19</v>
      </c>
      <c r="G1463" s="3" t="s">
        <v>20</v>
      </c>
      <c r="H1463" s="3">
        <v>10.0</v>
      </c>
      <c r="I1463" s="3" t="s">
        <v>6257</v>
      </c>
      <c r="J1463" s="3" t="s">
        <v>22</v>
      </c>
      <c r="K1463" s="3" t="s">
        <v>410</v>
      </c>
      <c r="L1463" s="3" t="s">
        <v>411</v>
      </c>
      <c r="M1463" s="3" t="s">
        <v>412</v>
      </c>
      <c r="N1463" s="3" t="s">
        <v>504</v>
      </c>
      <c r="O1463" s="5">
        <v>79478.8240344</v>
      </c>
      <c r="P1463" s="6" t="str">
        <f t="shared" si="2"/>
        <v>Oil</v>
      </c>
    </row>
    <row r="1464" hidden="1">
      <c r="A1464" s="3" t="s">
        <v>6258</v>
      </c>
      <c r="B1464" s="4">
        <v>524408.0</v>
      </c>
      <c r="C1464" s="3" t="s">
        <v>6259</v>
      </c>
      <c r="D1464" s="3" t="s">
        <v>6260</v>
      </c>
      <c r="E1464" s="3" t="s">
        <v>6261</v>
      </c>
      <c r="F1464" s="3" t="s">
        <v>19</v>
      </c>
      <c r="G1464" s="3" t="s">
        <v>44</v>
      </c>
      <c r="H1464" s="3">
        <v>10.0</v>
      </c>
      <c r="I1464" s="3" t="s">
        <v>6258</v>
      </c>
      <c r="J1464" s="3" t="s">
        <v>22</v>
      </c>
      <c r="K1464" s="3" t="s">
        <v>145</v>
      </c>
      <c r="L1464" s="3" t="s">
        <v>145</v>
      </c>
      <c r="M1464" s="3" t="s">
        <v>146</v>
      </c>
      <c r="N1464" s="3" t="s">
        <v>2645</v>
      </c>
      <c r="O1464" s="5">
        <v>79.3011114</v>
      </c>
      <c r="P1464" s="6" t="str">
        <f t="shared" si="2"/>
        <v>Agricultural Food &amp; other Products</v>
      </c>
    </row>
    <row r="1465" hidden="1">
      <c r="A1465" s="3" t="s">
        <v>6262</v>
      </c>
      <c r="B1465" s="4">
        <v>524412.0</v>
      </c>
      <c r="C1465" s="3" t="s">
        <v>6263</v>
      </c>
      <c r="D1465" s="3" t="s">
        <v>6264</v>
      </c>
      <c r="E1465" s="3" t="s">
        <v>6265</v>
      </c>
      <c r="F1465" s="3" t="s">
        <v>19</v>
      </c>
      <c r="G1465" s="3" t="s">
        <v>86</v>
      </c>
      <c r="H1465" s="3">
        <v>10.0</v>
      </c>
      <c r="I1465" s="3" t="s">
        <v>6262</v>
      </c>
      <c r="J1465" s="3" t="s">
        <v>22</v>
      </c>
      <c r="K1465" s="3" t="s">
        <v>45</v>
      </c>
      <c r="L1465" s="3" t="s">
        <v>45</v>
      </c>
      <c r="M1465" s="3" t="s">
        <v>46</v>
      </c>
      <c r="N1465" s="3" t="s">
        <v>47</v>
      </c>
      <c r="O1465" s="5">
        <v>135.83201</v>
      </c>
      <c r="P1465" s="6" t="str">
        <f t="shared" si="2"/>
        <v>Pharmaceuticals</v>
      </c>
    </row>
    <row r="1466" hidden="1">
      <c r="A1466" s="3" t="s">
        <v>6266</v>
      </c>
      <c r="B1466" s="4">
        <v>501370.0</v>
      </c>
      <c r="C1466" s="3" t="s">
        <v>6267</v>
      </c>
      <c r="D1466" s="3" t="s">
        <v>6268</v>
      </c>
      <c r="E1466" s="3" t="s">
        <v>6269</v>
      </c>
      <c r="F1466" s="3" t="s">
        <v>19</v>
      </c>
      <c r="G1466" s="3" t="s">
        <v>44</v>
      </c>
      <c r="H1466" s="3">
        <v>10.0</v>
      </c>
      <c r="I1466" s="3" t="s">
        <v>1373</v>
      </c>
      <c r="J1466" s="3" t="s">
        <v>22</v>
      </c>
      <c r="K1466" s="3" t="s">
        <v>1673</v>
      </c>
      <c r="L1466" s="3" t="s">
        <v>1673</v>
      </c>
      <c r="M1466" s="3" t="s">
        <v>1674</v>
      </c>
      <c r="N1466" s="3" t="s">
        <v>3189</v>
      </c>
      <c r="O1466" s="5">
        <v>67.3702248</v>
      </c>
      <c r="P1466" s="6" t="str">
        <f t="shared" si="2"/>
        <v>Commercial Services &amp; Supplies</v>
      </c>
    </row>
    <row r="1467" hidden="1">
      <c r="A1467" s="3" t="s">
        <v>6270</v>
      </c>
      <c r="B1467" s="4">
        <v>524434.0</v>
      </c>
      <c r="C1467" s="3" t="s">
        <v>6271</v>
      </c>
      <c r="D1467" s="3" t="s">
        <v>6272</v>
      </c>
      <c r="E1467" s="3" t="s">
        <v>6273</v>
      </c>
      <c r="F1467" s="3" t="s">
        <v>19</v>
      </c>
      <c r="G1467" s="3" t="s">
        <v>44</v>
      </c>
      <c r="H1467" s="3">
        <v>10.0</v>
      </c>
      <c r="I1467" s="3" t="s">
        <v>6270</v>
      </c>
      <c r="J1467" s="3" t="s">
        <v>22</v>
      </c>
      <c r="K1467" s="3" t="s">
        <v>23</v>
      </c>
      <c r="L1467" s="3" t="s">
        <v>24</v>
      </c>
      <c r="M1467" s="3" t="s">
        <v>25</v>
      </c>
      <c r="N1467" s="3" t="s">
        <v>52</v>
      </c>
      <c r="O1467" s="5">
        <v>1.0</v>
      </c>
      <c r="P1467" s="6" t="str">
        <f t="shared" si="2"/>
        <v>Chemicals &amp; Petrochemicals</v>
      </c>
    </row>
    <row r="1468" hidden="1">
      <c r="A1468" s="3" t="s">
        <v>6274</v>
      </c>
      <c r="B1468" s="4">
        <v>524440.0</v>
      </c>
      <c r="C1468" s="3" t="s">
        <v>6275</v>
      </c>
      <c r="D1468" s="3" t="s">
        <v>6276</v>
      </c>
      <c r="E1468" s="3" t="s">
        <v>6277</v>
      </c>
      <c r="F1468" s="3" t="s">
        <v>19</v>
      </c>
      <c r="G1468" s="3" t="s">
        <v>72</v>
      </c>
      <c r="H1468" s="3">
        <v>10.0</v>
      </c>
      <c r="I1468" s="3" t="s">
        <v>6274</v>
      </c>
      <c r="J1468" s="3" t="s">
        <v>22</v>
      </c>
      <c r="K1468" s="3" t="s">
        <v>23</v>
      </c>
      <c r="L1468" s="3" t="s">
        <v>24</v>
      </c>
      <c r="M1468" s="3" t="s">
        <v>25</v>
      </c>
      <c r="N1468" s="3" t="s">
        <v>52</v>
      </c>
      <c r="O1468" s="5">
        <v>68.066453</v>
      </c>
      <c r="P1468" s="6" t="str">
        <f t="shared" si="2"/>
        <v>Chemicals &amp; Petrochemicals</v>
      </c>
    </row>
    <row r="1469" hidden="1">
      <c r="A1469" s="3" t="s">
        <v>6278</v>
      </c>
      <c r="B1469" s="4">
        <v>524444.0</v>
      </c>
      <c r="C1469" s="3" t="s">
        <v>6279</v>
      </c>
      <c r="D1469" s="3" t="s">
        <v>6280</v>
      </c>
      <c r="E1469" s="3" t="s">
        <v>6281</v>
      </c>
      <c r="F1469" s="3" t="s">
        <v>19</v>
      </c>
      <c r="G1469" s="3" t="s">
        <v>72</v>
      </c>
      <c r="H1469" s="3">
        <v>1.0</v>
      </c>
      <c r="I1469" s="3" t="s">
        <v>6278</v>
      </c>
      <c r="J1469" s="3" t="s">
        <v>22</v>
      </c>
      <c r="K1469" s="3" t="s">
        <v>145</v>
      </c>
      <c r="L1469" s="3" t="s">
        <v>145</v>
      </c>
      <c r="M1469" s="3" t="s">
        <v>146</v>
      </c>
      <c r="N1469" s="3" t="s">
        <v>575</v>
      </c>
      <c r="O1469" s="5">
        <v>191.2656486</v>
      </c>
      <c r="P1469" s="6" t="str">
        <f t="shared" si="2"/>
        <v>Agricultural Food &amp; other Products</v>
      </c>
    </row>
    <row r="1470" hidden="1">
      <c r="A1470" s="3" t="s">
        <v>6282</v>
      </c>
      <c r="B1470" s="4">
        <v>524458.0</v>
      </c>
      <c r="C1470" s="3" t="s">
        <v>6283</v>
      </c>
      <c r="D1470" s="3" t="s">
        <v>6284</v>
      </c>
      <c r="E1470" s="3" t="s">
        <v>6285</v>
      </c>
      <c r="F1470" s="3" t="s">
        <v>19</v>
      </c>
      <c r="G1470" s="3" t="s">
        <v>72</v>
      </c>
      <c r="H1470" s="3">
        <v>10.0</v>
      </c>
      <c r="I1470" s="3" t="s">
        <v>6282</v>
      </c>
      <c r="J1470" s="3" t="s">
        <v>22</v>
      </c>
      <c r="K1470" s="3" t="s">
        <v>23</v>
      </c>
      <c r="L1470" s="3" t="s">
        <v>24</v>
      </c>
      <c r="M1470" s="3" t="s">
        <v>25</v>
      </c>
      <c r="N1470" s="3" t="s">
        <v>26</v>
      </c>
      <c r="O1470" s="5">
        <v>13.6661114</v>
      </c>
      <c r="P1470" s="6" t="str">
        <f t="shared" si="2"/>
        <v>Specialty Chemicals</v>
      </c>
    </row>
    <row r="1471" hidden="1">
      <c r="A1471" s="3" t="s">
        <v>6286</v>
      </c>
      <c r="B1471" s="4">
        <v>524470.0</v>
      </c>
      <c r="C1471" s="3" t="s">
        <v>6287</v>
      </c>
      <c r="D1471" s="3" t="s">
        <v>6288</v>
      </c>
      <c r="E1471" s="3" t="s">
        <v>6289</v>
      </c>
      <c r="F1471" s="3" t="s">
        <v>19</v>
      </c>
      <c r="G1471" s="3" t="s">
        <v>112</v>
      </c>
      <c r="H1471" s="3">
        <v>1.0</v>
      </c>
      <c r="I1471" s="3" t="s">
        <v>6286</v>
      </c>
      <c r="J1471" s="3" t="s">
        <v>22</v>
      </c>
      <c r="K1471" s="3" t="s">
        <v>45</v>
      </c>
      <c r="L1471" s="3" t="s">
        <v>45</v>
      </c>
      <c r="M1471" s="3" t="s">
        <v>46</v>
      </c>
      <c r="N1471" s="3" t="s">
        <v>47</v>
      </c>
      <c r="O1471" s="5">
        <v>1179.5606081</v>
      </c>
      <c r="P1471" s="6" t="str">
        <f t="shared" si="2"/>
        <v>Pharmaceuticals</v>
      </c>
    </row>
    <row r="1472" hidden="1">
      <c r="A1472" s="3" t="s">
        <v>3628</v>
      </c>
      <c r="B1472" s="4">
        <v>543410.0</v>
      </c>
      <c r="C1472" s="3" t="s">
        <v>6290</v>
      </c>
      <c r="D1472" s="3" t="s">
        <v>6291</v>
      </c>
      <c r="E1472" s="3" t="s">
        <v>6292</v>
      </c>
      <c r="F1472" s="3" t="s">
        <v>19</v>
      </c>
      <c r="G1472" s="3" t="s">
        <v>6293</v>
      </c>
      <c r="H1472" s="3">
        <v>10.0</v>
      </c>
      <c r="I1472" s="3" t="s">
        <v>6294</v>
      </c>
      <c r="J1472" s="3" t="s">
        <v>22</v>
      </c>
      <c r="K1472" s="3" t="s">
        <v>1673</v>
      </c>
      <c r="L1472" s="3" t="s">
        <v>1673</v>
      </c>
      <c r="M1472" s="3" t="s">
        <v>1674</v>
      </c>
      <c r="N1472" s="3" t="s">
        <v>3189</v>
      </c>
      <c r="O1472" s="5">
        <v>65.765465</v>
      </c>
      <c r="P1472" s="6" t="str">
        <f t="shared" si="2"/>
        <v>Commercial Services &amp; Supplies</v>
      </c>
    </row>
    <row r="1473" hidden="1">
      <c r="A1473" s="3" t="s">
        <v>6295</v>
      </c>
      <c r="B1473" s="4">
        <v>543420.0</v>
      </c>
      <c r="C1473" s="3" t="s">
        <v>6296</v>
      </c>
      <c r="D1473" s="3" t="s">
        <v>6297</v>
      </c>
      <c r="E1473" s="3" t="s">
        <v>6298</v>
      </c>
      <c r="F1473" s="3" t="s">
        <v>19</v>
      </c>
      <c r="G1473" s="3" t="s">
        <v>112</v>
      </c>
      <c r="H1473" s="3">
        <v>5.0</v>
      </c>
      <c r="I1473" s="3" t="s">
        <v>6299</v>
      </c>
      <c r="J1473" s="3" t="s">
        <v>22</v>
      </c>
      <c r="K1473" s="3" t="s">
        <v>1673</v>
      </c>
      <c r="L1473" s="3" t="s">
        <v>1673</v>
      </c>
      <c r="M1473" s="3" t="s">
        <v>1689</v>
      </c>
      <c r="N1473" s="3" t="s">
        <v>1690</v>
      </c>
      <c r="O1473" s="5">
        <v>64.6289033</v>
      </c>
      <c r="P1473" s="6" t="str">
        <f t="shared" si="2"/>
        <v>Transport Services</v>
      </c>
    </row>
    <row r="1474">
      <c r="A1474" s="3" t="s">
        <v>6300</v>
      </c>
      <c r="B1474" s="4">
        <v>533278.0</v>
      </c>
      <c r="C1474" s="3" t="s">
        <v>6301</v>
      </c>
      <c r="D1474" s="3" t="s">
        <v>6302</v>
      </c>
      <c r="E1474" s="3" t="s">
        <v>6303</v>
      </c>
      <c r="F1474" s="3" t="s">
        <v>19</v>
      </c>
      <c r="G1474" s="3" t="s">
        <v>20</v>
      </c>
      <c r="H1474" s="3">
        <v>10.0</v>
      </c>
      <c r="I1474" s="3" t="s">
        <v>6304</v>
      </c>
      <c r="J1474" s="3" t="s">
        <v>22</v>
      </c>
      <c r="K1474" s="3" t="s">
        <v>410</v>
      </c>
      <c r="L1474" s="3" t="s">
        <v>411</v>
      </c>
      <c r="M1474" s="3" t="s">
        <v>4270</v>
      </c>
      <c r="N1474" s="3" t="s">
        <v>4271</v>
      </c>
      <c r="O1474" s="5">
        <v>296717.4855316</v>
      </c>
      <c r="P1474" s="6" t="str">
        <f t="shared" si="2"/>
        <v>Consumable Fuels</v>
      </c>
    </row>
    <row r="1475" hidden="1">
      <c r="A1475" s="3" t="s">
        <v>6305</v>
      </c>
      <c r="B1475" s="4">
        <v>524500.0</v>
      </c>
      <c r="C1475" s="3" t="s">
        <v>6306</v>
      </c>
      <c r="D1475" s="3" t="s">
        <v>6307</v>
      </c>
      <c r="E1475" s="3" t="s">
        <v>6308</v>
      </c>
      <c r="F1475" s="3" t="s">
        <v>19</v>
      </c>
      <c r="G1475" s="3" t="s">
        <v>112</v>
      </c>
      <c r="H1475" s="3">
        <v>10.0</v>
      </c>
      <c r="I1475" s="3" t="s">
        <v>6305</v>
      </c>
      <c r="J1475" s="3" t="s">
        <v>22</v>
      </c>
      <c r="K1475" s="3" t="s">
        <v>45</v>
      </c>
      <c r="L1475" s="3" t="s">
        <v>45</v>
      </c>
      <c r="M1475" s="3" t="s">
        <v>46</v>
      </c>
      <c r="N1475" s="3" t="s">
        <v>47</v>
      </c>
      <c r="O1475" s="5">
        <v>555.2646414</v>
      </c>
      <c r="P1475" s="6" t="str">
        <f t="shared" si="2"/>
        <v>Pharmaceuticals</v>
      </c>
    </row>
    <row r="1476" hidden="1">
      <c r="A1476" s="3" t="s">
        <v>6309</v>
      </c>
      <c r="B1476" s="4">
        <v>524502.0</v>
      </c>
      <c r="C1476" s="3" t="s">
        <v>6310</v>
      </c>
      <c r="D1476" s="3" t="s">
        <v>6311</v>
      </c>
      <c r="E1476" s="3" t="s">
        <v>6312</v>
      </c>
      <c r="F1476" s="3" t="s">
        <v>19</v>
      </c>
      <c r="G1476" s="3" t="s">
        <v>1858</v>
      </c>
      <c r="H1476" s="3">
        <v>10.0</v>
      </c>
      <c r="I1476" s="3" t="s">
        <v>6309</v>
      </c>
      <c r="J1476" s="3" t="s">
        <v>22</v>
      </c>
      <c r="K1476" s="3" t="s">
        <v>97</v>
      </c>
      <c r="L1476" s="3" t="s">
        <v>98</v>
      </c>
      <c r="M1476" s="3" t="s">
        <v>100</v>
      </c>
      <c r="N1476" s="3" t="s">
        <v>373</v>
      </c>
      <c r="O1476" s="5">
        <v>101.7198</v>
      </c>
      <c r="P1476" s="6" t="str">
        <f t="shared" si="2"/>
        <v>Industrial Products</v>
      </c>
    </row>
    <row r="1477" hidden="1">
      <c r="A1477" s="3" t="s">
        <v>6313</v>
      </c>
      <c r="B1477" s="4">
        <v>524488.0</v>
      </c>
      <c r="C1477" s="3" t="s">
        <v>6314</v>
      </c>
      <c r="D1477" s="3" t="s">
        <v>6315</v>
      </c>
      <c r="E1477" s="3" t="s">
        <v>6316</v>
      </c>
      <c r="F1477" s="3" t="s">
        <v>19</v>
      </c>
      <c r="G1477" s="3" t="s">
        <v>72</v>
      </c>
      <c r="H1477" s="3">
        <v>10.0</v>
      </c>
      <c r="I1477" s="3" t="s">
        <v>6295</v>
      </c>
      <c r="J1477" s="3" t="s">
        <v>22</v>
      </c>
      <c r="K1477" s="3" t="s">
        <v>1673</v>
      </c>
      <c r="L1477" s="3" t="s">
        <v>1673</v>
      </c>
      <c r="M1477" s="3" t="s">
        <v>1674</v>
      </c>
      <c r="N1477" s="3" t="s">
        <v>1675</v>
      </c>
      <c r="O1477" s="5">
        <v>64.547364</v>
      </c>
      <c r="P1477" s="6" t="str">
        <f t="shared" si="2"/>
        <v>Commercial Services &amp; Supplies</v>
      </c>
    </row>
    <row r="1478" hidden="1">
      <c r="A1478" s="3" t="s">
        <v>6317</v>
      </c>
      <c r="B1478" s="4">
        <v>524506.0</v>
      </c>
      <c r="C1478" s="3" t="s">
        <v>6318</v>
      </c>
      <c r="D1478" s="3" t="s">
        <v>6319</v>
      </c>
      <c r="E1478" s="3" t="s">
        <v>6320</v>
      </c>
      <c r="F1478" s="3" t="s">
        <v>19</v>
      </c>
      <c r="G1478" s="3" t="s">
        <v>72</v>
      </c>
      <c r="H1478" s="3">
        <v>10.0</v>
      </c>
      <c r="I1478" s="3" t="s">
        <v>6317</v>
      </c>
      <c r="J1478" s="3" t="s">
        <v>22</v>
      </c>
      <c r="K1478" s="3" t="s">
        <v>45</v>
      </c>
      <c r="L1478" s="3" t="s">
        <v>45</v>
      </c>
      <c r="M1478" s="3" t="s">
        <v>46</v>
      </c>
      <c r="N1478" s="3" t="s">
        <v>47</v>
      </c>
      <c r="O1478" s="5">
        <v>236.772192</v>
      </c>
      <c r="P1478" s="6" t="str">
        <f t="shared" si="2"/>
        <v>Pharmaceuticals</v>
      </c>
    </row>
    <row r="1479" hidden="1">
      <c r="A1479" s="3" t="s">
        <v>6321</v>
      </c>
      <c r="B1479" s="4">
        <v>524514.0</v>
      </c>
      <c r="C1479" s="3" t="s">
        <v>6322</v>
      </c>
      <c r="D1479" s="3" t="s">
        <v>6323</v>
      </c>
      <c r="E1479" s="3" t="s">
        <v>6324</v>
      </c>
      <c r="F1479" s="3" t="s">
        <v>19</v>
      </c>
      <c r="G1479" s="3" t="s">
        <v>2267</v>
      </c>
      <c r="H1479" s="3">
        <v>10.0</v>
      </c>
      <c r="I1479" s="3" t="s">
        <v>6321</v>
      </c>
      <c r="J1479" s="3" t="s">
        <v>22</v>
      </c>
      <c r="K1479" s="3" t="s">
        <v>23</v>
      </c>
      <c r="L1479" s="3" t="s">
        <v>24</v>
      </c>
      <c r="M1479" s="3" t="s">
        <v>25</v>
      </c>
      <c r="N1479" s="3" t="s">
        <v>52</v>
      </c>
      <c r="O1479" s="5">
        <v>10.33782</v>
      </c>
      <c r="P1479" s="6" t="str">
        <f t="shared" si="2"/>
        <v>Chemicals &amp; Petrochemicals</v>
      </c>
    </row>
    <row r="1480" hidden="1">
      <c r="A1480" s="3" t="s">
        <v>6325</v>
      </c>
      <c r="B1480" s="4">
        <v>524516.0</v>
      </c>
      <c r="C1480" s="3" t="s">
        <v>6326</v>
      </c>
      <c r="D1480" s="3" t="s">
        <v>6327</v>
      </c>
      <c r="E1480" s="3" t="s">
        <v>6328</v>
      </c>
      <c r="F1480" s="3" t="s">
        <v>19</v>
      </c>
      <c r="G1480" s="3" t="s">
        <v>72</v>
      </c>
      <c r="H1480" s="3">
        <v>10.0</v>
      </c>
      <c r="I1480" s="3" t="s">
        <v>6325</v>
      </c>
      <c r="J1480" s="3" t="s">
        <v>22</v>
      </c>
      <c r="K1480" s="3" t="s">
        <v>45</v>
      </c>
      <c r="L1480" s="3" t="s">
        <v>45</v>
      </c>
      <c r="M1480" s="3" t="s">
        <v>46</v>
      </c>
      <c r="N1480" s="3" t="s">
        <v>47</v>
      </c>
      <c r="O1480" s="5">
        <v>1.0</v>
      </c>
      <c r="P1480" s="6" t="str">
        <f t="shared" si="2"/>
        <v>Pharmaceuticals</v>
      </c>
    </row>
    <row r="1481" hidden="1">
      <c r="A1481" s="3" t="s">
        <v>6329</v>
      </c>
      <c r="B1481" s="4">
        <v>524518.0</v>
      </c>
      <c r="C1481" s="3" t="s">
        <v>6330</v>
      </c>
      <c r="D1481" s="3" t="s">
        <v>6331</v>
      </c>
      <c r="E1481" s="3" t="s">
        <v>6332</v>
      </c>
      <c r="F1481" s="3" t="s">
        <v>19</v>
      </c>
      <c r="G1481" s="3" t="s">
        <v>112</v>
      </c>
      <c r="H1481" s="3">
        <v>10.0</v>
      </c>
      <c r="I1481" s="3" t="s">
        <v>6329</v>
      </c>
      <c r="J1481" s="3" t="s">
        <v>22</v>
      </c>
      <c r="K1481" s="3" t="s">
        <v>45</v>
      </c>
      <c r="L1481" s="3" t="s">
        <v>45</v>
      </c>
      <c r="M1481" s="3" t="s">
        <v>46</v>
      </c>
      <c r="N1481" s="3" t="s">
        <v>47</v>
      </c>
      <c r="O1481" s="5">
        <v>153.9928467</v>
      </c>
      <c r="P1481" s="6" t="str">
        <f t="shared" si="2"/>
        <v>Pharmaceuticals</v>
      </c>
    </row>
    <row r="1482" hidden="1">
      <c r="A1482" s="3" t="s">
        <v>6333</v>
      </c>
      <c r="B1482" s="4">
        <v>524520.0</v>
      </c>
      <c r="C1482" s="3" t="s">
        <v>6334</v>
      </c>
      <c r="D1482" s="3" t="s">
        <v>6335</v>
      </c>
      <c r="E1482" s="3" t="s">
        <v>6336</v>
      </c>
      <c r="F1482" s="3" t="s">
        <v>19</v>
      </c>
      <c r="G1482" s="3" t="s">
        <v>112</v>
      </c>
      <c r="H1482" s="3">
        <v>1.0</v>
      </c>
      <c r="I1482" s="3" t="s">
        <v>6333</v>
      </c>
      <c r="J1482" s="3" t="s">
        <v>22</v>
      </c>
      <c r="K1482" s="3" t="s">
        <v>45</v>
      </c>
      <c r="L1482" s="3" t="s">
        <v>45</v>
      </c>
      <c r="M1482" s="3" t="s">
        <v>4488</v>
      </c>
      <c r="N1482" s="3" t="s">
        <v>5801</v>
      </c>
      <c r="O1482" s="5">
        <v>1371.8717453</v>
      </c>
      <c r="P1482" s="6" t="str">
        <f t="shared" si="2"/>
        <v>Healthcare Services</v>
      </c>
    </row>
    <row r="1483" hidden="1">
      <c r="A1483" s="3" t="s">
        <v>6337</v>
      </c>
      <c r="B1483" s="4">
        <v>524522.0</v>
      </c>
      <c r="C1483" s="3" t="s">
        <v>6338</v>
      </c>
      <c r="D1483" s="3" t="s">
        <v>6339</v>
      </c>
      <c r="E1483" s="3" t="s">
        <v>6340</v>
      </c>
      <c r="F1483" s="3" t="s">
        <v>19</v>
      </c>
      <c r="G1483" s="3" t="s">
        <v>44</v>
      </c>
      <c r="H1483" s="3">
        <v>10.0</v>
      </c>
      <c r="I1483" s="3" t="s">
        <v>6337</v>
      </c>
      <c r="J1483" s="3" t="s">
        <v>22</v>
      </c>
      <c r="K1483" s="3" t="s">
        <v>23</v>
      </c>
      <c r="L1483" s="3" t="s">
        <v>24</v>
      </c>
      <c r="M1483" s="3" t="s">
        <v>25</v>
      </c>
      <c r="N1483" s="3" t="s">
        <v>1036</v>
      </c>
      <c r="O1483" s="5">
        <v>31.298281</v>
      </c>
      <c r="P1483" s="6" t="str">
        <f t="shared" si="2"/>
        <v>Chemicals &amp; Petrochemicals</v>
      </c>
    </row>
    <row r="1484" hidden="1">
      <c r="A1484" s="3" t="s">
        <v>6341</v>
      </c>
      <c r="B1484" s="4">
        <v>524534.0</v>
      </c>
      <c r="C1484" s="3" t="s">
        <v>6342</v>
      </c>
      <c r="D1484" s="3" t="s">
        <v>6343</v>
      </c>
      <c r="E1484" s="3" t="s">
        <v>6344</v>
      </c>
      <c r="F1484" s="3" t="s">
        <v>19</v>
      </c>
      <c r="G1484" s="3" t="s">
        <v>72</v>
      </c>
      <c r="H1484" s="3">
        <v>10.0</v>
      </c>
      <c r="I1484" s="3" t="s">
        <v>6341</v>
      </c>
      <c r="J1484" s="3" t="s">
        <v>22</v>
      </c>
      <c r="K1484" s="3" t="s">
        <v>23</v>
      </c>
      <c r="L1484" s="3" t="s">
        <v>24</v>
      </c>
      <c r="M1484" s="3" t="s">
        <v>91</v>
      </c>
      <c r="N1484" s="3" t="s">
        <v>252</v>
      </c>
      <c r="O1484" s="5">
        <v>51.9090267</v>
      </c>
      <c r="P1484" s="6" t="str">
        <f t="shared" si="2"/>
        <v>Fertilizers &amp; Agrochemicals</v>
      </c>
    </row>
    <row r="1485" hidden="1">
      <c r="A1485" s="3" t="s">
        <v>6345</v>
      </c>
      <c r="B1485" s="4">
        <v>524542.0</v>
      </c>
      <c r="C1485" s="3" t="s">
        <v>6346</v>
      </c>
      <c r="D1485" s="3" t="s">
        <v>6347</v>
      </c>
      <c r="E1485" s="3" t="s">
        <v>6348</v>
      </c>
      <c r="F1485" s="3" t="s">
        <v>19</v>
      </c>
      <c r="G1485" s="3" t="s">
        <v>112</v>
      </c>
      <c r="H1485" s="3">
        <v>10.0</v>
      </c>
      <c r="I1485" s="3" t="s">
        <v>6345</v>
      </c>
      <c r="J1485" s="3" t="s">
        <v>22</v>
      </c>
      <c r="K1485" s="3" t="s">
        <v>145</v>
      </c>
      <c r="L1485" s="3" t="s">
        <v>145</v>
      </c>
      <c r="M1485" s="3" t="s">
        <v>146</v>
      </c>
      <c r="N1485" s="3" t="s">
        <v>2645</v>
      </c>
      <c r="O1485" s="5">
        <v>731.629263</v>
      </c>
      <c r="P1485" s="6" t="str">
        <f t="shared" si="2"/>
        <v>Agricultural Food &amp; other Products</v>
      </c>
    </row>
    <row r="1486" hidden="1">
      <c r="A1486" s="3" t="s">
        <v>6349</v>
      </c>
      <c r="B1486" s="4">
        <v>524546.0</v>
      </c>
      <c r="C1486" s="3" t="s">
        <v>6350</v>
      </c>
      <c r="D1486" s="3" t="s">
        <v>6351</v>
      </c>
      <c r="E1486" s="3" t="s">
        <v>6352</v>
      </c>
      <c r="F1486" s="3" t="s">
        <v>19</v>
      </c>
      <c r="G1486" s="3" t="s">
        <v>1858</v>
      </c>
      <c r="H1486" s="3">
        <v>10.0</v>
      </c>
      <c r="I1486" s="3" t="s">
        <v>6349</v>
      </c>
      <c r="J1486" s="3" t="s">
        <v>22</v>
      </c>
      <c r="K1486" s="3" t="s">
        <v>45</v>
      </c>
      <c r="L1486" s="3" t="s">
        <v>45</v>
      </c>
      <c r="M1486" s="3" t="s">
        <v>46</v>
      </c>
      <c r="N1486" s="3" t="s">
        <v>47</v>
      </c>
      <c r="O1486" s="5">
        <v>1.0</v>
      </c>
      <c r="P1486" s="6" t="str">
        <f t="shared" si="2"/>
        <v>Pharmaceuticals</v>
      </c>
    </row>
    <row r="1487" hidden="1">
      <c r="A1487" s="3" t="s">
        <v>6353</v>
      </c>
      <c r="B1487" s="4">
        <v>524548.0</v>
      </c>
      <c r="C1487" s="3" t="s">
        <v>6354</v>
      </c>
      <c r="D1487" s="3" t="s">
        <v>6355</v>
      </c>
      <c r="E1487" s="3" t="s">
        <v>6356</v>
      </c>
      <c r="F1487" s="3" t="s">
        <v>19</v>
      </c>
      <c r="G1487" s="3" t="s">
        <v>72</v>
      </c>
      <c r="H1487" s="3">
        <v>10.0</v>
      </c>
      <c r="I1487" s="3" t="s">
        <v>6353</v>
      </c>
      <c r="J1487" s="3" t="s">
        <v>22</v>
      </c>
      <c r="K1487" s="3" t="s">
        <v>45</v>
      </c>
      <c r="L1487" s="3" t="s">
        <v>45</v>
      </c>
      <c r="M1487" s="3" t="s">
        <v>4488</v>
      </c>
      <c r="N1487" s="3" t="s">
        <v>4489</v>
      </c>
      <c r="O1487" s="5">
        <v>1.0</v>
      </c>
      <c r="P1487" s="6" t="str">
        <f t="shared" si="2"/>
        <v>Healthcare Services</v>
      </c>
    </row>
    <row r="1488">
      <c r="A1488" s="3" t="s">
        <v>6357</v>
      </c>
      <c r="B1488" s="4">
        <v>538567.0</v>
      </c>
      <c r="C1488" s="3" t="s">
        <v>6358</v>
      </c>
      <c r="D1488" s="3" t="s">
        <v>6359</v>
      </c>
      <c r="E1488" s="3" t="s">
        <v>6360</v>
      </c>
      <c r="F1488" s="3" t="s">
        <v>19</v>
      </c>
      <c r="G1488" s="3" t="s">
        <v>112</v>
      </c>
      <c r="H1488" s="3">
        <v>2.0</v>
      </c>
      <c r="I1488" s="3" t="s">
        <v>6361</v>
      </c>
      <c r="J1488" s="3" t="s">
        <v>22</v>
      </c>
      <c r="K1488" s="3" t="s">
        <v>410</v>
      </c>
      <c r="L1488" s="3" t="s">
        <v>411</v>
      </c>
      <c r="M1488" s="3" t="s">
        <v>5748</v>
      </c>
      <c r="N1488" s="3" t="s">
        <v>5997</v>
      </c>
      <c r="O1488" s="5">
        <v>6263.3895763</v>
      </c>
      <c r="P1488" s="6" t="str">
        <f t="shared" si="2"/>
        <v>Petroleum Products</v>
      </c>
    </row>
    <row r="1489" hidden="1">
      <c r="A1489" s="3" t="s">
        <v>6362</v>
      </c>
      <c r="B1489" s="4">
        <v>524564.0</v>
      </c>
      <c r="C1489" s="3" t="s">
        <v>6363</v>
      </c>
      <c r="D1489" s="3" t="s">
        <v>6364</v>
      </c>
      <c r="E1489" s="3" t="s">
        <v>6365</v>
      </c>
      <c r="F1489" s="3" t="s">
        <v>19</v>
      </c>
      <c r="G1489" s="3" t="s">
        <v>44</v>
      </c>
      <c r="H1489" s="3">
        <v>10.0</v>
      </c>
      <c r="I1489" s="3" t="s">
        <v>6362</v>
      </c>
      <c r="J1489" s="3" t="s">
        <v>22</v>
      </c>
      <c r="K1489" s="3" t="s">
        <v>23</v>
      </c>
      <c r="L1489" s="3" t="s">
        <v>24</v>
      </c>
      <c r="M1489" s="3" t="s">
        <v>25</v>
      </c>
      <c r="N1489" s="3" t="s">
        <v>52</v>
      </c>
      <c r="O1489" s="5">
        <v>50.9521783</v>
      </c>
      <c r="P1489" s="6" t="str">
        <f t="shared" si="2"/>
        <v>Chemicals &amp; Petrochemicals</v>
      </c>
    </row>
    <row r="1490" hidden="1">
      <c r="A1490" s="3" t="s">
        <v>6366</v>
      </c>
      <c r="B1490" s="4">
        <v>524570.0</v>
      </c>
      <c r="C1490" s="3" t="s">
        <v>6367</v>
      </c>
      <c r="D1490" s="3" t="s">
        <v>6368</v>
      </c>
      <c r="E1490" s="3" t="s">
        <v>6369</v>
      </c>
      <c r="F1490" s="3" t="s">
        <v>19</v>
      </c>
      <c r="G1490" s="3" t="s">
        <v>112</v>
      </c>
      <c r="H1490" s="3">
        <v>10.0</v>
      </c>
      <c r="I1490" s="3" t="s">
        <v>6366</v>
      </c>
      <c r="J1490" s="3" t="s">
        <v>22</v>
      </c>
      <c r="K1490" s="3" t="s">
        <v>23</v>
      </c>
      <c r="L1490" s="3" t="s">
        <v>24</v>
      </c>
      <c r="M1490" s="3" t="s">
        <v>25</v>
      </c>
      <c r="N1490" s="3" t="s">
        <v>368</v>
      </c>
      <c r="O1490" s="5">
        <v>476.6052007</v>
      </c>
      <c r="P1490" s="6" t="str">
        <f t="shared" si="2"/>
        <v>Chemicals &amp; Petrochemicals</v>
      </c>
    </row>
    <row r="1491" hidden="1">
      <c r="A1491" s="3" t="s">
        <v>6370</v>
      </c>
      <c r="B1491" s="4">
        <v>524572.0</v>
      </c>
      <c r="C1491" s="3" t="s">
        <v>6371</v>
      </c>
      <c r="D1491" s="3" t="s">
        <v>6372</v>
      </c>
      <c r="E1491" s="3" t="s">
        <v>6373</v>
      </c>
      <c r="F1491" s="3" t="s">
        <v>19</v>
      </c>
      <c r="G1491" s="3" t="s">
        <v>44</v>
      </c>
      <c r="H1491" s="3">
        <v>10.0</v>
      </c>
      <c r="I1491" s="3" t="s">
        <v>6370</v>
      </c>
      <c r="J1491" s="3" t="s">
        <v>22</v>
      </c>
      <c r="K1491" s="3" t="s">
        <v>45</v>
      </c>
      <c r="L1491" s="3" t="s">
        <v>45</v>
      </c>
      <c r="M1491" s="3" t="s">
        <v>46</v>
      </c>
      <c r="N1491" s="3" t="s">
        <v>47</v>
      </c>
      <c r="O1491" s="5">
        <v>173.5116205</v>
      </c>
      <c r="P1491" s="6" t="str">
        <f t="shared" si="2"/>
        <v>Pharmaceuticals</v>
      </c>
    </row>
    <row r="1492" hidden="1">
      <c r="A1492" s="3" t="s">
        <v>6374</v>
      </c>
      <c r="B1492" s="4">
        <v>524576.0</v>
      </c>
      <c r="C1492" s="3" t="s">
        <v>6375</v>
      </c>
      <c r="D1492" s="3" t="s">
        <v>6376</v>
      </c>
      <c r="E1492" s="3" t="s">
        <v>6377</v>
      </c>
      <c r="F1492" s="3" t="s">
        <v>19</v>
      </c>
      <c r="G1492" s="3" t="s">
        <v>44</v>
      </c>
      <c r="H1492" s="3">
        <v>5.0</v>
      </c>
      <c r="I1492" s="3" t="s">
        <v>6374</v>
      </c>
      <c r="J1492" s="3" t="s">
        <v>22</v>
      </c>
      <c r="K1492" s="3" t="s">
        <v>23</v>
      </c>
      <c r="L1492" s="3" t="s">
        <v>24</v>
      </c>
      <c r="M1492" s="3" t="s">
        <v>25</v>
      </c>
      <c r="N1492" s="3" t="s">
        <v>52</v>
      </c>
      <c r="O1492" s="5">
        <v>17.9017146</v>
      </c>
      <c r="P1492" s="6" t="str">
        <f t="shared" si="2"/>
        <v>Chemicals &amp; Petrochemicals</v>
      </c>
    </row>
    <row r="1493" hidden="1">
      <c r="A1493" s="3" t="s">
        <v>6378</v>
      </c>
      <c r="B1493" s="4">
        <v>520123.0</v>
      </c>
      <c r="C1493" s="3" t="s">
        <v>6379</v>
      </c>
      <c r="D1493" s="3" t="s">
        <v>6380</v>
      </c>
      <c r="E1493" s="3" t="s">
        <v>6381</v>
      </c>
      <c r="F1493" s="3" t="s">
        <v>19</v>
      </c>
      <c r="G1493" s="3" t="s">
        <v>44</v>
      </c>
      <c r="H1493" s="3">
        <v>10.0</v>
      </c>
      <c r="I1493" s="3" t="s">
        <v>5253</v>
      </c>
      <c r="J1493" s="3" t="s">
        <v>22</v>
      </c>
      <c r="K1493" s="3" t="s">
        <v>1673</v>
      </c>
      <c r="L1493" s="3" t="s">
        <v>1673</v>
      </c>
      <c r="M1493" s="3" t="s">
        <v>1689</v>
      </c>
      <c r="N1493" s="3" t="s">
        <v>6382</v>
      </c>
      <c r="O1493" s="5">
        <v>61.5643387</v>
      </c>
      <c r="P1493" s="6" t="str">
        <f t="shared" si="2"/>
        <v>Transport Services</v>
      </c>
    </row>
    <row r="1494" hidden="1">
      <c r="A1494" s="3" t="s">
        <v>6383</v>
      </c>
      <c r="B1494" s="4">
        <v>524582.0</v>
      </c>
      <c r="C1494" s="3" t="s">
        <v>6384</v>
      </c>
      <c r="D1494" s="3" t="s">
        <v>6385</v>
      </c>
      <c r="E1494" s="3" t="s">
        <v>6386</v>
      </c>
      <c r="F1494" s="3" t="s">
        <v>19</v>
      </c>
      <c r="G1494" s="3" t="s">
        <v>44</v>
      </c>
      <c r="H1494" s="3">
        <v>10.0</v>
      </c>
      <c r="I1494" s="3" t="s">
        <v>6383</v>
      </c>
      <c r="J1494" s="3" t="s">
        <v>22</v>
      </c>
      <c r="K1494" s="3" t="s">
        <v>145</v>
      </c>
      <c r="L1494" s="3" t="s">
        <v>145</v>
      </c>
      <c r="M1494" s="3" t="s">
        <v>597</v>
      </c>
      <c r="N1494" s="3" t="s">
        <v>1065</v>
      </c>
      <c r="O1494" s="5">
        <v>222.7248292</v>
      </c>
      <c r="P1494" s="6" t="str">
        <f t="shared" si="2"/>
        <v>Food Products</v>
      </c>
    </row>
    <row r="1495" hidden="1">
      <c r="A1495" s="3" t="s">
        <v>6387</v>
      </c>
      <c r="B1495" s="4">
        <v>540144.0</v>
      </c>
      <c r="C1495" s="3" t="s">
        <v>6388</v>
      </c>
      <c r="D1495" s="3" t="s">
        <v>6389</v>
      </c>
      <c r="E1495" s="3" t="s">
        <v>6390</v>
      </c>
      <c r="F1495" s="3" t="s">
        <v>19</v>
      </c>
      <c r="G1495" s="3" t="s">
        <v>2428</v>
      </c>
      <c r="H1495" s="3">
        <v>10.0</v>
      </c>
      <c r="I1495" s="3" t="s">
        <v>6391</v>
      </c>
      <c r="J1495" s="3" t="s">
        <v>22</v>
      </c>
      <c r="K1495" s="3" t="s">
        <v>1673</v>
      </c>
      <c r="L1495" s="3" t="s">
        <v>1673</v>
      </c>
      <c r="M1495" s="3" t="s">
        <v>1674</v>
      </c>
      <c r="N1495" s="3" t="s">
        <v>3189</v>
      </c>
      <c r="O1495" s="5">
        <v>59.907813</v>
      </c>
      <c r="P1495" s="6" t="str">
        <f t="shared" si="2"/>
        <v>Commercial Services &amp; Supplies</v>
      </c>
    </row>
    <row r="1496" hidden="1">
      <c r="A1496" s="3" t="s">
        <v>6392</v>
      </c>
      <c r="B1496" s="4">
        <v>524592.0</v>
      </c>
      <c r="C1496" s="3" t="s">
        <v>6393</v>
      </c>
      <c r="D1496" s="3" t="s">
        <v>6394</v>
      </c>
      <c r="E1496" s="3" t="s">
        <v>6395</v>
      </c>
      <c r="F1496" s="3" t="s">
        <v>19</v>
      </c>
      <c r="G1496" s="3" t="s">
        <v>72</v>
      </c>
      <c r="H1496" s="3">
        <v>1.0</v>
      </c>
      <c r="I1496" s="3" t="s">
        <v>6392</v>
      </c>
      <c r="J1496" s="3" t="s">
        <v>22</v>
      </c>
      <c r="K1496" s="3" t="s">
        <v>23</v>
      </c>
      <c r="L1496" s="3" t="s">
        <v>24</v>
      </c>
      <c r="M1496" s="3" t="s">
        <v>25</v>
      </c>
      <c r="N1496" s="3" t="s">
        <v>26</v>
      </c>
      <c r="O1496" s="5">
        <v>24.5314144</v>
      </c>
      <c r="P1496" s="6" t="str">
        <f t="shared" si="2"/>
        <v>Specialty Chemicals</v>
      </c>
    </row>
    <row r="1497" hidden="1">
      <c r="A1497" s="3" t="s">
        <v>6396</v>
      </c>
      <c r="B1497" s="4">
        <v>524594.0</v>
      </c>
      <c r="C1497" s="3" t="s">
        <v>6397</v>
      </c>
      <c r="D1497" s="3" t="s">
        <v>6398</v>
      </c>
      <c r="E1497" s="3" t="s">
        <v>6399</v>
      </c>
      <c r="F1497" s="3" t="s">
        <v>19</v>
      </c>
      <c r="G1497" s="3" t="s">
        <v>44</v>
      </c>
      <c r="H1497" s="3">
        <v>10.0</v>
      </c>
      <c r="I1497" s="3" t="s">
        <v>6396</v>
      </c>
      <c r="J1497" s="3" t="s">
        <v>22</v>
      </c>
      <c r="K1497" s="3" t="s">
        <v>23</v>
      </c>
      <c r="L1497" s="3" t="s">
        <v>65</v>
      </c>
      <c r="M1497" s="3" t="s">
        <v>438</v>
      </c>
      <c r="N1497" s="3" t="s">
        <v>439</v>
      </c>
      <c r="O1497" s="5">
        <v>67.1239288</v>
      </c>
      <c r="P1497" s="6" t="str">
        <f t="shared" si="2"/>
        <v>Metals &amp; Minerals Trading</v>
      </c>
    </row>
    <row r="1498" hidden="1">
      <c r="A1498" s="3" t="s">
        <v>6400</v>
      </c>
      <c r="B1498" s="4">
        <v>524598.0</v>
      </c>
      <c r="C1498" s="3" t="s">
        <v>6401</v>
      </c>
      <c r="D1498" s="3" t="s">
        <v>6402</v>
      </c>
      <c r="E1498" s="3" t="s">
        <v>6403</v>
      </c>
      <c r="F1498" s="3" t="s">
        <v>19</v>
      </c>
      <c r="G1498" s="3" t="s">
        <v>112</v>
      </c>
      <c r="H1498" s="3">
        <v>10.0</v>
      </c>
      <c r="I1498" s="3" t="s">
        <v>6400</v>
      </c>
      <c r="J1498" s="3" t="s">
        <v>22</v>
      </c>
      <c r="K1498" s="3" t="s">
        <v>23</v>
      </c>
      <c r="L1498" s="3" t="s">
        <v>24</v>
      </c>
      <c r="M1498" s="3" t="s">
        <v>25</v>
      </c>
      <c r="N1498" s="3" t="s">
        <v>368</v>
      </c>
      <c r="O1498" s="5">
        <v>264.4381274</v>
      </c>
      <c r="P1498" s="6" t="str">
        <f t="shared" si="2"/>
        <v>Chemicals &amp; Petrochemicals</v>
      </c>
    </row>
    <row r="1499" hidden="1">
      <c r="A1499" s="3" t="s">
        <v>6404</v>
      </c>
      <c r="B1499" s="4">
        <v>524602.0</v>
      </c>
      <c r="C1499" s="3" t="s">
        <v>6405</v>
      </c>
      <c r="D1499" s="3" t="s">
        <v>6406</v>
      </c>
      <c r="E1499" s="3" t="s">
        <v>6407</v>
      </c>
      <c r="F1499" s="3" t="s">
        <v>19</v>
      </c>
      <c r="G1499" s="3" t="s">
        <v>44</v>
      </c>
      <c r="H1499" s="3">
        <v>10.0</v>
      </c>
      <c r="I1499" s="3" t="s">
        <v>6404</v>
      </c>
      <c r="J1499" s="3" t="s">
        <v>22</v>
      </c>
      <c r="K1499" s="3" t="s">
        <v>45</v>
      </c>
      <c r="L1499" s="3" t="s">
        <v>45</v>
      </c>
      <c r="M1499" s="3" t="s">
        <v>4488</v>
      </c>
      <c r="N1499" s="3" t="s">
        <v>4489</v>
      </c>
      <c r="O1499" s="5">
        <v>40.4655241</v>
      </c>
      <c r="P1499" s="6" t="str">
        <f t="shared" si="2"/>
        <v>Healthcare Services</v>
      </c>
    </row>
    <row r="1500" hidden="1">
      <c r="A1500" s="3" t="s">
        <v>6408</v>
      </c>
      <c r="B1500" s="4">
        <v>524604.0</v>
      </c>
      <c r="C1500" s="3" t="s">
        <v>6409</v>
      </c>
      <c r="D1500" s="3" t="s">
        <v>6410</v>
      </c>
      <c r="E1500" s="3" t="s">
        <v>6411</v>
      </c>
      <c r="F1500" s="3" t="s">
        <v>19</v>
      </c>
      <c r="G1500" s="3" t="s">
        <v>1858</v>
      </c>
      <c r="H1500" s="3">
        <v>10.0</v>
      </c>
      <c r="I1500" s="3" t="s">
        <v>6408</v>
      </c>
      <c r="J1500" s="3" t="s">
        <v>22</v>
      </c>
      <c r="K1500" s="3" t="s">
        <v>45</v>
      </c>
      <c r="L1500" s="3" t="s">
        <v>45</v>
      </c>
      <c r="M1500" s="3" t="s">
        <v>46</v>
      </c>
      <c r="N1500" s="3" t="s">
        <v>47</v>
      </c>
      <c r="O1500" s="5">
        <v>7.6752</v>
      </c>
      <c r="P1500" s="6" t="str">
        <f t="shared" si="2"/>
        <v>Pharmaceuticals</v>
      </c>
    </row>
    <row r="1501" hidden="1">
      <c r="A1501" s="3" t="s">
        <v>6412</v>
      </c>
      <c r="B1501" s="4">
        <v>524606.0</v>
      </c>
      <c r="C1501" s="3" t="s">
        <v>6413</v>
      </c>
      <c r="D1501" s="3" t="s">
        <v>6414</v>
      </c>
      <c r="E1501" s="3" t="s">
        <v>6415</v>
      </c>
      <c r="F1501" s="3" t="s">
        <v>19</v>
      </c>
      <c r="G1501" s="3" t="s">
        <v>44</v>
      </c>
      <c r="H1501" s="3">
        <v>10.0</v>
      </c>
      <c r="I1501" s="3" t="s">
        <v>6412</v>
      </c>
      <c r="J1501" s="3" t="s">
        <v>22</v>
      </c>
      <c r="K1501" s="3" t="s">
        <v>45</v>
      </c>
      <c r="L1501" s="3" t="s">
        <v>45</v>
      </c>
      <c r="M1501" s="3" t="s">
        <v>46</v>
      </c>
      <c r="N1501" s="3" t="s">
        <v>47</v>
      </c>
      <c r="O1501" s="5">
        <v>16.1588243</v>
      </c>
      <c r="P1501" s="6" t="str">
        <f t="shared" si="2"/>
        <v>Pharmaceuticals</v>
      </c>
    </row>
    <row r="1502" hidden="1">
      <c r="A1502" s="3" t="s">
        <v>6416</v>
      </c>
      <c r="B1502" s="4">
        <v>524614.0</v>
      </c>
      <c r="C1502" s="3" t="s">
        <v>6417</v>
      </c>
      <c r="D1502" s="3" t="s">
        <v>6418</v>
      </c>
      <c r="E1502" s="3" t="s">
        <v>6419</v>
      </c>
      <c r="F1502" s="3" t="s">
        <v>19</v>
      </c>
      <c r="G1502" s="3" t="s">
        <v>44</v>
      </c>
      <c r="H1502" s="3">
        <v>1.0</v>
      </c>
      <c r="I1502" s="3" t="s">
        <v>6416</v>
      </c>
      <c r="J1502" s="3" t="s">
        <v>22</v>
      </c>
      <c r="K1502" s="3" t="s">
        <v>145</v>
      </c>
      <c r="L1502" s="3" t="s">
        <v>145</v>
      </c>
      <c r="M1502" s="3" t="s">
        <v>597</v>
      </c>
      <c r="N1502" s="3" t="s">
        <v>1065</v>
      </c>
      <c r="O1502" s="5">
        <v>21.260715</v>
      </c>
      <c r="P1502" s="6" t="str">
        <f t="shared" si="2"/>
        <v>Food Products</v>
      </c>
    </row>
    <row r="1503" hidden="1">
      <c r="A1503" s="3" t="s">
        <v>6420</v>
      </c>
      <c r="B1503" s="4">
        <v>524622.0</v>
      </c>
      <c r="C1503" s="3" t="s">
        <v>6421</v>
      </c>
      <c r="D1503" s="3" t="s">
        <v>6422</v>
      </c>
      <c r="E1503" s="3" t="s">
        <v>6421</v>
      </c>
      <c r="F1503" s="3" t="s">
        <v>19</v>
      </c>
      <c r="G1503" s="3" t="s">
        <v>72</v>
      </c>
      <c r="H1503" s="3">
        <v>4.0</v>
      </c>
      <c r="I1503" s="3" t="s">
        <v>6420</v>
      </c>
      <c r="J1503" s="3" t="s">
        <v>22</v>
      </c>
      <c r="K1503" s="3" t="s">
        <v>58</v>
      </c>
      <c r="L1503" s="3" t="s">
        <v>73</v>
      </c>
      <c r="M1503" s="3" t="s">
        <v>988</v>
      </c>
      <c r="N1503" s="3" t="s">
        <v>1614</v>
      </c>
      <c r="O1503" s="5">
        <v>8.3858227</v>
      </c>
      <c r="P1503" s="6" t="str">
        <f t="shared" si="2"/>
        <v>Retailing</v>
      </c>
    </row>
    <row r="1504" hidden="1">
      <c r="A1504" s="3" t="s">
        <v>6423</v>
      </c>
      <c r="B1504" s="4">
        <v>524624.0</v>
      </c>
      <c r="C1504" s="3" t="s">
        <v>6424</v>
      </c>
      <c r="D1504" s="3" t="s">
        <v>6425</v>
      </c>
      <c r="E1504" s="3" t="s">
        <v>6426</v>
      </c>
      <c r="F1504" s="3" t="s">
        <v>19</v>
      </c>
      <c r="G1504" s="3" t="s">
        <v>44</v>
      </c>
      <c r="H1504" s="3">
        <v>10.0</v>
      </c>
      <c r="I1504" s="3" t="s">
        <v>6423</v>
      </c>
      <c r="J1504" s="3" t="s">
        <v>22</v>
      </c>
      <c r="K1504" s="3" t="s">
        <v>23</v>
      </c>
      <c r="L1504" s="3" t="s">
        <v>24</v>
      </c>
      <c r="M1504" s="3" t="s">
        <v>25</v>
      </c>
      <c r="N1504" s="3" t="s">
        <v>480</v>
      </c>
      <c r="O1504" s="5">
        <v>1.0</v>
      </c>
      <c r="P1504" s="6" t="str">
        <f t="shared" si="2"/>
        <v>Chemicals &amp; Petrochemicals</v>
      </c>
    </row>
    <row r="1505" hidden="1">
      <c r="A1505" s="3" t="s">
        <v>6427</v>
      </c>
      <c r="B1505" s="4">
        <v>503641.0</v>
      </c>
      <c r="C1505" s="3" t="s">
        <v>6428</v>
      </c>
      <c r="D1505" s="3" t="s">
        <v>6429</v>
      </c>
      <c r="E1505" s="3" t="s">
        <v>6428</v>
      </c>
      <c r="F1505" s="3" t="s">
        <v>19</v>
      </c>
      <c r="G1505" s="3" t="s">
        <v>44</v>
      </c>
      <c r="H1505" s="3">
        <v>1.0</v>
      </c>
      <c r="I1505" s="3" t="s">
        <v>1638</v>
      </c>
      <c r="J1505" s="3" t="s">
        <v>22</v>
      </c>
      <c r="K1505" s="3" t="s">
        <v>1673</v>
      </c>
      <c r="L1505" s="3" t="s">
        <v>1673</v>
      </c>
      <c r="M1505" s="3" t="s">
        <v>1674</v>
      </c>
      <c r="N1505" s="3" t="s">
        <v>3189</v>
      </c>
      <c r="O1505" s="5">
        <v>58.8809098</v>
      </c>
      <c r="P1505" s="6" t="str">
        <f t="shared" si="2"/>
        <v>Commercial Services &amp; Supplies</v>
      </c>
    </row>
    <row r="1506" hidden="1">
      <c r="A1506" s="3" t="s">
        <v>6430</v>
      </c>
      <c r="B1506" s="4">
        <v>524632.0</v>
      </c>
      <c r="C1506" s="3" t="s">
        <v>6431</v>
      </c>
      <c r="D1506" s="3" t="s">
        <v>6432</v>
      </c>
      <c r="E1506" s="3" t="s">
        <v>6433</v>
      </c>
      <c r="F1506" s="3" t="s">
        <v>19</v>
      </c>
      <c r="G1506" s="3" t="s">
        <v>72</v>
      </c>
      <c r="H1506" s="3">
        <v>10.0</v>
      </c>
      <c r="I1506" s="3" t="s">
        <v>6430</v>
      </c>
      <c r="J1506" s="3" t="s">
        <v>22</v>
      </c>
      <c r="K1506" s="3" t="s">
        <v>45</v>
      </c>
      <c r="L1506" s="3" t="s">
        <v>45</v>
      </c>
      <c r="M1506" s="3" t="s">
        <v>46</v>
      </c>
      <c r="N1506" s="3" t="s">
        <v>47</v>
      </c>
      <c r="O1506" s="5">
        <v>468.8127908</v>
      </c>
      <c r="P1506" s="6" t="str">
        <f t="shared" si="2"/>
        <v>Pharmaceuticals</v>
      </c>
    </row>
    <row r="1507" hidden="1">
      <c r="A1507" s="3" t="s">
        <v>6434</v>
      </c>
      <c r="B1507" s="4">
        <v>524634.0</v>
      </c>
      <c r="C1507" s="3" t="s">
        <v>6435</v>
      </c>
      <c r="D1507" s="3" t="s">
        <v>6436</v>
      </c>
      <c r="E1507" s="3" t="s">
        <v>6437</v>
      </c>
      <c r="F1507" s="3" t="s">
        <v>19</v>
      </c>
      <c r="G1507" s="3" t="s">
        <v>44</v>
      </c>
      <c r="H1507" s="3">
        <v>10.0</v>
      </c>
      <c r="I1507" s="3" t="s">
        <v>6434</v>
      </c>
      <c r="J1507" s="3" t="s">
        <v>22</v>
      </c>
      <c r="K1507" s="3" t="s">
        <v>23</v>
      </c>
      <c r="L1507" s="3" t="s">
        <v>24</v>
      </c>
      <c r="M1507" s="3" t="s">
        <v>25</v>
      </c>
      <c r="N1507" s="3" t="s">
        <v>52</v>
      </c>
      <c r="O1507" s="5">
        <v>390.9811958</v>
      </c>
      <c r="P1507" s="6" t="str">
        <f t="shared" si="2"/>
        <v>Chemicals &amp; Petrochemicals</v>
      </c>
    </row>
    <row r="1508" hidden="1">
      <c r="A1508" s="3" t="s">
        <v>6438</v>
      </c>
      <c r="B1508" s="4">
        <v>524636.0</v>
      </c>
      <c r="C1508" s="3" t="s">
        <v>6439</v>
      </c>
      <c r="D1508" s="3" t="s">
        <v>6440</v>
      </c>
      <c r="E1508" s="3" t="s">
        <v>6441</v>
      </c>
      <c r="F1508" s="3" t="s">
        <v>19</v>
      </c>
      <c r="G1508" s="3" t="s">
        <v>72</v>
      </c>
      <c r="H1508" s="3">
        <v>10.0</v>
      </c>
      <c r="I1508" s="3" t="s">
        <v>6438</v>
      </c>
      <c r="J1508" s="3" t="s">
        <v>22</v>
      </c>
      <c r="K1508" s="3" t="s">
        <v>45</v>
      </c>
      <c r="L1508" s="3" t="s">
        <v>45</v>
      </c>
      <c r="M1508" s="3" t="s">
        <v>46</v>
      </c>
      <c r="N1508" s="3" t="s">
        <v>47</v>
      </c>
      <c r="O1508" s="5">
        <v>115.850163</v>
      </c>
      <c r="P1508" s="6" t="str">
        <f t="shared" si="2"/>
        <v>Pharmaceuticals</v>
      </c>
    </row>
    <row r="1509" hidden="1">
      <c r="A1509" s="3" t="s">
        <v>6442</v>
      </c>
      <c r="B1509" s="4">
        <v>524640.0</v>
      </c>
      <c r="C1509" s="3" t="s">
        <v>6443</v>
      </c>
      <c r="D1509" s="3" t="s">
        <v>6444</v>
      </c>
      <c r="E1509" s="3" t="s">
        <v>6445</v>
      </c>
      <c r="F1509" s="3" t="s">
        <v>19</v>
      </c>
      <c r="G1509" s="3" t="s">
        <v>72</v>
      </c>
      <c r="H1509" s="3">
        <v>10.0</v>
      </c>
      <c r="I1509" s="3" t="s">
        <v>6442</v>
      </c>
      <c r="J1509" s="3" t="s">
        <v>22</v>
      </c>
      <c r="K1509" s="3" t="s">
        <v>23</v>
      </c>
      <c r="L1509" s="3" t="s">
        <v>24</v>
      </c>
      <c r="M1509" s="3" t="s">
        <v>25</v>
      </c>
      <c r="N1509" s="3" t="s">
        <v>52</v>
      </c>
      <c r="O1509" s="5">
        <v>100.518336</v>
      </c>
      <c r="P1509" s="6" t="str">
        <f t="shared" si="2"/>
        <v>Chemicals &amp; Petrochemicals</v>
      </c>
    </row>
    <row r="1510" hidden="1">
      <c r="A1510" s="3" t="s">
        <v>6446</v>
      </c>
      <c r="B1510" s="4">
        <v>524642.0</v>
      </c>
      <c r="C1510" s="3" t="s">
        <v>6447</v>
      </c>
      <c r="D1510" s="3" t="s">
        <v>6448</v>
      </c>
      <c r="E1510" s="3" t="s">
        <v>6447</v>
      </c>
      <c r="F1510" s="3" t="s">
        <v>19</v>
      </c>
      <c r="G1510" s="3" t="s">
        <v>72</v>
      </c>
      <c r="H1510" s="3">
        <v>1.0</v>
      </c>
      <c r="I1510" s="3" t="s">
        <v>6446</v>
      </c>
      <c r="J1510" s="3" t="s">
        <v>22</v>
      </c>
      <c r="K1510" s="3" t="s">
        <v>58</v>
      </c>
      <c r="L1510" s="3" t="s">
        <v>59</v>
      </c>
      <c r="M1510" s="3" t="s">
        <v>59</v>
      </c>
      <c r="N1510" s="3" t="s">
        <v>60</v>
      </c>
      <c r="O1510" s="5">
        <v>1.0</v>
      </c>
      <c r="P1510" s="6" t="str">
        <f t="shared" si="2"/>
        <v>Residential, Commercial Projects</v>
      </c>
    </row>
    <row r="1511" hidden="1">
      <c r="A1511" s="3" t="s">
        <v>6449</v>
      </c>
      <c r="B1511" s="4">
        <v>524648.0</v>
      </c>
      <c r="C1511" s="3" t="s">
        <v>6450</v>
      </c>
      <c r="D1511" s="3" t="s">
        <v>6451</v>
      </c>
      <c r="E1511" s="3" t="s">
        <v>6452</v>
      </c>
      <c r="F1511" s="3" t="s">
        <v>19</v>
      </c>
      <c r="G1511" s="3" t="s">
        <v>112</v>
      </c>
      <c r="H1511" s="3">
        <v>5.0</v>
      </c>
      <c r="I1511" s="3" t="s">
        <v>6449</v>
      </c>
      <c r="J1511" s="3" t="s">
        <v>22</v>
      </c>
      <c r="K1511" s="3" t="s">
        <v>23</v>
      </c>
      <c r="L1511" s="3" t="s">
        <v>24</v>
      </c>
      <c r="M1511" s="3" t="s">
        <v>25</v>
      </c>
      <c r="N1511" s="3" t="s">
        <v>26</v>
      </c>
      <c r="O1511" s="5">
        <v>994.3391036</v>
      </c>
      <c r="P1511" s="6" t="str">
        <f t="shared" si="2"/>
        <v>Specialty Chemicals</v>
      </c>
    </row>
    <row r="1512" hidden="1">
      <c r="A1512" s="3" t="s">
        <v>6453</v>
      </c>
      <c r="B1512" s="4">
        <v>524652.0</v>
      </c>
      <c r="C1512" s="3" t="s">
        <v>6454</v>
      </c>
      <c r="D1512" s="3" t="s">
        <v>6455</v>
      </c>
      <c r="E1512" s="3" t="s">
        <v>6456</v>
      </c>
      <c r="F1512" s="3" t="s">
        <v>19</v>
      </c>
      <c r="G1512" s="3" t="s">
        <v>86</v>
      </c>
      <c r="H1512" s="3">
        <v>2.0</v>
      </c>
      <c r="I1512" s="3" t="s">
        <v>6453</v>
      </c>
      <c r="J1512" s="3" t="s">
        <v>22</v>
      </c>
      <c r="K1512" s="3" t="s">
        <v>45</v>
      </c>
      <c r="L1512" s="3" t="s">
        <v>45</v>
      </c>
      <c r="M1512" s="3" t="s">
        <v>46</v>
      </c>
      <c r="N1512" s="3" t="s">
        <v>47</v>
      </c>
      <c r="O1512" s="5">
        <v>115.26</v>
      </c>
      <c r="P1512" s="6" t="str">
        <f t="shared" si="2"/>
        <v>Pharmaceuticals</v>
      </c>
    </row>
    <row r="1513" hidden="1">
      <c r="A1513" s="3" t="s">
        <v>6457</v>
      </c>
      <c r="B1513" s="4">
        <v>524654.0</v>
      </c>
      <c r="C1513" s="3" t="s">
        <v>6458</v>
      </c>
      <c r="D1513" s="3" t="s">
        <v>6459</v>
      </c>
      <c r="E1513" s="3" t="s">
        <v>6460</v>
      </c>
      <c r="F1513" s="3" t="s">
        <v>19</v>
      </c>
      <c r="G1513" s="3" t="s">
        <v>44</v>
      </c>
      <c r="H1513" s="3">
        <v>10.0</v>
      </c>
      <c r="I1513" s="3" t="s">
        <v>6457</v>
      </c>
      <c r="J1513" s="3" t="s">
        <v>22</v>
      </c>
      <c r="K1513" s="3" t="s">
        <v>45</v>
      </c>
      <c r="L1513" s="3" t="s">
        <v>45</v>
      </c>
      <c r="M1513" s="3" t="s">
        <v>46</v>
      </c>
      <c r="N1513" s="3" t="s">
        <v>47</v>
      </c>
      <c r="O1513" s="5">
        <v>305.897984</v>
      </c>
      <c r="P1513" s="6" t="str">
        <f t="shared" si="2"/>
        <v>Pharmaceuticals</v>
      </c>
    </row>
    <row r="1514" hidden="1">
      <c r="A1514" s="3" t="s">
        <v>6461</v>
      </c>
      <c r="B1514" s="4">
        <v>524661.0</v>
      </c>
      <c r="C1514" s="3" t="s">
        <v>6462</v>
      </c>
      <c r="D1514" s="3" t="s">
        <v>6463</v>
      </c>
      <c r="E1514" s="3" t="s">
        <v>6464</v>
      </c>
      <c r="F1514" s="3" t="s">
        <v>19</v>
      </c>
      <c r="G1514" s="3" t="s">
        <v>72</v>
      </c>
      <c r="H1514" s="3">
        <v>10.0</v>
      </c>
      <c r="I1514" s="3" t="s">
        <v>6461</v>
      </c>
      <c r="J1514" s="3" t="s">
        <v>22</v>
      </c>
      <c r="K1514" s="3" t="s">
        <v>45</v>
      </c>
      <c r="L1514" s="3" t="s">
        <v>45</v>
      </c>
      <c r="M1514" s="3" t="s">
        <v>46</v>
      </c>
      <c r="N1514" s="3" t="s">
        <v>47</v>
      </c>
      <c r="O1514" s="5">
        <v>7.472186</v>
      </c>
      <c r="P1514" s="6" t="str">
        <f t="shared" si="2"/>
        <v>Pharmaceuticals</v>
      </c>
    </row>
    <row r="1515" hidden="1">
      <c r="A1515" s="3" t="s">
        <v>6465</v>
      </c>
      <c r="B1515" s="4">
        <v>524663.0</v>
      </c>
      <c r="C1515" s="3" t="s">
        <v>6466</v>
      </c>
      <c r="D1515" s="3" t="s">
        <v>6467</v>
      </c>
      <c r="E1515" s="3" t="s">
        <v>6468</v>
      </c>
      <c r="F1515" s="3" t="s">
        <v>19</v>
      </c>
      <c r="G1515" s="3" t="s">
        <v>112</v>
      </c>
      <c r="H1515" s="3">
        <v>10.0</v>
      </c>
      <c r="I1515" s="3" t="s">
        <v>6465</v>
      </c>
      <c r="J1515" s="3" t="s">
        <v>22</v>
      </c>
      <c r="K1515" s="3" t="s">
        <v>45</v>
      </c>
      <c r="L1515" s="3" t="s">
        <v>45</v>
      </c>
      <c r="M1515" s="3" t="s">
        <v>46</v>
      </c>
      <c r="N1515" s="3" t="s">
        <v>47</v>
      </c>
      <c r="O1515" s="5">
        <v>120.9529711</v>
      </c>
      <c r="P1515" s="6" t="str">
        <f t="shared" si="2"/>
        <v>Pharmaceuticals</v>
      </c>
    </row>
    <row r="1516" hidden="1">
      <c r="A1516" s="3" t="s">
        <v>6469</v>
      </c>
      <c r="B1516" s="4">
        <v>524667.0</v>
      </c>
      <c r="C1516" s="3" t="s">
        <v>6470</v>
      </c>
      <c r="D1516" s="3" t="s">
        <v>6471</v>
      </c>
      <c r="E1516" s="3" t="s">
        <v>6472</v>
      </c>
      <c r="F1516" s="3" t="s">
        <v>19</v>
      </c>
      <c r="G1516" s="3" t="s">
        <v>112</v>
      </c>
      <c r="H1516" s="3">
        <v>2.0</v>
      </c>
      <c r="I1516" s="3" t="s">
        <v>6469</v>
      </c>
      <c r="J1516" s="3" t="s">
        <v>22</v>
      </c>
      <c r="K1516" s="3" t="s">
        <v>410</v>
      </c>
      <c r="L1516" s="3" t="s">
        <v>411</v>
      </c>
      <c r="M1516" s="3" t="s">
        <v>5748</v>
      </c>
      <c r="N1516" s="3" t="s">
        <v>5997</v>
      </c>
      <c r="O1516" s="5">
        <v>3775.8830844</v>
      </c>
      <c r="P1516" s="6" t="str">
        <f t="shared" si="2"/>
        <v>Petroleum Products</v>
      </c>
    </row>
    <row r="1517" hidden="1">
      <c r="A1517" s="3" t="s">
        <v>6473</v>
      </c>
      <c r="B1517" s="4">
        <v>524669.0</v>
      </c>
      <c r="C1517" s="3" t="s">
        <v>6474</v>
      </c>
      <c r="D1517" s="3" t="s">
        <v>6475</v>
      </c>
      <c r="E1517" s="3" t="s">
        <v>6476</v>
      </c>
      <c r="F1517" s="3" t="s">
        <v>19</v>
      </c>
      <c r="G1517" s="3" t="s">
        <v>112</v>
      </c>
      <c r="H1517" s="3">
        <v>10.0</v>
      </c>
      <c r="I1517" s="3" t="s">
        <v>6473</v>
      </c>
      <c r="J1517" s="3" t="s">
        <v>22</v>
      </c>
      <c r="K1517" s="3" t="s">
        <v>45</v>
      </c>
      <c r="L1517" s="3" t="s">
        <v>45</v>
      </c>
      <c r="M1517" s="3" t="s">
        <v>46</v>
      </c>
      <c r="N1517" s="3" t="s">
        <v>47</v>
      </c>
      <c r="O1517" s="5">
        <v>2092.9434342</v>
      </c>
      <c r="P1517" s="6" t="str">
        <f t="shared" si="2"/>
        <v>Pharmaceuticals</v>
      </c>
    </row>
    <row r="1518" hidden="1">
      <c r="A1518" s="3" t="s">
        <v>6477</v>
      </c>
      <c r="B1518" s="4">
        <v>532154.0</v>
      </c>
      <c r="C1518" s="3" t="s">
        <v>6478</v>
      </c>
      <c r="D1518" s="3" t="s">
        <v>6479</v>
      </c>
      <c r="E1518" s="3" t="s">
        <v>6480</v>
      </c>
      <c r="F1518" s="3" t="s">
        <v>19</v>
      </c>
      <c r="G1518" s="3" t="s">
        <v>72</v>
      </c>
      <c r="H1518" s="3">
        <v>1.0</v>
      </c>
      <c r="I1518" s="3" t="s">
        <v>6481</v>
      </c>
      <c r="J1518" s="3" t="s">
        <v>22</v>
      </c>
      <c r="K1518" s="3" t="s">
        <v>1673</v>
      </c>
      <c r="L1518" s="3" t="s">
        <v>1673</v>
      </c>
      <c r="M1518" s="3" t="s">
        <v>1674</v>
      </c>
      <c r="N1518" s="3" t="s">
        <v>1675</v>
      </c>
      <c r="O1518" s="5">
        <v>58.0800012</v>
      </c>
      <c r="P1518" s="6" t="str">
        <f t="shared" si="2"/>
        <v>Commercial Services &amp; Supplies</v>
      </c>
    </row>
    <row r="1519" hidden="1">
      <c r="A1519" s="3" t="s">
        <v>6482</v>
      </c>
      <c r="B1519" s="4">
        <v>524687.0</v>
      </c>
      <c r="C1519" s="3" t="s">
        <v>6483</v>
      </c>
      <c r="D1519" s="3" t="s">
        <v>6484</v>
      </c>
      <c r="E1519" s="3" t="s">
        <v>6485</v>
      </c>
      <c r="F1519" s="3" t="s">
        <v>19</v>
      </c>
      <c r="G1519" s="3" t="s">
        <v>44</v>
      </c>
      <c r="H1519" s="3">
        <v>1.0</v>
      </c>
      <c r="I1519" s="3" t="s">
        <v>6482</v>
      </c>
      <c r="J1519" s="3" t="s">
        <v>22</v>
      </c>
      <c r="K1519" s="3" t="s">
        <v>23</v>
      </c>
      <c r="L1519" s="3" t="s">
        <v>24</v>
      </c>
      <c r="M1519" s="3" t="s">
        <v>91</v>
      </c>
      <c r="N1519" s="3" t="s">
        <v>92</v>
      </c>
      <c r="O1519" s="5">
        <v>204.5465692</v>
      </c>
      <c r="P1519" s="6" t="str">
        <f t="shared" si="2"/>
        <v>Fertilizers &amp; Agrochemicals</v>
      </c>
    </row>
    <row r="1520" hidden="1">
      <c r="A1520" s="3" t="s">
        <v>6486</v>
      </c>
      <c r="B1520" s="4">
        <v>524703.0</v>
      </c>
      <c r="C1520" s="3" t="s">
        <v>6487</v>
      </c>
      <c r="D1520" s="3" t="s">
        <v>6488</v>
      </c>
      <c r="E1520" s="3" t="s">
        <v>6489</v>
      </c>
      <c r="F1520" s="3" t="s">
        <v>19</v>
      </c>
      <c r="G1520" s="3" t="s">
        <v>44</v>
      </c>
      <c r="H1520" s="3">
        <v>10.0</v>
      </c>
      <c r="I1520" s="3" t="s">
        <v>6486</v>
      </c>
      <c r="J1520" s="3" t="s">
        <v>22</v>
      </c>
      <c r="K1520" s="3" t="s">
        <v>45</v>
      </c>
      <c r="L1520" s="3" t="s">
        <v>45</v>
      </c>
      <c r="M1520" s="3" t="s">
        <v>46</v>
      </c>
      <c r="N1520" s="3" t="s">
        <v>47</v>
      </c>
      <c r="O1520" s="5">
        <v>56.2806959</v>
      </c>
      <c r="P1520" s="6" t="str">
        <f t="shared" si="2"/>
        <v>Pharmaceuticals</v>
      </c>
    </row>
    <row r="1521" hidden="1">
      <c r="A1521" s="3" t="s">
        <v>6490</v>
      </c>
      <c r="B1521" s="4">
        <v>524709.0</v>
      </c>
      <c r="C1521" s="3" t="s">
        <v>6491</v>
      </c>
      <c r="D1521" s="3" t="s">
        <v>6492</v>
      </c>
      <c r="E1521" s="3" t="s">
        <v>6493</v>
      </c>
      <c r="F1521" s="3" t="s">
        <v>19</v>
      </c>
      <c r="G1521" s="3" t="s">
        <v>112</v>
      </c>
      <c r="H1521" s="3">
        <v>1.0</v>
      </c>
      <c r="I1521" s="3" t="s">
        <v>6490</v>
      </c>
      <c r="J1521" s="3" t="s">
        <v>22</v>
      </c>
      <c r="K1521" s="3" t="s">
        <v>23</v>
      </c>
      <c r="L1521" s="3" t="s">
        <v>24</v>
      </c>
      <c r="M1521" s="3" t="s">
        <v>91</v>
      </c>
      <c r="N1521" s="3" t="s">
        <v>252</v>
      </c>
      <c r="O1521" s="5">
        <v>1381.8187102</v>
      </c>
      <c r="P1521" s="6" t="str">
        <f t="shared" si="2"/>
        <v>Fertilizers &amp; Agrochemicals</v>
      </c>
    </row>
    <row r="1522" hidden="1">
      <c r="A1522" s="3" t="s">
        <v>6494</v>
      </c>
      <c r="B1522" s="4">
        <v>524711.0</v>
      </c>
      <c r="C1522" s="3" t="s">
        <v>6495</v>
      </c>
      <c r="D1522" s="3" t="s">
        <v>6496</v>
      </c>
      <c r="E1522" s="3" t="s">
        <v>6497</v>
      </c>
      <c r="F1522" s="3" t="s">
        <v>19</v>
      </c>
      <c r="G1522" s="3" t="s">
        <v>57</v>
      </c>
      <c r="H1522" s="3">
        <v>2.0</v>
      </c>
      <c r="I1522" s="3" t="s">
        <v>6494</v>
      </c>
      <c r="J1522" s="3" t="s">
        <v>22</v>
      </c>
      <c r="K1522" s="3" t="s">
        <v>45</v>
      </c>
      <c r="L1522" s="3" t="s">
        <v>45</v>
      </c>
      <c r="M1522" s="3" t="s">
        <v>46</v>
      </c>
      <c r="N1522" s="3" t="s">
        <v>47</v>
      </c>
      <c r="O1522" s="5">
        <v>58.5823535</v>
      </c>
      <c r="P1522" s="6" t="str">
        <f t="shared" si="2"/>
        <v>Pharmaceuticals</v>
      </c>
    </row>
    <row r="1523">
      <c r="A1523" s="3" t="s">
        <v>6498</v>
      </c>
      <c r="B1523" s="4">
        <v>539336.0</v>
      </c>
      <c r="C1523" s="3" t="s">
        <v>6499</v>
      </c>
      <c r="D1523" s="3" t="s">
        <v>6500</v>
      </c>
      <c r="E1523" s="3" t="s">
        <v>6501</v>
      </c>
      <c r="F1523" s="3" t="s">
        <v>19</v>
      </c>
      <c r="G1523" s="3" t="s">
        <v>20</v>
      </c>
      <c r="H1523" s="3">
        <v>2.0</v>
      </c>
      <c r="I1523" s="3" t="s">
        <v>6502</v>
      </c>
      <c r="J1523" s="3" t="s">
        <v>22</v>
      </c>
      <c r="K1523" s="3" t="s">
        <v>410</v>
      </c>
      <c r="L1523" s="3" t="s">
        <v>411</v>
      </c>
      <c r="M1523" s="3" t="s">
        <v>5841</v>
      </c>
      <c r="N1523" s="3" t="s">
        <v>6191</v>
      </c>
      <c r="O1523" s="5">
        <v>42937.5528384</v>
      </c>
      <c r="P1523" s="6" t="str">
        <f t="shared" si="2"/>
        <v>Gas</v>
      </c>
    </row>
    <row r="1524" hidden="1">
      <c r="A1524" s="3" t="s">
        <v>6503</v>
      </c>
      <c r="B1524" s="4">
        <v>524717.0</v>
      </c>
      <c r="C1524" s="3" t="s">
        <v>6504</v>
      </c>
      <c r="D1524" s="3" t="s">
        <v>6505</v>
      </c>
      <c r="E1524" s="3" t="s">
        <v>6506</v>
      </c>
      <c r="F1524" s="3" t="s">
        <v>19</v>
      </c>
      <c r="G1524" s="3" t="s">
        <v>44</v>
      </c>
      <c r="H1524" s="3">
        <v>10.0</v>
      </c>
      <c r="I1524" s="3" t="s">
        <v>6503</v>
      </c>
      <c r="J1524" s="3" t="s">
        <v>22</v>
      </c>
      <c r="K1524" s="3" t="s">
        <v>23</v>
      </c>
      <c r="L1524" s="3" t="s">
        <v>24</v>
      </c>
      <c r="M1524" s="3" t="s">
        <v>25</v>
      </c>
      <c r="N1524" s="3" t="s">
        <v>26</v>
      </c>
      <c r="O1524" s="5">
        <v>510.6914579</v>
      </c>
      <c r="P1524" s="6" t="str">
        <f t="shared" si="2"/>
        <v>Specialty Chemicals</v>
      </c>
    </row>
    <row r="1525" hidden="1">
      <c r="A1525" s="3" t="s">
        <v>6507</v>
      </c>
      <c r="B1525" s="4">
        <v>541702.0</v>
      </c>
      <c r="C1525" s="3" t="s">
        <v>6508</v>
      </c>
      <c r="D1525" s="3" t="s">
        <v>6509</v>
      </c>
      <c r="E1525" s="3" t="s">
        <v>6510</v>
      </c>
      <c r="F1525" s="3" t="s">
        <v>19</v>
      </c>
      <c r="G1525" s="3" t="s">
        <v>72</v>
      </c>
      <c r="H1525" s="3">
        <v>1.0</v>
      </c>
      <c r="I1525" s="3" t="s">
        <v>6511</v>
      </c>
      <c r="J1525" s="3" t="s">
        <v>22</v>
      </c>
      <c r="K1525" s="3" t="s">
        <v>1673</v>
      </c>
      <c r="L1525" s="3" t="s">
        <v>1673</v>
      </c>
      <c r="M1525" s="3" t="s">
        <v>1674</v>
      </c>
      <c r="N1525" s="3" t="s">
        <v>1915</v>
      </c>
      <c r="O1525" s="5">
        <v>58.0019051</v>
      </c>
      <c r="P1525" s="6" t="str">
        <f t="shared" si="2"/>
        <v>Commercial Services &amp; Supplies</v>
      </c>
    </row>
    <row r="1526" hidden="1">
      <c r="A1526" s="3" t="s">
        <v>6512</v>
      </c>
      <c r="B1526" s="4">
        <v>524727.0</v>
      </c>
      <c r="C1526" s="3" t="s">
        <v>6513</v>
      </c>
      <c r="D1526" s="3" t="s">
        <v>6514</v>
      </c>
      <c r="E1526" s="3" t="s">
        <v>6515</v>
      </c>
      <c r="F1526" s="3" t="s">
        <v>19</v>
      </c>
      <c r="G1526" s="3" t="s">
        <v>72</v>
      </c>
      <c r="H1526" s="3">
        <v>10.0</v>
      </c>
      <c r="I1526" s="3" t="s">
        <v>6512</v>
      </c>
      <c r="J1526" s="3" t="s">
        <v>22</v>
      </c>
      <c r="K1526" s="3" t="s">
        <v>45</v>
      </c>
      <c r="L1526" s="3" t="s">
        <v>45</v>
      </c>
      <c r="M1526" s="3" t="s">
        <v>46</v>
      </c>
      <c r="N1526" s="3" t="s">
        <v>47</v>
      </c>
      <c r="O1526" s="5">
        <v>16.3359534</v>
      </c>
      <c r="P1526" s="6" t="str">
        <f t="shared" si="2"/>
        <v>Pharmaceuticals</v>
      </c>
    </row>
    <row r="1527" hidden="1">
      <c r="A1527" s="3" t="s">
        <v>6516</v>
      </c>
      <c r="B1527" s="4">
        <v>524731.0</v>
      </c>
      <c r="C1527" s="3" t="s">
        <v>6517</v>
      </c>
      <c r="D1527" s="3" t="s">
        <v>6518</v>
      </c>
      <c r="E1527" s="3" t="s">
        <v>6519</v>
      </c>
      <c r="F1527" s="3" t="s">
        <v>19</v>
      </c>
      <c r="G1527" s="3" t="s">
        <v>44</v>
      </c>
      <c r="H1527" s="3">
        <v>10.0</v>
      </c>
      <c r="I1527" s="3" t="s">
        <v>6516</v>
      </c>
      <c r="J1527" s="3" t="s">
        <v>22</v>
      </c>
      <c r="K1527" s="3" t="s">
        <v>45</v>
      </c>
      <c r="L1527" s="3" t="s">
        <v>45</v>
      </c>
      <c r="M1527" s="3" t="s">
        <v>46</v>
      </c>
      <c r="N1527" s="3" t="s">
        <v>47</v>
      </c>
      <c r="O1527" s="5">
        <v>387.1744824</v>
      </c>
      <c r="P1527" s="6" t="str">
        <f t="shared" si="2"/>
        <v>Pharmaceuticals</v>
      </c>
    </row>
    <row r="1528" hidden="1">
      <c r="A1528" s="3" t="s">
        <v>6520</v>
      </c>
      <c r="B1528" s="4">
        <v>524735.0</v>
      </c>
      <c r="C1528" s="3" t="s">
        <v>6521</v>
      </c>
      <c r="D1528" s="3" t="s">
        <v>6522</v>
      </c>
      <c r="E1528" s="3" t="s">
        <v>6523</v>
      </c>
      <c r="F1528" s="3" t="s">
        <v>19</v>
      </c>
      <c r="G1528" s="3" t="s">
        <v>20</v>
      </c>
      <c r="H1528" s="3">
        <v>2.0</v>
      </c>
      <c r="I1528" s="3" t="s">
        <v>6520</v>
      </c>
      <c r="J1528" s="3" t="s">
        <v>22</v>
      </c>
      <c r="K1528" s="3" t="s">
        <v>45</v>
      </c>
      <c r="L1528" s="3" t="s">
        <v>45</v>
      </c>
      <c r="M1528" s="3" t="s">
        <v>46</v>
      </c>
      <c r="N1528" s="3" t="s">
        <v>47</v>
      </c>
      <c r="O1528" s="5">
        <v>4081.8767827</v>
      </c>
      <c r="P1528" s="6" t="str">
        <f t="shared" si="2"/>
        <v>Pharmaceuticals</v>
      </c>
    </row>
    <row r="1529">
      <c r="A1529" s="3" t="s">
        <v>6524</v>
      </c>
      <c r="B1529" s="4">
        <v>539957.0</v>
      </c>
      <c r="C1529" s="3" t="s">
        <v>6525</v>
      </c>
      <c r="D1529" s="3" t="s">
        <v>6526</v>
      </c>
      <c r="E1529" s="3" t="s">
        <v>6527</v>
      </c>
      <c r="F1529" s="3" t="s">
        <v>19</v>
      </c>
      <c r="G1529" s="3" t="s">
        <v>20</v>
      </c>
      <c r="H1529" s="3">
        <v>10.0</v>
      </c>
      <c r="I1529" s="3" t="s">
        <v>6528</v>
      </c>
      <c r="J1529" s="3" t="s">
        <v>22</v>
      </c>
      <c r="K1529" s="3" t="s">
        <v>410</v>
      </c>
      <c r="L1529" s="3" t="s">
        <v>411</v>
      </c>
      <c r="M1529" s="3" t="s">
        <v>5841</v>
      </c>
      <c r="N1529" s="3" t="s">
        <v>6191</v>
      </c>
      <c r="O1529" s="5">
        <v>15322.763992</v>
      </c>
      <c r="P1529" s="6" t="str">
        <f t="shared" si="2"/>
        <v>Gas</v>
      </c>
    </row>
    <row r="1530" hidden="1">
      <c r="A1530" s="3" t="s">
        <v>6529</v>
      </c>
      <c r="B1530" s="4">
        <v>524743.0</v>
      </c>
      <c r="C1530" s="3" t="s">
        <v>6530</v>
      </c>
      <c r="D1530" s="3" t="s">
        <v>6531</v>
      </c>
      <c r="E1530" s="3" t="s">
        <v>6532</v>
      </c>
      <c r="F1530" s="3" t="s">
        <v>19</v>
      </c>
      <c r="G1530" s="3" t="s">
        <v>86</v>
      </c>
      <c r="H1530" s="3">
        <v>10.0</v>
      </c>
      <c r="I1530" s="3" t="s">
        <v>6529</v>
      </c>
      <c r="J1530" s="3" t="s">
        <v>22</v>
      </c>
      <c r="K1530" s="3" t="s">
        <v>23</v>
      </c>
      <c r="L1530" s="3" t="s">
        <v>24</v>
      </c>
      <c r="M1530" s="3" t="s">
        <v>25</v>
      </c>
      <c r="N1530" s="3" t="s">
        <v>52</v>
      </c>
      <c r="O1530" s="5">
        <v>3278.41125</v>
      </c>
      <c r="P1530" s="6" t="str">
        <f t="shared" si="2"/>
        <v>Chemicals &amp; Petrochemicals</v>
      </c>
    </row>
    <row r="1531" hidden="1">
      <c r="A1531" s="3" t="s">
        <v>6533</v>
      </c>
      <c r="B1531" s="4">
        <v>524748.0</v>
      </c>
      <c r="C1531" s="3" t="s">
        <v>6534</v>
      </c>
      <c r="D1531" s="3" t="s">
        <v>6535</v>
      </c>
      <c r="E1531" s="3" t="s">
        <v>6536</v>
      </c>
      <c r="F1531" s="3" t="s">
        <v>19</v>
      </c>
      <c r="G1531" s="3" t="s">
        <v>44</v>
      </c>
      <c r="H1531" s="3">
        <v>10.0</v>
      </c>
      <c r="I1531" s="3" t="s">
        <v>6533</v>
      </c>
      <c r="J1531" s="3" t="s">
        <v>22</v>
      </c>
      <c r="K1531" s="3" t="s">
        <v>23</v>
      </c>
      <c r="L1531" s="3" t="s">
        <v>24</v>
      </c>
      <c r="M1531" s="3" t="s">
        <v>25</v>
      </c>
      <c r="N1531" s="3" t="s">
        <v>52</v>
      </c>
      <c r="O1531" s="5">
        <v>19.7962712</v>
      </c>
      <c r="P1531" s="6" t="str">
        <f t="shared" si="2"/>
        <v>Chemicals &amp; Petrochemicals</v>
      </c>
    </row>
    <row r="1532" hidden="1">
      <c r="A1532" s="3" t="s">
        <v>6537</v>
      </c>
      <c r="B1532" s="4">
        <v>524752.0</v>
      </c>
      <c r="C1532" s="3" t="s">
        <v>6538</v>
      </c>
      <c r="D1532" s="3" t="s">
        <v>6539</v>
      </c>
      <c r="E1532" s="3" t="s">
        <v>6540</v>
      </c>
      <c r="F1532" s="3" t="s">
        <v>19</v>
      </c>
      <c r="G1532" s="3" t="s">
        <v>44</v>
      </c>
      <c r="H1532" s="3">
        <v>10.0</v>
      </c>
      <c r="I1532" s="3" t="s">
        <v>6537</v>
      </c>
      <c r="J1532" s="3" t="s">
        <v>22</v>
      </c>
      <c r="K1532" s="3" t="s">
        <v>45</v>
      </c>
      <c r="L1532" s="3" t="s">
        <v>45</v>
      </c>
      <c r="M1532" s="3" t="s">
        <v>46</v>
      </c>
      <c r="N1532" s="3" t="s">
        <v>47</v>
      </c>
      <c r="O1532" s="5">
        <v>18.0083</v>
      </c>
      <c r="P1532" s="6" t="str">
        <f t="shared" si="2"/>
        <v>Pharmaceuticals</v>
      </c>
    </row>
    <row r="1533" hidden="1">
      <c r="A1533" s="3" t="s">
        <v>6541</v>
      </c>
      <c r="B1533" s="4">
        <v>524768.0</v>
      </c>
      <c r="C1533" s="3" t="s">
        <v>6542</v>
      </c>
      <c r="D1533" s="3" t="s">
        <v>6543</v>
      </c>
      <c r="E1533" s="3" t="s">
        <v>6544</v>
      </c>
      <c r="F1533" s="3" t="s">
        <v>19</v>
      </c>
      <c r="G1533" s="3" t="s">
        <v>44</v>
      </c>
      <c r="H1533" s="3">
        <v>10.0</v>
      </c>
      <c r="I1533" s="3" t="s">
        <v>6541</v>
      </c>
      <c r="J1533" s="3" t="s">
        <v>22</v>
      </c>
      <c r="K1533" s="3" t="s">
        <v>23</v>
      </c>
      <c r="L1533" s="3" t="s">
        <v>24</v>
      </c>
      <c r="M1533" s="3" t="s">
        <v>25</v>
      </c>
      <c r="N1533" s="3" t="s">
        <v>52</v>
      </c>
      <c r="O1533" s="5">
        <v>1.0</v>
      </c>
      <c r="P1533" s="6" t="str">
        <f t="shared" si="2"/>
        <v>Chemicals &amp; Petrochemicals</v>
      </c>
    </row>
    <row r="1534" hidden="1">
      <c r="A1534" s="3" t="s">
        <v>6545</v>
      </c>
      <c r="B1534" s="4">
        <v>524774.0</v>
      </c>
      <c r="C1534" s="3" t="s">
        <v>6546</v>
      </c>
      <c r="D1534" s="3" t="s">
        <v>6547</v>
      </c>
      <c r="E1534" s="3" t="s">
        <v>6548</v>
      </c>
      <c r="F1534" s="3" t="s">
        <v>19</v>
      </c>
      <c r="G1534" s="3" t="s">
        <v>112</v>
      </c>
      <c r="H1534" s="3">
        <v>5.0</v>
      </c>
      <c r="I1534" s="3" t="s">
        <v>6545</v>
      </c>
      <c r="J1534" s="3" t="s">
        <v>22</v>
      </c>
      <c r="K1534" s="3" t="s">
        <v>45</v>
      </c>
      <c r="L1534" s="3" t="s">
        <v>45</v>
      </c>
      <c r="M1534" s="3" t="s">
        <v>46</v>
      </c>
      <c r="N1534" s="3" t="s">
        <v>47</v>
      </c>
      <c r="O1534" s="5">
        <v>1454.5849642</v>
      </c>
      <c r="P1534" s="6" t="str">
        <f t="shared" si="2"/>
        <v>Pharmaceuticals</v>
      </c>
    </row>
    <row r="1535" hidden="1">
      <c r="A1535" s="3" t="s">
        <v>6549</v>
      </c>
      <c r="B1535" s="4">
        <v>524790.0</v>
      </c>
      <c r="C1535" s="3" t="s">
        <v>6550</v>
      </c>
      <c r="D1535" s="3" t="s">
        <v>6551</v>
      </c>
      <c r="E1535" s="3" t="s">
        <v>6552</v>
      </c>
      <c r="F1535" s="3" t="s">
        <v>19</v>
      </c>
      <c r="G1535" s="3" t="s">
        <v>44</v>
      </c>
      <c r="H1535" s="3">
        <v>10.0</v>
      </c>
      <c r="I1535" s="3" t="s">
        <v>6549</v>
      </c>
      <c r="J1535" s="3" t="s">
        <v>22</v>
      </c>
      <c r="K1535" s="3" t="s">
        <v>45</v>
      </c>
      <c r="L1535" s="3" t="s">
        <v>45</v>
      </c>
      <c r="M1535" s="3" t="s">
        <v>46</v>
      </c>
      <c r="N1535" s="3" t="s">
        <v>47</v>
      </c>
      <c r="O1535" s="5">
        <v>107.0878936</v>
      </c>
      <c r="P1535" s="6" t="str">
        <f t="shared" si="2"/>
        <v>Pharmaceuticals</v>
      </c>
    </row>
    <row r="1536">
      <c r="A1536" s="3" t="s">
        <v>6553</v>
      </c>
      <c r="B1536" s="4">
        <v>542066.0</v>
      </c>
      <c r="C1536" s="3" t="s">
        <v>6554</v>
      </c>
      <c r="D1536" s="3" t="s">
        <v>6555</v>
      </c>
      <c r="E1536" s="3" t="s">
        <v>6556</v>
      </c>
      <c r="F1536" s="3" t="s">
        <v>19</v>
      </c>
      <c r="G1536" s="3" t="s">
        <v>20</v>
      </c>
      <c r="H1536" s="3">
        <v>1.0</v>
      </c>
      <c r="I1536" s="3" t="s">
        <v>6557</v>
      </c>
      <c r="J1536" s="3" t="s">
        <v>22</v>
      </c>
      <c r="K1536" s="3" t="s">
        <v>410</v>
      </c>
      <c r="L1536" s="3" t="s">
        <v>411</v>
      </c>
      <c r="M1536" s="3" t="s">
        <v>5841</v>
      </c>
      <c r="N1536" s="3" t="s">
        <v>6191</v>
      </c>
      <c r="O1536" s="5">
        <v>100343.5258</v>
      </c>
      <c r="P1536" s="6" t="str">
        <f t="shared" si="2"/>
        <v>Gas</v>
      </c>
    </row>
    <row r="1537" hidden="1">
      <c r="A1537" s="3" t="s">
        <v>6558</v>
      </c>
      <c r="B1537" s="4">
        <v>524808.0</v>
      </c>
      <c r="C1537" s="3" t="s">
        <v>6559</v>
      </c>
      <c r="D1537" s="3" t="s">
        <v>6560</v>
      </c>
      <c r="E1537" s="3" t="s">
        <v>6561</v>
      </c>
      <c r="F1537" s="3" t="s">
        <v>19</v>
      </c>
      <c r="G1537" s="3" t="s">
        <v>44</v>
      </c>
      <c r="H1537" s="3">
        <v>10.0</v>
      </c>
      <c r="I1537" s="3" t="s">
        <v>6558</v>
      </c>
      <c r="J1537" s="3" t="s">
        <v>22</v>
      </c>
      <c r="K1537" s="3" t="s">
        <v>23</v>
      </c>
      <c r="L1537" s="3" t="s">
        <v>24</v>
      </c>
      <c r="M1537" s="3" t="s">
        <v>91</v>
      </c>
      <c r="N1537" s="3" t="s">
        <v>252</v>
      </c>
      <c r="O1537" s="5">
        <v>13.2252475</v>
      </c>
      <c r="P1537" s="6" t="str">
        <f t="shared" si="2"/>
        <v>Fertilizers &amp; Agrochemicals</v>
      </c>
    </row>
    <row r="1538">
      <c r="A1538" s="3" t="s">
        <v>6562</v>
      </c>
      <c r="B1538" s="4">
        <v>500032.0</v>
      </c>
      <c r="C1538" s="3" t="s">
        <v>6563</v>
      </c>
      <c r="D1538" s="3" t="s">
        <v>6564</v>
      </c>
      <c r="E1538" s="3" t="s">
        <v>6563</v>
      </c>
      <c r="F1538" s="3" t="s">
        <v>19</v>
      </c>
      <c r="G1538" s="3" t="s">
        <v>20</v>
      </c>
      <c r="H1538" s="3">
        <v>1.0</v>
      </c>
      <c r="I1538" s="3" t="s">
        <v>108</v>
      </c>
      <c r="J1538" s="3" t="s">
        <v>22</v>
      </c>
      <c r="K1538" s="3" t="s">
        <v>145</v>
      </c>
      <c r="L1538" s="3" t="s">
        <v>145</v>
      </c>
      <c r="M1538" s="3" t="s">
        <v>146</v>
      </c>
      <c r="N1538" s="3" t="s">
        <v>147</v>
      </c>
      <c r="O1538" s="5">
        <v>5251.3504289</v>
      </c>
      <c r="P1538" s="6" t="str">
        <f t="shared" si="2"/>
        <v>Agricultural Food &amp; other Products</v>
      </c>
    </row>
    <row r="1539" hidden="1">
      <c r="A1539" s="3" t="s">
        <v>6565</v>
      </c>
      <c r="B1539" s="4">
        <v>524818.0</v>
      </c>
      <c r="C1539" s="3" t="s">
        <v>6566</v>
      </c>
      <c r="D1539" s="3" t="s">
        <v>6567</v>
      </c>
      <c r="E1539" s="3" t="s">
        <v>6568</v>
      </c>
      <c r="F1539" s="3" t="s">
        <v>19</v>
      </c>
      <c r="G1539" s="3" t="s">
        <v>44</v>
      </c>
      <c r="H1539" s="3">
        <v>10.0</v>
      </c>
      <c r="I1539" s="3" t="s">
        <v>6565</v>
      </c>
      <c r="J1539" s="3" t="s">
        <v>22</v>
      </c>
      <c r="K1539" s="3" t="s">
        <v>23</v>
      </c>
      <c r="L1539" s="3" t="s">
        <v>24</v>
      </c>
      <c r="M1539" s="3" t="s">
        <v>25</v>
      </c>
      <c r="N1539" s="3" t="s">
        <v>26</v>
      </c>
      <c r="O1539" s="5">
        <v>21.8248439</v>
      </c>
      <c r="P1539" s="6" t="str">
        <f t="shared" si="2"/>
        <v>Specialty Chemicals</v>
      </c>
    </row>
    <row r="1540" hidden="1">
      <c r="A1540" s="3" t="s">
        <v>6569</v>
      </c>
      <c r="B1540" s="4">
        <v>524820.0</v>
      </c>
      <c r="C1540" s="3" t="s">
        <v>6570</v>
      </c>
      <c r="D1540" s="3" t="s">
        <v>6571</v>
      </c>
      <c r="E1540" s="3" t="s">
        <v>6572</v>
      </c>
      <c r="F1540" s="3" t="s">
        <v>19</v>
      </c>
      <c r="G1540" s="3" t="s">
        <v>112</v>
      </c>
      <c r="H1540" s="3">
        <v>2.0</v>
      </c>
      <c r="I1540" s="3" t="s">
        <v>6569</v>
      </c>
      <c r="J1540" s="3" t="s">
        <v>22</v>
      </c>
      <c r="K1540" s="3" t="s">
        <v>410</v>
      </c>
      <c r="L1540" s="3" t="s">
        <v>411</v>
      </c>
      <c r="M1540" s="3" t="s">
        <v>5748</v>
      </c>
      <c r="N1540" s="3" t="s">
        <v>5997</v>
      </c>
      <c r="O1540" s="5">
        <v>2442.1533515</v>
      </c>
      <c r="P1540" s="6" t="str">
        <f t="shared" si="2"/>
        <v>Petroleum Products</v>
      </c>
    </row>
    <row r="1541" hidden="1">
      <c r="A1541" s="3" t="s">
        <v>6573</v>
      </c>
      <c r="B1541" s="4">
        <v>524824.0</v>
      </c>
      <c r="C1541" s="3" t="s">
        <v>6574</v>
      </c>
      <c r="D1541" s="3" t="s">
        <v>6575</v>
      </c>
      <c r="E1541" s="3" t="s">
        <v>6576</v>
      </c>
      <c r="F1541" s="3" t="s">
        <v>19</v>
      </c>
      <c r="G1541" s="3" t="s">
        <v>112</v>
      </c>
      <c r="H1541" s="3">
        <v>10.0</v>
      </c>
      <c r="I1541" s="3" t="s">
        <v>6573</v>
      </c>
      <c r="J1541" s="3" t="s">
        <v>22</v>
      </c>
      <c r="K1541" s="3" t="s">
        <v>45</v>
      </c>
      <c r="L1541" s="3" t="s">
        <v>45</v>
      </c>
      <c r="M1541" s="3" t="s">
        <v>46</v>
      </c>
      <c r="N1541" s="3" t="s">
        <v>47</v>
      </c>
      <c r="O1541" s="5">
        <v>189.3496694</v>
      </c>
      <c r="P1541" s="6" t="str">
        <f t="shared" si="2"/>
        <v>Pharmaceuticals</v>
      </c>
    </row>
    <row r="1542" hidden="1">
      <c r="A1542" s="3" t="s">
        <v>6577</v>
      </c>
      <c r="B1542" s="4">
        <v>524828.0</v>
      </c>
      <c r="C1542" s="3" t="s">
        <v>6578</v>
      </c>
      <c r="D1542" s="3" t="s">
        <v>6579</v>
      </c>
      <c r="E1542" s="3" t="s">
        <v>6580</v>
      </c>
      <c r="F1542" s="3" t="s">
        <v>19</v>
      </c>
      <c r="G1542" s="3" t="s">
        <v>44</v>
      </c>
      <c r="H1542" s="3">
        <v>10.0</v>
      </c>
      <c r="I1542" s="3" t="s">
        <v>6577</v>
      </c>
      <c r="J1542" s="3" t="s">
        <v>22</v>
      </c>
      <c r="K1542" s="3" t="s">
        <v>45</v>
      </c>
      <c r="L1542" s="3" t="s">
        <v>45</v>
      </c>
      <c r="M1542" s="3" t="s">
        <v>46</v>
      </c>
      <c r="N1542" s="3" t="s">
        <v>47</v>
      </c>
      <c r="O1542" s="5">
        <v>196.7543988</v>
      </c>
      <c r="P1542" s="6" t="str">
        <f t="shared" si="2"/>
        <v>Pharmaceuticals</v>
      </c>
    </row>
    <row r="1543" hidden="1">
      <c r="A1543" s="3" t="s">
        <v>6581</v>
      </c>
      <c r="B1543" s="4">
        <v>526001.0</v>
      </c>
      <c r="C1543" s="3" t="s">
        <v>6582</v>
      </c>
      <c r="D1543" s="3" t="s">
        <v>6583</v>
      </c>
      <c r="E1543" s="3" t="s">
        <v>6584</v>
      </c>
      <c r="F1543" s="3" t="s">
        <v>19</v>
      </c>
      <c r="G1543" s="3" t="s">
        <v>72</v>
      </c>
      <c r="H1543" s="3">
        <v>10.0</v>
      </c>
      <c r="I1543" s="3" t="s">
        <v>6581</v>
      </c>
      <c r="J1543" s="3" t="s">
        <v>22</v>
      </c>
      <c r="K1543" s="3" t="s">
        <v>97</v>
      </c>
      <c r="L1543" s="3" t="s">
        <v>98</v>
      </c>
      <c r="M1543" s="3" t="s">
        <v>100</v>
      </c>
      <c r="N1543" s="3" t="s">
        <v>373</v>
      </c>
      <c r="O1543" s="5">
        <v>3.6955908</v>
      </c>
      <c r="P1543" s="6" t="str">
        <f t="shared" si="2"/>
        <v>Industrial Products</v>
      </c>
    </row>
    <row r="1544" hidden="1">
      <c r="A1544" s="3" t="s">
        <v>6585</v>
      </c>
      <c r="B1544" s="4">
        <v>526025.0</v>
      </c>
      <c r="C1544" s="3" t="s">
        <v>6586</v>
      </c>
      <c r="D1544" s="3" t="s">
        <v>6587</v>
      </c>
      <c r="E1544" s="3" t="s">
        <v>6586</v>
      </c>
      <c r="F1544" s="3" t="s">
        <v>19</v>
      </c>
      <c r="G1544" s="3" t="s">
        <v>44</v>
      </c>
      <c r="H1544" s="3">
        <v>10.0</v>
      </c>
      <c r="I1544" s="3" t="s">
        <v>6585</v>
      </c>
      <c r="J1544" s="3" t="s">
        <v>22</v>
      </c>
      <c r="K1544" s="3" t="s">
        <v>1647</v>
      </c>
      <c r="L1544" s="3" t="s">
        <v>1648</v>
      </c>
      <c r="M1544" s="3" t="s">
        <v>1648</v>
      </c>
      <c r="N1544" s="3" t="s">
        <v>1649</v>
      </c>
      <c r="O1544" s="5">
        <v>367.7737275</v>
      </c>
      <c r="P1544" s="6" t="str">
        <f t="shared" si="2"/>
        <v>Power</v>
      </c>
    </row>
    <row r="1545" hidden="1">
      <c r="A1545" s="3" t="s">
        <v>6588</v>
      </c>
      <c r="B1545" s="4">
        <v>526027.0</v>
      </c>
      <c r="C1545" s="3" t="s">
        <v>6589</v>
      </c>
      <c r="D1545" s="3" t="s">
        <v>6590</v>
      </c>
      <c r="E1545" s="3" t="s">
        <v>6591</v>
      </c>
      <c r="F1545" s="3" t="s">
        <v>19</v>
      </c>
      <c r="G1545" s="3" t="s">
        <v>86</v>
      </c>
      <c r="H1545" s="3">
        <v>10.0</v>
      </c>
      <c r="I1545" s="3" t="s">
        <v>6588</v>
      </c>
      <c r="J1545" s="3" t="s">
        <v>22</v>
      </c>
      <c r="K1545" s="3" t="s">
        <v>97</v>
      </c>
      <c r="L1545" s="3" t="s">
        <v>98</v>
      </c>
      <c r="M1545" s="3" t="s">
        <v>100</v>
      </c>
      <c r="N1545" s="3" t="s">
        <v>221</v>
      </c>
      <c r="O1545" s="5">
        <v>142.8474948</v>
      </c>
      <c r="P1545" s="6" t="str">
        <f t="shared" si="2"/>
        <v>Industrial Products</v>
      </c>
    </row>
    <row r="1546" hidden="1">
      <c r="A1546" s="3" t="s">
        <v>6592</v>
      </c>
      <c r="B1546" s="4">
        <v>526043.0</v>
      </c>
      <c r="C1546" s="3" t="s">
        <v>6593</v>
      </c>
      <c r="D1546" s="3" t="s">
        <v>6594</v>
      </c>
      <c r="E1546" s="3" t="s">
        <v>6595</v>
      </c>
      <c r="F1546" s="3" t="s">
        <v>19</v>
      </c>
      <c r="G1546" s="3" t="s">
        <v>44</v>
      </c>
      <c r="H1546" s="3">
        <v>10.0</v>
      </c>
      <c r="I1546" s="3" t="s">
        <v>6592</v>
      </c>
      <c r="J1546" s="3" t="s">
        <v>22</v>
      </c>
      <c r="K1546" s="3" t="s">
        <v>97</v>
      </c>
      <c r="L1546" s="3" t="s">
        <v>98</v>
      </c>
      <c r="M1546" s="3" t="s">
        <v>99</v>
      </c>
      <c r="N1546" s="3" t="s">
        <v>100</v>
      </c>
      <c r="O1546" s="5">
        <v>34.4237143</v>
      </c>
      <c r="P1546" s="6" t="str">
        <f t="shared" si="2"/>
        <v>Industrial Products</v>
      </c>
    </row>
    <row r="1547" hidden="1">
      <c r="A1547" s="3" t="s">
        <v>6596</v>
      </c>
      <c r="B1547" s="4">
        <v>526071.0</v>
      </c>
      <c r="C1547" s="3" t="s">
        <v>6597</v>
      </c>
      <c r="D1547" s="3" t="s">
        <v>6598</v>
      </c>
      <c r="E1547" s="3" t="s">
        <v>6599</v>
      </c>
      <c r="F1547" s="3" t="s">
        <v>19</v>
      </c>
      <c r="G1547" s="3" t="s">
        <v>44</v>
      </c>
      <c r="H1547" s="3">
        <v>10.0</v>
      </c>
      <c r="I1547" s="3" t="s">
        <v>6596</v>
      </c>
      <c r="J1547" s="3" t="s">
        <v>22</v>
      </c>
      <c r="K1547" s="3" t="s">
        <v>204</v>
      </c>
      <c r="L1547" s="3" t="s">
        <v>204</v>
      </c>
      <c r="M1547" s="3" t="s">
        <v>378</v>
      </c>
      <c r="N1547" s="3" t="s">
        <v>468</v>
      </c>
      <c r="O1547" s="5">
        <v>1.0</v>
      </c>
      <c r="P1547" s="6" t="str">
        <f t="shared" si="2"/>
        <v>Finance</v>
      </c>
    </row>
    <row r="1548" hidden="1">
      <c r="A1548" s="3" t="s">
        <v>6600</v>
      </c>
      <c r="B1548" s="4">
        <v>526073.0</v>
      </c>
      <c r="C1548" s="3" t="s">
        <v>6601</v>
      </c>
      <c r="D1548" s="3" t="s">
        <v>6602</v>
      </c>
      <c r="E1548" s="3" t="s">
        <v>6603</v>
      </c>
      <c r="F1548" s="3" t="s">
        <v>19</v>
      </c>
      <c r="G1548" s="3" t="s">
        <v>44</v>
      </c>
      <c r="H1548" s="3">
        <v>10.0</v>
      </c>
      <c r="I1548" s="3" t="s">
        <v>6600</v>
      </c>
      <c r="J1548" s="3" t="s">
        <v>22</v>
      </c>
      <c r="K1548" s="3" t="s">
        <v>97</v>
      </c>
      <c r="L1548" s="3" t="s">
        <v>98</v>
      </c>
      <c r="M1548" s="3" t="s">
        <v>100</v>
      </c>
      <c r="N1548" s="3" t="s">
        <v>2079</v>
      </c>
      <c r="O1548" s="5">
        <v>453.9700608</v>
      </c>
      <c r="P1548" s="6" t="str">
        <f t="shared" si="2"/>
        <v>Industrial Products</v>
      </c>
    </row>
    <row r="1549" hidden="1">
      <c r="A1549" s="3" t="s">
        <v>6604</v>
      </c>
      <c r="B1549" s="4">
        <v>526081.0</v>
      </c>
      <c r="C1549" s="3" t="s">
        <v>6605</v>
      </c>
      <c r="D1549" s="3" t="s">
        <v>6606</v>
      </c>
      <c r="E1549" s="3" t="s">
        <v>6607</v>
      </c>
      <c r="F1549" s="3" t="s">
        <v>19</v>
      </c>
      <c r="G1549" s="3" t="s">
        <v>72</v>
      </c>
      <c r="H1549" s="3">
        <v>10.0</v>
      </c>
      <c r="I1549" s="3" t="s">
        <v>6604</v>
      </c>
      <c r="J1549" s="3" t="s">
        <v>22</v>
      </c>
      <c r="K1549" s="3" t="s">
        <v>145</v>
      </c>
      <c r="L1549" s="3" t="s">
        <v>145</v>
      </c>
      <c r="M1549" s="3" t="s">
        <v>597</v>
      </c>
      <c r="N1549" s="3" t="s">
        <v>598</v>
      </c>
      <c r="O1549" s="5">
        <v>1.0</v>
      </c>
      <c r="P1549" s="6" t="str">
        <f t="shared" si="2"/>
        <v>Food Products</v>
      </c>
    </row>
    <row r="1550" hidden="1">
      <c r="A1550" s="3" t="s">
        <v>6608</v>
      </c>
      <c r="B1550" s="4">
        <v>526095.0</v>
      </c>
      <c r="C1550" s="3" t="s">
        <v>6609</v>
      </c>
      <c r="D1550" s="3" t="s">
        <v>6610</v>
      </c>
      <c r="E1550" s="3" t="s">
        <v>6611</v>
      </c>
      <c r="F1550" s="3" t="s">
        <v>19</v>
      </c>
      <c r="G1550" s="3" t="s">
        <v>72</v>
      </c>
      <c r="H1550" s="3">
        <v>10.0</v>
      </c>
      <c r="I1550" s="3" t="s">
        <v>6608</v>
      </c>
      <c r="J1550" s="3" t="s">
        <v>22</v>
      </c>
      <c r="K1550" s="3" t="s">
        <v>23</v>
      </c>
      <c r="L1550" s="3" t="s">
        <v>162</v>
      </c>
      <c r="M1550" s="3" t="s">
        <v>1491</v>
      </c>
      <c r="N1550" s="3" t="s">
        <v>1491</v>
      </c>
      <c r="O1550" s="5">
        <v>41.7587153</v>
      </c>
      <c r="P1550" s="6" t="str">
        <f t="shared" si="2"/>
        <v>Other Construction Materials</v>
      </c>
    </row>
    <row r="1551" hidden="1">
      <c r="A1551" s="3" t="s">
        <v>6612</v>
      </c>
      <c r="B1551" s="4">
        <v>526113.0</v>
      </c>
      <c r="C1551" s="3" t="s">
        <v>6613</v>
      </c>
      <c r="D1551" s="3" t="s">
        <v>6614</v>
      </c>
      <c r="E1551" s="3" t="s">
        <v>6615</v>
      </c>
      <c r="F1551" s="3" t="s">
        <v>19</v>
      </c>
      <c r="G1551" s="3" t="s">
        <v>72</v>
      </c>
      <c r="H1551" s="3">
        <v>10.0</v>
      </c>
      <c r="I1551" s="3" t="s">
        <v>6612</v>
      </c>
      <c r="J1551" s="3" t="s">
        <v>22</v>
      </c>
      <c r="K1551" s="3" t="s">
        <v>145</v>
      </c>
      <c r="L1551" s="3" t="s">
        <v>145</v>
      </c>
      <c r="M1551" s="3" t="s">
        <v>597</v>
      </c>
      <c r="N1551" s="3" t="s">
        <v>1438</v>
      </c>
      <c r="O1551" s="5">
        <v>1.0</v>
      </c>
      <c r="P1551" s="6" t="str">
        <f t="shared" si="2"/>
        <v>Food Products</v>
      </c>
    </row>
    <row r="1552" hidden="1">
      <c r="A1552" s="3" t="s">
        <v>6616</v>
      </c>
      <c r="B1552" s="4">
        <v>526115.0</v>
      </c>
      <c r="C1552" s="3" t="s">
        <v>6617</v>
      </c>
      <c r="D1552" s="3" t="s">
        <v>6618</v>
      </c>
      <c r="E1552" s="3" t="s">
        <v>6619</v>
      </c>
      <c r="F1552" s="3" t="s">
        <v>19</v>
      </c>
      <c r="G1552" s="3" t="s">
        <v>72</v>
      </c>
      <c r="H1552" s="3">
        <v>10.0</v>
      </c>
      <c r="I1552" s="3" t="s">
        <v>6616</v>
      </c>
      <c r="J1552" s="3" t="s">
        <v>22</v>
      </c>
      <c r="K1552" s="3" t="s">
        <v>58</v>
      </c>
      <c r="L1552" s="3" t="s">
        <v>211</v>
      </c>
      <c r="M1552" s="3" t="s">
        <v>211</v>
      </c>
      <c r="N1552" s="3" t="s">
        <v>947</v>
      </c>
      <c r="O1552" s="5">
        <v>3.3434099</v>
      </c>
      <c r="P1552" s="6" t="str">
        <f t="shared" si="2"/>
        <v>Consumer Durables</v>
      </c>
    </row>
    <row r="1553" hidden="1">
      <c r="A1553" s="3" t="s">
        <v>6620</v>
      </c>
      <c r="B1553" s="4">
        <v>526117.0</v>
      </c>
      <c r="C1553" s="3" t="s">
        <v>6621</v>
      </c>
      <c r="D1553" s="3" t="s">
        <v>6622</v>
      </c>
      <c r="E1553" s="3" t="s">
        <v>6623</v>
      </c>
      <c r="F1553" s="3" t="s">
        <v>19</v>
      </c>
      <c r="G1553" s="3" t="s">
        <v>44</v>
      </c>
      <c r="H1553" s="3">
        <v>10.0</v>
      </c>
      <c r="I1553" s="3" t="s">
        <v>6620</v>
      </c>
      <c r="J1553" s="3" t="s">
        <v>22</v>
      </c>
      <c r="K1553" s="3" t="s">
        <v>58</v>
      </c>
      <c r="L1553" s="3" t="s">
        <v>59</v>
      </c>
      <c r="M1553" s="3" t="s">
        <v>59</v>
      </c>
      <c r="N1553" s="3" t="s">
        <v>60</v>
      </c>
      <c r="O1553" s="5">
        <v>157.299642</v>
      </c>
      <c r="P1553" s="6" t="str">
        <f t="shared" si="2"/>
        <v>Residential, Commercial Projects</v>
      </c>
    </row>
    <row r="1554" hidden="1">
      <c r="A1554" s="3" t="s">
        <v>3986</v>
      </c>
      <c r="B1554" s="4">
        <v>512115.0</v>
      </c>
      <c r="C1554" s="3" t="s">
        <v>6624</v>
      </c>
      <c r="D1554" s="3" t="s">
        <v>6625</v>
      </c>
      <c r="E1554" s="3" t="s">
        <v>6626</v>
      </c>
      <c r="F1554" s="3" t="s">
        <v>19</v>
      </c>
      <c r="G1554" s="3" t="s">
        <v>72</v>
      </c>
      <c r="H1554" s="3">
        <v>10.0</v>
      </c>
      <c r="I1554" s="3" t="s">
        <v>3675</v>
      </c>
      <c r="J1554" s="3" t="s">
        <v>22</v>
      </c>
      <c r="K1554" s="3" t="s">
        <v>1673</v>
      </c>
      <c r="L1554" s="3" t="s">
        <v>1673</v>
      </c>
      <c r="M1554" s="3" t="s">
        <v>1674</v>
      </c>
      <c r="N1554" s="3" t="s">
        <v>1915</v>
      </c>
      <c r="O1554" s="5">
        <v>56.9886998</v>
      </c>
      <c r="P1554" s="6" t="str">
        <f t="shared" si="2"/>
        <v>Commercial Services &amp; Supplies</v>
      </c>
    </row>
    <row r="1555" hidden="1">
      <c r="A1555" s="3" t="s">
        <v>6627</v>
      </c>
      <c r="B1555" s="4">
        <v>526133.0</v>
      </c>
      <c r="C1555" s="3" t="s">
        <v>6628</v>
      </c>
      <c r="D1555" s="3" t="s">
        <v>6629</v>
      </c>
      <c r="E1555" s="3" t="s">
        <v>6630</v>
      </c>
      <c r="F1555" s="3" t="s">
        <v>19</v>
      </c>
      <c r="G1555" s="3" t="s">
        <v>72</v>
      </c>
      <c r="H1555" s="3">
        <v>10.0</v>
      </c>
      <c r="I1555" s="3" t="s">
        <v>6627</v>
      </c>
      <c r="J1555" s="3" t="s">
        <v>22</v>
      </c>
      <c r="K1555" s="3" t="s">
        <v>58</v>
      </c>
      <c r="L1555" s="3" t="s">
        <v>80</v>
      </c>
      <c r="M1555" s="3" t="s">
        <v>81</v>
      </c>
      <c r="N1555" s="3" t="s">
        <v>82</v>
      </c>
      <c r="O1555" s="5">
        <v>12.3118423</v>
      </c>
      <c r="P1555" s="6" t="str">
        <f t="shared" si="2"/>
        <v>Textiles &amp; Apparels</v>
      </c>
    </row>
    <row r="1556" hidden="1">
      <c r="A1556" s="3" t="s">
        <v>6631</v>
      </c>
      <c r="B1556" s="4">
        <v>526137.0</v>
      </c>
      <c r="C1556" s="3" t="s">
        <v>6632</v>
      </c>
      <c r="D1556" s="3" t="s">
        <v>6633</v>
      </c>
      <c r="E1556" s="3" t="s">
        <v>6634</v>
      </c>
      <c r="F1556" s="3" t="s">
        <v>19</v>
      </c>
      <c r="G1556" s="3" t="s">
        <v>44</v>
      </c>
      <c r="H1556" s="3">
        <v>10.0</v>
      </c>
      <c r="I1556" s="3" t="s">
        <v>6631</v>
      </c>
      <c r="J1556" s="3" t="s">
        <v>22</v>
      </c>
      <c r="K1556" s="3" t="s">
        <v>97</v>
      </c>
      <c r="L1556" s="3" t="s">
        <v>98</v>
      </c>
      <c r="M1556" s="3" t="s">
        <v>100</v>
      </c>
      <c r="N1556" s="3" t="s">
        <v>373</v>
      </c>
      <c r="O1556" s="5">
        <v>1.0</v>
      </c>
      <c r="P1556" s="6" t="str">
        <f t="shared" si="2"/>
        <v>Industrial Products</v>
      </c>
    </row>
    <row r="1557" hidden="1">
      <c r="A1557" s="3" t="s">
        <v>6635</v>
      </c>
      <c r="B1557" s="4">
        <v>526139.0</v>
      </c>
      <c r="C1557" s="3" t="s">
        <v>6636</v>
      </c>
      <c r="D1557" s="3" t="s">
        <v>6637</v>
      </c>
      <c r="E1557" s="3" t="s">
        <v>6638</v>
      </c>
      <c r="F1557" s="3" t="s">
        <v>19</v>
      </c>
      <c r="G1557" s="3" t="s">
        <v>72</v>
      </c>
      <c r="H1557" s="3">
        <v>10.0</v>
      </c>
      <c r="I1557" s="3" t="s">
        <v>6635</v>
      </c>
      <c r="J1557" s="3" t="s">
        <v>22</v>
      </c>
      <c r="K1557" s="3" t="s">
        <v>45</v>
      </c>
      <c r="L1557" s="3" t="s">
        <v>45</v>
      </c>
      <c r="M1557" s="3" t="s">
        <v>4488</v>
      </c>
      <c r="N1557" s="3" t="s">
        <v>4489</v>
      </c>
      <c r="O1557" s="5">
        <v>65.0461725</v>
      </c>
      <c r="P1557" s="6" t="str">
        <f t="shared" si="2"/>
        <v>Healthcare Services</v>
      </c>
    </row>
    <row r="1558" hidden="1">
      <c r="A1558" s="3" t="s">
        <v>6639</v>
      </c>
      <c r="B1558" s="4">
        <v>526143.0</v>
      </c>
      <c r="C1558" s="3" t="s">
        <v>6640</v>
      </c>
      <c r="D1558" s="3" t="s">
        <v>6641</v>
      </c>
      <c r="E1558" s="3" t="s">
        <v>6640</v>
      </c>
      <c r="F1558" s="3" t="s">
        <v>19</v>
      </c>
      <c r="G1558" s="3" t="s">
        <v>44</v>
      </c>
      <c r="H1558" s="3">
        <v>10.0</v>
      </c>
      <c r="I1558" s="3" t="s">
        <v>6639</v>
      </c>
      <c r="J1558" s="3" t="s">
        <v>22</v>
      </c>
      <c r="K1558" s="3" t="s">
        <v>97</v>
      </c>
      <c r="L1558" s="3" t="s">
        <v>98</v>
      </c>
      <c r="M1558" s="3" t="s">
        <v>100</v>
      </c>
      <c r="N1558" s="3" t="s">
        <v>373</v>
      </c>
      <c r="O1558" s="5">
        <v>20.5750982</v>
      </c>
      <c r="P1558" s="6" t="str">
        <f t="shared" si="2"/>
        <v>Industrial Products</v>
      </c>
    </row>
    <row r="1559" hidden="1">
      <c r="A1559" s="3" t="s">
        <v>6642</v>
      </c>
      <c r="B1559" s="4">
        <v>526159.0</v>
      </c>
      <c r="C1559" s="3" t="s">
        <v>6643</v>
      </c>
      <c r="D1559" s="3" t="s">
        <v>6644</v>
      </c>
      <c r="E1559" s="3" t="s">
        <v>6645</v>
      </c>
      <c r="F1559" s="3" t="s">
        <v>19</v>
      </c>
      <c r="G1559" s="3" t="s">
        <v>44</v>
      </c>
      <c r="H1559" s="3">
        <v>1.0</v>
      </c>
      <c r="I1559" s="3" t="s">
        <v>6642</v>
      </c>
      <c r="J1559" s="3" t="s">
        <v>22</v>
      </c>
      <c r="K1559" s="3" t="s">
        <v>23</v>
      </c>
      <c r="L1559" s="3" t="s">
        <v>24</v>
      </c>
      <c r="M1559" s="3" t="s">
        <v>25</v>
      </c>
      <c r="N1559" s="3" t="s">
        <v>26</v>
      </c>
      <c r="O1559" s="5">
        <v>576.3207858</v>
      </c>
      <c r="P1559" s="6" t="str">
        <f t="shared" si="2"/>
        <v>Specialty Chemicals</v>
      </c>
    </row>
    <row r="1560" hidden="1">
      <c r="A1560" s="3" t="s">
        <v>6646</v>
      </c>
      <c r="B1560" s="4">
        <v>526161.0</v>
      </c>
      <c r="C1560" s="3" t="s">
        <v>6647</v>
      </c>
      <c r="D1560" s="3" t="s">
        <v>6648</v>
      </c>
      <c r="E1560" s="3" t="s">
        <v>6649</v>
      </c>
      <c r="F1560" s="3" t="s">
        <v>19</v>
      </c>
      <c r="G1560" s="3" t="s">
        <v>44</v>
      </c>
      <c r="H1560" s="3">
        <v>10.0</v>
      </c>
      <c r="I1560" s="3" t="s">
        <v>6646</v>
      </c>
      <c r="J1560" s="3" t="s">
        <v>22</v>
      </c>
      <c r="K1560" s="3" t="s">
        <v>58</v>
      </c>
      <c r="L1560" s="3" t="s">
        <v>80</v>
      </c>
      <c r="M1560" s="3" t="s">
        <v>81</v>
      </c>
      <c r="N1560" s="3" t="s">
        <v>944</v>
      </c>
      <c r="O1560" s="5">
        <v>32.3530431</v>
      </c>
      <c r="P1560" s="6" t="str">
        <f t="shared" si="2"/>
        <v>Textiles &amp; Apparels</v>
      </c>
    </row>
    <row r="1561" hidden="1">
      <c r="A1561" s="3" t="s">
        <v>6650</v>
      </c>
      <c r="B1561" s="4">
        <v>526169.0</v>
      </c>
      <c r="C1561" s="3" t="s">
        <v>6651</v>
      </c>
      <c r="D1561" s="3" t="s">
        <v>6652</v>
      </c>
      <c r="E1561" s="3" t="s">
        <v>6653</v>
      </c>
      <c r="F1561" s="3" t="s">
        <v>19</v>
      </c>
      <c r="G1561" s="3" t="s">
        <v>44</v>
      </c>
      <c r="H1561" s="3">
        <v>10.0</v>
      </c>
      <c r="I1561" s="3" t="s">
        <v>6650</v>
      </c>
      <c r="J1561" s="3" t="s">
        <v>22</v>
      </c>
      <c r="K1561" s="3" t="s">
        <v>23</v>
      </c>
      <c r="L1561" s="3" t="s">
        <v>24</v>
      </c>
      <c r="M1561" s="3" t="s">
        <v>25</v>
      </c>
      <c r="N1561" s="3" t="s">
        <v>26</v>
      </c>
      <c r="O1561" s="5">
        <v>332.7745246</v>
      </c>
      <c r="P1561" s="6" t="str">
        <f t="shared" si="2"/>
        <v>Specialty Chemicals</v>
      </c>
    </row>
    <row r="1562" hidden="1">
      <c r="A1562" s="3" t="s">
        <v>6654</v>
      </c>
      <c r="B1562" s="4">
        <v>526173.0</v>
      </c>
      <c r="C1562" s="3" t="s">
        <v>6655</v>
      </c>
      <c r="D1562" s="3" t="s">
        <v>6656</v>
      </c>
      <c r="E1562" s="3" t="s">
        <v>6657</v>
      </c>
      <c r="F1562" s="3" t="s">
        <v>19</v>
      </c>
      <c r="G1562" s="3" t="s">
        <v>112</v>
      </c>
      <c r="H1562" s="3">
        <v>2.0</v>
      </c>
      <c r="I1562" s="3" t="s">
        <v>6654</v>
      </c>
      <c r="J1562" s="3" t="s">
        <v>22</v>
      </c>
      <c r="K1562" s="3" t="s">
        <v>145</v>
      </c>
      <c r="L1562" s="3" t="s">
        <v>145</v>
      </c>
      <c r="M1562" s="3" t="s">
        <v>146</v>
      </c>
      <c r="N1562" s="3" t="s">
        <v>444</v>
      </c>
      <c r="O1562" s="5">
        <v>2157.6816944</v>
      </c>
      <c r="P1562" s="6" t="str">
        <f t="shared" si="2"/>
        <v>Agricultural Food &amp; other Products</v>
      </c>
    </row>
    <row r="1563" hidden="1">
      <c r="A1563" s="3" t="s">
        <v>6658</v>
      </c>
      <c r="B1563" s="4">
        <v>526179.0</v>
      </c>
      <c r="C1563" s="3" t="s">
        <v>6659</v>
      </c>
      <c r="D1563" s="3" t="s">
        <v>6660</v>
      </c>
      <c r="E1563" s="3" t="s">
        <v>6661</v>
      </c>
      <c r="F1563" s="3" t="s">
        <v>19</v>
      </c>
      <c r="G1563" s="3" t="s">
        <v>44</v>
      </c>
      <c r="H1563" s="3">
        <v>10.0</v>
      </c>
      <c r="I1563" s="3" t="s">
        <v>6658</v>
      </c>
      <c r="J1563" s="3" t="s">
        <v>22</v>
      </c>
      <c r="K1563" s="3" t="s">
        <v>23</v>
      </c>
      <c r="L1563" s="3" t="s">
        <v>32</v>
      </c>
      <c r="M1563" s="3" t="s">
        <v>33</v>
      </c>
      <c r="N1563" s="3" t="s">
        <v>6662</v>
      </c>
      <c r="O1563" s="5">
        <v>90.5905135</v>
      </c>
      <c r="P1563" s="6" t="str">
        <f t="shared" si="2"/>
        <v>Paper, Forest &amp; Jute Products</v>
      </c>
    </row>
    <row r="1564" hidden="1">
      <c r="A1564" s="3" t="s">
        <v>6663</v>
      </c>
      <c r="B1564" s="4">
        <v>526187.0</v>
      </c>
      <c r="C1564" s="3" t="s">
        <v>6664</v>
      </c>
      <c r="D1564" s="3" t="s">
        <v>6665</v>
      </c>
      <c r="E1564" s="3" t="s">
        <v>6666</v>
      </c>
      <c r="F1564" s="3" t="s">
        <v>19</v>
      </c>
      <c r="G1564" s="3" t="s">
        <v>44</v>
      </c>
      <c r="H1564" s="3">
        <v>10.0</v>
      </c>
      <c r="I1564" s="3" t="s">
        <v>6663</v>
      </c>
      <c r="J1564" s="3" t="s">
        <v>22</v>
      </c>
      <c r="K1564" s="3" t="s">
        <v>45</v>
      </c>
      <c r="L1564" s="3" t="s">
        <v>45</v>
      </c>
      <c r="M1564" s="3" t="s">
        <v>4488</v>
      </c>
      <c r="N1564" s="3" t="s">
        <v>4489</v>
      </c>
      <c r="O1564" s="5">
        <v>1.0</v>
      </c>
      <c r="P1564" s="6" t="str">
        <f t="shared" si="2"/>
        <v>Healthcare Services</v>
      </c>
    </row>
    <row r="1565" hidden="1">
      <c r="A1565" s="3" t="s">
        <v>6667</v>
      </c>
      <c r="B1565" s="4">
        <v>526193.0</v>
      </c>
      <c r="C1565" s="3" t="s">
        <v>6668</v>
      </c>
      <c r="D1565" s="3" t="s">
        <v>6669</v>
      </c>
      <c r="E1565" s="3" t="s">
        <v>6670</v>
      </c>
      <c r="F1565" s="3" t="s">
        <v>19</v>
      </c>
      <c r="G1565" s="3" t="s">
        <v>72</v>
      </c>
      <c r="H1565" s="3">
        <v>10.0</v>
      </c>
      <c r="I1565" s="3" t="s">
        <v>6667</v>
      </c>
      <c r="J1565" s="3" t="s">
        <v>22</v>
      </c>
      <c r="K1565" s="3" t="s">
        <v>58</v>
      </c>
      <c r="L1565" s="3" t="s">
        <v>211</v>
      </c>
      <c r="M1565" s="3" t="s">
        <v>211</v>
      </c>
      <c r="N1565" s="3" t="s">
        <v>4317</v>
      </c>
      <c r="O1565" s="5">
        <v>152.52384</v>
      </c>
      <c r="P1565" s="6" t="str">
        <f t="shared" si="2"/>
        <v>Consumer Durables</v>
      </c>
    </row>
    <row r="1566" hidden="1">
      <c r="A1566" s="3" t="s">
        <v>6671</v>
      </c>
      <c r="B1566" s="4">
        <v>526211.0</v>
      </c>
      <c r="C1566" s="3" t="s">
        <v>6672</v>
      </c>
      <c r="D1566" s="3" t="s">
        <v>6673</v>
      </c>
      <c r="E1566" s="3" t="s">
        <v>6674</v>
      </c>
      <c r="F1566" s="3" t="s">
        <v>19</v>
      </c>
      <c r="G1566" s="3" t="s">
        <v>44</v>
      </c>
      <c r="H1566" s="3">
        <v>10.0</v>
      </c>
      <c r="I1566" s="3" t="s">
        <v>6671</v>
      </c>
      <c r="J1566" s="3" t="s">
        <v>22</v>
      </c>
      <c r="K1566" s="3" t="s">
        <v>145</v>
      </c>
      <c r="L1566" s="3" t="s">
        <v>145</v>
      </c>
      <c r="M1566" s="3" t="s">
        <v>146</v>
      </c>
      <c r="N1566" s="3" t="s">
        <v>575</v>
      </c>
      <c r="O1566" s="5">
        <v>92.4133357</v>
      </c>
      <c r="P1566" s="6" t="str">
        <f t="shared" si="2"/>
        <v>Agricultural Food &amp; other Products</v>
      </c>
    </row>
    <row r="1567" hidden="1">
      <c r="A1567" s="3" t="s">
        <v>6675</v>
      </c>
      <c r="B1567" s="4">
        <v>526217.0</v>
      </c>
      <c r="C1567" s="3" t="s">
        <v>6676</v>
      </c>
      <c r="D1567" s="3" t="s">
        <v>6677</v>
      </c>
      <c r="E1567" s="3" t="s">
        <v>6678</v>
      </c>
      <c r="F1567" s="3" t="s">
        <v>19</v>
      </c>
      <c r="G1567" s="3" t="s">
        <v>112</v>
      </c>
      <c r="H1567" s="3">
        <v>10.0</v>
      </c>
      <c r="I1567" s="3" t="s">
        <v>6675</v>
      </c>
      <c r="J1567" s="3" t="s">
        <v>22</v>
      </c>
      <c r="K1567" s="3" t="s">
        <v>97</v>
      </c>
      <c r="L1567" s="3" t="s">
        <v>98</v>
      </c>
      <c r="M1567" s="3" t="s">
        <v>100</v>
      </c>
      <c r="N1567" s="3" t="s">
        <v>373</v>
      </c>
      <c r="O1567" s="5">
        <v>381.9835151</v>
      </c>
      <c r="P1567" s="6" t="str">
        <f t="shared" si="2"/>
        <v>Industrial Products</v>
      </c>
    </row>
    <row r="1568" hidden="1">
      <c r="A1568" s="3" t="s">
        <v>6679</v>
      </c>
      <c r="B1568" s="4">
        <v>526225.0</v>
      </c>
      <c r="C1568" s="3" t="s">
        <v>6680</v>
      </c>
      <c r="D1568" s="3" t="s">
        <v>6681</v>
      </c>
      <c r="E1568" s="3" t="s">
        <v>6682</v>
      </c>
      <c r="F1568" s="3" t="s">
        <v>19</v>
      </c>
      <c r="G1568" s="3" t="s">
        <v>72</v>
      </c>
      <c r="H1568" s="3">
        <v>10.0</v>
      </c>
      <c r="I1568" s="3" t="s">
        <v>6679</v>
      </c>
      <c r="J1568" s="3" t="s">
        <v>22</v>
      </c>
      <c r="K1568" s="3" t="s">
        <v>97</v>
      </c>
      <c r="L1568" s="3" t="s">
        <v>98</v>
      </c>
      <c r="M1568" s="3" t="s">
        <v>100</v>
      </c>
      <c r="N1568" s="3" t="s">
        <v>580</v>
      </c>
      <c r="O1568" s="5">
        <v>8.0917642</v>
      </c>
      <c r="P1568" s="6" t="str">
        <f t="shared" si="2"/>
        <v>Industrial Products</v>
      </c>
    </row>
    <row r="1569" hidden="1">
      <c r="A1569" s="3" t="s">
        <v>6683</v>
      </c>
      <c r="B1569" s="4">
        <v>526227.0</v>
      </c>
      <c r="C1569" s="3" t="s">
        <v>6684</v>
      </c>
      <c r="D1569" s="3" t="s">
        <v>6685</v>
      </c>
      <c r="E1569" s="3" t="s">
        <v>6686</v>
      </c>
      <c r="F1569" s="3" t="s">
        <v>19</v>
      </c>
      <c r="G1569" s="3" t="s">
        <v>112</v>
      </c>
      <c r="H1569" s="3">
        <v>1.0</v>
      </c>
      <c r="I1569" s="3" t="s">
        <v>6683</v>
      </c>
      <c r="J1569" s="3" t="s">
        <v>22</v>
      </c>
      <c r="K1569" s="3" t="s">
        <v>58</v>
      </c>
      <c r="L1569" s="3" t="s">
        <v>80</v>
      </c>
      <c r="M1569" s="3" t="s">
        <v>81</v>
      </c>
      <c r="N1569" s="3" t="s">
        <v>82</v>
      </c>
      <c r="O1569" s="5">
        <v>2516.6599487</v>
      </c>
      <c r="P1569" s="6" t="str">
        <f t="shared" si="2"/>
        <v>Textiles &amp; Apparels</v>
      </c>
    </row>
    <row r="1570" hidden="1">
      <c r="A1570" s="3" t="s">
        <v>6687</v>
      </c>
      <c r="B1570" s="4">
        <v>526231.0</v>
      </c>
      <c r="C1570" s="3" t="s">
        <v>6688</v>
      </c>
      <c r="D1570" s="3" t="s">
        <v>6689</v>
      </c>
      <c r="E1570" s="3" t="s">
        <v>6690</v>
      </c>
      <c r="F1570" s="3" t="s">
        <v>19</v>
      </c>
      <c r="G1570" s="3" t="s">
        <v>44</v>
      </c>
      <c r="H1570" s="3">
        <v>10.0</v>
      </c>
      <c r="I1570" s="3" t="s">
        <v>6687</v>
      </c>
      <c r="J1570" s="3" t="s">
        <v>22</v>
      </c>
      <c r="K1570" s="3" t="s">
        <v>23</v>
      </c>
      <c r="L1570" s="3" t="s">
        <v>24</v>
      </c>
      <c r="M1570" s="3" t="s">
        <v>25</v>
      </c>
      <c r="N1570" s="3" t="s">
        <v>52</v>
      </c>
      <c r="O1570" s="5">
        <v>51.7670116</v>
      </c>
      <c r="P1570" s="6" t="str">
        <f t="shared" si="2"/>
        <v>Chemicals &amp; Petrochemicals</v>
      </c>
    </row>
    <row r="1571" hidden="1">
      <c r="A1571" s="3" t="s">
        <v>6691</v>
      </c>
      <c r="B1571" s="4">
        <v>526237.0</v>
      </c>
      <c r="C1571" s="3" t="s">
        <v>6692</v>
      </c>
      <c r="D1571" s="3" t="s">
        <v>6693</v>
      </c>
      <c r="E1571" s="3" t="s">
        <v>6694</v>
      </c>
      <c r="F1571" s="3" t="s">
        <v>19</v>
      </c>
      <c r="G1571" s="3" t="s">
        <v>72</v>
      </c>
      <c r="H1571" s="3">
        <v>10.0</v>
      </c>
      <c r="I1571" s="3" t="s">
        <v>6691</v>
      </c>
      <c r="J1571" s="3" t="s">
        <v>22</v>
      </c>
      <c r="K1571" s="3" t="s">
        <v>204</v>
      </c>
      <c r="L1571" s="3" t="s">
        <v>204</v>
      </c>
      <c r="M1571" s="3" t="s">
        <v>378</v>
      </c>
      <c r="N1571" s="3" t="s">
        <v>379</v>
      </c>
      <c r="O1571" s="5">
        <v>49.4957237</v>
      </c>
      <c r="P1571" s="6" t="str">
        <f t="shared" si="2"/>
        <v>Non Banking Financial Company (NBFC)</v>
      </c>
    </row>
    <row r="1572" hidden="1">
      <c r="A1572" s="3" t="s">
        <v>5267</v>
      </c>
      <c r="B1572" s="4">
        <v>501314.0</v>
      </c>
      <c r="C1572" s="3" t="s">
        <v>6695</v>
      </c>
      <c r="D1572" s="3" t="s">
        <v>6696</v>
      </c>
      <c r="E1572" s="3" t="s">
        <v>6697</v>
      </c>
      <c r="F1572" s="3" t="s">
        <v>19</v>
      </c>
      <c r="G1572" s="3" t="s">
        <v>44</v>
      </c>
      <c r="H1572" s="3">
        <v>1.0</v>
      </c>
      <c r="I1572" s="3" t="s">
        <v>1358</v>
      </c>
      <c r="J1572" s="3" t="s">
        <v>22</v>
      </c>
      <c r="K1572" s="3" t="s">
        <v>1673</v>
      </c>
      <c r="L1572" s="3" t="s">
        <v>1673</v>
      </c>
      <c r="M1572" s="3" t="s">
        <v>1674</v>
      </c>
      <c r="N1572" s="3" t="s">
        <v>1915</v>
      </c>
      <c r="O1572" s="5">
        <v>56.64534</v>
      </c>
      <c r="P1572" s="6" t="str">
        <f t="shared" si="2"/>
        <v>Commercial Services &amp; Supplies</v>
      </c>
    </row>
    <row r="1573" hidden="1">
      <c r="A1573" s="3" t="s">
        <v>6698</v>
      </c>
      <c r="B1573" s="4">
        <v>526247.0</v>
      </c>
      <c r="C1573" s="3" t="s">
        <v>6699</v>
      </c>
      <c r="D1573" s="3" t="s">
        <v>6700</v>
      </c>
      <c r="E1573" s="3" t="s">
        <v>6701</v>
      </c>
      <c r="F1573" s="3" t="s">
        <v>19</v>
      </c>
      <c r="G1573" s="3" t="s">
        <v>86</v>
      </c>
      <c r="H1573" s="3">
        <v>2.0</v>
      </c>
      <c r="I1573" s="3" t="s">
        <v>6698</v>
      </c>
      <c r="J1573" s="3" t="s">
        <v>22</v>
      </c>
      <c r="K1573" s="3" t="s">
        <v>23</v>
      </c>
      <c r="L1573" s="3" t="s">
        <v>24</v>
      </c>
      <c r="M1573" s="3" t="s">
        <v>25</v>
      </c>
      <c r="N1573" s="3" t="s">
        <v>672</v>
      </c>
      <c r="O1573" s="5">
        <v>4006.387224</v>
      </c>
      <c r="P1573" s="6" t="str">
        <f t="shared" si="2"/>
        <v>Chemicals &amp; Petrochemicals</v>
      </c>
    </row>
    <row r="1574" hidden="1">
      <c r="A1574" s="3" t="s">
        <v>6702</v>
      </c>
      <c r="B1574" s="4">
        <v>526251.0</v>
      </c>
      <c r="C1574" s="3" t="s">
        <v>6703</v>
      </c>
      <c r="D1574" s="3" t="s">
        <v>6704</v>
      </c>
      <c r="E1574" s="3" t="s">
        <v>6705</v>
      </c>
      <c r="F1574" s="3" t="s">
        <v>19</v>
      </c>
      <c r="G1574" s="3" t="s">
        <v>72</v>
      </c>
      <c r="H1574" s="3">
        <v>10.0</v>
      </c>
      <c r="I1574" s="3" t="s">
        <v>6702</v>
      </c>
      <c r="J1574" s="3" t="s">
        <v>22</v>
      </c>
      <c r="K1574" s="3" t="s">
        <v>204</v>
      </c>
      <c r="L1574" s="3" t="s">
        <v>204</v>
      </c>
      <c r="M1574" s="3" t="s">
        <v>378</v>
      </c>
      <c r="N1574" s="3" t="s">
        <v>468</v>
      </c>
      <c r="O1574" s="5">
        <v>1.0</v>
      </c>
      <c r="P1574" s="6" t="str">
        <f t="shared" si="2"/>
        <v>Finance</v>
      </c>
    </row>
    <row r="1575" hidden="1">
      <c r="A1575" s="3" t="s">
        <v>6706</v>
      </c>
      <c r="B1575" s="4">
        <v>526263.0</v>
      </c>
      <c r="C1575" s="3" t="s">
        <v>6707</v>
      </c>
      <c r="D1575" s="3" t="s">
        <v>6708</v>
      </c>
      <c r="E1575" s="3" t="s">
        <v>6709</v>
      </c>
      <c r="F1575" s="3" t="s">
        <v>19</v>
      </c>
      <c r="G1575" s="3" t="s">
        <v>112</v>
      </c>
      <c r="H1575" s="3">
        <v>2.0</v>
      </c>
      <c r="I1575" s="3" t="s">
        <v>6706</v>
      </c>
      <c r="J1575" s="3" t="s">
        <v>22</v>
      </c>
      <c r="K1575" s="3" t="s">
        <v>473</v>
      </c>
      <c r="L1575" s="3" t="s">
        <v>473</v>
      </c>
      <c r="M1575" s="3" t="s">
        <v>1538</v>
      </c>
      <c r="N1575" s="3" t="s">
        <v>1539</v>
      </c>
      <c r="O1575" s="5">
        <v>737.8903323</v>
      </c>
      <c r="P1575" s="6" t="str">
        <f t="shared" si="2"/>
        <v>IT - Services</v>
      </c>
    </row>
    <row r="1576" hidden="1">
      <c r="A1576" s="3" t="s">
        <v>6710</v>
      </c>
      <c r="B1576" s="4">
        <v>526269.0</v>
      </c>
      <c r="C1576" s="3" t="s">
        <v>6711</v>
      </c>
      <c r="D1576" s="3" t="s">
        <v>6712</v>
      </c>
      <c r="E1576" s="3" t="s">
        <v>6713</v>
      </c>
      <c r="F1576" s="3" t="s">
        <v>19</v>
      </c>
      <c r="G1576" s="3" t="s">
        <v>72</v>
      </c>
      <c r="H1576" s="3">
        <v>10.0</v>
      </c>
      <c r="I1576" s="3" t="s">
        <v>6710</v>
      </c>
      <c r="J1576" s="3" t="s">
        <v>22</v>
      </c>
      <c r="K1576" s="3" t="s">
        <v>23</v>
      </c>
      <c r="L1576" s="3" t="s">
        <v>24</v>
      </c>
      <c r="M1576" s="3" t="s">
        <v>25</v>
      </c>
      <c r="N1576" s="3" t="s">
        <v>26</v>
      </c>
      <c r="O1576" s="5">
        <v>36.915358</v>
      </c>
      <c r="P1576" s="6" t="str">
        <f t="shared" si="2"/>
        <v>Specialty Chemicals</v>
      </c>
    </row>
    <row r="1577">
      <c r="A1577" s="3" t="s">
        <v>6714</v>
      </c>
      <c r="B1577" s="4">
        <v>500038.0</v>
      </c>
      <c r="C1577" s="3" t="s">
        <v>6715</v>
      </c>
      <c r="D1577" s="3" t="s">
        <v>6716</v>
      </c>
      <c r="E1577" s="3" t="s">
        <v>6717</v>
      </c>
      <c r="F1577" s="3" t="s">
        <v>19</v>
      </c>
      <c r="G1577" s="3" t="s">
        <v>20</v>
      </c>
      <c r="H1577" s="3">
        <v>1.0</v>
      </c>
      <c r="I1577" s="3" t="s">
        <v>124</v>
      </c>
      <c r="J1577" s="3" t="s">
        <v>22</v>
      </c>
      <c r="K1577" s="3" t="s">
        <v>145</v>
      </c>
      <c r="L1577" s="3" t="s">
        <v>145</v>
      </c>
      <c r="M1577" s="3" t="s">
        <v>146</v>
      </c>
      <c r="N1577" s="3" t="s">
        <v>147</v>
      </c>
      <c r="O1577" s="5">
        <v>8693.1222601</v>
      </c>
      <c r="P1577" s="6" t="str">
        <f t="shared" si="2"/>
        <v>Agricultural Food &amp; other Products</v>
      </c>
    </row>
    <row r="1578" hidden="1">
      <c r="A1578" s="3" t="s">
        <v>6718</v>
      </c>
      <c r="B1578" s="4">
        <v>526301.0</v>
      </c>
      <c r="C1578" s="3" t="s">
        <v>6719</v>
      </c>
      <c r="D1578" s="3" t="s">
        <v>6720</v>
      </c>
      <c r="E1578" s="3" t="s">
        <v>6721</v>
      </c>
      <c r="F1578" s="3" t="s">
        <v>19</v>
      </c>
      <c r="G1578" s="3" t="s">
        <v>44</v>
      </c>
      <c r="H1578" s="3">
        <v>10.0</v>
      </c>
      <c r="I1578" s="3" t="s">
        <v>6718</v>
      </c>
      <c r="J1578" s="3" t="s">
        <v>22</v>
      </c>
      <c r="K1578" s="3" t="s">
        <v>45</v>
      </c>
      <c r="L1578" s="3" t="s">
        <v>45</v>
      </c>
      <c r="M1578" s="3" t="s">
        <v>4488</v>
      </c>
      <c r="N1578" s="3" t="s">
        <v>4489</v>
      </c>
      <c r="O1578" s="5">
        <v>39.8267422</v>
      </c>
      <c r="P1578" s="6" t="str">
        <f t="shared" si="2"/>
        <v>Healthcare Services</v>
      </c>
    </row>
    <row r="1579" hidden="1">
      <c r="A1579" s="3" t="s">
        <v>6722</v>
      </c>
      <c r="B1579" s="4">
        <v>526315.0</v>
      </c>
      <c r="C1579" s="3" t="s">
        <v>6723</v>
      </c>
      <c r="D1579" s="3" t="s">
        <v>6724</v>
      </c>
      <c r="E1579" s="3" t="s">
        <v>6725</v>
      </c>
      <c r="F1579" s="3" t="s">
        <v>19</v>
      </c>
      <c r="G1579" s="3" t="s">
        <v>44</v>
      </c>
      <c r="H1579" s="3">
        <v>10.0</v>
      </c>
      <c r="I1579" s="3" t="s">
        <v>6722</v>
      </c>
      <c r="J1579" s="3" t="s">
        <v>22</v>
      </c>
      <c r="K1579" s="3" t="s">
        <v>23</v>
      </c>
      <c r="L1579" s="3" t="s">
        <v>162</v>
      </c>
      <c r="M1579" s="3" t="s">
        <v>1491</v>
      </c>
      <c r="N1579" s="3" t="s">
        <v>1491</v>
      </c>
      <c r="O1579" s="5">
        <v>80.8212266</v>
      </c>
      <c r="P1579" s="6" t="str">
        <f t="shared" si="2"/>
        <v>Other Construction Materials</v>
      </c>
    </row>
    <row r="1580" hidden="1">
      <c r="A1580" s="3" t="s">
        <v>6726</v>
      </c>
      <c r="B1580" s="4">
        <v>526325.0</v>
      </c>
      <c r="C1580" s="3" t="s">
        <v>6727</v>
      </c>
      <c r="D1580" s="3" t="s">
        <v>6728</v>
      </c>
      <c r="E1580" s="3" t="s">
        <v>6729</v>
      </c>
      <c r="F1580" s="3" t="s">
        <v>19</v>
      </c>
      <c r="G1580" s="3" t="s">
        <v>112</v>
      </c>
      <c r="H1580" s="3">
        <v>10.0</v>
      </c>
      <c r="I1580" s="3" t="s">
        <v>6726</v>
      </c>
      <c r="J1580" s="3" t="s">
        <v>22</v>
      </c>
      <c r="K1580" s="3" t="s">
        <v>97</v>
      </c>
      <c r="L1580" s="3" t="s">
        <v>98</v>
      </c>
      <c r="M1580" s="3" t="s">
        <v>100</v>
      </c>
      <c r="N1580" s="3" t="s">
        <v>373</v>
      </c>
      <c r="O1580" s="5">
        <v>101.8991551</v>
      </c>
      <c r="P1580" s="6" t="str">
        <f t="shared" si="2"/>
        <v>Industrial Products</v>
      </c>
    </row>
    <row r="1581" hidden="1">
      <c r="A1581" s="3" t="s">
        <v>6730</v>
      </c>
      <c r="B1581" s="4">
        <v>526335.0</v>
      </c>
      <c r="C1581" s="3" t="s">
        <v>6731</v>
      </c>
      <c r="D1581" s="3" t="s">
        <v>6732</v>
      </c>
      <c r="E1581" s="3" t="s">
        <v>6733</v>
      </c>
      <c r="F1581" s="3" t="s">
        <v>19</v>
      </c>
      <c r="G1581" s="3" t="s">
        <v>44</v>
      </c>
      <c r="H1581" s="3">
        <v>10.0</v>
      </c>
      <c r="I1581" s="3" t="s">
        <v>6730</v>
      </c>
      <c r="J1581" s="3" t="s">
        <v>22</v>
      </c>
      <c r="K1581" s="3" t="s">
        <v>23</v>
      </c>
      <c r="L1581" s="3" t="s">
        <v>24</v>
      </c>
      <c r="M1581" s="3" t="s">
        <v>25</v>
      </c>
      <c r="N1581" s="3" t="s">
        <v>52</v>
      </c>
      <c r="O1581" s="5">
        <v>77.2525241</v>
      </c>
      <c r="P1581" s="6" t="str">
        <f t="shared" si="2"/>
        <v>Chemicals &amp; Petrochemicals</v>
      </c>
    </row>
    <row r="1582" hidden="1">
      <c r="A1582" s="3" t="s">
        <v>6734</v>
      </c>
      <c r="B1582" s="4">
        <v>526345.0</v>
      </c>
      <c r="C1582" s="3" t="s">
        <v>6735</v>
      </c>
      <c r="D1582" s="3" t="s">
        <v>6736</v>
      </c>
      <c r="E1582" s="3" t="s">
        <v>6737</v>
      </c>
      <c r="F1582" s="3" t="s">
        <v>19</v>
      </c>
      <c r="G1582" s="3" t="s">
        <v>44</v>
      </c>
      <c r="H1582" s="3">
        <v>10.0</v>
      </c>
      <c r="I1582" s="3" t="s">
        <v>6734</v>
      </c>
      <c r="J1582" s="3" t="s">
        <v>22</v>
      </c>
      <c r="K1582" s="3" t="s">
        <v>145</v>
      </c>
      <c r="L1582" s="3" t="s">
        <v>145</v>
      </c>
      <c r="M1582" s="3" t="s">
        <v>597</v>
      </c>
      <c r="N1582" s="3" t="s">
        <v>2344</v>
      </c>
      <c r="O1582" s="5">
        <v>30.778708</v>
      </c>
      <c r="P1582" s="6" t="str">
        <f t="shared" si="2"/>
        <v>Food Products</v>
      </c>
    </row>
    <row r="1583" hidden="1">
      <c r="A1583" s="3" t="s">
        <v>6738</v>
      </c>
      <c r="B1583" s="4">
        <v>526349.0</v>
      </c>
      <c r="C1583" s="3" t="s">
        <v>6739</v>
      </c>
      <c r="D1583" s="3" t="s">
        <v>6740</v>
      </c>
      <c r="E1583" s="3" t="s">
        <v>6741</v>
      </c>
      <c r="F1583" s="3" t="s">
        <v>19</v>
      </c>
      <c r="G1583" s="3" t="s">
        <v>2267</v>
      </c>
      <c r="H1583" s="3">
        <v>10.0</v>
      </c>
      <c r="I1583" s="3" t="s">
        <v>6738</v>
      </c>
      <c r="J1583" s="3" t="s">
        <v>22</v>
      </c>
      <c r="K1583" s="3" t="s">
        <v>58</v>
      </c>
      <c r="L1583" s="3" t="s">
        <v>133</v>
      </c>
      <c r="M1583" s="3" t="s">
        <v>134</v>
      </c>
      <c r="N1583" s="3" t="s">
        <v>135</v>
      </c>
      <c r="O1583" s="5">
        <v>1.0</v>
      </c>
      <c r="P1583" s="6" t="str">
        <f t="shared" si="2"/>
        <v>Auto Components &amp; Equipments</v>
      </c>
    </row>
    <row r="1584" hidden="1">
      <c r="A1584" s="3" t="s">
        <v>6742</v>
      </c>
      <c r="B1584" s="4">
        <v>526355.0</v>
      </c>
      <c r="C1584" s="3" t="s">
        <v>6743</v>
      </c>
      <c r="D1584" s="3" t="s">
        <v>6744</v>
      </c>
      <c r="E1584" s="3" t="s">
        <v>6745</v>
      </c>
      <c r="F1584" s="3" t="s">
        <v>19</v>
      </c>
      <c r="G1584" s="3" t="s">
        <v>44</v>
      </c>
      <c r="H1584" s="3">
        <v>10.0</v>
      </c>
      <c r="I1584" s="3" t="s">
        <v>6742</v>
      </c>
      <c r="J1584" s="3" t="s">
        <v>22</v>
      </c>
      <c r="K1584" s="3" t="s">
        <v>97</v>
      </c>
      <c r="L1584" s="3" t="s">
        <v>98</v>
      </c>
      <c r="M1584" s="3" t="s">
        <v>100</v>
      </c>
      <c r="N1584" s="3" t="s">
        <v>580</v>
      </c>
      <c r="O1584" s="5">
        <v>39.731434</v>
      </c>
      <c r="P1584" s="6" t="str">
        <f t="shared" si="2"/>
        <v>Industrial Products</v>
      </c>
    </row>
    <row r="1585" hidden="1">
      <c r="A1585" s="3" t="s">
        <v>6746</v>
      </c>
      <c r="B1585" s="4">
        <v>526365.0</v>
      </c>
      <c r="C1585" s="3" t="s">
        <v>6747</v>
      </c>
      <c r="D1585" s="3" t="s">
        <v>6748</v>
      </c>
      <c r="E1585" s="3" t="s">
        <v>6749</v>
      </c>
      <c r="F1585" s="3" t="s">
        <v>19</v>
      </c>
      <c r="G1585" s="3" t="s">
        <v>44</v>
      </c>
      <c r="H1585" s="3">
        <v>10.0</v>
      </c>
      <c r="I1585" s="3" t="s">
        <v>6746</v>
      </c>
      <c r="J1585" s="3" t="s">
        <v>22</v>
      </c>
      <c r="K1585" s="3" t="s">
        <v>58</v>
      </c>
      <c r="L1585" s="3" t="s">
        <v>211</v>
      </c>
      <c r="M1585" s="3" t="s">
        <v>211</v>
      </c>
      <c r="N1585" s="3" t="s">
        <v>947</v>
      </c>
      <c r="O1585" s="5">
        <v>62.0944753</v>
      </c>
      <c r="P1585" s="6" t="str">
        <f t="shared" si="2"/>
        <v>Consumer Durables</v>
      </c>
    </row>
    <row r="1586">
      <c r="A1586" s="3" t="s">
        <v>1288</v>
      </c>
      <c r="B1586" s="4">
        <v>500096.0</v>
      </c>
      <c r="C1586" s="3" t="s">
        <v>6750</v>
      </c>
      <c r="D1586" s="3" t="s">
        <v>6751</v>
      </c>
      <c r="E1586" s="3" t="s">
        <v>6752</v>
      </c>
      <c r="F1586" s="3" t="s">
        <v>19</v>
      </c>
      <c r="G1586" s="3" t="s">
        <v>20</v>
      </c>
      <c r="H1586" s="3">
        <v>1.0</v>
      </c>
      <c r="I1586" s="3" t="s">
        <v>258</v>
      </c>
      <c r="J1586" s="3" t="s">
        <v>22</v>
      </c>
      <c r="K1586" s="3" t="s">
        <v>145</v>
      </c>
      <c r="L1586" s="3" t="s">
        <v>145</v>
      </c>
      <c r="M1586" s="3" t="s">
        <v>2790</v>
      </c>
      <c r="N1586" s="3" t="s">
        <v>2791</v>
      </c>
      <c r="O1586" s="5">
        <v>105800.4035</v>
      </c>
      <c r="P1586" s="6" t="str">
        <f t="shared" si="2"/>
        <v>Personal Products</v>
      </c>
    </row>
    <row r="1587">
      <c r="A1587" s="3" t="s">
        <v>521</v>
      </c>
      <c r="B1587" s="4">
        <v>500163.0</v>
      </c>
      <c r="C1587" s="3" t="s">
        <v>6753</v>
      </c>
      <c r="D1587" s="3" t="s">
        <v>6754</v>
      </c>
      <c r="E1587" s="3" t="s">
        <v>6755</v>
      </c>
      <c r="F1587" s="3" t="s">
        <v>19</v>
      </c>
      <c r="G1587" s="3" t="s">
        <v>20</v>
      </c>
      <c r="H1587" s="3">
        <v>2.0</v>
      </c>
      <c r="I1587" s="3" t="s">
        <v>424</v>
      </c>
      <c r="J1587" s="3" t="s">
        <v>22</v>
      </c>
      <c r="K1587" s="3" t="s">
        <v>145</v>
      </c>
      <c r="L1587" s="3" t="s">
        <v>145</v>
      </c>
      <c r="M1587" s="3" t="s">
        <v>3120</v>
      </c>
      <c r="N1587" s="3" t="s">
        <v>3120</v>
      </c>
      <c r="O1587" s="5">
        <v>21401.7883069</v>
      </c>
      <c r="P1587" s="6" t="str">
        <f t="shared" si="2"/>
        <v>Cigarettes &amp; Tobacco Products</v>
      </c>
    </row>
    <row r="1588" hidden="1">
      <c r="A1588" s="3" t="s">
        <v>6756</v>
      </c>
      <c r="B1588" s="4">
        <v>526373.0</v>
      </c>
      <c r="C1588" s="3" t="s">
        <v>6757</v>
      </c>
      <c r="D1588" s="3" t="s">
        <v>6758</v>
      </c>
      <c r="E1588" s="3" t="s">
        <v>6759</v>
      </c>
      <c r="F1588" s="3" t="s">
        <v>19</v>
      </c>
      <c r="G1588" s="3" t="s">
        <v>44</v>
      </c>
      <c r="H1588" s="3">
        <v>10.0</v>
      </c>
      <c r="I1588" s="3" t="s">
        <v>6756</v>
      </c>
      <c r="J1588" s="3" t="s">
        <v>22</v>
      </c>
      <c r="K1588" s="3" t="s">
        <v>58</v>
      </c>
      <c r="L1588" s="3" t="s">
        <v>73</v>
      </c>
      <c r="M1588" s="3" t="s">
        <v>74</v>
      </c>
      <c r="N1588" s="3" t="s">
        <v>75</v>
      </c>
      <c r="O1588" s="5">
        <v>19.08</v>
      </c>
      <c r="P1588" s="6" t="str">
        <f t="shared" si="2"/>
        <v>Leisure Services</v>
      </c>
    </row>
    <row r="1589" hidden="1">
      <c r="A1589" s="3" t="s">
        <v>3972</v>
      </c>
      <c r="B1589" s="4">
        <v>520127.0</v>
      </c>
      <c r="C1589" s="3" t="s">
        <v>6760</v>
      </c>
      <c r="D1589" s="3" t="s">
        <v>6761</v>
      </c>
      <c r="E1589" s="3" t="s">
        <v>6762</v>
      </c>
      <c r="F1589" s="3" t="s">
        <v>19</v>
      </c>
      <c r="G1589" s="3" t="s">
        <v>72</v>
      </c>
      <c r="H1589" s="3">
        <v>10.0</v>
      </c>
      <c r="I1589" s="3" t="s">
        <v>5258</v>
      </c>
      <c r="J1589" s="3" t="s">
        <v>22</v>
      </c>
      <c r="K1589" s="3" t="s">
        <v>1673</v>
      </c>
      <c r="L1589" s="3" t="s">
        <v>1673</v>
      </c>
      <c r="M1589" s="3" t="s">
        <v>1689</v>
      </c>
      <c r="N1589" s="3" t="s">
        <v>6382</v>
      </c>
      <c r="O1589" s="5">
        <v>55.3413639</v>
      </c>
      <c r="P1589" s="6" t="str">
        <f t="shared" si="2"/>
        <v>Transport Services</v>
      </c>
    </row>
    <row r="1590" hidden="1">
      <c r="A1590" s="3" t="s">
        <v>6763</v>
      </c>
      <c r="B1590" s="4">
        <v>526397.0</v>
      </c>
      <c r="C1590" s="3" t="s">
        <v>6764</v>
      </c>
      <c r="D1590" s="3" t="s">
        <v>6765</v>
      </c>
      <c r="E1590" s="3" t="s">
        <v>6766</v>
      </c>
      <c r="F1590" s="3" t="s">
        <v>19</v>
      </c>
      <c r="G1590" s="3" t="s">
        <v>112</v>
      </c>
      <c r="H1590" s="3">
        <v>10.0</v>
      </c>
      <c r="I1590" s="3" t="s">
        <v>6763</v>
      </c>
      <c r="J1590" s="3" t="s">
        <v>22</v>
      </c>
      <c r="K1590" s="3" t="s">
        <v>410</v>
      </c>
      <c r="L1590" s="3" t="s">
        <v>411</v>
      </c>
      <c r="M1590" s="3" t="s">
        <v>412</v>
      </c>
      <c r="N1590" s="3" t="s">
        <v>3177</v>
      </c>
      <c r="O1590" s="5">
        <v>242.6266035</v>
      </c>
      <c r="P1590" s="6" t="str">
        <f t="shared" si="2"/>
        <v>Oil</v>
      </c>
    </row>
    <row r="1591" hidden="1">
      <c r="A1591" s="3" t="s">
        <v>6767</v>
      </c>
      <c r="B1591" s="4">
        <v>526407.0</v>
      </c>
      <c r="C1591" s="3" t="s">
        <v>6768</v>
      </c>
      <c r="D1591" s="3" t="s">
        <v>6769</v>
      </c>
      <c r="E1591" s="3" t="s">
        <v>6770</v>
      </c>
      <c r="F1591" s="3" t="s">
        <v>19</v>
      </c>
      <c r="G1591" s="3" t="s">
        <v>112</v>
      </c>
      <c r="H1591" s="3">
        <v>1.0</v>
      </c>
      <c r="I1591" s="3" t="s">
        <v>6767</v>
      </c>
      <c r="J1591" s="3" t="s">
        <v>22</v>
      </c>
      <c r="K1591" s="3" t="s">
        <v>58</v>
      </c>
      <c r="L1591" s="3" t="s">
        <v>59</v>
      </c>
      <c r="M1591" s="3" t="s">
        <v>59</v>
      </c>
      <c r="N1591" s="3" t="s">
        <v>60</v>
      </c>
      <c r="O1591" s="5">
        <v>882.8726429</v>
      </c>
      <c r="P1591" s="6" t="str">
        <f t="shared" si="2"/>
        <v>Residential, Commercial Projects</v>
      </c>
    </row>
    <row r="1592" hidden="1">
      <c r="A1592" s="3" t="s">
        <v>6771</v>
      </c>
      <c r="B1592" s="4">
        <v>526409.0</v>
      </c>
      <c r="C1592" s="3" t="s">
        <v>6772</v>
      </c>
      <c r="D1592" s="3" t="s">
        <v>6773</v>
      </c>
      <c r="E1592" s="3" t="s">
        <v>6772</v>
      </c>
      <c r="F1592" s="3" t="s">
        <v>19</v>
      </c>
      <c r="G1592" s="3" t="s">
        <v>72</v>
      </c>
      <c r="H1592" s="3">
        <v>2.0</v>
      </c>
      <c r="I1592" s="3" t="s">
        <v>6771</v>
      </c>
      <c r="J1592" s="3" t="s">
        <v>22</v>
      </c>
      <c r="K1592" s="3" t="s">
        <v>23</v>
      </c>
      <c r="L1592" s="3" t="s">
        <v>24</v>
      </c>
      <c r="M1592" s="3" t="s">
        <v>25</v>
      </c>
      <c r="N1592" s="3" t="s">
        <v>26</v>
      </c>
      <c r="O1592" s="5">
        <v>127.2915</v>
      </c>
      <c r="P1592" s="6" t="str">
        <f t="shared" si="2"/>
        <v>Specialty Chemicals</v>
      </c>
    </row>
    <row r="1593" hidden="1">
      <c r="A1593" s="3" t="s">
        <v>6774</v>
      </c>
      <c r="B1593" s="4">
        <v>526415.0</v>
      </c>
      <c r="C1593" s="3" t="s">
        <v>6775</v>
      </c>
      <c r="D1593" s="3" t="s">
        <v>6776</v>
      </c>
      <c r="E1593" s="3" t="s">
        <v>6777</v>
      </c>
      <c r="F1593" s="3" t="s">
        <v>19</v>
      </c>
      <c r="G1593" s="3" t="s">
        <v>44</v>
      </c>
      <c r="H1593" s="3">
        <v>1.0</v>
      </c>
      <c r="I1593" s="3" t="s">
        <v>6774</v>
      </c>
      <c r="J1593" s="3" t="s">
        <v>22</v>
      </c>
      <c r="K1593" s="3" t="s">
        <v>58</v>
      </c>
      <c r="L1593" s="3" t="s">
        <v>211</v>
      </c>
      <c r="M1593" s="3" t="s">
        <v>211</v>
      </c>
      <c r="N1593" s="3" t="s">
        <v>6778</v>
      </c>
      <c r="O1593" s="5">
        <v>380.9187676</v>
      </c>
      <c r="P1593" s="6" t="str">
        <f t="shared" si="2"/>
        <v>Consumer Durables</v>
      </c>
    </row>
    <row r="1594" hidden="1">
      <c r="A1594" s="3" t="s">
        <v>6779</v>
      </c>
      <c r="B1594" s="4">
        <v>526423.0</v>
      </c>
      <c r="C1594" s="3" t="s">
        <v>6780</v>
      </c>
      <c r="D1594" s="3" t="s">
        <v>6781</v>
      </c>
      <c r="E1594" s="3" t="s">
        <v>6782</v>
      </c>
      <c r="F1594" s="3" t="s">
        <v>19</v>
      </c>
      <c r="G1594" s="3" t="s">
        <v>112</v>
      </c>
      <c r="H1594" s="3">
        <v>1.0</v>
      </c>
      <c r="I1594" s="3" t="s">
        <v>6779</v>
      </c>
      <c r="J1594" s="3" t="s">
        <v>22</v>
      </c>
      <c r="K1594" s="3" t="s">
        <v>97</v>
      </c>
      <c r="L1594" s="3" t="s">
        <v>98</v>
      </c>
      <c r="M1594" s="3" t="s">
        <v>100</v>
      </c>
      <c r="N1594" s="3" t="s">
        <v>580</v>
      </c>
      <c r="O1594" s="5">
        <v>943.7345406</v>
      </c>
      <c r="P1594" s="6" t="str">
        <f t="shared" si="2"/>
        <v>Industrial Products</v>
      </c>
    </row>
    <row r="1595" hidden="1">
      <c r="A1595" s="3" t="s">
        <v>6783</v>
      </c>
      <c r="B1595" s="4">
        <v>526433.0</v>
      </c>
      <c r="C1595" s="3" t="s">
        <v>6784</v>
      </c>
      <c r="D1595" s="3" t="s">
        <v>6785</v>
      </c>
      <c r="E1595" s="3" t="s">
        <v>6786</v>
      </c>
      <c r="F1595" s="3" t="s">
        <v>19</v>
      </c>
      <c r="G1595" s="3" t="s">
        <v>44</v>
      </c>
      <c r="H1595" s="3">
        <v>10.0</v>
      </c>
      <c r="I1595" s="3" t="s">
        <v>6783</v>
      </c>
      <c r="J1595" s="3" t="s">
        <v>22</v>
      </c>
      <c r="K1595" s="3" t="s">
        <v>473</v>
      </c>
      <c r="L1595" s="3" t="s">
        <v>473</v>
      </c>
      <c r="M1595" s="3" t="s">
        <v>1391</v>
      </c>
      <c r="N1595" s="3" t="s">
        <v>1840</v>
      </c>
      <c r="O1595" s="5">
        <v>1336.5658531</v>
      </c>
      <c r="P1595" s="6" t="str">
        <f t="shared" si="2"/>
        <v>Computers - Software &amp; Consulting</v>
      </c>
    </row>
    <row r="1596" hidden="1">
      <c r="A1596" s="3" t="s">
        <v>6787</v>
      </c>
      <c r="B1596" s="4">
        <v>526435.0</v>
      </c>
      <c r="C1596" s="3" t="s">
        <v>6788</v>
      </c>
      <c r="D1596" s="3" t="s">
        <v>6789</v>
      </c>
      <c r="E1596" s="3" t="s">
        <v>6790</v>
      </c>
      <c r="F1596" s="3" t="s">
        <v>19</v>
      </c>
      <c r="G1596" s="3" t="s">
        <v>72</v>
      </c>
      <c r="H1596" s="3">
        <v>2.0</v>
      </c>
      <c r="I1596" s="3" t="s">
        <v>6787</v>
      </c>
      <c r="J1596" s="3" t="s">
        <v>22</v>
      </c>
      <c r="K1596" s="3" t="s">
        <v>23</v>
      </c>
      <c r="L1596" s="3" t="s">
        <v>32</v>
      </c>
      <c r="M1596" s="3" t="s">
        <v>33</v>
      </c>
      <c r="N1596" s="3" t="s">
        <v>34</v>
      </c>
      <c r="O1596" s="5">
        <v>74.8612296</v>
      </c>
      <c r="P1596" s="6" t="str">
        <f t="shared" si="2"/>
        <v>Paper, Forest &amp; Jute Products</v>
      </c>
    </row>
    <row r="1597" hidden="1">
      <c r="A1597" s="3" t="s">
        <v>6791</v>
      </c>
      <c r="B1597" s="4">
        <v>530909.0</v>
      </c>
      <c r="C1597" s="3" t="s">
        <v>6792</v>
      </c>
      <c r="D1597" s="3" t="s">
        <v>6793</v>
      </c>
      <c r="E1597" s="3" t="s">
        <v>6794</v>
      </c>
      <c r="F1597" s="3" t="s">
        <v>19</v>
      </c>
      <c r="G1597" s="3" t="s">
        <v>72</v>
      </c>
      <c r="H1597" s="3">
        <v>10.0</v>
      </c>
      <c r="I1597" s="3" t="s">
        <v>6795</v>
      </c>
      <c r="J1597" s="3" t="s">
        <v>22</v>
      </c>
      <c r="K1597" s="3" t="s">
        <v>1673</v>
      </c>
      <c r="L1597" s="3" t="s">
        <v>1673</v>
      </c>
      <c r="M1597" s="3" t="s">
        <v>1674</v>
      </c>
      <c r="N1597" s="3" t="s">
        <v>1675</v>
      </c>
      <c r="O1597" s="5">
        <v>53.5788012</v>
      </c>
      <c r="P1597" s="6" t="str">
        <f t="shared" si="2"/>
        <v>Commercial Services &amp; Supplies</v>
      </c>
    </row>
    <row r="1598" hidden="1">
      <c r="A1598" s="3" t="s">
        <v>6796</v>
      </c>
      <c r="B1598" s="4">
        <v>526441.0</v>
      </c>
      <c r="C1598" s="3" t="s">
        <v>6797</v>
      </c>
      <c r="D1598" s="3" t="s">
        <v>6798</v>
      </c>
      <c r="E1598" s="3" t="s">
        <v>6799</v>
      </c>
      <c r="F1598" s="3" t="s">
        <v>19</v>
      </c>
      <c r="G1598" s="3" t="s">
        <v>44</v>
      </c>
      <c r="H1598" s="3">
        <v>1.0</v>
      </c>
      <c r="I1598" s="3" t="s">
        <v>6796</v>
      </c>
      <c r="J1598" s="3" t="s">
        <v>22</v>
      </c>
      <c r="K1598" s="3" t="s">
        <v>58</v>
      </c>
      <c r="L1598" s="3" t="s">
        <v>182</v>
      </c>
      <c r="M1598" s="3" t="s">
        <v>183</v>
      </c>
      <c r="N1598" s="3" t="s">
        <v>6800</v>
      </c>
      <c r="O1598" s="5">
        <v>1.0</v>
      </c>
      <c r="P1598" s="6" t="str">
        <f t="shared" si="2"/>
        <v>Media</v>
      </c>
    </row>
    <row r="1599" hidden="1">
      <c r="A1599" s="3" t="s">
        <v>6801</v>
      </c>
      <c r="B1599" s="4">
        <v>526443.0</v>
      </c>
      <c r="C1599" s="3" t="s">
        <v>6802</v>
      </c>
      <c r="D1599" s="3" t="s">
        <v>6803</v>
      </c>
      <c r="E1599" s="3" t="s">
        <v>6804</v>
      </c>
      <c r="F1599" s="3" t="s">
        <v>19</v>
      </c>
      <c r="G1599" s="3" t="s">
        <v>72</v>
      </c>
      <c r="H1599" s="3">
        <v>10.0</v>
      </c>
      <c r="I1599" s="3" t="s">
        <v>6801</v>
      </c>
      <c r="J1599" s="3" t="s">
        <v>22</v>
      </c>
      <c r="K1599" s="3" t="s">
        <v>473</v>
      </c>
      <c r="L1599" s="3" t="s">
        <v>473</v>
      </c>
      <c r="M1599" s="3" t="s">
        <v>1391</v>
      </c>
      <c r="N1599" s="3" t="s">
        <v>1392</v>
      </c>
      <c r="O1599" s="5">
        <v>1.0</v>
      </c>
      <c r="P1599" s="6" t="str">
        <f t="shared" si="2"/>
        <v>IT - Software</v>
      </c>
    </row>
    <row r="1600" hidden="1">
      <c r="A1600" s="3" t="s">
        <v>6805</v>
      </c>
      <c r="B1600" s="4">
        <v>526445.0</v>
      </c>
      <c r="C1600" s="3" t="s">
        <v>6806</v>
      </c>
      <c r="D1600" s="3" t="s">
        <v>6807</v>
      </c>
      <c r="E1600" s="3" t="s">
        <v>6808</v>
      </c>
      <c r="F1600" s="3" t="s">
        <v>19</v>
      </c>
      <c r="G1600" s="3" t="s">
        <v>72</v>
      </c>
      <c r="H1600" s="3">
        <v>10.0</v>
      </c>
      <c r="I1600" s="3" t="s">
        <v>6805</v>
      </c>
      <c r="J1600" s="3" t="s">
        <v>22</v>
      </c>
      <c r="K1600" s="3" t="s">
        <v>145</v>
      </c>
      <c r="L1600" s="3" t="s">
        <v>145</v>
      </c>
      <c r="M1600" s="3" t="s">
        <v>146</v>
      </c>
      <c r="N1600" s="3" t="s">
        <v>2645</v>
      </c>
      <c r="O1600" s="5">
        <v>268.9711222</v>
      </c>
      <c r="P1600" s="6" t="str">
        <f t="shared" si="2"/>
        <v>Agricultural Food &amp; other Products</v>
      </c>
    </row>
    <row r="1601" hidden="1">
      <c r="A1601" s="3" t="s">
        <v>6809</v>
      </c>
      <c r="B1601" s="4">
        <v>526468.0</v>
      </c>
      <c r="C1601" s="3" t="s">
        <v>6810</v>
      </c>
      <c r="D1601" s="3" t="s">
        <v>6811</v>
      </c>
      <c r="E1601" s="3" t="s">
        <v>6812</v>
      </c>
      <c r="F1601" s="3" t="s">
        <v>19</v>
      </c>
      <c r="G1601" s="3" t="s">
        <v>44</v>
      </c>
      <c r="H1601" s="3">
        <v>10.0</v>
      </c>
      <c r="I1601" s="3" t="s">
        <v>6809</v>
      </c>
      <c r="J1601" s="3" t="s">
        <v>22</v>
      </c>
      <c r="K1601" s="3" t="s">
        <v>58</v>
      </c>
      <c r="L1601" s="3" t="s">
        <v>211</v>
      </c>
      <c r="M1601" s="3" t="s">
        <v>211</v>
      </c>
      <c r="N1601" s="3" t="s">
        <v>947</v>
      </c>
      <c r="O1601" s="5">
        <v>1.0</v>
      </c>
      <c r="P1601" s="6" t="str">
        <f t="shared" si="2"/>
        <v>Consumer Durables</v>
      </c>
    </row>
    <row r="1602" hidden="1">
      <c r="A1602" s="3" t="s">
        <v>6813</v>
      </c>
      <c r="B1602" s="4">
        <v>526471.0</v>
      </c>
      <c r="C1602" s="3" t="s">
        <v>6814</v>
      </c>
      <c r="D1602" s="3" t="s">
        <v>6815</v>
      </c>
      <c r="E1602" s="3" t="s">
        <v>6816</v>
      </c>
      <c r="F1602" s="3" t="s">
        <v>19</v>
      </c>
      <c r="G1602" s="3" t="s">
        <v>72</v>
      </c>
      <c r="H1602" s="3">
        <v>10.0</v>
      </c>
      <c r="I1602" s="3" t="s">
        <v>6813</v>
      </c>
      <c r="J1602" s="3" t="s">
        <v>22</v>
      </c>
      <c r="K1602" s="3" t="s">
        <v>145</v>
      </c>
      <c r="L1602" s="3" t="s">
        <v>145</v>
      </c>
      <c r="M1602" s="3" t="s">
        <v>2558</v>
      </c>
      <c r="N1602" s="3" t="s">
        <v>2559</v>
      </c>
      <c r="O1602" s="5">
        <v>154.7797668</v>
      </c>
      <c r="P1602" s="6" t="str">
        <f t="shared" si="2"/>
        <v>Beverages</v>
      </c>
    </row>
    <row r="1603" hidden="1">
      <c r="A1603" s="3" t="s">
        <v>6817</v>
      </c>
      <c r="B1603" s="4">
        <v>526473.0</v>
      </c>
      <c r="C1603" s="3" t="s">
        <v>6818</v>
      </c>
      <c r="D1603" s="3" t="s">
        <v>6819</v>
      </c>
      <c r="E1603" s="3" t="s">
        <v>6820</v>
      </c>
      <c r="F1603" s="3" t="s">
        <v>19</v>
      </c>
      <c r="G1603" s="3" t="s">
        <v>44</v>
      </c>
      <c r="H1603" s="3">
        <v>10.0</v>
      </c>
      <c r="I1603" s="3" t="s">
        <v>6817</v>
      </c>
      <c r="J1603" s="3" t="s">
        <v>22</v>
      </c>
      <c r="K1603" s="3" t="s">
        <v>145</v>
      </c>
      <c r="L1603" s="3" t="s">
        <v>145</v>
      </c>
      <c r="M1603" s="3" t="s">
        <v>146</v>
      </c>
      <c r="N1603" s="3" t="s">
        <v>2645</v>
      </c>
      <c r="O1603" s="5">
        <v>12.1596049</v>
      </c>
      <c r="P1603" s="6" t="str">
        <f t="shared" si="2"/>
        <v>Agricultural Food &amp; other Products</v>
      </c>
    </row>
    <row r="1604" hidden="1">
      <c r="A1604" s="3" t="s">
        <v>6821</v>
      </c>
      <c r="B1604" s="4">
        <v>526479.0</v>
      </c>
      <c r="C1604" s="3" t="s">
        <v>6822</v>
      </c>
      <c r="D1604" s="3" t="s">
        <v>6823</v>
      </c>
      <c r="E1604" s="3" t="s">
        <v>6824</v>
      </c>
      <c r="F1604" s="3" t="s">
        <v>19</v>
      </c>
      <c r="G1604" s="3" t="s">
        <v>44</v>
      </c>
      <c r="H1604" s="3">
        <v>10.0</v>
      </c>
      <c r="I1604" s="3" t="s">
        <v>6821</v>
      </c>
      <c r="J1604" s="3" t="s">
        <v>22</v>
      </c>
      <c r="K1604" s="3" t="s">
        <v>58</v>
      </c>
      <c r="L1604" s="3" t="s">
        <v>80</v>
      </c>
      <c r="M1604" s="3" t="s">
        <v>81</v>
      </c>
      <c r="N1604" s="3" t="s">
        <v>82</v>
      </c>
      <c r="O1604" s="5">
        <v>70.8441757</v>
      </c>
      <c r="P1604" s="6" t="str">
        <f t="shared" si="2"/>
        <v>Textiles &amp; Apparels</v>
      </c>
    </row>
    <row r="1605" hidden="1">
      <c r="A1605" s="3" t="s">
        <v>5641</v>
      </c>
      <c r="B1605" s="4">
        <v>504380.0</v>
      </c>
      <c r="C1605" s="3" t="s">
        <v>6825</v>
      </c>
      <c r="D1605" s="3" t="s">
        <v>6826</v>
      </c>
      <c r="E1605" s="3" t="s">
        <v>6827</v>
      </c>
      <c r="F1605" s="3" t="s">
        <v>19</v>
      </c>
      <c r="G1605" s="3" t="s">
        <v>44</v>
      </c>
      <c r="H1605" s="3">
        <v>10.0</v>
      </c>
      <c r="I1605" s="3" t="s">
        <v>1864</v>
      </c>
      <c r="J1605" s="3" t="s">
        <v>22</v>
      </c>
      <c r="K1605" s="3" t="s">
        <v>1673</v>
      </c>
      <c r="L1605" s="3" t="s">
        <v>1673</v>
      </c>
      <c r="M1605" s="3" t="s">
        <v>1689</v>
      </c>
      <c r="N1605" s="3" t="s">
        <v>1690</v>
      </c>
      <c r="O1605" s="5">
        <v>52.5430337</v>
      </c>
      <c r="P1605" s="6" t="str">
        <f t="shared" si="2"/>
        <v>Transport Services</v>
      </c>
    </row>
    <row r="1606" hidden="1">
      <c r="A1606" s="3" t="s">
        <v>6828</v>
      </c>
      <c r="B1606" s="4">
        <v>526488.0</v>
      </c>
      <c r="C1606" s="3" t="s">
        <v>6829</v>
      </c>
      <c r="D1606" s="3" t="s">
        <v>6830</v>
      </c>
      <c r="E1606" s="3" t="s">
        <v>6831</v>
      </c>
      <c r="F1606" s="3" t="s">
        <v>19</v>
      </c>
      <c r="G1606" s="3" t="s">
        <v>72</v>
      </c>
      <c r="H1606" s="3">
        <v>10.0</v>
      </c>
      <c r="I1606" s="3" t="s">
        <v>6828</v>
      </c>
      <c r="J1606" s="3" t="s">
        <v>22</v>
      </c>
      <c r="K1606" s="3" t="s">
        <v>58</v>
      </c>
      <c r="L1606" s="3" t="s">
        <v>59</v>
      </c>
      <c r="M1606" s="3" t="s">
        <v>59</v>
      </c>
      <c r="N1606" s="3" t="s">
        <v>60</v>
      </c>
      <c r="O1606" s="5">
        <v>1.0</v>
      </c>
      <c r="P1606" s="6" t="str">
        <f t="shared" si="2"/>
        <v>Residential, Commercial Projects</v>
      </c>
    </row>
    <row r="1607" hidden="1">
      <c r="A1607" s="3" t="s">
        <v>6832</v>
      </c>
      <c r="B1607" s="4">
        <v>526490.0</v>
      </c>
      <c r="C1607" s="3" t="s">
        <v>6833</v>
      </c>
      <c r="D1607" s="3" t="s">
        <v>6834</v>
      </c>
      <c r="E1607" s="3" t="s">
        <v>6835</v>
      </c>
      <c r="F1607" s="3" t="s">
        <v>19</v>
      </c>
      <c r="G1607" s="3" t="s">
        <v>72</v>
      </c>
      <c r="H1607" s="3">
        <v>1.0</v>
      </c>
      <c r="I1607" s="3" t="s">
        <v>6832</v>
      </c>
      <c r="J1607" s="3" t="s">
        <v>22</v>
      </c>
      <c r="K1607" s="3" t="s">
        <v>23</v>
      </c>
      <c r="L1607" s="3" t="s">
        <v>32</v>
      </c>
      <c r="M1607" s="3" t="s">
        <v>33</v>
      </c>
      <c r="N1607" s="3" t="s">
        <v>6836</v>
      </c>
      <c r="O1607" s="5">
        <v>1.0</v>
      </c>
      <c r="P1607" s="6" t="str">
        <f t="shared" si="2"/>
        <v>Paper, Forest &amp; Jute Products</v>
      </c>
    </row>
    <row r="1608" hidden="1">
      <c r="A1608" s="3" t="s">
        <v>6837</v>
      </c>
      <c r="B1608" s="4">
        <v>526492.0</v>
      </c>
      <c r="C1608" s="3" t="s">
        <v>6838</v>
      </c>
      <c r="D1608" s="3" t="s">
        <v>6839</v>
      </c>
      <c r="E1608" s="3" t="s">
        <v>6840</v>
      </c>
      <c r="F1608" s="3" t="s">
        <v>19</v>
      </c>
      <c r="G1608" s="3" t="s">
        <v>44</v>
      </c>
      <c r="H1608" s="3">
        <v>10.0</v>
      </c>
      <c r="I1608" s="3" t="s">
        <v>6837</v>
      </c>
      <c r="J1608" s="3" t="s">
        <v>22</v>
      </c>
      <c r="K1608" s="3" t="s">
        <v>97</v>
      </c>
      <c r="L1608" s="3" t="s">
        <v>98</v>
      </c>
      <c r="M1608" s="3" t="s">
        <v>100</v>
      </c>
      <c r="N1608" s="3" t="s">
        <v>862</v>
      </c>
      <c r="O1608" s="5">
        <v>156.4547274</v>
      </c>
      <c r="P1608" s="6" t="str">
        <f t="shared" si="2"/>
        <v>Industrial Products</v>
      </c>
    </row>
    <row r="1609" hidden="1">
      <c r="A1609" s="3" t="s">
        <v>6841</v>
      </c>
      <c r="B1609" s="4">
        <v>526494.0</v>
      </c>
      <c r="C1609" s="3" t="s">
        <v>6842</v>
      </c>
      <c r="D1609" s="3" t="s">
        <v>6843</v>
      </c>
      <c r="E1609" s="3" t="s">
        <v>6844</v>
      </c>
      <c r="F1609" s="3" t="s">
        <v>19</v>
      </c>
      <c r="G1609" s="3" t="s">
        <v>72</v>
      </c>
      <c r="H1609" s="3">
        <v>10.0</v>
      </c>
      <c r="I1609" s="3" t="s">
        <v>6841</v>
      </c>
      <c r="J1609" s="3" t="s">
        <v>22</v>
      </c>
      <c r="K1609" s="3" t="s">
        <v>97</v>
      </c>
      <c r="L1609" s="3" t="s">
        <v>98</v>
      </c>
      <c r="M1609" s="3" t="s">
        <v>100</v>
      </c>
      <c r="N1609" s="3" t="s">
        <v>373</v>
      </c>
      <c r="O1609" s="5">
        <v>1.0</v>
      </c>
      <c r="P1609" s="6" t="str">
        <f t="shared" si="2"/>
        <v>Industrial Products</v>
      </c>
    </row>
    <row r="1610" hidden="1">
      <c r="A1610" s="3" t="s">
        <v>6845</v>
      </c>
      <c r="B1610" s="4">
        <v>526500.0</v>
      </c>
      <c r="C1610" s="3" t="s">
        <v>6846</v>
      </c>
      <c r="D1610" s="3" t="s">
        <v>6847</v>
      </c>
      <c r="E1610" s="3" t="s">
        <v>6848</v>
      </c>
      <c r="F1610" s="3" t="s">
        <v>19</v>
      </c>
      <c r="G1610" s="3" t="s">
        <v>44</v>
      </c>
      <c r="H1610" s="3">
        <v>10.0</v>
      </c>
      <c r="I1610" s="3" t="s">
        <v>6845</v>
      </c>
      <c r="J1610" s="3" t="s">
        <v>22</v>
      </c>
      <c r="K1610" s="3" t="s">
        <v>58</v>
      </c>
      <c r="L1610" s="3" t="s">
        <v>73</v>
      </c>
      <c r="M1610" s="3" t="s">
        <v>74</v>
      </c>
      <c r="N1610" s="3" t="s">
        <v>75</v>
      </c>
      <c r="O1610" s="5">
        <v>13.882608</v>
      </c>
      <c r="P1610" s="6" t="str">
        <f t="shared" si="2"/>
        <v>Leisure Services</v>
      </c>
    </row>
    <row r="1611" hidden="1">
      <c r="A1611" s="3" t="s">
        <v>6849</v>
      </c>
      <c r="B1611" s="4">
        <v>526506.0</v>
      </c>
      <c r="C1611" s="3" t="s">
        <v>6850</v>
      </c>
      <c r="D1611" s="3" t="s">
        <v>6851</v>
      </c>
      <c r="E1611" s="3" t="s">
        <v>6852</v>
      </c>
      <c r="F1611" s="3" t="s">
        <v>19</v>
      </c>
      <c r="G1611" s="3" t="s">
        <v>44</v>
      </c>
      <c r="H1611" s="3">
        <v>10.0</v>
      </c>
      <c r="I1611" s="3" t="s">
        <v>6849</v>
      </c>
      <c r="J1611" s="3" t="s">
        <v>22</v>
      </c>
      <c r="K1611" s="3" t="s">
        <v>204</v>
      </c>
      <c r="L1611" s="3" t="s">
        <v>204</v>
      </c>
      <c r="M1611" s="3" t="s">
        <v>205</v>
      </c>
      <c r="N1611" s="3" t="s">
        <v>2109</v>
      </c>
      <c r="O1611" s="5">
        <v>1537.8126413</v>
      </c>
      <c r="P1611" s="6" t="str">
        <f t="shared" si="2"/>
        <v>Capital Markets</v>
      </c>
    </row>
    <row r="1612" hidden="1">
      <c r="A1612" s="3" t="s">
        <v>6853</v>
      </c>
      <c r="B1612" s="4">
        <v>531297.0</v>
      </c>
      <c r="C1612" s="3" t="s">
        <v>6854</v>
      </c>
      <c r="D1612" s="3" t="s">
        <v>6855</v>
      </c>
      <c r="E1612" s="3" t="s">
        <v>6856</v>
      </c>
      <c r="F1612" s="3" t="s">
        <v>19</v>
      </c>
      <c r="G1612" s="3" t="s">
        <v>44</v>
      </c>
      <c r="H1612" s="3">
        <v>10.0</v>
      </c>
      <c r="I1612" s="3" t="s">
        <v>6857</v>
      </c>
      <c r="J1612" s="3" t="s">
        <v>22</v>
      </c>
      <c r="K1612" s="3" t="s">
        <v>1673</v>
      </c>
      <c r="L1612" s="3" t="s">
        <v>1673</v>
      </c>
      <c r="M1612" s="3" t="s">
        <v>1674</v>
      </c>
      <c r="N1612" s="3" t="s">
        <v>3189</v>
      </c>
      <c r="O1612" s="5">
        <v>52.5221495</v>
      </c>
      <c r="P1612" s="6" t="str">
        <f t="shared" si="2"/>
        <v>Commercial Services &amp; Supplies</v>
      </c>
    </row>
    <row r="1613" hidden="1">
      <c r="A1613" s="3" t="s">
        <v>6858</v>
      </c>
      <c r="B1613" s="4">
        <v>526519.0</v>
      </c>
      <c r="C1613" s="3" t="s">
        <v>6859</v>
      </c>
      <c r="D1613" s="3" t="s">
        <v>6860</v>
      </c>
      <c r="E1613" s="3" t="s">
        <v>6861</v>
      </c>
      <c r="F1613" s="3" t="s">
        <v>19</v>
      </c>
      <c r="G1613" s="3" t="s">
        <v>44</v>
      </c>
      <c r="H1613" s="3">
        <v>10.0</v>
      </c>
      <c r="I1613" s="3" t="s">
        <v>6858</v>
      </c>
      <c r="J1613" s="3" t="s">
        <v>22</v>
      </c>
      <c r="K1613" s="3" t="s">
        <v>58</v>
      </c>
      <c r="L1613" s="3" t="s">
        <v>59</v>
      </c>
      <c r="M1613" s="3" t="s">
        <v>59</v>
      </c>
      <c r="N1613" s="3" t="s">
        <v>60</v>
      </c>
      <c r="O1613" s="5">
        <v>222.3607823</v>
      </c>
      <c r="P1613" s="6" t="str">
        <f t="shared" si="2"/>
        <v>Residential, Commercial Projects</v>
      </c>
    </row>
    <row r="1614" hidden="1">
      <c r="A1614" s="3" t="s">
        <v>6862</v>
      </c>
      <c r="B1614" s="4">
        <v>526521.0</v>
      </c>
      <c r="C1614" s="3" t="s">
        <v>6863</v>
      </c>
      <c r="D1614" s="3" t="s">
        <v>6864</v>
      </c>
      <c r="E1614" s="3" t="s">
        <v>6865</v>
      </c>
      <c r="F1614" s="3" t="s">
        <v>19</v>
      </c>
      <c r="G1614" s="3" t="s">
        <v>112</v>
      </c>
      <c r="H1614" s="3">
        <v>10.0</v>
      </c>
      <c r="I1614" s="3" t="s">
        <v>6862</v>
      </c>
      <c r="J1614" s="3" t="s">
        <v>22</v>
      </c>
      <c r="K1614" s="3" t="s">
        <v>23</v>
      </c>
      <c r="L1614" s="3" t="s">
        <v>162</v>
      </c>
      <c r="M1614" s="3" t="s">
        <v>163</v>
      </c>
      <c r="N1614" s="3" t="s">
        <v>163</v>
      </c>
      <c r="O1614" s="5">
        <v>2603.9643346</v>
      </c>
      <c r="P1614" s="6" t="str">
        <f t="shared" si="2"/>
        <v>Cement &amp; Cement Products</v>
      </c>
    </row>
    <row r="1615" hidden="1">
      <c r="A1615" s="3" t="s">
        <v>6866</v>
      </c>
      <c r="B1615" s="4">
        <v>500370.0</v>
      </c>
      <c r="C1615" s="3" t="s">
        <v>6867</v>
      </c>
      <c r="D1615" s="3" t="s">
        <v>6868</v>
      </c>
      <c r="E1615" s="3" t="s">
        <v>6869</v>
      </c>
      <c r="F1615" s="3" t="s">
        <v>19</v>
      </c>
      <c r="G1615" s="3" t="s">
        <v>72</v>
      </c>
      <c r="H1615" s="3">
        <v>10.0</v>
      </c>
      <c r="I1615" s="3" t="s">
        <v>933</v>
      </c>
      <c r="J1615" s="3" t="s">
        <v>22</v>
      </c>
      <c r="K1615" s="3" t="s">
        <v>1673</v>
      </c>
      <c r="L1615" s="3" t="s">
        <v>1673</v>
      </c>
      <c r="M1615" s="3" t="s">
        <v>1674</v>
      </c>
      <c r="N1615" s="3" t="s">
        <v>1915</v>
      </c>
      <c r="O1615" s="5">
        <v>52.4563722</v>
      </c>
      <c r="P1615" s="6" t="str">
        <f t="shared" si="2"/>
        <v>Commercial Services &amp; Supplies</v>
      </c>
    </row>
    <row r="1616" hidden="1">
      <c r="A1616" s="3" t="s">
        <v>3815</v>
      </c>
      <c r="B1616" s="4">
        <v>531780.0</v>
      </c>
      <c r="C1616" s="3" t="s">
        <v>6870</v>
      </c>
      <c r="D1616" s="3" t="s">
        <v>6871</v>
      </c>
      <c r="E1616" s="3" t="s">
        <v>6870</v>
      </c>
      <c r="F1616" s="3" t="s">
        <v>19</v>
      </c>
      <c r="G1616" s="3" t="s">
        <v>44</v>
      </c>
      <c r="H1616" s="3">
        <v>1.0</v>
      </c>
      <c r="I1616" s="3" t="s">
        <v>6872</v>
      </c>
      <c r="J1616" s="3" t="s">
        <v>22</v>
      </c>
      <c r="K1616" s="3" t="s">
        <v>1673</v>
      </c>
      <c r="L1616" s="3" t="s">
        <v>1673</v>
      </c>
      <c r="M1616" s="3" t="s">
        <v>1674</v>
      </c>
      <c r="N1616" s="3" t="s">
        <v>1915</v>
      </c>
      <c r="O1616" s="5">
        <v>52.3075728</v>
      </c>
      <c r="P1616" s="6" t="str">
        <f t="shared" si="2"/>
        <v>Commercial Services &amp; Supplies</v>
      </c>
    </row>
    <row r="1617" hidden="1">
      <c r="A1617" s="3" t="s">
        <v>6873</v>
      </c>
      <c r="B1617" s="4">
        <v>526532.0</v>
      </c>
      <c r="C1617" s="3" t="s">
        <v>6874</v>
      </c>
      <c r="D1617" s="3" t="s">
        <v>6875</v>
      </c>
      <c r="E1617" s="3" t="s">
        <v>6874</v>
      </c>
      <c r="F1617" s="3" t="s">
        <v>19</v>
      </c>
      <c r="G1617" s="3" t="s">
        <v>44</v>
      </c>
      <c r="H1617" s="3">
        <v>5.0</v>
      </c>
      <c r="I1617" s="3" t="s">
        <v>6873</v>
      </c>
      <c r="J1617" s="3" t="s">
        <v>22</v>
      </c>
      <c r="K1617" s="3" t="s">
        <v>23</v>
      </c>
      <c r="L1617" s="3" t="s">
        <v>24</v>
      </c>
      <c r="M1617" s="3" t="s">
        <v>25</v>
      </c>
      <c r="N1617" s="3" t="s">
        <v>52</v>
      </c>
      <c r="O1617" s="5">
        <v>15.4915209</v>
      </c>
      <c r="P1617" s="6" t="str">
        <f t="shared" si="2"/>
        <v>Chemicals &amp; Petrochemicals</v>
      </c>
    </row>
    <row r="1618" hidden="1">
      <c r="A1618" s="3" t="s">
        <v>6876</v>
      </c>
      <c r="B1618" s="4">
        <v>526544.0</v>
      </c>
      <c r="C1618" s="3" t="s">
        <v>6877</v>
      </c>
      <c r="D1618" s="3" t="s">
        <v>6878</v>
      </c>
      <c r="E1618" s="3" t="s">
        <v>6879</v>
      </c>
      <c r="F1618" s="3" t="s">
        <v>19</v>
      </c>
      <c r="G1618" s="3" t="s">
        <v>72</v>
      </c>
      <c r="H1618" s="3">
        <v>2.0</v>
      </c>
      <c r="I1618" s="3" t="s">
        <v>6876</v>
      </c>
      <c r="J1618" s="3" t="s">
        <v>22</v>
      </c>
      <c r="K1618" s="3" t="s">
        <v>473</v>
      </c>
      <c r="L1618" s="3" t="s">
        <v>473</v>
      </c>
      <c r="M1618" s="3" t="s">
        <v>1538</v>
      </c>
      <c r="N1618" s="3" t="s">
        <v>1539</v>
      </c>
      <c r="O1618" s="5">
        <v>142.6196367</v>
      </c>
      <c r="P1618" s="6" t="str">
        <f t="shared" si="2"/>
        <v>IT - Services</v>
      </c>
    </row>
    <row r="1619" hidden="1">
      <c r="A1619" s="3" t="s">
        <v>6880</v>
      </c>
      <c r="B1619" s="4">
        <v>526546.0</v>
      </c>
      <c r="C1619" s="3" t="s">
        <v>6881</v>
      </c>
      <c r="D1619" s="3" t="s">
        <v>6882</v>
      </c>
      <c r="E1619" s="3" t="s">
        <v>6883</v>
      </c>
      <c r="F1619" s="3" t="s">
        <v>19</v>
      </c>
      <c r="G1619" s="3" t="s">
        <v>72</v>
      </c>
      <c r="H1619" s="3">
        <v>10.0</v>
      </c>
      <c r="I1619" s="3" t="s">
        <v>6880</v>
      </c>
      <c r="J1619" s="3" t="s">
        <v>22</v>
      </c>
      <c r="K1619" s="3" t="s">
        <v>45</v>
      </c>
      <c r="L1619" s="3" t="s">
        <v>45</v>
      </c>
      <c r="M1619" s="3" t="s">
        <v>4488</v>
      </c>
      <c r="N1619" s="3" t="s">
        <v>4489</v>
      </c>
      <c r="O1619" s="5">
        <v>38.378598</v>
      </c>
      <c r="P1619" s="6" t="str">
        <f t="shared" si="2"/>
        <v>Healthcare Services</v>
      </c>
    </row>
    <row r="1620" hidden="1">
      <c r="A1620" s="3" t="s">
        <v>6884</v>
      </c>
      <c r="B1620" s="4">
        <v>526550.0</v>
      </c>
      <c r="C1620" s="3" t="s">
        <v>6885</v>
      </c>
      <c r="D1620" s="3" t="s">
        <v>6886</v>
      </c>
      <c r="E1620" s="3" t="s">
        <v>6885</v>
      </c>
      <c r="F1620" s="3" t="s">
        <v>19</v>
      </c>
      <c r="G1620" s="3" t="s">
        <v>112</v>
      </c>
      <c r="H1620" s="3">
        <v>2.0</v>
      </c>
      <c r="I1620" s="3" t="s">
        <v>6884</v>
      </c>
      <c r="J1620" s="3" t="s">
        <v>22</v>
      </c>
      <c r="K1620" s="3" t="s">
        <v>58</v>
      </c>
      <c r="L1620" s="3" t="s">
        <v>73</v>
      </c>
      <c r="M1620" s="3" t="s">
        <v>74</v>
      </c>
      <c r="N1620" s="3" t="s">
        <v>75</v>
      </c>
      <c r="O1620" s="5">
        <v>373.5932937</v>
      </c>
      <c r="P1620" s="6" t="str">
        <f t="shared" si="2"/>
        <v>Leisure Services</v>
      </c>
    </row>
    <row r="1621" hidden="1">
      <c r="A1621" s="3" t="s">
        <v>6887</v>
      </c>
      <c r="B1621" s="4">
        <v>526568.0</v>
      </c>
      <c r="C1621" s="3" t="s">
        <v>6888</v>
      </c>
      <c r="D1621" s="3" t="s">
        <v>6889</v>
      </c>
      <c r="E1621" s="3" t="s">
        <v>6890</v>
      </c>
      <c r="F1621" s="3" t="s">
        <v>19</v>
      </c>
      <c r="G1621" s="3" t="s">
        <v>44</v>
      </c>
      <c r="H1621" s="3">
        <v>10.0</v>
      </c>
      <c r="I1621" s="3" t="s">
        <v>6887</v>
      </c>
      <c r="J1621" s="3" t="s">
        <v>22</v>
      </c>
      <c r="K1621" s="3" t="s">
        <v>145</v>
      </c>
      <c r="L1621" s="3" t="s">
        <v>145</v>
      </c>
      <c r="M1621" s="3" t="s">
        <v>146</v>
      </c>
      <c r="N1621" s="3" t="s">
        <v>444</v>
      </c>
      <c r="O1621" s="5">
        <v>12.6277928</v>
      </c>
      <c r="P1621" s="6" t="str">
        <f t="shared" si="2"/>
        <v>Agricultural Food &amp; other Products</v>
      </c>
    </row>
    <row r="1622" hidden="1">
      <c r="A1622" s="3" t="s">
        <v>6891</v>
      </c>
      <c r="B1622" s="4">
        <v>526570.0</v>
      </c>
      <c r="C1622" s="3" t="s">
        <v>6892</v>
      </c>
      <c r="D1622" s="3" t="s">
        <v>6893</v>
      </c>
      <c r="E1622" s="3" t="s">
        <v>6894</v>
      </c>
      <c r="F1622" s="3" t="s">
        <v>19</v>
      </c>
      <c r="G1622" s="3" t="s">
        <v>72</v>
      </c>
      <c r="H1622" s="3">
        <v>10.0</v>
      </c>
      <c r="I1622" s="3" t="s">
        <v>6891</v>
      </c>
      <c r="J1622" s="3" t="s">
        <v>22</v>
      </c>
      <c r="K1622" s="3" t="s">
        <v>23</v>
      </c>
      <c r="L1622" s="3" t="s">
        <v>162</v>
      </c>
      <c r="M1622" s="3" t="s">
        <v>1491</v>
      </c>
      <c r="N1622" s="3" t="s">
        <v>1491</v>
      </c>
      <c r="O1622" s="5">
        <v>1.0</v>
      </c>
      <c r="P1622" s="6" t="str">
        <f t="shared" si="2"/>
        <v>Other Construction Materials</v>
      </c>
    </row>
    <row r="1623" hidden="1">
      <c r="A1623" s="3" t="s">
        <v>6895</v>
      </c>
      <c r="B1623" s="4">
        <v>511194.0</v>
      </c>
      <c r="C1623" s="3" t="s">
        <v>6896</v>
      </c>
      <c r="D1623" s="3" t="s">
        <v>6897</v>
      </c>
      <c r="E1623" s="3" t="s">
        <v>6898</v>
      </c>
      <c r="F1623" s="3" t="s">
        <v>19</v>
      </c>
      <c r="G1623" s="3" t="s">
        <v>86</v>
      </c>
      <c r="H1623" s="3">
        <v>10.0</v>
      </c>
      <c r="I1623" s="3" t="s">
        <v>3252</v>
      </c>
      <c r="J1623" s="3" t="s">
        <v>22</v>
      </c>
      <c r="K1623" s="3" t="s">
        <v>1673</v>
      </c>
      <c r="L1623" s="3" t="s">
        <v>1673</v>
      </c>
      <c r="M1623" s="3" t="s">
        <v>1674</v>
      </c>
      <c r="N1623" s="3" t="s">
        <v>1675</v>
      </c>
      <c r="O1623" s="5">
        <v>50.2315608</v>
      </c>
      <c r="P1623" s="6" t="str">
        <f t="shared" si="2"/>
        <v>Commercial Services &amp; Supplies</v>
      </c>
    </row>
    <row r="1624" hidden="1">
      <c r="A1624" s="3" t="s">
        <v>6899</v>
      </c>
      <c r="B1624" s="4">
        <v>526576.0</v>
      </c>
      <c r="C1624" s="3" t="s">
        <v>6900</v>
      </c>
      <c r="D1624" s="3" t="s">
        <v>6901</v>
      </c>
      <c r="E1624" s="3" t="s">
        <v>6900</v>
      </c>
      <c r="F1624" s="3" t="s">
        <v>19</v>
      </c>
      <c r="G1624" s="3" t="s">
        <v>86</v>
      </c>
      <c r="H1624" s="3">
        <v>10.0</v>
      </c>
      <c r="I1624" s="3" t="s">
        <v>6899</v>
      </c>
      <c r="J1624" s="3" t="s">
        <v>22</v>
      </c>
      <c r="K1624" s="3" t="s">
        <v>58</v>
      </c>
      <c r="L1624" s="3" t="s">
        <v>59</v>
      </c>
      <c r="M1624" s="3" t="s">
        <v>59</v>
      </c>
      <c r="N1624" s="3" t="s">
        <v>60</v>
      </c>
      <c r="O1624" s="5">
        <v>40.279304</v>
      </c>
      <c r="P1624" s="6" t="str">
        <f t="shared" si="2"/>
        <v>Residential, Commercial Projects</v>
      </c>
    </row>
    <row r="1625" hidden="1">
      <c r="A1625" s="3" t="s">
        <v>6902</v>
      </c>
      <c r="B1625" s="4">
        <v>526582.0</v>
      </c>
      <c r="C1625" s="3" t="s">
        <v>6903</v>
      </c>
      <c r="D1625" s="3" t="s">
        <v>6904</v>
      </c>
      <c r="E1625" s="3" t="s">
        <v>6905</v>
      </c>
      <c r="F1625" s="3" t="s">
        <v>19</v>
      </c>
      <c r="G1625" s="3" t="s">
        <v>112</v>
      </c>
      <c r="H1625" s="3">
        <v>2.0</v>
      </c>
      <c r="I1625" s="3" t="s">
        <v>6902</v>
      </c>
      <c r="J1625" s="3" t="s">
        <v>22</v>
      </c>
      <c r="K1625" s="3" t="s">
        <v>97</v>
      </c>
      <c r="L1625" s="3" t="s">
        <v>98</v>
      </c>
      <c r="M1625" s="3" t="s">
        <v>100</v>
      </c>
      <c r="N1625" s="3" t="s">
        <v>373</v>
      </c>
      <c r="O1625" s="5">
        <v>699.5611455</v>
      </c>
      <c r="P1625" s="6" t="str">
        <f t="shared" si="2"/>
        <v>Industrial Products</v>
      </c>
    </row>
    <row r="1626" hidden="1">
      <c r="A1626" s="3" t="s">
        <v>6906</v>
      </c>
      <c r="B1626" s="4">
        <v>526586.0</v>
      </c>
      <c r="C1626" s="3" t="s">
        <v>6907</v>
      </c>
      <c r="D1626" s="3" t="s">
        <v>6908</v>
      </c>
      <c r="E1626" s="3" t="s">
        <v>6909</v>
      </c>
      <c r="F1626" s="3" t="s">
        <v>19</v>
      </c>
      <c r="G1626" s="3" t="s">
        <v>44</v>
      </c>
      <c r="H1626" s="3">
        <v>10.0</v>
      </c>
      <c r="I1626" s="3" t="s">
        <v>6906</v>
      </c>
      <c r="J1626" s="3" t="s">
        <v>22</v>
      </c>
      <c r="K1626" s="3" t="s">
        <v>58</v>
      </c>
      <c r="L1626" s="3" t="s">
        <v>211</v>
      </c>
      <c r="M1626" s="3" t="s">
        <v>211</v>
      </c>
      <c r="N1626" s="3" t="s">
        <v>848</v>
      </c>
      <c r="O1626" s="5">
        <v>728.603952</v>
      </c>
      <c r="P1626" s="6" t="str">
        <f t="shared" si="2"/>
        <v>Consumer Durables</v>
      </c>
    </row>
    <row r="1627" hidden="1">
      <c r="A1627" s="3" t="s">
        <v>6910</v>
      </c>
      <c r="B1627" s="4">
        <v>526588.0</v>
      </c>
      <c r="C1627" s="3" t="s">
        <v>6911</v>
      </c>
      <c r="D1627" s="3" t="s">
        <v>6912</v>
      </c>
      <c r="E1627" s="3" t="s">
        <v>6913</v>
      </c>
      <c r="F1627" s="3" t="s">
        <v>19</v>
      </c>
      <c r="G1627" s="3" t="s">
        <v>44</v>
      </c>
      <c r="H1627" s="3">
        <v>10.0</v>
      </c>
      <c r="I1627" s="3" t="s">
        <v>6910</v>
      </c>
      <c r="J1627" s="3" t="s">
        <v>22</v>
      </c>
      <c r="K1627" s="3" t="s">
        <v>145</v>
      </c>
      <c r="L1627" s="3" t="s">
        <v>145</v>
      </c>
      <c r="M1627" s="3" t="s">
        <v>1757</v>
      </c>
      <c r="N1627" s="3" t="s">
        <v>1757</v>
      </c>
      <c r="O1627" s="5">
        <v>14.7049905</v>
      </c>
      <c r="P1627" s="6" t="str">
        <f t="shared" si="2"/>
        <v>Household Products</v>
      </c>
    </row>
    <row r="1628" hidden="1">
      <c r="A1628" s="3" t="s">
        <v>6914</v>
      </c>
      <c r="B1628" s="4">
        <v>526596.0</v>
      </c>
      <c r="C1628" s="3" t="s">
        <v>6915</v>
      </c>
      <c r="D1628" s="3" t="s">
        <v>6916</v>
      </c>
      <c r="E1628" s="3" t="s">
        <v>6917</v>
      </c>
      <c r="F1628" s="3" t="s">
        <v>19</v>
      </c>
      <c r="G1628" s="3" t="s">
        <v>112</v>
      </c>
      <c r="H1628" s="3">
        <v>10.0</v>
      </c>
      <c r="I1628" s="3" t="s">
        <v>6914</v>
      </c>
      <c r="J1628" s="3" t="s">
        <v>22</v>
      </c>
      <c r="K1628" s="3" t="s">
        <v>58</v>
      </c>
      <c r="L1628" s="3" t="s">
        <v>211</v>
      </c>
      <c r="M1628" s="3" t="s">
        <v>211</v>
      </c>
      <c r="N1628" s="3" t="s">
        <v>932</v>
      </c>
      <c r="O1628" s="5">
        <v>692.8970414</v>
      </c>
      <c r="P1628" s="6" t="str">
        <f t="shared" si="2"/>
        <v>Consumer Durables</v>
      </c>
    </row>
    <row r="1629" hidden="1">
      <c r="A1629" s="3" t="s">
        <v>6918</v>
      </c>
      <c r="B1629" s="4">
        <v>526604.0</v>
      </c>
      <c r="C1629" s="3" t="s">
        <v>6919</v>
      </c>
      <c r="D1629" s="3" t="s">
        <v>6920</v>
      </c>
      <c r="E1629" s="3" t="s">
        <v>6921</v>
      </c>
      <c r="F1629" s="3" t="s">
        <v>19</v>
      </c>
      <c r="G1629" s="3" t="s">
        <v>44</v>
      </c>
      <c r="H1629" s="3">
        <v>10.0</v>
      </c>
      <c r="I1629" s="3" t="s">
        <v>6918</v>
      </c>
      <c r="J1629" s="3" t="s">
        <v>22</v>
      </c>
      <c r="K1629" s="3" t="s">
        <v>97</v>
      </c>
      <c r="L1629" s="3" t="s">
        <v>98</v>
      </c>
      <c r="M1629" s="3" t="s">
        <v>99</v>
      </c>
      <c r="N1629" s="3" t="s">
        <v>100</v>
      </c>
      <c r="O1629" s="5">
        <v>1.0</v>
      </c>
      <c r="P1629" s="6" t="str">
        <f t="shared" si="2"/>
        <v>Industrial Products</v>
      </c>
    </row>
    <row r="1630" hidden="1">
      <c r="A1630" s="3" t="s">
        <v>6922</v>
      </c>
      <c r="B1630" s="4">
        <v>526608.0</v>
      </c>
      <c r="C1630" s="3" t="s">
        <v>6923</v>
      </c>
      <c r="D1630" s="3" t="s">
        <v>6924</v>
      </c>
      <c r="E1630" s="3" t="s">
        <v>6925</v>
      </c>
      <c r="F1630" s="3" t="s">
        <v>19</v>
      </c>
      <c r="G1630" s="3" t="s">
        <v>86</v>
      </c>
      <c r="H1630" s="3">
        <v>10.0</v>
      </c>
      <c r="I1630" s="3" t="s">
        <v>6922</v>
      </c>
      <c r="J1630" s="3" t="s">
        <v>22</v>
      </c>
      <c r="K1630" s="3" t="s">
        <v>97</v>
      </c>
      <c r="L1630" s="3" t="s">
        <v>98</v>
      </c>
      <c r="M1630" s="3" t="s">
        <v>100</v>
      </c>
      <c r="N1630" s="3" t="s">
        <v>612</v>
      </c>
      <c r="O1630" s="5">
        <v>985.2700271</v>
      </c>
      <c r="P1630" s="6" t="str">
        <f t="shared" si="2"/>
        <v>Industrial Products</v>
      </c>
    </row>
    <row r="1631" hidden="1">
      <c r="A1631" s="3" t="s">
        <v>6926</v>
      </c>
      <c r="B1631" s="4">
        <v>533896.0</v>
      </c>
      <c r="C1631" s="3" t="s">
        <v>6927</v>
      </c>
      <c r="D1631" s="3" t="s">
        <v>6928</v>
      </c>
      <c r="E1631" s="3" t="s">
        <v>6929</v>
      </c>
      <c r="F1631" s="3" t="s">
        <v>19</v>
      </c>
      <c r="G1631" s="3" t="s">
        <v>44</v>
      </c>
      <c r="H1631" s="3">
        <v>10.0</v>
      </c>
      <c r="I1631" s="3" t="s">
        <v>6930</v>
      </c>
      <c r="J1631" s="3" t="s">
        <v>22</v>
      </c>
      <c r="K1631" s="3" t="s">
        <v>1673</v>
      </c>
      <c r="L1631" s="3" t="s">
        <v>1673</v>
      </c>
      <c r="M1631" s="3" t="s">
        <v>1674</v>
      </c>
      <c r="N1631" s="3" t="s">
        <v>1915</v>
      </c>
      <c r="O1631" s="5">
        <v>49.3226681</v>
      </c>
      <c r="P1631" s="6" t="str">
        <f t="shared" si="2"/>
        <v>Commercial Services &amp; Supplies</v>
      </c>
    </row>
    <row r="1632" hidden="1">
      <c r="A1632" s="3" t="s">
        <v>6931</v>
      </c>
      <c r="B1632" s="4">
        <v>526614.0</v>
      </c>
      <c r="C1632" s="3" t="s">
        <v>6932</v>
      </c>
      <c r="D1632" s="3" t="s">
        <v>6933</v>
      </c>
      <c r="E1632" s="3" t="s">
        <v>6934</v>
      </c>
      <c r="F1632" s="3" t="s">
        <v>19</v>
      </c>
      <c r="G1632" s="3" t="s">
        <v>44</v>
      </c>
      <c r="H1632" s="3">
        <v>4.0</v>
      </c>
      <c r="I1632" s="3" t="s">
        <v>6931</v>
      </c>
      <c r="J1632" s="3" t="s">
        <v>22</v>
      </c>
      <c r="K1632" s="3" t="s">
        <v>97</v>
      </c>
      <c r="L1632" s="3" t="s">
        <v>98</v>
      </c>
      <c r="M1632" s="3" t="s">
        <v>100</v>
      </c>
      <c r="N1632" s="3" t="s">
        <v>1386</v>
      </c>
      <c r="O1632" s="5">
        <v>77.9146462</v>
      </c>
      <c r="P1632" s="6" t="str">
        <f t="shared" si="2"/>
        <v>Industrial Products</v>
      </c>
    </row>
    <row r="1633" hidden="1">
      <c r="A1633" s="3" t="s">
        <v>6935</v>
      </c>
      <c r="B1633" s="4">
        <v>526616.0</v>
      </c>
      <c r="C1633" s="3" t="s">
        <v>6936</v>
      </c>
      <c r="D1633" s="3" t="s">
        <v>6937</v>
      </c>
      <c r="E1633" s="3" t="s">
        <v>6938</v>
      </c>
      <c r="F1633" s="3" t="s">
        <v>19</v>
      </c>
      <c r="G1633" s="3" t="s">
        <v>44</v>
      </c>
      <c r="H1633" s="3">
        <v>10.0</v>
      </c>
      <c r="I1633" s="3" t="s">
        <v>6935</v>
      </c>
      <c r="J1633" s="3" t="s">
        <v>22</v>
      </c>
      <c r="K1633" s="3" t="s">
        <v>97</v>
      </c>
      <c r="L1633" s="3" t="s">
        <v>98</v>
      </c>
      <c r="M1633" s="3" t="s">
        <v>100</v>
      </c>
      <c r="N1633" s="3" t="s">
        <v>580</v>
      </c>
      <c r="O1633" s="5">
        <v>59.8306368</v>
      </c>
      <c r="P1633" s="6" t="str">
        <f t="shared" si="2"/>
        <v>Industrial Products</v>
      </c>
    </row>
    <row r="1634" hidden="1">
      <c r="A1634" s="3" t="s">
        <v>6939</v>
      </c>
      <c r="B1634" s="4">
        <v>538875.0</v>
      </c>
      <c r="C1634" s="3" t="s">
        <v>6940</v>
      </c>
      <c r="D1634" s="3" t="s">
        <v>6941</v>
      </c>
      <c r="E1634" s="3" t="s">
        <v>6942</v>
      </c>
      <c r="F1634" s="3" t="s">
        <v>19</v>
      </c>
      <c r="G1634" s="3" t="s">
        <v>72</v>
      </c>
      <c r="H1634" s="3">
        <v>10.0</v>
      </c>
      <c r="I1634" s="3" t="s">
        <v>6943</v>
      </c>
      <c r="J1634" s="3" t="s">
        <v>22</v>
      </c>
      <c r="K1634" s="3" t="s">
        <v>1673</v>
      </c>
      <c r="L1634" s="3" t="s">
        <v>1673</v>
      </c>
      <c r="M1634" s="3" t="s">
        <v>1674</v>
      </c>
      <c r="N1634" s="3" t="s">
        <v>1675</v>
      </c>
      <c r="O1634" s="5">
        <v>48.6713657</v>
      </c>
      <c r="P1634" s="6" t="str">
        <f t="shared" si="2"/>
        <v>Commercial Services &amp; Supplies</v>
      </c>
    </row>
    <row r="1635" hidden="1">
      <c r="A1635" s="3" t="s">
        <v>6944</v>
      </c>
      <c r="B1635" s="4">
        <v>526638.0</v>
      </c>
      <c r="C1635" s="3" t="s">
        <v>6945</v>
      </c>
      <c r="D1635" s="3" t="s">
        <v>6946</v>
      </c>
      <c r="E1635" s="3" t="s">
        <v>6947</v>
      </c>
      <c r="F1635" s="3" t="s">
        <v>19</v>
      </c>
      <c r="G1635" s="3" t="s">
        <v>44</v>
      </c>
      <c r="H1635" s="3">
        <v>10.0</v>
      </c>
      <c r="I1635" s="3" t="s">
        <v>6944</v>
      </c>
      <c r="J1635" s="3" t="s">
        <v>22</v>
      </c>
      <c r="K1635" s="3" t="s">
        <v>97</v>
      </c>
      <c r="L1635" s="3" t="s">
        <v>98</v>
      </c>
      <c r="M1635" s="3" t="s">
        <v>100</v>
      </c>
      <c r="N1635" s="3" t="s">
        <v>580</v>
      </c>
      <c r="O1635" s="5">
        <v>32.4302133</v>
      </c>
      <c r="P1635" s="6" t="str">
        <f t="shared" si="2"/>
        <v>Industrial Products</v>
      </c>
    </row>
    <row r="1636" hidden="1">
      <c r="A1636" s="3" t="s">
        <v>6948</v>
      </c>
      <c r="B1636" s="4">
        <v>526640.0</v>
      </c>
      <c r="C1636" s="3" t="s">
        <v>6949</v>
      </c>
      <c r="D1636" s="3" t="s">
        <v>6950</v>
      </c>
      <c r="E1636" s="3" t="s">
        <v>6951</v>
      </c>
      <c r="F1636" s="3" t="s">
        <v>19</v>
      </c>
      <c r="G1636" s="3" t="s">
        <v>44</v>
      </c>
      <c r="H1636" s="3">
        <v>10.0</v>
      </c>
      <c r="I1636" s="3" t="s">
        <v>6948</v>
      </c>
      <c r="J1636" s="3" t="s">
        <v>22</v>
      </c>
      <c r="K1636" s="3" t="s">
        <v>58</v>
      </c>
      <c r="L1636" s="3" t="s">
        <v>73</v>
      </c>
      <c r="M1636" s="3" t="s">
        <v>74</v>
      </c>
      <c r="N1636" s="3" t="s">
        <v>75</v>
      </c>
      <c r="O1636" s="5">
        <v>84.187323</v>
      </c>
      <c r="P1636" s="6" t="str">
        <f t="shared" si="2"/>
        <v>Leisure Services</v>
      </c>
    </row>
    <row r="1637" hidden="1">
      <c r="A1637" s="3" t="s">
        <v>6952</v>
      </c>
      <c r="B1637" s="4">
        <v>526642.0</v>
      </c>
      <c r="C1637" s="3" t="s">
        <v>6953</v>
      </c>
      <c r="D1637" s="3" t="s">
        <v>6954</v>
      </c>
      <c r="E1637" s="3" t="s">
        <v>6955</v>
      </c>
      <c r="F1637" s="3" t="s">
        <v>19</v>
      </c>
      <c r="G1637" s="3" t="s">
        <v>112</v>
      </c>
      <c r="H1637" s="3">
        <v>2.0</v>
      </c>
      <c r="I1637" s="3" t="s">
        <v>6952</v>
      </c>
      <c r="J1637" s="3" t="s">
        <v>22</v>
      </c>
      <c r="K1637" s="3" t="s">
        <v>58</v>
      </c>
      <c r="L1637" s="3" t="s">
        <v>211</v>
      </c>
      <c r="M1637" s="3" t="s">
        <v>211</v>
      </c>
      <c r="N1637" s="3" t="s">
        <v>3963</v>
      </c>
      <c r="O1637" s="5">
        <v>641.771693</v>
      </c>
      <c r="P1637" s="6" t="str">
        <f t="shared" si="2"/>
        <v>Consumer Durables</v>
      </c>
    </row>
    <row r="1638" hidden="1">
      <c r="A1638" s="3" t="s">
        <v>6956</v>
      </c>
      <c r="B1638" s="4">
        <v>526650.0</v>
      </c>
      <c r="C1638" s="3" t="s">
        <v>6957</v>
      </c>
      <c r="D1638" s="3" t="s">
        <v>6958</v>
      </c>
      <c r="E1638" s="3" t="s">
        <v>6959</v>
      </c>
      <c r="F1638" s="3" t="s">
        <v>19</v>
      </c>
      <c r="G1638" s="3" t="s">
        <v>112</v>
      </c>
      <c r="H1638" s="3">
        <v>10.0</v>
      </c>
      <c r="I1638" s="3" t="s">
        <v>6956</v>
      </c>
      <c r="J1638" s="3" t="s">
        <v>22</v>
      </c>
      <c r="K1638" s="3" t="s">
        <v>204</v>
      </c>
      <c r="L1638" s="3" t="s">
        <v>204</v>
      </c>
      <c r="M1638" s="3" t="s">
        <v>378</v>
      </c>
      <c r="N1638" s="3" t="s">
        <v>6960</v>
      </c>
      <c r="O1638" s="5">
        <v>1841.3480393</v>
      </c>
      <c r="P1638" s="6" t="str">
        <f t="shared" si="2"/>
        <v>Finance</v>
      </c>
    </row>
    <row r="1639" hidden="1">
      <c r="A1639" s="3" t="s">
        <v>6961</v>
      </c>
      <c r="B1639" s="4">
        <v>526654.0</v>
      </c>
      <c r="C1639" s="3" t="s">
        <v>6962</v>
      </c>
      <c r="D1639" s="3" t="s">
        <v>6963</v>
      </c>
      <c r="E1639" s="3" t="s">
        <v>6964</v>
      </c>
      <c r="F1639" s="3" t="s">
        <v>19</v>
      </c>
      <c r="G1639" s="3" t="s">
        <v>44</v>
      </c>
      <c r="H1639" s="3">
        <v>10.0</v>
      </c>
      <c r="I1639" s="3" t="s">
        <v>6961</v>
      </c>
      <c r="J1639" s="3" t="s">
        <v>22</v>
      </c>
      <c r="K1639" s="3" t="s">
        <v>58</v>
      </c>
      <c r="L1639" s="3" t="s">
        <v>59</v>
      </c>
      <c r="M1639" s="3" t="s">
        <v>59</v>
      </c>
      <c r="N1639" s="3" t="s">
        <v>60</v>
      </c>
      <c r="O1639" s="5">
        <v>159.0184188</v>
      </c>
      <c r="P1639" s="6" t="str">
        <f t="shared" si="2"/>
        <v>Residential, Commercial Projects</v>
      </c>
    </row>
    <row r="1640" hidden="1">
      <c r="A1640" s="3" t="s">
        <v>6965</v>
      </c>
      <c r="B1640" s="4">
        <v>526662.0</v>
      </c>
      <c r="C1640" s="3" t="s">
        <v>6966</v>
      </c>
      <c r="D1640" s="3" t="s">
        <v>6967</v>
      </c>
      <c r="E1640" s="3" t="s">
        <v>6968</v>
      </c>
      <c r="F1640" s="3" t="s">
        <v>19</v>
      </c>
      <c r="G1640" s="3" t="s">
        <v>112</v>
      </c>
      <c r="H1640" s="3">
        <v>10.0</v>
      </c>
      <c r="I1640" s="3" t="s">
        <v>6965</v>
      </c>
      <c r="J1640" s="3" t="s">
        <v>22</v>
      </c>
      <c r="K1640" s="3" t="s">
        <v>23</v>
      </c>
      <c r="L1640" s="3" t="s">
        <v>65</v>
      </c>
      <c r="M1640" s="3" t="s">
        <v>438</v>
      </c>
      <c r="N1640" s="3" t="s">
        <v>439</v>
      </c>
      <c r="O1640" s="5">
        <v>14.7565863</v>
      </c>
      <c r="P1640" s="6" t="str">
        <f t="shared" si="2"/>
        <v>Metals &amp; Minerals Trading</v>
      </c>
    </row>
    <row r="1641" hidden="1">
      <c r="A1641" s="3" t="s">
        <v>6969</v>
      </c>
      <c r="B1641" s="4">
        <v>526666.0</v>
      </c>
      <c r="C1641" s="3" t="s">
        <v>6970</v>
      </c>
      <c r="D1641" s="3" t="s">
        <v>6971</v>
      </c>
      <c r="E1641" s="3" t="s">
        <v>6972</v>
      </c>
      <c r="F1641" s="3" t="s">
        <v>19</v>
      </c>
      <c r="G1641" s="3" t="s">
        <v>86</v>
      </c>
      <c r="H1641" s="3">
        <v>10.0</v>
      </c>
      <c r="I1641" s="3" t="s">
        <v>6969</v>
      </c>
      <c r="J1641" s="3" t="s">
        <v>22</v>
      </c>
      <c r="K1641" s="3" t="s">
        <v>58</v>
      </c>
      <c r="L1641" s="3" t="s">
        <v>211</v>
      </c>
      <c r="M1641" s="3" t="s">
        <v>211</v>
      </c>
      <c r="N1641" s="3" t="s">
        <v>3963</v>
      </c>
      <c r="O1641" s="5">
        <v>591.0985042</v>
      </c>
      <c r="P1641" s="6" t="str">
        <f t="shared" si="2"/>
        <v>Consumer Durables</v>
      </c>
    </row>
    <row r="1642" hidden="1">
      <c r="A1642" s="3" t="s">
        <v>6973</v>
      </c>
      <c r="B1642" s="4">
        <v>526668.0</v>
      </c>
      <c r="C1642" s="3" t="s">
        <v>6974</v>
      </c>
      <c r="D1642" s="3" t="s">
        <v>6975</v>
      </c>
      <c r="E1642" s="3" t="s">
        <v>6976</v>
      </c>
      <c r="F1642" s="3" t="s">
        <v>19</v>
      </c>
      <c r="G1642" s="3" t="s">
        <v>112</v>
      </c>
      <c r="H1642" s="3">
        <v>10.0</v>
      </c>
      <c r="I1642" s="3" t="s">
        <v>6973</v>
      </c>
      <c r="J1642" s="3" t="s">
        <v>22</v>
      </c>
      <c r="K1642" s="3" t="s">
        <v>58</v>
      </c>
      <c r="L1642" s="3" t="s">
        <v>73</v>
      </c>
      <c r="M1642" s="3" t="s">
        <v>74</v>
      </c>
      <c r="N1642" s="3" t="s">
        <v>75</v>
      </c>
      <c r="O1642" s="5">
        <v>597.6572593</v>
      </c>
      <c r="P1642" s="6" t="str">
        <f t="shared" si="2"/>
        <v>Leisure Services</v>
      </c>
    </row>
    <row r="1643" hidden="1">
      <c r="A1643" s="3" t="s">
        <v>6977</v>
      </c>
      <c r="B1643" s="4">
        <v>531067.0</v>
      </c>
      <c r="C1643" s="3" t="s">
        <v>6978</v>
      </c>
      <c r="D1643" s="3" t="s">
        <v>6979</v>
      </c>
      <c r="E1643" s="3" t="s">
        <v>6980</v>
      </c>
      <c r="F1643" s="3" t="s">
        <v>19</v>
      </c>
      <c r="G1643" s="3" t="s">
        <v>44</v>
      </c>
      <c r="H1643" s="3">
        <v>10.0</v>
      </c>
      <c r="I1643" s="3" t="s">
        <v>6981</v>
      </c>
      <c r="J1643" s="3" t="s">
        <v>22</v>
      </c>
      <c r="K1643" s="3" t="s">
        <v>1673</v>
      </c>
      <c r="L1643" s="3" t="s">
        <v>1673</v>
      </c>
      <c r="M1643" s="3" t="s">
        <v>1674</v>
      </c>
      <c r="N1643" s="3" t="s">
        <v>1915</v>
      </c>
      <c r="O1643" s="5">
        <v>48.0172578</v>
      </c>
      <c r="P1643" s="6" t="str">
        <f t="shared" si="2"/>
        <v>Commercial Services &amp; Supplies</v>
      </c>
    </row>
    <row r="1644" hidden="1">
      <c r="A1644" s="3" t="s">
        <v>6982</v>
      </c>
      <c r="B1644" s="4">
        <v>526677.0</v>
      </c>
      <c r="C1644" s="3" t="s">
        <v>6983</v>
      </c>
      <c r="D1644" s="3" t="s">
        <v>6984</v>
      </c>
      <c r="E1644" s="3" t="s">
        <v>6985</v>
      </c>
      <c r="F1644" s="3" t="s">
        <v>19</v>
      </c>
      <c r="G1644" s="3" t="s">
        <v>86</v>
      </c>
      <c r="H1644" s="3">
        <v>1.0</v>
      </c>
      <c r="I1644" s="3" t="s">
        <v>6982</v>
      </c>
      <c r="J1644" s="3" t="s">
        <v>22</v>
      </c>
      <c r="K1644" s="3" t="s">
        <v>58</v>
      </c>
      <c r="L1644" s="3" t="s">
        <v>73</v>
      </c>
      <c r="M1644" s="3" t="s">
        <v>800</v>
      </c>
      <c r="N1644" s="3" t="s">
        <v>801</v>
      </c>
      <c r="O1644" s="5">
        <v>45.26388</v>
      </c>
      <c r="P1644" s="6" t="str">
        <f t="shared" si="2"/>
        <v>Other Consumer Services</v>
      </c>
    </row>
    <row r="1645" hidden="1">
      <c r="A1645" s="3" t="s">
        <v>6986</v>
      </c>
      <c r="B1645" s="4">
        <v>526687.0</v>
      </c>
      <c r="C1645" s="3" t="s">
        <v>6987</v>
      </c>
      <c r="D1645" s="3" t="s">
        <v>6988</v>
      </c>
      <c r="E1645" s="3" t="s">
        <v>6989</v>
      </c>
      <c r="F1645" s="3" t="s">
        <v>19</v>
      </c>
      <c r="G1645" s="3" t="s">
        <v>57</v>
      </c>
      <c r="H1645" s="3">
        <v>10.0</v>
      </c>
      <c r="I1645" s="3" t="s">
        <v>6986</v>
      </c>
      <c r="J1645" s="3" t="s">
        <v>22</v>
      </c>
      <c r="K1645" s="3" t="s">
        <v>58</v>
      </c>
      <c r="L1645" s="3" t="s">
        <v>73</v>
      </c>
      <c r="M1645" s="3" t="s">
        <v>74</v>
      </c>
      <c r="N1645" s="3" t="s">
        <v>75</v>
      </c>
      <c r="O1645" s="5">
        <v>18.7499097</v>
      </c>
      <c r="P1645" s="6" t="str">
        <f t="shared" si="2"/>
        <v>Leisure Services</v>
      </c>
    </row>
    <row r="1646" hidden="1">
      <c r="A1646" s="3" t="s">
        <v>6990</v>
      </c>
      <c r="B1646" s="4">
        <v>526703.0</v>
      </c>
      <c r="C1646" s="3" t="s">
        <v>6991</v>
      </c>
      <c r="D1646" s="3" t="s">
        <v>6992</v>
      </c>
      <c r="E1646" s="3" t="s">
        <v>6993</v>
      </c>
      <c r="F1646" s="3" t="s">
        <v>19</v>
      </c>
      <c r="G1646" s="3" t="s">
        <v>44</v>
      </c>
      <c r="H1646" s="3">
        <v>10.0</v>
      </c>
      <c r="I1646" s="3" t="s">
        <v>6990</v>
      </c>
      <c r="J1646" s="3" t="s">
        <v>22</v>
      </c>
      <c r="K1646" s="3" t="s">
        <v>97</v>
      </c>
      <c r="L1646" s="3" t="s">
        <v>98</v>
      </c>
      <c r="M1646" s="3" t="s">
        <v>100</v>
      </c>
      <c r="N1646" s="3" t="s">
        <v>580</v>
      </c>
      <c r="O1646" s="5">
        <v>113.109834</v>
      </c>
      <c r="P1646" s="6" t="str">
        <f t="shared" si="2"/>
        <v>Industrial Products</v>
      </c>
    </row>
    <row r="1647" hidden="1">
      <c r="A1647" s="3" t="s">
        <v>6994</v>
      </c>
      <c r="B1647" s="4">
        <v>526705.0</v>
      </c>
      <c r="C1647" s="3" t="s">
        <v>6995</v>
      </c>
      <c r="D1647" s="3" t="s">
        <v>6996</v>
      </c>
      <c r="E1647" s="3" t="s">
        <v>6997</v>
      </c>
      <c r="F1647" s="3" t="s">
        <v>19</v>
      </c>
      <c r="G1647" s="3" t="s">
        <v>44</v>
      </c>
      <c r="H1647" s="3">
        <v>10.0</v>
      </c>
      <c r="I1647" s="3" t="s">
        <v>6994</v>
      </c>
      <c r="J1647" s="3" t="s">
        <v>22</v>
      </c>
      <c r="K1647" s="3" t="s">
        <v>58</v>
      </c>
      <c r="L1647" s="3" t="s">
        <v>211</v>
      </c>
      <c r="M1647" s="3" t="s">
        <v>211</v>
      </c>
      <c r="N1647" s="3" t="s">
        <v>4317</v>
      </c>
      <c r="O1647" s="5">
        <v>78.4335669</v>
      </c>
      <c r="P1647" s="6" t="str">
        <f t="shared" si="2"/>
        <v>Consumer Durables</v>
      </c>
    </row>
    <row r="1648" hidden="1">
      <c r="A1648" s="3" t="s">
        <v>6998</v>
      </c>
      <c r="B1648" s="4">
        <v>526709.0</v>
      </c>
      <c r="C1648" s="3" t="s">
        <v>6999</v>
      </c>
      <c r="D1648" s="3" t="s">
        <v>7000</v>
      </c>
      <c r="E1648" s="3" t="s">
        <v>7001</v>
      </c>
      <c r="F1648" s="3" t="s">
        <v>19</v>
      </c>
      <c r="G1648" s="3" t="s">
        <v>72</v>
      </c>
      <c r="H1648" s="3">
        <v>2.0</v>
      </c>
      <c r="I1648" s="3" t="s">
        <v>6998</v>
      </c>
      <c r="J1648" s="3" t="s">
        <v>22</v>
      </c>
      <c r="K1648" s="3" t="s">
        <v>473</v>
      </c>
      <c r="L1648" s="3" t="s">
        <v>473</v>
      </c>
      <c r="M1648" s="3" t="s">
        <v>1391</v>
      </c>
      <c r="N1648" s="3" t="s">
        <v>1392</v>
      </c>
      <c r="O1648" s="5">
        <v>40.2482889</v>
      </c>
      <c r="P1648" s="6" t="str">
        <f t="shared" si="2"/>
        <v>IT - Software</v>
      </c>
    </row>
    <row r="1649" hidden="1">
      <c r="A1649" s="3" t="s">
        <v>7002</v>
      </c>
      <c r="B1649" s="4">
        <v>526711.0</v>
      </c>
      <c r="C1649" s="3" t="s">
        <v>7003</v>
      </c>
      <c r="D1649" s="3" t="s">
        <v>7004</v>
      </c>
      <c r="E1649" s="3" t="s">
        <v>7005</v>
      </c>
      <c r="F1649" s="3" t="s">
        <v>19</v>
      </c>
      <c r="G1649" s="3" t="s">
        <v>72</v>
      </c>
      <c r="H1649" s="3">
        <v>10.0</v>
      </c>
      <c r="I1649" s="3" t="s">
        <v>7002</v>
      </c>
      <c r="J1649" s="3" t="s">
        <v>22</v>
      </c>
      <c r="K1649" s="3" t="s">
        <v>23</v>
      </c>
      <c r="L1649" s="3" t="s">
        <v>24</v>
      </c>
      <c r="M1649" s="3" t="s">
        <v>91</v>
      </c>
      <c r="N1649" s="3" t="s">
        <v>252</v>
      </c>
      <c r="O1649" s="5">
        <v>33.8282723</v>
      </c>
      <c r="P1649" s="6" t="str">
        <f t="shared" si="2"/>
        <v>Fertilizers &amp; Agrochemicals</v>
      </c>
    </row>
    <row r="1650" hidden="1">
      <c r="A1650" s="3" t="s">
        <v>7006</v>
      </c>
      <c r="B1650" s="4">
        <v>526717.0</v>
      </c>
      <c r="C1650" s="3" t="s">
        <v>7007</v>
      </c>
      <c r="D1650" s="3" t="s">
        <v>7008</v>
      </c>
      <c r="E1650" s="3" t="s">
        <v>7009</v>
      </c>
      <c r="F1650" s="3" t="s">
        <v>19</v>
      </c>
      <c r="G1650" s="3" t="s">
        <v>44</v>
      </c>
      <c r="H1650" s="3">
        <v>10.0</v>
      </c>
      <c r="I1650" s="3" t="s">
        <v>7006</v>
      </c>
      <c r="J1650" s="3" t="s">
        <v>22</v>
      </c>
      <c r="K1650" s="3" t="s">
        <v>97</v>
      </c>
      <c r="L1650" s="3" t="s">
        <v>98</v>
      </c>
      <c r="M1650" s="3" t="s">
        <v>100</v>
      </c>
      <c r="N1650" s="3" t="s">
        <v>373</v>
      </c>
      <c r="O1650" s="5">
        <v>173.6796</v>
      </c>
      <c r="P1650" s="6" t="str">
        <f t="shared" si="2"/>
        <v>Industrial Products</v>
      </c>
    </row>
    <row r="1651" hidden="1">
      <c r="A1651" s="3" t="s">
        <v>7010</v>
      </c>
      <c r="B1651" s="4">
        <v>526721.0</v>
      </c>
      <c r="C1651" s="3" t="s">
        <v>7011</v>
      </c>
      <c r="D1651" s="3" t="s">
        <v>7012</v>
      </c>
      <c r="E1651" s="3" t="s">
        <v>7013</v>
      </c>
      <c r="F1651" s="3" t="s">
        <v>19</v>
      </c>
      <c r="G1651" s="3" t="s">
        <v>44</v>
      </c>
      <c r="H1651" s="3">
        <v>1.0</v>
      </c>
      <c r="I1651" s="3" t="s">
        <v>7010</v>
      </c>
      <c r="J1651" s="3" t="s">
        <v>22</v>
      </c>
      <c r="K1651" s="3" t="s">
        <v>58</v>
      </c>
      <c r="L1651" s="3" t="s">
        <v>73</v>
      </c>
      <c r="M1651" s="3" t="s">
        <v>74</v>
      </c>
      <c r="N1651" s="3" t="s">
        <v>2446</v>
      </c>
      <c r="O1651" s="5">
        <v>715.009237</v>
      </c>
      <c r="P1651" s="6" t="str">
        <f t="shared" si="2"/>
        <v>Leisure Services</v>
      </c>
    </row>
    <row r="1652" hidden="1">
      <c r="A1652" s="3" t="s">
        <v>7014</v>
      </c>
      <c r="B1652" s="4">
        <v>526723.0</v>
      </c>
      <c r="C1652" s="3" t="s">
        <v>7015</v>
      </c>
      <c r="D1652" s="3" t="s">
        <v>7016</v>
      </c>
      <c r="E1652" s="3" t="s">
        <v>7017</v>
      </c>
      <c r="F1652" s="3" t="s">
        <v>19</v>
      </c>
      <c r="G1652" s="3" t="s">
        <v>44</v>
      </c>
      <c r="H1652" s="3">
        <v>10.0</v>
      </c>
      <c r="I1652" s="3" t="s">
        <v>7014</v>
      </c>
      <c r="J1652" s="3" t="s">
        <v>22</v>
      </c>
      <c r="K1652" s="3" t="s">
        <v>145</v>
      </c>
      <c r="L1652" s="3" t="s">
        <v>145</v>
      </c>
      <c r="M1652" s="3" t="s">
        <v>3120</v>
      </c>
      <c r="N1652" s="3" t="s">
        <v>3120</v>
      </c>
      <c r="O1652" s="5">
        <v>154.4343625</v>
      </c>
      <c r="P1652" s="6" t="str">
        <f t="shared" si="2"/>
        <v>Cigarettes &amp; Tobacco Products</v>
      </c>
    </row>
    <row r="1653" hidden="1">
      <c r="A1653" s="3" t="s">
        <v>7018</v>
      </c>
      <c r="B1653" s="4">
        <v>526725.0</v>
      </c>
      <c r="C1653" s="3" t="s">
        <v>7019</v>
      </c>
      <c r="D1653" s="3" t="s">
        <v>7020</v>
      </c>
      <c r="E1653" s="3" t="s">
        <v>7021</v>
      </c>
      <c r="F1653" s="3" t="s">
        <v>19</v>
      </c>
      <c r="G1653" s="3" t="s">
        <v>112</v>
      </c>
      <c r="H1653" s="3">
        <v>10.0</v>
      </c>
      <c r="I1653" s="3" t="s">
        <v>7018</v>
      </c>
      <c r="J1653" s="3" t="s">
        <v>22</v>
      </c>
      <c r="K1653" s="3" t="s">
        <v>58</v>
      </c>
      <c r="L1653" s="3" t="s">
        <v>182</v>
      </c>
      <c r="M1653" s="3" t="s">
        <v>183</v>
      </c>
      <c r="N1653" s="3" t="s">
        <v>184</v>
      </c>
      <c r="O1653" s="5">
        <v>1158.4173991</v>
      </c>
      <c r="P1653" s="6" t="str">
        <f t="shared" si="2"/>
        <v>Media</v>
      </c>
    </row>
    <row r="1654" hidden="1">
      <c r="A1654" s="3" t="s">
        <v>7022</v>
      </c>
      <c r="B1654" s="4">
        <v>526727.0</v>
      </c>
      <c r="C1654" s="3" t="s">
        <v>7023</v>
      </c>
      <c r="D1654" s="3" t="s">
        <v>7024</v>
      </c>
      <c r="E1654" s="3" t="s">
        <v>7025</v>
      </c>
      <c r="F1654" s="3" t="s">
        <v>19</v>
      </c>
      <c r="G1654" s="3" t="s">
        <v>44</v>
      </c>
      <c r="H1654" s="3">
        <v>10.0</v>
      </c>
      <c r="I1654" s="3" t="s">
        <v>7022</v>
      </c>
      <c r="J1654" s="3" t="s">
        <v>22</v>
      </c>
      <c r="K1654" s="3" t="s">
        <v>58</v>
      </c>
      <c r="L1654" s="3" t="s">
        <v>59</v>
      </c>
      <c r="M1654" s="3" t="s">
        <v>59</v>
      </c>
      <c r="N1654" s="3" t="s">
        <v>60</v>
      </c>
      <c r="O1654" s="5">
        <v>37.449702</v>
      </c>
      <c r="P1654" s="6" t="str">
        <f t="shared" si="2"/>
        <v>Residential, Commercial Projects</v>
      </c>
    </row>
    <row r="1655" hidden="1">
      <c r="A1655" s="3" t="s">
        <v>7026</v>
      </c>
      <c r="B1655" s="4">
        <v>526729.0</v>
      </c>
      <c r="C1655" s="3" t="s">
        <v>7027</v>
      </c>
      <c r="D1655" s="3" t="s">
        <v>7028</v>
      </c>
      <c r="E1655" s="3" t="s">
        <v>7029</v>
      </c>
      <c r="F1655" s="3" t="s">
        <v>19</v>
      </c>
      <c r="G1655" s="3" t="s">
        <v>112</v>
      </c>
      <c r="H1655" s="3">
        <v>2.0</v>
      </c>
      <c r="I1655" s="3" t="s">
        <v>7026</v>
      </c>
      <c r="J1655" s="3" t="s">
        <v>22</v>
      </c>
      <c r="K1655" s="3" t="s">
        <v>58</v>
      </c>
      <c r="L1655" s="3" t="s">
        <v>211</v>
      </c>
      <c r="M1655" s="3" t="s">
        <v>211</v>
      </c>
      <c r="N1655" s="3" t="s">
        <v>947</v>
      </c>
      <c r="O1655" s="5">
        <v>1744.6550557</v>
      </c>
      <c r="P1655" s="6" t="str">
        <f t="shared" si="2"/>
        <v>Consumer Durables</v>
      </c>
    </row>
    <row r="1656" hidden="1">
      <c r="A1656" s="3" t="s">
        <v>7030</v>
      </c>
      <c r="B1656" s="4">
        <v>526731.0</v>
      </c>
      <c r="C1656" s="3" t="s">
        <v>7031</v>
      </c>
      <c r="D1656" s="3" t="s">
        <v>7032</v>
      </c>
      <c r="E1656" s="3" t="s">
        <v>7033</v>
      </c>
      <c r="F1656" s="3" t="s">
        <v>19</v>
      </c>
      <c r="G1656" s="3" t="s">
        <v>44</v>
      </c>
      <c r="H1656" s="3">
        <v>10.0</v>
      </c>
      <c r="I1656" s="3" t="s">
        <v>7030</v>
      </c>
      <c r="J1656" s="3" t="s">
        <v>22</v>
      </c>
      <c r="K1656" s="3" t="s">
        <v>97</v>
      </c>
      <c r="L1656" s="3" t="s">
        <v>98</v>
      </c>
      <c r="M1656" s="3" t="s">
        <v>100</v>
      </c>
      <c r="N1656" s="3" t="s">
        <v>580</v>
      </c>
      <c r="O1656" s="5">
        <v>85.2073486</v>
      </c>
      <c r="P1656" s="6" t="str">
        <f t="shared" si="2"/>
        <v>Industrial Products</v>
      </c>
    </row>
    <row r="1657" hidden="1">
      <c r="A1657" s="3" t="s">
        <v>7034</v>
      </c>
      <c r="B1657" s="4">
        <v>526739.0</v>
      </c>
      <c r="C1657" s="3" t="s">
        <v>7035</v>
      </c>
      <c r="D1657" s="3" t="s">
        <v>7036</v>
      </c>
      <c r="E1657" s="3" t="s">
        <v>7037</v>
      </c>
      <c r="F1657" s="3" t="s">
        <v>19</v>
      </c>
      <c r="G1657" s="3" t="s">
        <v>44</v>
      </c>
      <c r="H1657" s="3">
        <v>10.0</v>
      </c>
      <c r="I1657" s="3" t="s">
        <v>7034</v>
      </c>
      <c r="J1657" s="3" t="s">
        <v>22</v>
      </c>
      <c r="K1657" s="3" t="s">
        <v>23</v>
      </c>
      <c r="L1657" s="3" t="s">
        <v>24</v>
      </c>
      <c r="M1657" s="3" t="s">
        <v>25</v>
      </c>
      <c r="N1657" s="3" t="s">
        <v>26</v>
      </c>
      <c r="O1657" s="5">
        <v>235.45764</v>
      </c>
      <c r="P1657" s="6" t="str">
        <f t="shared" si="2"/>
        <v>Specialty Chemicals</v>
      </c>
    </row>
    <row r="1658" hidden="1">
      <c r="A1658" s="3" t="s">
        <v>7038</v>
      </c>
      <c r="B1658" s="4">
        <v>526747.0</v>
      </c>
      <c r="C1658" s="3" t="s">
        <v>7039</v>
      </c>
      <c r="D1658" s="3" t="s">
        <v>7040</v>
      </c>
      <c r="E1658" s="3" t="s">
        <v>7041</v>
      </c>
      <c r="F1658" s="3" t="s">
        <v>19</v>
      </c>
      <c r="G1658" s="3" t="s">
        <v>44</v>
      </c>
      <c r="H1658" s="3">
        <v>10.0</v>
      </c>
      <c r="I1658" s="3" t="s">
        <v>7038</v>
      </c>
      <c r="J1658" s="3" t="s">
        <v>22</v>
      </c>
      <c r="K1658" s="3" t="s">
        <v>23</v>
      </c>
      <c r="L1658" s="3" t="s">
        <v>65</v>
      </c>
      <c r="M1658" s="3" t="s">
        <v>66</v>
      </c>
      <c r="N1658" s="3" t="s">
        <v>286</v>
      </c>
      <c r="O1658" s="5">
        <v>230.8204769</v>
      </c>
      <c r="P1658" s="6" t="str">
        <f t="shared" si="2"/>
        <v>Non - Ferrous Metals</v>
      </c>
    </row>
    <row r="1659" hidden="1">
      <c r="A1659" s="3" t="s">
        <v>7042</v>
      </c>
      <c r="B1659" s="4">
        <v>526751.0</v>
      </c>
      <c r="C1659" s="3" t="s">
        <v>7043</v>
      </c>
      <c r="D1659" s="3" t="s">
        <v>7044</v>
      </c>
      <c r="E1659" s="3" t="s">
        <v>7045</v>
      </c>
      <c r="F1659" s="3" t="s">
        <v>19</v>
      </c>
      <c r="G1659" s="3" t="s">
        <v>44</v>
      </c>
      <c r="H1659" s="3">
        <v>10.0</v>
      </c>
      <c r="I1659" s="3" t="s">
        <v>7042</v>
      </c>
      <c r="J1659" s="3" t="s">
        <v>22</v>
      </c>
      <c r="K1659" s="3" t="s">
        <v>23</v>
      </c>
      <c r="L1659" s="3" t="s">
        <v>32</v>
      </c>
      <c r="M1659" s="3" t="s">
        <v>33</v>
      </c>
      <c r="N1659" s="3" t="s">
        <v>34</v>
      </c>
      <c r="O1659" s="5">
        <v>7.5877406</v>
      </c>
      <c r="P1659" s="6" t="str">
        <f t="shared" si="2"/>
        <v>Paper, Forest &amp; Jute Products</v>
      </c>
    </row>
    <row r="1660" hidden="1">
      <c r="A1660" s="3" t="s">
        <v>7046</v>
      </c>
      <c r="B1660" s="4">
        <v>526755.0</v>
      </c>
      <c r="C1660" s="3" t="s">
        <v>7047</v>
      </c>
      <c r="D1660" s="3" t="s">
        <v>7048</v>
      </c>
      <c r="E1660" s="3" t="s">
        <v>7049</v>
      </c>
      <c r="F1660" s="3" t="s">
        <v>19</v>
      </c>
      <c r="G1660" s="3" t="s">
        <v>72</v>
      </c>
      <c r="H1660" s="3">
        <v>10.0</v>
      </c>
      <c r="I1660" s="3" t="s">
        <v>7046</v>
      </c>
      <c r="J1660" s="3" t="s">
        <v>22</v>
      </c>
      <c r="K1660" s="3" t="s">
        <v>58</v>
      </c>
      <c r="L1660" s="3" t="s">
        <v>73</v>
      </c>
      <c r="M1660" s="3" t="s">
        <v>74</v>
      </c>
      <c r="N1660" s="3" t="s">
        <v>75</v>
      </c>
      <c r="O1660" s="5">
        <v>21.7356022</v>
      </c>
      <c r="P1660" s="6" t="str">
        <f t="shared" si="2"/>
        <v>Leisure Services</v>
      </c>
    </row>
    <row r="1661" hidden="1">
      <c r="A1661" s="3" t="s">
        <v>7050</v>
      </c>
      <c r="B1661" s="4">
        <v>526761.0</v>
      </c>
      <c r="C1661" s="3" t="s">
        <v>7051</v>
      </c>
      <c r="D1661" s="3" t="s">
        <v>7052</v>
      </c>
      <c r="E1661" s="3" t="s">
        <v>7053</v>
      </c>
      <c r="F1661" s="3" t="s">
        <v>19</v>
      </c>
      <c r="G1661" s="3" t="s">
        <v>44</v>
      </c>
      <c r="H1661" s="3">
        <v>10.0</v>
      </c>
      <c r="I1661" s="3" t="s">
        <v>7050</v>
      </c>
      <c r="J1661" s="3" t="s">
        <v>22</v>
      </c>
      <c r="K1661" s="3" t="s">
        <v>58</v>
      </c>
      <c r="L1661" s="3" t="s">
        <v>73</v>
      </c>
      <c r="M1661" s="3" t="s">
        <v>74</v>
      </c>
      <c r="N1661" s="3" t="s">
        <v>75</v>
      </c>
      <c r="O1661" s="5">
        <v>22.4481274</v>
      </c>
      <c r="P1661" s="6" t="str">
        <f t="shared" si="2"/>
        <v>Leisure Services</v>
      </c>
    </row>
    <row r="1662" hidden="1">
      <c r="A1662" s="3" t="s">
        <v>7054</v>
      </c>
      <c r="B1662" s="4">
        <v>526773.0</v>
      </c>
      <c r="C1662" s="3" t="s">
        <v>7055</v>
      </c>
      <c r="D1662" s="3" t="s">
        <v>7056</v>
      </c>
      <c r="E1662" s="3" t="s">
        <v>7057</v>
      </c>
      <c r="F1662" s="3" t="s">
        <v>19</v>
      </c>
      <c r="G1662" s="3" t="s">
        <v>44</v>
      </c>
      <c r="H1662" s="3">
        <v>1.0</v>
      </c>
      <c r="I1662" s="3" t="s">
        <v>7054</v>
      </c>
      <c r="J1662" s="3" t="s">
        <v>22</v>
      </c>
      <c r="K1662" s="3" t="s">
        <v>58</v>
      </c>
      <c r="L1662" s="3" t="s">
        <v>80</v>
      </c>
      <c r="M1662" s="3" t="s">
        <v>81</v>
      </c>
      <c r="N1662" s="3" t="s">
        <v>82</v>
      </c>
      <c r="O1662" s="5">
        <v>120.4720718</v>
      </c>
      <c r="P1662" s="6" t="str">
        <f t="shared" si="2"/>
        <v>Textiles &amp; Apparels</v>
      </c>
    </row>
    <row r="1663" hidden="1">
      <c r="A1663" s="3" t="s">
        <v>7058</v>
      </c>
      <c r="B1663" s="4">
        <v>526775.0</v>
      </c>
      <c r="C1663" s="3" t="s">
        <v>7059</v>
      </c>
      <c r="D1663" s="3" t="s">
        <v>7060</v>
      </c>
      <c r="E1663" s="3" t="s">
        <v>7061</v>
      </c>
      <c r="F1663" s="3" t="s">
        <v>19</v>
      </c>
      <c r="G1663" s="3" t="s">
        <v>72</v>
      </c>
      <c r="H1663" s="3">
        <v>10.0</v>
      </c>
      <c r="I1663" s="3" t="s">
        <v>7058</v>
      </c>
      <c r="J1663" s="3" t="s">
        <v>22</v>
      </c>
      <c r="K1663" s="3" t="s">
        <v>189</v>
      </c>
      <c r="L1663" s="3" t="s">
        <v>189</v>
      </c>
      <c r="M1663" s="3" t="s">
        <v>190</v>
      </c>
      <c r="N1663" s="3" t="s">
        <v>190</v>
      </c>
      <c r="O1663" s="5">
        <v>496.7585104</v>
      </c>
      <c r="P1663" s="6" t="str">
        <f t="shared" si="2"/>
        <v>Telecom - Equipment &amp; Accessories</v>
      </c>
    </row>
    <row r="1664" hidden="1">
      <c r="A1664" s="3" t="s">
        <v>7062</v>
      </c>
      <c r="B1664" s="4">
        <v>526783.0</v>
      </c>
      <c r="C1664" s="3" t="s">
        <v>7063</v>
      </c>
      <c r="D1664" s="3" t="s">
        <v>7064</v>
      </c>
      <c r="E1664" s="3" t="s">
        <v>7065</v>
      </c>
      <c r="F1664" s="3" t="s">
        <v>19</v>
      </c>
      <c r="G1664" s="3" t="s">
        <v>44</v>
      </c>
      <c r="H1664" s="3">
        <v>10.0</v>
      </c>
      <c r="I1664" s="3" t="s">
        <v>7062</v>
      </c>
      <c r="J1664" s="3" t="s">
        <v>22</v>
      </c>
      <c r="K1664" s="3" t="s">
        <v>45</v>
      </c>
      <c r="L1664" s="3" t="s">
        <v>45</v>
      </c>
      <c r="M1664" s="3" t="s">
        <v>4488</v>
      </c>
      <c r="N1664" s="3" t="s">
        <v>5801</v>
      </c>
      <c r="O1664" s="5">
        <v>1487.4924754</v>
      </c>
      <c r="P1664" s="6" t="str">
        <f t="shared" si="2"/>
        <v>Healthcare Services</v>
      </c>
    </row>
    <row r="1665" hidden="1">
      <c r="A1665" s="3" t="s">
        <v>7066</v>
      </c>
      <c r="B1665" s="4">
        <v>505523.0</v>
      </c>
      <c r="C1665" s="3" t="s">
        <v>7067</v>
      </c>
      <c r="D1665" s="3" t="s">
        <v>7068</v>
      </c>
      <c r="E1665" s="3" t="s">
        <v>7069</v>
      </c>
      <c r="F1665" s="3" t="s">
        <v>19</v>
      </c>
      <c r="G1665" s="3" t="s">
        <v>72</v>
      </c>
      <c r="H1665" s="3">
        <v>1.0</v>
      </c>
      <c r="I1665" s="3" t="s">
        <v>2100</v>
      </c>
      <c r="J1665" s="3" t="s">
        <v>22</v>
      </c>
      <c r="K1665" s="3" t="s">
        <v>1673</v>
      </c>
      <c r="L1665" s="3" t="s">
        <v>1673</v>
      </c>
      <c r="M1665" s="3" t="s">
        <v>1674</v>
      </c>
      <c r="N1665" s="3" t="s">
        <v>1915</v>
      </c>
      <c r="O1665" s="5">
        <v>48.0155175</v>
      </c>
      <c r="P1665" s="6" t="str">
        <f t="shared" si="2"/>
        <v>Commercial Services &amp; Supplies</v>
      </c>
    </row>
    <row r="1666" hidden="1">
      <c r="A1666" s="3" t="s">
        <v>7070</v>
      </c>
      <c r="B1666" s="4">
        <v>526797.0</v>
      </c>
      <c r="C1666" s="3" t="s">
        <v>7071</v>
      </c>
      <c r="D1666" s="3" t="s">
        <v>7072</v>
      </c>
      <c r="E1666" s="3" t="s">
        <v>7073</v>
      </c>
      <c r="F1666" s="3" t="s">
        <v>19</v>
      </c>
      <c r="G1666" s="3" t="s">
        <v>112</v>
      </c>
      <c r="H1666" s="3">
        <v>1.0</v>
      </c>
      <c r="I1666" s="3" t="s">
        <v>7070</v>
      </c>
      <c r="J1666" s="3" t="s">
        <v>22</v>
      </c>
      <c r="K1666" s="3" t="s">
        <v>58</v>
      </c>
      <c r="L1666" s="3" t="s">
        <v>211</v>
      </c>
      <c r="M1666" s="3" t="s">
        <v>211</v>
      </c>
      <c r="N1666" s="3" t="s">
        <v>1444</v>
      </c>
      <c r="O1666" s="5">
        <v>3977.9250057</v>
      </c>
      <c r="P1666" s="6" t="str">
        <f t="shared" si="2"/>
        <v>Consumer Durables</v>
      </c>
    </row>
    <row r="1667" hidden="1">
      <c r="A1667" s="3" t="s">
        <v>2054</v>
      </c>
      <c r="B1667" s="4">
        <v>531931.0</v>
      </c>
      <c r="C1667" s="3" t="s">
        <v>7074</v>
      </c>
      <c r="D1667" s="3" t="s">
        <v>7075</v>
      </c>
      <c r="E1667" s="3" t="s">
        <v>7076</v>
      </c>
      <c r="F1667" s="3" t="s">
        <v>19</v>
      </c>
      <c r="G1667" s="3" t="s">
        <v>44</v>
      </c>
      <c r="H1667" s="3">
        <v>10.0</v>
      </c>
      <c r="I1667" s="3" t="s">
        <v>7077</v>
      </c>
      <c r="J1667" s="3" t="s">
        <v>22</v>
      </c>
      <c r="K1667" s="3" t="s">
        <v>1673</v>
      </c>
      <c r="L1667" s="3" t="s">
        <v>1673</v>
      </c>
      <c r="M1667" s="3" t="s">
        <v>1674</v>
      </c>
      <c r="N1667" s="3" t="s">
        <v>1675</v>
      </c>
      <c r="O1667" s="5">
        <v>47.3881415</v>
      </c>
      <c r="P1667" s="6" t="str">
        <f t="shared" si="2"/>
        <v>Commercial Services &amp; Supplies</v>
      </c>
    </row>
    <row r="1668" hidden="1">
      <c r="A1668" s="3" t="s">
        <v>7078</v>
      </c>
      <c r="B1668" s="4">
        <v>526813.0</v>
      </c>
      <c r="C1668" s="3" t="s">
        <v>7079</v>
      </c>
      <c r="D1668" s="3" t="s">
        <v>7080</v>
      </c>
      <c r="E1668" s="3" t="s">
        <v>7081</v>
      </c>
      <c r="F1668" s="3" t="s">
        <v>19</v>
      </c>
      <c r="G1668" s="3" t="s">
        <v>72</v>
      </c>
      <c r="H1668" s="3">
        <v>10.0</v>
      </c>
      <c r="I1668" s="3" t="s">
        <v>7078</v>
      </c>
      <c r="J1668" s="3" t="s">
        <v>22</v>
      </c>
      <c r="K1668" s="3" t="s">
        <v>145</v>
      </c>
      <c r="L1668" s="3" t="s">
        <v>145</v>
      </c>
      <c r="M1668" s="3" t="s">
        <v>3120</v>
      </c>
      <c r="N1668" s="3" t="s">
        <v>3120</v>
      </c>
      <c r="O1668" s="5">
        <v>1.0</v>
      </c>
      <c r="P1668" s="6" t="str">
        <f t="shared" si="2"/>
        <v>Cigarettes &amp; Tobacco Products</v>
      </c>
    </row>
    <row r="1669" hidden="1">
      <c r="A1669" s="3" t="s">
        <v>7082</v>
      </c>
      <c r="B1669" s="4">
        <v>526817.0</v>
      </c>
      <c r="C1669" s="3" t="s">
        <v>7083</v>
      </c>
      <c r="D1669" s="3" t="s">
        <v>7084</v>
      </c>
      <c r="E1669" s="3" t="s">
        <v>7085</v>
      </c>
      <c r="F1669" s="3" t="s">
        <v>19</v>
      </c>
      <c r="G1669" s="3" t="s">
        <v>112</v>
      </c>
      <c r="H1669" s="3">
        <v>10.0</v>
      </c>
      <c r="I1669" s="3" t="s">
        <v>7082</v>
      </c>
      <c r="J1669" s="3" t="s">
        <v>22</v>
      </c>
      <c r="K1669" s="3" t="s">
        <v>23</v>
      </c>
      <c r="L1669" s="3" t="s">
        <v>32</v>
      </c>
      <c r="M1669" s="3" t="s">
        <v>33</v>
      </c>
      <c r="N1669" s="3" t="s">
        <v>6662</v>
      </c>
      <c r="O1669" s="5">
        <v>849.9261561</v>
      </c>
      <c r="P1669" s="6" t="str">
        <f t="shared" si="2"/>
        <v>Paper, Forest &amp; Jute Products</v>
      </c>
    </row>
    <row r="1670" hidden="1">
      <c r="A1670" s="3" t="s">
        <v>7086</v>
      </c>
      <c r="B1670" s="4">
        <v>526821.0</v>
      </c>
      <c r="C1670" s="3" t="s">
        <v>7087</v>
      </c>
      <c r="D1670" s="3" t="s">
        <v>7088</v>
      </c>
      <c r="E1670" s="3" t="s">
        <v>7089</v>
      </c>
      <c r="F1670" s="3" t="s">
        <v>19</v>
      </c>
      <c r="G1670" s="3" t="s">
        <v>44</v>
      </c>
      <c r="H1670" s="3">
        <v>10.0</v>
      </c>
      <c r="I1670" s="3" t="s">
        <v>7086</v>
      </c>
      <c r="J1670" s="3" t="s">
        <v>22</v>
      </c>
      <c r="K1670" s="3" t="s">
        <v>23</v>
      </c>
      <c r="L1670" s="3" t="s">
        <v>24</v>
      </c>
      <c r="M1670" s="3" t="s">
        <v>25</v>
      </c>
      <c r="N1670" s="3" t="s">
        <v>26</v>
      </c>
      <c r="O1670" s="5">
        <v>473.352768</v>
      </c>
      <c r="P1670" s="6" t="str">
        <f t="shared" si="2"/>
        <v>Specialty Chemicals</v>
      </c>
    </row>
    <row r="1671" hidden="1">
      <c r="A1671" s="3" t="s">
        <v>7090</v>
      </c>
      <c r="B1671" s="4">
        <v>526823.0</v>
      </c>
      <c r="C1671" s="3" t="s">
        <v>7091</v>
      </c>
      <c r="D1671" s="3" t="s">
        <v>7092</v>
      </c>
      <c r="E1671" s="3" t="s">
        <v>7091</v>
      </c>
      <c r="F1671" s="3" t="s">
        <v>19</v>
      </c>
      <c r="G1671" s="3" t="s">
        <v>72</v>
      </c>
      <c r="H1671" s="3">
        <v>10.0</v>
      </c>
      <c r="I1671" s="3" t="s">
        <v>7090</v>
      </c>
      <c r="J1671" s="3" t="s">
        <v>22</v>
      </c>
      <c r="K1671" s="3" t="s">
        <v>58</v>
      </c>
      <c r="L1671" s="3" t="s">
        <v>59</v>
      </c>
      <c r="M1671" s="3" t="s">
        <v>59</v>
      </c>
      <c r="N1671" s="3" t="s">
        <v>60</v>
      </c>
      <c r="O1671" s="5">
        <v>2.8312033</v>
      </c>
      <c r="P1671" s="6" t="str">
        <f t="shared" si="2"/>
        <v>Residential, Commercial Projects</v>
      </c>
    </row>
    <row r="1672" hidden="1">
      <c r="A1672" s="3" t="s">
        <v>7093</v>
      </c>
      <c r="B1672" s="4">
        <v>526827.0</v>
      </c>
      <c r="C1672" s="3" t="s">
        <v>7094</v>
      </c>
      <c r="D1672" s="3" t="s">
        <v>7095</v>
      </c>
      <c r="E1672" s="3" t="s">
        <v>7096</v>
      </c>
      <c r="F1672" s="3" t="s">
        <v>19</v>
      </c>
      <c r="G1672" s="3" t="s">
        <v>72</v>
      </c>
      <c r="H1672" s="3">
        <v>10.0</v>
      </c>
      <c r="I1672" s="3" t="s">
        <v>7093</v>
      </c>
      <c r="J1672" s="3" t="s">
        <v>22</v>
      </c>
      <c r="K1672" s="3" t="s">
        <v>58</v>
      </c>
      <c r="L1672" s="3" t="s">
        <v>211</v>
      </c>
      <c r="M1672" s="3" t="s">
        <v>211</v>
      </c>
      <c r="N1672" s="3" t="s">
        <v>947</v>
      </c>
      <c r="O1672" s="5">
        <v>16.0691</v>
      </c>
      <c r="P1672" s="6" t="str">
        <f t="shared" si="2"/>
        <v>Consumer Durables</v>
      </c>
    </row>
    <row r="1673" hidden="1">
      <c r="A1673" s="3" t="s">
        <v>7097</v>
      </c>
      <c r="B1673" s="4">
        <v>526829.0</v>
      </c>
      <c r="C1673" s="3" t="s">
        <v>7098</v>
      </c>
      <c r="D1673" s="3" t="s">
        <v>7099</v>
      </c>
      <c r="E1673" s="3" t="s">
        <v>7100</v>
      </c>
      <c r="F1673" s="3" t="s">
        <v>19</v>
      </c>
      <c r="G1673" s="3" t="s">
        <v>20</v>
      </c>
      <c r="H1673" s="3">
        <v>1.0</v>
      </c>
      <c r="I1673" s="3" t="s">
        <v>7097</v>
      </c>
      <c r="J1673" s="3" t="s">
        <v>22</v>
      </c>
      <c r="K1673" s="3" t="s">
        <v>410</v>
      </c>
      <c r="L1673" s="3" t="s">
        <v>411</v>
      </c>
      <c r="M1673" s="3" t="s">
        <v>5841</v>
      </c>
      <c r="N1673" s="3" t="s">
        <v>6191</v>
      </c>
      <c r="O1673" s="5">
        <v>2759.7396663</v>
      </c>
      <c r="P1673" s="6" t="str">
        <f t="shared" si="2"/>
        <v>Gas</v>
      </c>
    </row>
    <row r="1674" hidden="1">
      <c r="A1674" s="3" t="s">
        <v>7101</v>
      </c>
      <c r="B1674" s="4">
        <v>526839.0</v>
      </c>
      <c r="C1674" s="3" t="s">
        <v>7102</v>
      </c>
      <c r="D1674" s="3" t="s">
        <v>7103</v>
      </c>
      <c r="E1674" s="3" t="s">
        <v>7104</v>
      </c>
      <c r="F1674" s="3" t="s">
        <v>19</v>
      </c>
      <c r="G1674" s="3" t="s">
        <v>44</v>
      </c>
      <c r="H1674" s="3">
        <v>10.0</v>
      </c>
      <c r="I1674" s="3" t="s">
        <v>7101</v>
      </c>
      <c r="J1674" s="3" t="s">
        <v>22</v>
      </c>
      <c r="K1674" s="3" t="s">
        <v>97</v>
      </c>
      <c r="L1674" s="3" t="s">
        <v>965</v>
      </c>
      <c r="M1674" s="3" t="s">
        <v>965</v>
      </c>
      <c r="N1674" s="3" t="s">
        <v>966</v>
      </c>
      <c r="O1674" s="5">
        <v>1.0</v>
      </c>
      <c r="P1674" s="6" t="str">
        <f t="shared" si="2"/>
        <v>Civil Construction</v>
      </c>
    </row>
    <row r="1675" hidden="1">
      <c r="A1675" s="3" t="s">
        <v>7105</v>
      </c>
      <c r="B1675" s="4">
        <v>526841.0</v>
      </c>
      <c r="C1675" s="3" t="s">
        <v>7106</v>
      </c>
      <c r="D1675" s="3" t="s">
        <v>7107</v>
      </c>
      <c r="E1675" s="3" t="s">
        <v>7108</v>
      </c>
      <c r="F1675" s="3" t="s">
        <v>19</v>
      </c>
      <c r="G1675" s="3" t="s">
        <v>72</v>
      </c>
      <c r="H1675" s="3">
        <v>10.0</v>
      </c>
      <c r="I1675" s="3" t="s">
        <v>7105</v>
      </c>
      <c r="J1675" s="3" t="s">
        <v>22</v>
      </c>
      <c r="K1675" s="3" t="s">
        <v>58</v>
      </c>
      <c r="L1675" s="3" t="s">
        <v>182</v>
      </c>
      <c r="M1675" s="3" t="s">
        <v>2898</v>
      </c>
      <c r="N1675" s="3" t="s">
        <v>2898</v>
      </c>
      <c r="O1675" s="5">
        <v>1.0</v>
      </c>
      <c r="P1675" s="6" t="str">
        <f t="shared" si="2"/>
        <v>Printing &amp; Publication</v>
      </c>
    </row>
    <row r="1676" hidden="1">
      <c r="A1676" s="3" t="s">
        <v>7109</v>
      </c>
      <c r="B1676" s="4">
        <v>526847.0</v>
      </c>
      <c r="C1676" s="3" t="s">
        <v>7110</v>
      </c>
      <c r="D1676" s="3" t="s">
        <v>7111</v>
      </c>
      <c r="E1676" s="3" t="s">
        <v>7112</v>
      </c>
      <c r="F1676" s="3" t="s">
        <v>19</v>
      </c>
      <c r="G1676" s="3" t="s">
        <v>72</v>
      </c>
      <c r="H1676" s="3">
        <v>10.0</v>
      </c>
      <c r="I1676" s="3" t="s">
        <v>7109</v>
      </c>
      <c r="J1676" s="3" t="s">
        <v>22</v>
      </c>
      <c r="K1676" s="3" t="s">
        <v>97</v>
      </c>
      <c r="L1676" s="3" t="s">
        <v>98</v>
      </c>
      <c r="M1676" s="3" t="s">
        <v>100</v>
      </c>
      <c r="N1676" s="3" t="s">
        <v>612</v>
      </c>
      <c r="O1676" s="5">
        <v>57.8730056</v>
      </c>
      <c r="P1676" s="6" t="str">
        <f t="shared" si="2"/>
        <v>Industrial Products</v>
      </c>
    </row>
    <row r="1677" hidden="1">
      <c r="A1677" s="3" t="s">
        <v>7113</v>
      </c>
      <c r="B1677" s="4">
        <v>526849.0</v>
      </c>
      <c r="C1677" s="3" t="s">
        <v>7114</v>
      </c>
      <c r="D1677" s="3" t="s">
        <v>7115</v>
      </c>
      <c r="E1677" s="3" t="s">
        <v>7116</v>
      </c>
      <c r="F1677" s="3" t="s">
        <v>19</v>
      </c>
      <c r="G1677" s="3" t="s">
        <v>112</v>
      </c>
      <c r="H1677" s="3">
        <v>10.0</v>
      </c>
      <c r="I1677" s="3" t="s">
        <v>7113</v>
      </c>
      <c r="J1677" s="3" t="s">
        <v>22</v>
      </c>
      <c r="K1677" s="3" t="s">
        <v>58</v>
      </c>
      <c r="L1677" s="3" t="s">
        <v>211</v>
      </c>
      <c r="M1677" s="3" t="s">
        <v>211</v>
      </c>
      <c r="N1677" s="3" t="s">
        <v>947</v>
      </c>
      <c r="O1677" s="5">
        <v>66.1092724</v>
      </c>
      <c r="P1677" s="6" t="str">
        <f t="shared" si="2"/>
        <v>Consumer Durables</v>
      </c>
    </row>
    <row r="1678" hidden="1">
      <c r="A1678" s="3" t="s">
        <v>7117</v>
      </c>
      <c r="B1678" s="4">
        <v>526851.0</v>
      </c>
      <c r="C1678" s="3" t="s">
        <v>7118</v>
      </c>
      <c r="D1678" s="3" t="s">
        <v>7119</v>
      </c>
      <c r="E1678" s="3" t="s">
        <v>7120</v>
      </c>
      <c r="F1678" s="3" t="s">
        <v>19</v>
      </c>
      <c r="G1678" s="3" t="s">
        <v>44</v>
      </c>
      <c r="H1678" s="3">
        <v>10.0</v>
      </c>
      <c r="I1678" s="3" t="s">
        <v>7117</v>
      </c>
      <c r="J1678" s="3" t="s">
        <v>22</v>
      </c>
      <c r="K1678" s="3" t="s">
        <v>58</v>
      </c>
      <c r="L1678" s="3" t="s">
        <v>80</v>
      </c>
      <c r="M1678" s="3" t="s">
        <v>81</v>
      </c>
      <c r="N1678" s="3" t="s">
        <v>82</v>
      </c>
      <c r="O1678" s="5">
        <v>60.3385248</v>
      </c>
      <c r="P1678" s="6" t="str">
        <f t="shared" si="2"/>
        <v>Textiles &amp; Apparels</v>
      </c>
    </row>
    <row r="1679" hidden="1">
      <c r="A1679" s="3" t="s">
        <v>7121</v>
      </c>
      <c r="B1679" s="4">
        <v>526853.0</v>
      </c>
      <c r="C1679" s="3" t="s">
        <v>7122</v>
      </c>
      <c r="D1679" s="3" t="s">
        <v>7123</v>
      </c>
      <c r="E1679" s="3" t="s">
        <v>7124</v>
      </c>
      <c r="F1679" s="3" t="s">
        <v>19</v>
      </c>
      <c r="G1679" s="3" t="s">
        <v>44</v>
      </c>
      <c r="H1679" s="3">
        <v>10.0</v>
      </c>
      <c r="I1679" s="3" t="s">
        <v>7121</v>
      </c>
      <c r="J1679" s="3" t="s">
        <v>22</v>
      </c>
      <c r="K1679" s="3" t="s">
        <v>45</v>
      </c>
      <c r="L1679" s="3" t="s">
        <v>45</v>
      </c>
      <c r="M1679" s="3" t="s">
        <v>4488</v>
      </c>
      <c r="N1679" s="3" t="s">
        <v>6244</v>
      </c>
      <c r="O1679" s="5">
        <v>136.3580621</v>
      </c>
      <c r="P1679" s="6" t="str">
        <f t="shared" si="2"/>
        <v>Healthcare Services</v>
      </c>
    </row>
    <row r="1680" hidden="1">
      <c r="A1680" s="3" t="s">
        <v>7125</v>
      </c>
      <c r="B1680" s="4">
        <v>526859.0</v>
      </c>
      <c r="C1680" s="3" t="s">
        <v>7126</v>
      </c>
      <c r="D1680" s="3" t="s">
        <v>7127</v>
      </c>
      <c r="E1680" s="3" t="s">
        <v>7126</v>
      </c>
      <c r="F1680" s="3" t="s">
        <v>19</v>
      </c>
      <c r="G1680" s="3" t="s">
        <v>44</v>
      </c>
      <c r="H1680" s="3">
        <v>1.0</v>
      </c>
      <c r="I1680" s="3" t="s">
        <v>7125</v>
      </c>
      <c r="J1680" s="3" t="s">
        <v>22</v>
      </c>
      <c r="K1680" s="3" t="s">
        <v>204</v>
      </c>
      <c r="L1680" s="3" t="s">
        <v>204</v>
      </c>
      <c r="M1680" s="3" t="s">
        <v>378</v>
      </c>
      <c r="N1680" s="3" t="s">
        <v>379</v>
      </c>
      <c r="O1680" s="5">
        <v>19.1890538</v>
      </c>
      <c r="P1680" s="6" t="str">
        <f t="shared" si="2"/>
        <v>Non Banking Financial Company (NBFC)</v>
      </c>
    </row>
    <row r="1681" hidden="1">
      <c r="A1681" s="3" t="s">
        <v>7128</v>
      </c>
      <c r="B1681" s="4">
        <v>526861.0</v>
      </c>
      <c r="C1681" s="3" t="s">
        <v>7129</v>
      </c>
      <c r="D1681" s="3" t="s">
        <v>7130</v>
      </c>
      <c r="E1681" s="3" t="s">
        <v>7131</v>
      </c>
      <c r="F1681" s="3" t="s">
        <v>19</v>
      </c>
      <c r="G1681" s="3" t="s">
        <v>44</v>
      </c>
      <c r="H1681" s="3">
        <v>10.0</v>
      </c>
      <c r="I1681" s="3" t="s">
        <v>7128</v>
      </c>
      <c r="J1681" s="3" t="s">
        <v>22</v>
      </c>
      <c r="K1681" s="3" t="s">
        <v>97</v>
      </c>
      <c r="L1681" s="3" t="s">
        <v>98</v>
      </c>
      <c r="M1681" s="3" t="s">
        <v>99</v>
      </c>
      <c r="N1681" s="3" t="s">
        <v>100</v>
      </c>
      <c r="O1681" s="5">
        <v>124.9800374</v>
      </c>
      <c r="P1681" s="6" t="str">
        <f t="shared" si="2"/>
        <v>Industrial Products</v>
      </c>
    </row>
    <row r="1682" hidden="1">
      <c r="A1682" s="3" t="s">
        <v>7132</v>
      </c>
      <c r="B1682" s="4">
        <v>543625.0</v>
      </c>
      <c r="C1682" s="3" t="s">
        <v>7133</v>
      </c>
      <c r="D1682" s="3" t="s">
        <v>7134</v>
      </c>
      <c r="E1682" s="3" t="s">
        <v>7135</v>
      </c>
      <c r="F1682" s="3" t="s">
        <v>19</v>
      </c>
      <c r="G1682" s="3" t="s">
        <v>86</v>
      </c>
      <c r="H1682" s="3">
        <v>10.0</v>
      </c>
      <c r="I1682" s="3" t="s">
        <v>7136</v>
      </c>
      <c r="J1682" s="3" t="s">
        <v>22</v>
      </c>
      <c r="K1682" s="3" t="s">
        <v>1673</v>
      </c>
      <c r="L1682" s="3" t="s">
        <v>1673</v>
      </c>
      <c r="M1682" s="3" t="s">
        <v>1674</v>
      </c>
      <c r="N1682" s="3" t="s">
        <v>1675</v>
      </c>
      <c r="O1682" s="5">
        <v>46.693501</v>
      </c>
      <c r="P1682" s="6" t="str">
        <f t="shared" si="2"/>
        <v>Commercial Services &amp; Supplies</v>
      </c>
    </row>
    <row r="1683" hidden="1">
      <c r="A1683" s="3" t="s">
        <v>7137</v>
      </c>
      <c r="B1683" s="4">
        <v>526869.0</v>
      </c>
      <c r="C1683" s="3" t="s">
        <v>7138</v>
      </c>
      <c r="D1683" s="3" t="s">
        <v>7139</v>
      </c>
      <c r="E1683" s="3" t="s">
        <v>7140</v>
      </c>
      <c r="F1683" s="3" t="s">
        <v>19</v>
      </c>
      <c r="G1683" s="3" t="s">
        <v>44</v>
      </c>
      <c r="H1683" s="3">
        <v>10.0</v>
      </c>
      <c r="I1683" s="3" t="s">
        <v>7137</v>
      </c>
      <c r="J1683" s="3" t="s">
        <v>22</v>
      </c>
      <c r="K1683" s="3" t="s">
        <v>204</v>
      </c>
      <c r="L1683" s="3" t="s">
        <v>204</v>
      </c>
      <c r="M1683" s="3" t="s">
        <v>378</v>
      </c>
      <c r="N1683" s="3" t="s">
        <v>379</v>
      </c>
      <c r="O1683" s="5">
        <v>1.0</v>
      </c>
      <c r="P1683" s="6" t="str">
        <f t="shared" si="2"/>
        <v>Non Banking Financial Company (NBFC)</v>
      </c>
    </row>
    <row r="1684" hidden="1">
      <c r="A1684" s="3" t="s">
        <v>7141</v>
      </c>
      <c r="B1684" s="4">
        <v>526871.0</v>
      </c>
      <c r="C1684" s="3" t="s">
        <v>7142</v>
      </c>
      <c r="D1684" s="3" t="s">
        <v>7143</v>
      </c>
      <c r="E1684" s="3" t="s">
        <v>7144</v>
      </c>
      <c r="F1684" s="3" t="s">
        <v>19</v>
      </c>
      <c r="G1684" s="3" t="s">
        <v>72</v>
      </c>
      <c r="H1684" s="3">
        <v>10.0</v>
      </c>
      <c r="I1684" s="3" t="s">
        <v>7141</v>
      </c>
      <c r="J1684" s="3" t="s">
        <v>22</v>
      </c>
      <c r="K1684" s="3" t="s">
        <v>204</v>
      </c>
      <c r="L1684" s="3" t="s">
        <v>204</v>
      </c>
      <c r="M1684" s="3" t="s">
        <v>378</v>
      </c>
      <c r="N1684" s="3" t="s">
        <v>379</v>
      </c>
      <c r="O1684" s="5">
        <v>31.1307951</v>
      </c>
      <c r="P1684" s="6" t="str">
        <f t="shared" si="2"/>
        <v>Non Banking Financial Company (NBFC)</v>
      </c>
    </row>
    <row r="1685" hidden="1">
      <c r="A1685" s="3" t="s">
        <v>7145</v>
      </c>
      <c r="B1685" s="4">
        <v>526873.0</v>
      </c>
      <c r="C1685" s="3" t="s">
        <v>7146</v>
      </c>
      <c r="D1685" s="3" t="s">
        <v>7147</v>
      </c>
      <c r="E1685" s="3" t="s">
        <v>7148</v>
      </c>
      <c r="F1685" s="3" t="s">
        <v>19</v>
      </c>
      <c r="G1685" s="3" t="s">
        <v>44</v>
      </c>
      <c r="H1685" s="3">
        <v>3.0</v>
      </c>
      <c r="I1685" s="3" t="s">
        <v>7145</v>
      </c>
      <c r="J1685" s="3" t="s">
        <v>22</v>
      </c>
      <c r="K1685" s="3" t="s">
        <v>410</v>
      </c>
      <c r="L1685" s="3" t="s">
        <v>411</v>
      </c>
      <c r="M1685" s="3" t="s">
        <v>5748</v>
      </c>
      <c r="N1685" s="3" t="s">
        <v>5749</v>
      </c>
      <c r="O1685" s="5">
        <v>1.0</v>
      </c>
      <c r="P1685" s="6" t="str">
        <f t="shared" si="2"/>
        <v>Petroleum Products</v>
      </c>
    </row>
    <row r="1686" hidden="1">
      <c r="A1686" s="3" t="s">
        <v>7149</v>
      </c>
      <c r="B1686" s="4">
        <v>539526.0</v>
      </c>
      <c r="C1686" s="3" t="s">
        <v>7150</v>
      </c>
      <c r="D1686" s="3" t="s">
        <v>7151</v>
      </c>
      <c r="E1686" s="3" t="s">
        <v>7152</v>
      </c>
      <c r="F1686" s="3" t="s">
        <v>19</v>
      </c>
      <c r="G1686" s="3" t="s">
        <v>112</v>
      </c>
      <c r="H1686" s="3">
        <v>2.0</v>
      </c>
      <c r="I1686" s="3" t="s">
        <v>7153</v>
      </c>
      <c r="J1686" s="3" t="s">
        <v>22</v>
      </c>
      <c r="K1686" s="3" t="s">
        <v>1673</v>
      </c>
      <c r="L1686" s="3" t="s">
        <v>1673</v>
      </c>
      <c r="M1686" s="3" t="s">
        <v>1674</v>
      </c>
      <c r="N1686" s="3" t="s">
        <v>1915</v>
      </c>
      <c r="O1686" s="5">
        <v>46.39156</v>
      </c>
      <c r="P1686" s="6" t="str">
        <f t="shared" si="2"/>
        <v>Commercial Services &amp; Supplies</v>
      </c>
    </row>
    <row r="1687" hidden="1">
      <c r="A1687" s="3" t="s">
        <v>7154</v>
      </c>
      <c r="B1687" s="4">
        <v>526881.0</v>
      </c>
      <c r="C1687" s="3" t="s">
        <v>7155</v>
      </c>
      <c r="D1687" s="3" t="s">
        <v>7156</v>
      </c>
      <c r="E1687" s="3" t="s">
        <v>7157</v>
      </c>
      <c r="F1687" s="3" t="s">
        <v>19</v>
      </c>
      <c r="G1687" s="3" t="s">
        <v>112</v>
      </c>
      <c r="H1687" s="3">
        <v>2.0</v>
      </c>
      <c r="I1687" s="3" t="s">
        <v>7154</v>
      </c>
      <c r="J1687" s="3" t="s">
        <v>22</v>
      </c>
      <c r="K1687" s="3" t="s">
        <v>473</v>
      </c>
      <c r="L1687" s="3" t="s">
        <v>473</v>
      </c>
      <c r="M1687" s="3" t="s">
        <v>1391</v>
      </c>
      <c r="N1687" s="3" t="s">
        <v>1840</v>
      </c>
      <c r="O1687" s="5">
        <v>1690.643392</v>
      </c>
      <c r="P1687" s="6" t="str">
        <f t="shared" si="2"/>
        <v>Computers - Software &amp; Consulting</v>
      </c>
    </row>
    <row r="1688" hidden="1">
      <c r="A1688" s="3" t="s">
        <v>7158</v>
      </c>
      <c r="B1688" s="4">
        <v>526885.0</v>
      </c>
      <c r="C1688" s="3" t="s">
        <v>7159</v>
      </c>
      <c r="D1688" s="3" t="s">
        <v>7160</v>
      </c>
      <c r="E1688" s="3" t="s">
        <v>7161</v>
      </c>
      <c r="F1688" s="3" t="s">
        <v>19</v>
      </c>
      <c r="G1688" s="3" t="s">
        <v>112</v>
      </c>
      <c r="H1688" s="3">
        <v>1.0</v>
      </c>
      <c r="I1688" s="3" t="s">
        <v>7158</v>
      </c>
      <c r="J1688" s="3" t="s">
        <v>22</v>
      </c>
      <c r="K1688" s="3" t="s">
        <v>58</v>
      </c>
      <c r="L1688" s="3" t="s">
        <v>80</v>
      </c>
      <c r="M1688" s="3" t="s">
        <v>81</v>
      </c>
      <c r="N1688" s="3" t="s">
        <v>82</v>
      </c>
      <c r="O1688" s="5">
        <v>851.1087542</v>
      </c>
      <c r="P1688" s="6" t="str">
        <f t="shared" si="2"/>
        <v>Textiles &amp; Apparels</v>
      </c>
    </row>
    <row r="1689" hidden="1">
      <c r="A1689" s="3" t="s">
        <v>7162</v>
      </c>
      <c r="B1689" s="4">
        <v>526891.0</v>
      </c>
      <c r="C1689" s="3" t="s">
        <v>7163</v>
      </c>
      <c r="D1689" s="3" t="s">
        <v>7164</v>
      </c>
      <c r="E1689" s="3" t="s">
        <v>7165</v>
      </c>
      <c r="F1689" s="3" t="s">
        <v>19</v>
      </c>
      <c r="G1689" s="3" t="s">
        <v>44</v>
      </c>
      <c r="H1689" s="3">
        <v>10.0</v>
      </c>
      <c r="I1689" s="3" t="s">
        <v>7162</v>
      </c>
      <c r="J1689" s="3" t="s">
        <v>22</v>
      </c>
      <c r="K1689" s="3" t="s">
        <v>204</v>
      </c>
      <c r="L1689" s="3" t="s">
        <v>204</v>
      </c>
      <c r="M1689" s="3" t="s">
        <v>378</v>
      </c>
      <c r="N1689" s="3" t="s">
        <v>468</v>
      </c>
      <c r="O1689" s="5">
        <v>1.0</v>
      </c>
      <c r="P1689" s="6" t="str">
        <f t="shared" si="2"/>
        <v>Finance</v>
      </c>
    </row>
    <row r="1690" hidden="1">
      <c r="A1690" s="3" t="s">
        <v>7166</v>
      </c>
      <c r="B1690" s="4">
        <v>526899.0</v>
      </c>
      <c r="C1690" s="3" t="s">
        <v>7167</v>
      </c>
      <c r="D1690" s="3" t="s">
        <v>7168</v>
      </c>
      <c r="E1690" s="3" t="s">
        <v>7169</v>
      </c>
      <c r="F1690" s="3" t="s">
        <v>19</v>
      </c>
      <c r="G1690" s="3" t="s">
        <v>44</v>
      </c>
      <c r="H1690" s="3">
        <v>10.0</v>
      </c>
      <c r="I1690" s="3" t="s">
        <v>7166</v>
      </c>
      <c r="J1690" s="3" t="s">
        <v>22</v>
      </c>
      <c r="K1690" s="3" t="s">
        <v>145</v>
      </c>
      <c r="L1690" s="3" t="s">
        <v>145</v>
      </c>
      <c r="M1690" s="3" t="s">
        <v>146</v>
      </c>
      <c r="N1690" s="3" t="s">
        <v>2645</v>
      </c>
      <c r="O1690" s="5">
        <v>139.5603007</v>
      </c>
      <c r="P1690" s="6" t="str">
        <f t="shared" si="2"/>
        <v>Agricultural Food &amp; other Products</v>
      </c>
    </row>
    <row r="1691" hidden="1">
      <c r="A1691" s="3" t="s">
        <v>7170</v>
      </c>
      <c r="B1691" s="4">
        <v>526901.0</v>
      </c>
      <c r="C1691" s="3" t="s">
        <v>7171</v>
      </c>
      <c r="D1691" s="3" t="s">
        <v>7172</v>
      </c>
      <c r="E1691" s="3" t="s">
        <v>7173</v>
      </c>
      <c r="F1691" s="3" t="s">
        <v>19</v>
      </c>
      <c r="G1691" s="3" t="s">
        <v>44</v>
      </c>
      <c r="H1691" s="3">
        <v>10.0</v>
      </c>
      <c r="I1691" s="3" t="s">
        <v>7170</v>
      </c>
      <c r="J1691" s="3" t="s">
        <v>22</v>
      </c>
      <c r="K1691" s="3" t="s">
        <v>23</v>
      </c>
      <c r="L1691" s="3" t="s">
        <v>24</v>
      </c>
      <c r="M1691" s="3" t="s">
        <v>25</v>
      </c>
      <c r="N1691" s="3" t="s">
        <v>52</v>
      </c>
      <c r="O1691" s="5">
        <v>49.2046003</v>
      </c>
      <c r="P1691" s="6" t="str">
        <f t="shared" si="2"/>
        <v>Chemicals &amp; Petrochemicals</v>
      </c>
    </row>
    <row r="1692" hidden="1">
      <c r="A1692" s="3" t="s">
        <v>7174</v>
      </c>
      <c r="B1692" s="4">
        <v>526905.0</v>
      </c>
      <c r="C1692" s="3" t="s">
        <v>7175</v>
      </c>
      <c r="D1692" s="3" t="s">
        <v>7176</v>
      </c>
      <c r="E1692" s="3" t="s">
        <v>7175</v>
      </c>
      <c r="F1692" s="3" t="s">
        <v>19</v>
      </c>
      <c r="G1692" s="3" t="s">
        <v>72</v>
      </c>
      <c r="H1692" s="3">
        <v>10.0</v>
      </c>
      <c r="I1692" s="3" t="s">
        <v>7174</v>
      </c>
      <c r="J1692" s="3" t="s">
        <v>22</v>
      </c>
      <c r="K1692" s="3" t="s">
        <v>23</v>
      </c>
      <c r="L1692" s="3" t="s">
        <v>24</v>
      </c>
      <c r="M1692" s="3" t="s">
        <v>25</v>
      </c>
      <c r="N1692" s="3" t="s">
        <v>52</v>
      </c>
      <c r="O1692" s="5">
        <v>4.5685758</v>
      </c>
      <c r="P1692" s="6" t="str">
        <f t="shared" si="2"/>
        <v>Chemicals &amp; Petrochemicals</v>
      </c>
    </row>
    <row r="1693" hidden="1">
      <c r="A1693" s="3" t="s">
        <v>7177</v>
      </c>
      <c r="B1693" s="4">
        <v>526921.0</v>
      </c>
      <c r="C1693" s="3" t="s">
        <v>7178</v>
      </c>
      <c r="D1693" s="3" t="s">
        <v>7179</v>
      </c>
      <c r="E1693" s="3" t="s">
        <v>7180</v>
      </c>
      <c r="F1693" s="3" t="s">
        <v>19</v>
      </c>
      <c r="G1693" s="3" t="s">
        <v>86</v>
      </c>
      <c r="H1693" s="3">
        <v>10.0</v>
      </c>
      <c r="I1693" s="3" t="s">
        <v>7177</v>
      </c>
      <c r="J1693" s="3" t="s">
        <v>22</v>
      </c>
      <c r="K1693" s="3" t="s">
        <v>204</v>
      </c>
      <c r="L1693" s="3" t="s">
        <v>204</v>
      </c>
      <c r="M1693" s="3" t="s">
        <v>205</v>
      </c>
      <c r="N1693" s="3" t="s">
        <v>206</v>
      </c>
      <c r="O1693" s="5">
        <v>72.7176581</v>
      </c>
      <c r="P1693" s="6" t="str">
        <f t="shared" si="2"/>
        <v>Capital Markets</v>
      </c>
    </row>
    <row r="1694" hidden="1">
      <c r="A1694" s="3" t="s">
        <v>7181</v>
      </c>
      <c r="B1694" s="4">
        <v>526931.0</v>
      </c>
      <c r="C1694" s="3" t="s">
        <v>7182</v>
      </c>
      <c r="D1694" s="3" t="s">
        <v>7183</v>
      </c>
      <c r="E1694" s="3" t="s">
        <v>7184</v>
      </c>
      <c r="F1694" s="3" t="s">
        <v>19</v>
      </c>
      <c r="G1694" s="3" t="s">
        <v>44</v>
      </c>
      <c r="H1694" s="3">
        <v>10.0</v>
      </c>
      <c r="I1694" s="3" t="s">
        <v>7181</v>
      </c>
      <c r="J1694" s="3" t="s">
        <v>22</v>
      </c>
      <c r="K1694" s="3" t="s">
        <v>97</v>
      </c>
      <c r="L1694" s="3" t="s">
        <v>98</v>
      </c>
      <c r="M1694" s="3" t="s">
        <v>99</v>
      </c>
      <c r="N1694" s="3" t="s">
        <v>7185</v>
      </c>
      <c r="O1694" s="5">
        <v>72.2178338</v>
      </c>
      <c r="P1694" s="6" t="str">
        <f t="shared" si="2"/>
        <v>Industrial Manufacturing</v>
      </c>
    </row>
    <row r="1695" hidden="1">
      <c r="A1695" s="3" t="s">
        <v>7186</v>
      </c>
      <c r="B1695" s="4">
        <v>526935.0</v>
      </c>
      <c r="C1695" s="3" t="s">
        <v>7187</v>
      </c>
      <c r="D1695" s="3" t="s">
        <v>7188</v>
      </c>
      <c r="E1695" s="3" t="s">
        <v>7189</v>
      </c>
      <c r="F1695" s="3" t="s">
        <v>19</v>
      </c>
      <c r="G1695" s="3" t="s">
        <v>44</v>
      </c>
      <c r="H1695" s="3">
        <v>10.0</v>
      </c>
      <c r="I1695" s="3" t="s">
        <v>7186</v>
      </c>
      <c r="J1695" s="3" t="s">
        <v>22</v>
      </c>
      <c r="K1695" s="3" t="s">
        <v>204</v>
      </c>
      <c r="L1695" s="3" t="s">
        <v>204</v>
      </c>
      <c r="M1695" s="3" t="s">
        <v>378</v>
      </c>
      <c r="N1695" s="3" t="s">
        <v>468</v>
      </c>
      <c r="O1695" s="5">
        <v>1.0</v>
      </c>
      <c r="P1695" s="6" t="str">
        <f t="shared" si="2"/>
        <v>Finance</v>
      </c>
    </row>
    <row r="1696" hidden="1">
      <c r="A1696" s="3" t="s">
        <v>7190</v>
      </c>
      <c r="B1696" s="4">
        <v>526945.0</v>
      </c>
      <c r="C1696" s="3" t="s">
        <v>7191</v>
      </c>
      <c r="D1696" s="3" t="s">
        <v>7192</v>
      </c>
      <c r="E1696" s="3" t="s">
        <v>7193</v>
      </c>
      <c r="F1696" s="3" t="s">
        <v>19</v>
      </c>
      <c r="G1696" s="3" t="s">
        <v>44</v>
      </c>
      <c r="H1696" s="3">
        <v>10.0</v>
      </c>
      <c r="I1696" s="3" t="s">
        <v>7190</v>
      </c>
      <c r="J1696" s="3" t="s">
        <v>22</v>
      </c>
      <c r="K1696" s="3" t="s">
        <v>145</v>
      </c>
      <c r="L1696" s="3" t="s">
        <v>145</v>
      </c>
      <c r="M1696" s="3" t="s">
        <v>146</v>
      </c>
      <c r="N1696" s="3" t="s">
        <v>444</v>
      </c>
      <c r="O1696" s="5">
        <v>35.8726984</v>
      </c>
      <c r="P1696" s="6" t="str">
        <f t="shared" si="2"/>
        <v>Agricultural Food &amp; other Products</v>
      </c>
    </row>
    <row r="1697" hidden="1">
      <c r="A1697" s="3" t="s">
        <v>7194</v>
      </c>
      <c r="B1697" s="4">
        <v>526947.0</v>
      </c>
      <c r="C1697" s="3" t="s">
        <v>7195</v>
      </c>
      <c r="D1697" s="3" t="s">
        <v>7196</v>
      </c>
      <c r="E1697" s="3" t="s">
        <v>7197</v>
      </c>
      <c r="F1697" s="3" t="s">
        <v>19</v>
      </c>
      <c r="G1697" s="3" t="s">
        <v>20</v>
      </c>
      <c r="H1697" s="3">
        <v>2.0</v>
      </c>
      <c r="I1697" s="3" t="s">
        <v>7194</v>
      </c>
      <c r="J1697" s="3" t="s">
        <v>22</v>
      </c>
      <c r="K1697" s="3" t="s">
        <v>58</v>
      </c>
      <c r="L1697" s="3" t="s">
        <v>211</v>
      </c>
      <c r="M1697" s="3" t="s">
        <v>211</v>
      </c>
      <c r="N1697" s="3" t="s">
        <v>7198</v>
      </c>
      <c r="O1697" s="5">
        <v>3558.4269752</v>
      </c>
      <c r="P1697" s="6" t="str">
        <f t="shared" si="2"/>
        <v>Consumer Durables</v>
      </c>
    </row>
    <row r="1698" hidden="1">
      <c r="A1698" s="3" t="s">
        <v>7199</v>
      </c>
      <c r="B1698" s="4">
        <v>526951.0</v>
      </c>
      <c r="C1698" s="3" t="s">
        <v>7200</v>
      </c>
      <c r="D1698" s="3" t="s">
        <v>7201</v>
      </c>
      <c r="E1698" s="3" t="s">
        <v>7200</v>
      </c>
      <c r="F1698" s="3" t="s">
        <v>19</v>
      </c>
      <c r="G1698" s="3" t="s">
        <v>20</v>
      </c>
      <c r="H1698" s="3">
        <v>5.0</v>
      </c>
      <c r="I1698" s="3" t="s">
        <v>7199</v>
      </c>
      <c r="J1698" s="3" t="s">
        <v>22</v>
      </c>
      <c r="K1698" s="3" t="s">
        <v>58</v>
      </c>
      <c r="L1698" s="3" t="s">
        <v>211</v>
      </c>
      <c r="M1698" s="3" t="s">
        <v>211</v>
      </c>
      <c r="N1698" s="3" t="s">
        <v>1444</v>
      </c>
      <c r="O1698" s="5">
        <v>3210.4100835</v>
      </c>
      <c r="P1698" s="6" t="str">
        <f t="shared" si="2"/>
        <v>Consumer Durables</v>
      </c>
    </row>
    <row r="1699" hidden="1">
      <c r="A1699" s="3" t="s">
        <v>7202</v>
      </c>
      <c r="B1699" s="4">
        <v>526953.0</v>
      </c>
      <c r="C1699" s="3" t="s">
        <v>7203</v>
      </c>
      <c r="D1699" s="3" t="s">
        <v>7204</v>
      </c>
      <c r="E1699" s="3" t="s">
        <v>7205</v>
      </c>
      <c r="F1699" s="3" t="s">
        <v>19</v>
      </c>
      <c r="G1699" s="3" t="s">
        <v>112</v>
      </c>
      <c r="H1699" s="3">
        <v>10.0</v>
      </c>
      <c r="I1699" s="3" t="s">
        <v>7202</v>
      </c>
      <c r="J1699" s="3" t="s">
        <v>22</v>
      </c>
      <c r="K1699" s="3" t="s">
        <v>45</v>
      </c>
      <c r="L1699" s="3" t="s">
        <v>45</v>
      </c>
      <c r="M1699" s="3" t="s">
        <v>46</v>
      </c>
      <c r="N1699" s="3" t="s">
        <v>47</v>
      </c>
      <c r="O1699" s="5">
        <v>497.7347238</v>
      </c>
      <c r="P1699" s="6" t="str">
        <f t="shared" si="2"/>
        <v>Pharmaceuticals</v>
      </c>
    </row>
    <row r="1700" hidden="1">
      <c r="A1700" s="3" t="s">
        <v>7206</v>
      </c>
      <c r="B1700" s="4">
        <v>526959.0</v>
      </c>
      <c r="C1700" s="3" t="s">
        <v>7207</v>
      </c>
      <c r="D1700" s="3" t="s">
        <v>7208</v>
      </c>
      <c r="E1700" s="3" t="s">
        <v>7209</v>
      </c>
      <c r="F1700" s="3" t="s">
        <v>19</v>
      </c>
      <c r="G1700" s="3" t="s">
        <v>72</v>
      </c>
      <c r="H1700" s="3">
        <v>5.0</v>
      </c>
      <c r="I1700" s="3" t="s">
        <v>7206</v>
      </c>
      <c r="J1700" s="3" t="s">
        <v>22</v>
      </c>
      <c r="K1700" s="3" t="s">
        <v>58</v>
      </c>
      <c r="L1700" s="3" t="s">
        <v>73</v>
      </c>
      <c r="M1700" s="3" t="s">
        <v>74</v>
      </c>
      <c r="N1700" s="3" t="s">
        <v>75</v>
      </c>
      <c r="O1700" s="5">
        <v>1.0</v>
      </c>
      <c r="P1700" s="6" t="str">
        <f t="shared" si="2"/>
        <v>Leisure Services</v>
      </c>
    </row>
    <row r="1701" hidden="1">
      <c r="A1701" s="3" t="s">
        <v>7210</v>
      </c>
      <c r="B1701" s="4">
        <v>526961.0</v>
      </c>
      <c r="C1701" s="3" t="s">
        <v>7211</v>
      </c>
      <c r="D1701" s="3" t="s">
        <v>7212</v>
      </c>
      <c r="E1701" s="3" t="s">
        <v>7213</v>
      </c>
      <c r="F1701" s="3" t="s">
        <v>19</v>
      </c>
      <c r="G1701" s="3" t="s">
        <v>72</v>
      </c>
      <c r="H1701" s="3">
        <v>10.0</v>
      </c>
      <c r="I1701" s="3" t="s">
        <v>7210</v>
      </c>
      <c r="J1701" s="3" t="s">
        <v>22</v>
      </c>
      <c r="K1701" s="3" t="s">
        <v>204</v>
      </c>
      <c r="L1701" s="3" t="s">
        <v>204</v>
      </c>
      <c r="M1701" s="3" t="s">
        <v>378</v>
      </c>
      <c r="N1701" s="3" t="s">
        <v>379</v>
      </c>
      <c r="O1701" s="5">
        <v>1583.310307</v>
      </c>
      <c r="P1701" s="6" t="str">
        <f t="shared" si="2"/>
        <v>Non Banking Financial Company (NBFC)</v>
      </c>
    </row>
    <row r="1702" hidden="1">
      <c r="A1702" s="3" t="s">
        <v>7214</v>
      </c>
      <c r="B1702" s="4">
        <v>526965.0</v>
      </c>
      <c r="C1702" s="3" t="s">
        <v>7215</v>
      </c>
      <c r="D1702" s="3" t="s">
        <v>7216</v>
      </c>
      <c r="E1702" s="3" t="s">
        <v>7217</v>
      </c>
      <c r="F1702" s="3" t="s">
        <v>19</v>
      </c>
      <c r="G1702" s="3" t="s">
        <v>72</v>
      </c>
      <c r="H1702" s="3">
        <v>10.0</v>
      </c>
      <c r="I1702" s="3" t="s">
        <v>7214</v>
      </c>
      <c r="J1702" s="3" t="s">
        <v>22</v>
      </c>
      <c r="K1702" s="3" t="s">
        <v>97</v>
      </c>
      <c r="L1702" s="3" t="s">
        <v>98</v>
      </c>
      <c r="M1702" s="3" t="s">
        <v>100</v>
      </c>
      <c r="N1702" s="3" t="s">
        <v>373</v>
      </c>
      <c r="O1702" s="5">
        <v>54.4348949</v>
      </c>
      <c r="P1702" s="6" t="str">
        <f t="shared" si="2"/>
        <v>Industrial Products</v>
      </c>
    </row>
    <row r="1703" hidden="1">
      <c r="A1703" s="3" t="s">
        <v>7218</v>
      </c>
      <c r="B1703" s="4">
        <v>526967.0</v>
      </c>
      <c r="C1703" s="3" t="s">
        <v>7219</v>
      </c>
      <c r="D1703" s="3" t="s">
        <v>7220</v>
      </c>
      <c r="E1703" s="3" t="s">
        <v>7221</v>
      </c>
      <c r="F1703" s="3" t="s">
        <v>19</v>
      </c>
      <c r="G1703" s="3" t="s">
        <v>57</v>
      </c>
      <c r="H1703" s="3">
        <v>10.0</v>
      </c>
      <c r="I1703" s="3" t="s">
        <v>7218</v>
      </c>
      <c r="J1703" s="3" t="s">
        <v>22</v>
      </c>
      <c r="K1703" s="3" t="s">
        <v>97</v>
      </c>
      <c r="L1703" s="3" t="s">
        <v>98</v>
      </c>
      <c r="M1703" s="3" t="s">
        <v>100</v>
      </c>
      <c r="N1703" s="3" t="s">
        <v>612</v>
      </c>
      <c r="O1703" s="5">
        <v>1.0</v>
      </c>
      <c r="P1703" s="6" t="str">
        <f t="shared" si="2"/>
        <v>Industrial Products</v>
      </c>
    </row>
    <row r="1704" hidden="1">
      <c r="A1704" s="3" t="s">
        <v>3867</v>
      </c>
      <c r="B1704" s="4">
        <v>530309.0</v>
      </c>
      <c r="C1704" s="3" t="s">
        <v>7222</v>
      </c>
      <c r="D1704" s="3" t="s">
        <v>7223</v>
      </c>
      <c r="E1704" s="3" t="s">
        <v>7224</v>
      </c>
      <c r="F1704" s="3" t="s">
        <v>19</v>
      </c>
      <c r="G1704" s="3" t="s">
        <v>44</v>
      </c>
      <c r="H1704" s="3">
        <v>2.0</v>
      </c>
      <c r="I1704" s="3" t="s">
        <v>7225</v>
      </c>
      <c r="J1704" s="3" t="s">
        <v>22</v>
      </c>
      <c r="K1704" s="3" t="s">
        <v>1673</v>
      </c>
      <c r="L1704" s="3" t="s">
        <v>1673</v>
      </c>
      <c r="M1704" s="3" t="s">
        <v>1674</v>
      </c>
      <c r="N1704" s="3" t="s">
        <v>1915</v>
      </c>
      <c r="O1704" s="5">
        <v>45.8863882</v>
      </c>
      <c r="P1704" s="6" t="str">
        <f t="shared" si="2"/>
        <v>Commercial Services &amp; Supplies</v>
      </c>
    </row>
    <row r="1705" hidden="1">
      <c r="A1705" s="3" t="s">
        <v>7226</v>
      </c>
      <c r="B1705" s="4">
        <v>526977.0</v>
      </c>
      <c r="C1705" s="3" t="s">
        <v>7227</v>
      </c>
      <c r="D1705" s="3" t="s">
        <v>7228</v>
      </c>
      <c r="E1705" s="3" t="s">
        <v>7227</v>
      </c>
      <c r="F1705" s="3" t="s">
        <v>19</v>
      </c>
      <c r="G1705" s="3" t="s">
        <v>1858</v>
      </c>
      <c r="H1705" s="3">
        <v>10.0</v>
      </c>
      <c r="I1705" s="3" t="s">
        <v>7226</v>
      </c>
      <c r="J1705" s="3" t="s">
        <v>22</v>
      </c>
      <c r="K1705" s="3" t="s">
        <v>97</v>
      </c>
      <c r="L1705" s="3" t="s">
        <v>98</v>
      </c>
      <c r="M1705" s="3" t="s">
        <v>100</v>
      </c>
      <c r="N1705" s="3" t="s">
        <v>612</v>
      </c>
      <c r="O1705" s="5">
        <v>1.0</v>
      </c>
      <c r="P1705" s="6" t="str">
        <f t="shared" si="2"/>
        <v>Industrial Products</v>
      </c>
    </row>
    <row r="1706" hidden="1">
      <c r="A1706" s="3" t="s">
        <v>7229</v>
      </c>
      <c r="B1706" s="4">
        <v>526981.0</v>
      </c>
      <c r="C1706" s="3" t="s">
        <v>7230</v>
      </c>
      <c r="D1706" s="3" t="s">
        <v>7231</v>
      </c>
      <c r="E1706" s="3" t="s">
        <v>7232</v>
      </c>
      <c r="F1706" s="3" t="s">
        <v>19</v>
      </c>
      <c r="G1706" s="3" t="s">
        <v>44</v>
      </c>
      <c r="H1706" s="3">
        <v>10.0</v>
      </c>
      <c r="I1706" s="3" t="s">
        <v>7229</v>
      </c>
      <c r="J1706" s="3" t="s">
        <v>22</v>
      </c>
      <c r="K1706" s="3" t="s">
        <v>97</v>
      </c>
      <c r="L1706" s="3" t="s">
        <v>98</v>
      </c>
      <c r="M1706" s="3" t="s">
        <v>100</v>
      </c>
      <c r="N1706" s="3" t="s">
        <v>612</v>
      </c>
      <c r="O1706" s="5">
        <v>248.068574</v>
      </c>
      <c r="P1706" s="6" t="str">
        <f t="shared" si="2"/>
        <v>Industrial Products</v>
      </c>
    </row>
    <row r="1707" hidden="1">
      <c r="A1707" s="3" t="s">
        <v>7233</v>
      </c>
      <c r="B1707" s="4">
        <v>526983.0</v>
      </c>
      <c r="C1707" s="3" t="s">
        <v>7234</v>
      </c>
      <c r="D1707" s="3" t="s">
        <v>7235</v>
      </c>
      <c r="E1707" s="3" t="s">
        <v>7236</v>
      </c>
      <c r="F1707" s="3" t="s">
        <v>19</v>
      </c>
      <c r="G1707" s="3" t="s">
        <v>1858</v>
      </c>
      <c r="H1707" s="3">
        <v>10.0</v>
      </c>
      <c r="I1707" s="3" t="s">
        <v>7233</v>
      </c>
      <c r="J1707" s="3" t="s">
        <v>22</v>
      </c>
      <c r="K1707" s="3" t="s">
        <v>145</v>
      </c>
      <c r="L1707" s="3" t="s">
        <v>145</v>
      </c>
      <c r="M1707" s="3" t="s">
        <v>146</v>
      </c>
      <c r="N1707" s="3" t="s">
        <v>2645</v>
      </c>
      <c r="O1707" s="5">
        <v>1.0</v>
      </c>
      <c r="P1707" s="6" t="str">
        <f t="shared" si="2"/>
        <v>Agricultural Food &amp; other Products</v>
      </c>
    </row>
    <row r="1708" hidden="1">
      <c r="A1708" s="3" t="s">
        <v>7237</v>
      </c>
      <c r="B1708" s="4">
        <v>526987.0</v>
      </c>
      <c r="C1708" s="3" t="s">
        <v>7238</v>
      </c>
      <c r="D1708" s="3" t="s">
        <v>7239</v>
      </c>
      <c r="E1708" s="3" t="s">
        <v>7240</v>
      </c>
      <c r="F1708" s="3" t="s">
        <v>19</v>
      </c>
      <c r="G1708" s="3" t="s">
        <v>112</v>
      </c>
      <c r="H1708" s="3">
        <v>1.0</v>
      </c>
      <c r="I1708" s="3" t="s">
        <v>7237</v>
      </c>
      <c r="J1708" s="3" t="s">
        <v>22</v>
      </c>
      <c r="K1708" s="3" t="s">
        <v>97</v>
      </c>
      <c r="L1708" s="3" t="s">
        <v>98</v>
      </c>
      <c r="M1708" s="3" t="s">
        <v>1747</v>
      </c>
      <c r="N1708" s="3" t="s">
        <v>1767</v>
      </c>
      <c r="O1708" s="5">
        <v>1114.4667391</v>
      </c>
      <c r="P1708" s="6" t="str">
        <f t="shared" si="2"/>
        <v>Heavy Electrical Equipment</v>
      </c>
    </row>
    <row r="1709" hidden="1">
      <c r="A1709" s="3" t="s">
        <v>7241</v>
      </c>
      <c r="B1709" s="4">
        <v>527001.0</v>
      </c>
      <c r="C1709" s="3" t="s">
        <v>7242</v>
      </c>
      <c r="D1709" s="3" t="s">
        <v>7243</v>
      </c>
      <c r="E1709" s="3" t="s">
        <v>7244</v>
      </c>
      <c r="F1709" s="3" t="s">
        <v>19</v>
      </c>
      <c r="G1709" s="3" t="s">
        <v>112</v>
      </c>
      <c r="H1709" s="3">
        <v>2.0</v>
      </c>
      <c r="I1709" s="3" t="s">
        <v>7241</v>
      </c>
      <c r="J1709" s="3" t="s">
        <v>22</v>
      </c>
      <c r="K1709" s="3" t="s">
        <v>23</v>
      </c>
      <c r="L1709" s="3" t="s">
        <v>65</v>
      </c>
      <c r="M1709" s="3" t="s">
        <v>522</v>
      </c>
      <c r="N1709" s="3" t="s">
        <v>523</v>
      </c>
      <c r="O1709" s="5">
        <v>3785.416023</v>
      </c>
      <c r="P1709" s="6" t="str">
        <f t="shared" si="2"/>
        <v>Minerals &amp; Mining</v>
      </c>
    </row>
    <row r="1710" hidden="1">
      <c r="A1710" s="3" t="s">
        <v>7245</v>
      </c>
      <c r="B1710" s="4">
        <v>527005.0</v>
      </c>
      <c r="C1710" s="3" t="s">
        <v>7246</v>
      </c>
      <c r="D1710" s="3" t="s">
        <v>7247</v>
      </c>
      <c r="E1710" s="3" t="s">
        <v>7248</v>
      </c>
      <c r="F1710" s="3" t="s">
        <v>19</v>
      </c>
      <c r="G1710" s="3" t="s">
        <v>44</v>
      </c>
      <c r="H1710" s="3">
        <v>10.0</v>
      </c>
      <c r="I1710" s="3" t="s">
        <v>7245</v>
      </c>
      <c r="J1710" s="3" t="s">
        <v>22</v>
      </c>
      <c r="K1710" s="3" t="s">
        <v>45</v>
      </c>
      <c r="L1710" s="3" t="s">
        <v>45</v>
      </c>
      <c r="M1710" s="3" t="s">
        <v>7249</v>
      </c>
      <c r="N1710" s="3" t="s">
        <v>7250</v>
      </c>
      <c r="O1710" s="5">
        <v>1.0</v>
      </c>
      <c r="P1710" s="6" t="str">
        <f t="shared" si="2"/>
        <v>Healthcare Equipment &amp; Supplies</v>
      </c>
    </row>
    <row r="1711">
      <c r="A1711" s="3" t="s">
        <v>555</v>
      </c>
      <c r="B1711" s="4">
        <v>500368.0</v>
      </c>
      <c r="C1711" s="3" t="s">
        <v>7251</v>
      </c>
      <c r="D1711" s="3" t="s">
        <v>7252</v>
      </c>
      <c r="E1711" s="3" t="s">
        <v>7253</v>
      </c>
      <c r="F1711" s="3" t="s">
        <v>19</v>
      </c>
      <c r="G1711" s="3" t="s">
        <v>20</v>
      </c>
      <c r="H1711" s="3">
        <v>2.0</v>
      </c>
      <c r="I1711" s="3" t="s">
        <v>928</v>
      </c>
      <c r="J1711" s="3" t="s">
        <v>22</v>
      </c>
      <c r="K1711" s="3" t="s">
        <v>145</v>
      </c>
      <c r="L1711" s="3" t="s">
        <v>145</v>
      </c>
      <c r="M1711" s="3" t="s">
        <v>146</v>
      </c>
      <c r="N1711" s="3" t="s">
        <v>575</v>
      </c>
      <c r="O1711" s="5">
        <v>55493.0392286</v>
      </c>
      <c r="P1711" s="6" t="str">
        <f t="shared" si="2"/>
        <v>Agricultural Food &amp; other Products</v>
      </c>
    </row>
    <row r="1712">
      <c r="A1712" s="3" t="s">
        <v>560</v>
      </c>
      <c r="B1712" s="4">
        <v>500459.0</v>
      </c>
      <c r="C1712" s="3" t="s">
        <v>7254</v>
      </c>
      <c r="D1712" s="3" t="s">
        <v>7255</v>
      </c>
      <c r="E1712" s="3" t="s">
        <v>7256</v>
      </c>
      <c r="F1712" s="3" t="s">
        <v>19</v>
      </c>
      <c r="G1712" s="3" t="s">
        <v>20</v>
      </c>
      <c r="H1712" s="3">
        <v>10.0</v>
      </c>
      <c r="I1712" s="3" t="s">
        <v>1066</v>
      </c>
      <c r="J1712" s="3" t="s">
        <v>22</v>
      </c>
      <c r="K1712" s="3" t="s">
        <v>145</v>
      </c>
      <c r="L1712" s="3" t="s">
        <v>145</v>
      </c>
      <c r="M1712" s="3" t="s">
        <v>2790</v>
      </c>
      <c r="N1712" s="3" t="s">
        <v>2791</v>
      </c>
      <c r="O1712" s="5">
        <v>53404.2084957</v>
      </c>
      <c r="P1712" s="6" t="str">
        <f t="shared" si="2"/>
        <v>Personal Products</v>
      </c>
    </row>
    <row r="1713">
      <c r="A1713" s="3" t="s">
        <v>1292</v>
      </c>
      <c r="B1713" s="4">
        <v>500696.0</v>
      </c>
      <c r="C1713" s="3" t="s">
        <v>7257</v>
      </c>
      <c r="D1713" s="3" t="s">
        <v>7258</v>
      </c>
      <c r="E1713" s="3" t="s">
        <v>7259</v>
      </c>
      <c r="F1713" s="3" t="s">
        <v>19</v>
      </c>
      <c r="G1713" s="3" t="s">
        <v>20</v>
      </c>
      <c r="H1713" s="3">
        <v>1.0</v>
      </c>
      <c r="I1713" s="3" t="s">
        <v>1223</v>
      </c>
      <c r="J1713" s="3" t="s">
        <v>22</v>
      </c>
      <c r="K1713" s="3" t="s">
        <v>145</v>
      </c>
      <c r="L1713" s="3" t="s">
        <v>145</v>
      </c>
      <c r="M1713" s="3" t="s">
        <v>7260</v>
      </c>
      <c r="N1713" s="3" t="s">
        <v>7260</v>
      </c>
      <c r="O1713" s="5">
        <v>577210.6605025</v>
      </c>
      <c r="P1713" s="6" t="str">
        <f t="shared" si="2"/>
        <v>Diversified FMCG</v>
      </c>
    </row>
    <row r="1714" hidden="1">
      <c r="A1714" s="3" t="s">
        <v>7261</v>
      </c>
      <c r="B1714" s="4">
        <v>530011.0</v>
      </c>
      <c r="C1714" s="3" t="s">
        <v>7262</v>
      </c>
      <c r="D1714" s="3" t="s">
        <v>7263</v>
      </c>
      <c r="E1714" s="3" t="s">
        <v>7264</v>
      </c>
      <c r="F1714" s="3" t="s">
        <v>19</v>
      </c>
      <c r="G1714" s="3" t="s">
        <v>112</v>
      </c>
      <c r="H1714" s="3">
        <v>10.0</v>
      </c>
      <c r="I1714" s="3" t="s">
        <v>7261</v>
      </c>
      <c r="J1714" s="3" t="s">
        <v>22</v>
      </c>
      <c r="K1714" s="3" t="s">
        <v>23</v>
      </c>
      <c r="L1714" s="3" t="s">
        <v>24</v>
      </c>
      <c r="M1714" s="3" t="s">
        <v>91</v>
      </c>
      <c r="N1714" s="3" t="s">
        <v>92</v>
      </c>
      <c r="O1714" s="5">
        <v>1485.8310906</v>
      </c>
      <c r="P1714" s="6" t="str">
        <f t="shared" si="2"/>
        <v>Fertilizers &amp; Agrochemicals</v>
      </c>
    </row>
    <row r="1715" hidden="1">
      <c r="A1715" s="3" t="s">
        <v>7265</v>
      </c>
      <c r="B1715" s="4">
        <v>530017.0</v>
      </c>
      <c r="C1715" s="3" t="s">
        <v>7266</v>
      </c>
      <c r="D1715" s="3" t="s">
        <v>7267</v>
      </c>
      <c r="E1715" s="3" t="s">
        <v>7268</v>
      </c>
      <c r="F1715" s="3" t="s">
        <v>19</v>
      </c>
      <c r="G1715" s="3" t="s">
        <v>112</v>
      </c>
      <c r="H1715" s="3">
        <v>5.0</v>
      </c>
      <c r="I1715" s="3" t="s">
        <v>7265</v>
      </c>
      <c r="J1715" s="3" t="s">
        <v>22</v>
      </c>
      <c r="K1715" s="3" t="s">
        <v>58</v>
      </c>
      <c r="L1715" s="3" t="s">
        <v>59</v>
      </c>
      <c r="M1715" s="3" t="s">
        <v>59</v>
      </c>
      <c r="N1715" s="3" t="s">
        <v>3578</v>
      </c>
      <c r="O1715" s="5">
        <v>164.9393752</v>
      </c>
      <c r="P1715" s="6" t="str">
        <f t="shared" si="2"/>
        <v>Realty</v>
      </c>
    </row>
    <row r="1716">
      <c r="A1716" s="3" t="s">
        <v>7269</v>
      </c>
      <c r="B1716" s="4">
        <v>500790.0</v>
      </c>
      <c r="C1716" s="3" t="s">
        <v>7270</v>
      </c>
      <c r="D1716" s="3" t="s">
        <v>7271</v>
      </c>
      <c r="E1716" s="3" t="s">
        <v>7272</v>
      </c>
      <c r="F1716" s="3" t="s">
        <v>19</v>
      </c>
      <c r="G1716" s="3" t="s">
        <v>20</v>
      </c>
      <c r="H1716" s="3">
        <v>1.0</v>
      </c>
      <c r="I1716" s="3" t="s">
        <v>1248</v>
      </c>
      <c r="J1716" s="3" t="s">
        <v>22</v>
      </c>
      <c r="K1716" s="3" t="s">
        <v>145</v>
      </c>
      <c r="L1716" s="3" t="s">
        <v>145</v>
      </c>
      <c r="M1716" s="3" t="s">
        <v>597</v>
      </c>
      <c r="N1716" s="3" t="s">
        <v>2344</v>
      </c>
      <c r="O1716" s="5">
        <v>245315.0613975</v>
      </c>
      <c r="P1716" s="6" t="str">
        <f t="shared" si="2"/>
        <v>Food Products</v>
      </c>
    </row>
    <row r="1717" hidden="1">
      <c r="A1717" s="3" t="s">
        <v>7273</v>
      </c>
      <c r="B1717" s="4">
        <v>530023.0</v>
      </c>
      <c r="C1717" s="3" t="s">
        <v>7274</v>
      </c>
      <c r="D1717" s="3" t="s">
        <v>7275</v>
      </c>
      <c r="E1717" s="3" t="s">
        <v>7276</v>
      </c>
      <c r="F1717" s="3" t="s">
        <v>19</v>
      </c>
      <c r="G1717" s="3" t="s">
        <v>112</v>
      </c>
      <c r="H1717" s="3">
        <v>10.0</v>
      </c>
      <c r="I1717" s="3" t="s">
        <v>7273</v>
      </c>
      <c r="J1717" s="3" t="s">
        <v>22</v>
      </c>
      <c r="K1717" s="3" t="s">
        <v>204</v>
      </c>
      <c r="L1717" s="3" t="s">
        <v>204</v>
      </c>
      <c r="M1717" s="3" t="s">
        <v>378</v>
      </c>
      <c r="N1717" s="3" t="s">
        <v>468</v>
      </c>
      <c r="O1717" s="5">
        <v>852.9698464</v>
      </c>
      <c r="P1717" s="6" t="str">
        <f t="shared" si="2"/>
        <v>Finance</v>
      </c>
    </row>
    <row r="1718" hidden="1">
      <c r="A1718" s="3" t="s">
        <v>7277</v>
      </c>
      <c r="B1718" s="4">
        <v>533602.0</v>
      </c>
      <c r="C1718" s="3" t="s">
        <v>7278</v>
      </c>
      <c r="D1718" s="3" t="s">
        <v>7279</v>
      </c>
      <c r="E1718" s="3" t="s">
        <v>7280</v>
      </c>
      <c r="F1718" s="3" t="s">
        <v>19</v>
      </c>
      <c r="G1718" s="3" t="s">
        <v>44</v>
      </c>
      <c r="H1718" s="3">
        <v>1.0</v>
      </c>
      <c r="I1718" s="3" t="s">
        <v>7281</v>
      </c>
      <c r="J1718" s="3" t="s">
        <v>22</v>
      </c>
      <c r="K1718" s="3" t="s">
        <v>1673</v>
      </c>
      <c r="L1718" s="3" t="s">
        <v>1673</v>
      </c>
      <c r="M1718" s="3" t="s">
        <v>1674</v>
      </c>
      <c r="N1718" s="3" t="s">
        <v>1915</v>
      </c>
      <c r="O1718" s="5">
        <v>43.23778</v>
      </c>
      <c r="P1718" s="6" t="str">
        <f t="shared" si="2"/>
        <v>Commercial Services &amp; Supplies</v>
      </c>
    </row>
    <row r="1719" hidden="1">
      <c r="A1719" s="3" t="s">
        <v>7282</v>
      </c>
      <c r="B1719" s="4">
        <v>530027.0</v>
      </c>
      <c r="C1719" s="3" t="s">
        <v>7283</v>
      </c>
      <c r="D1719" s="3" t="s">
        <v>7284</v>
      </c>
      <c r="E1719" s="3" t="s">
        <v>7285</v>
      </c>
      <c r="F1719" s="3" t="s">
        <v>19</v>
      </c>
      <c r="G1719" s="3" t="s">
        <v>72</v>
      </c>
      <c r="H1719" s="3">
        <v>10.0</v>
      </c>
      <c r="I1719" s="3" t="s">
        <v>7282</v>
      </c>
      <c r="J1719" s="3" t="s">
        <v>22</v>
      </c>
      <c r="K1719" s="3" t="s">
        <v>23</v>
      </c>
      <c r="L1719" s="3" t="s">
        <v>24</v>
      </c>
      <c r="M1719" s="3" t="s">
        <v>25</v>
      </c>
      <c r="N1719" s="3" t="s">
        <v>241</v>
      </c>
      <c r="O1719" s="5">
        <v>6.7250699</v>
      </c>
      <c r="P1719" s="6" t="str">
        <f t="shared" si="2"/>
        <v>Chemicals &amp; Petrochemicals</v>
      </c>
    </row>
    <row r="1720" hidden="1">
      <c r="A1720" s="3" t="s">
        <v>7286</v>
      </c>
      <c r="B1720" s="4">
        <v>530035.0</v>
      </c>
      <c r="C1720" s="3" t="s">
        <v>7287</v>
      </c>
      <c r="D1720" s="3" t="s">
        <v>7288</v>
      </c>
      <c r="E1720" s="3" t="s">
        <v>7289</v>
      </c>
      <c r="F1720" s="3" t="s">
        <v>19</v>
      </c>
      <c r="G1720" s="3" t="s">
        <v>44</v>
      </c>
      <c r="H1720" s="3">
        <v>10.0</v>
      </c>
      <c r="I1720" s="3" t="s">
        <v>7286</v>
      </c>
      <c r="J1720" s="3" t="s">
        <v>22</v>
      </c>
      <c r="K1720" s="3" t="s">
        <v>58</v>
      </c>
      <c r="L1720" s="3" t="s">
        <v>80</v>
      </c>
      <c r="M1720" s="3" t="s">
        <v>81</v>
      </c>
      <c r="N1720" s="3" t="s">
        <v>82</v>
      </c>
      <c r="O1720" s="5">
        <v>1.0</v>
      </c>
      <c r="P1720" s="6" t="str">
        <f t="shared" si="2"/>
        <v>Textiles &amp; Apparels</v>
      </c>
    </row>
    <row r="1721" hidden="1">
      <c r="A1721" s="3" t="s">
        <v>7290</v>
      </c>
      <c r="B1721" s="4">
        <v>530037.0</v>
      </c>
      <c r="C1721" s="3" t="s">
        <v>7291</v>
      </c>
      <c r="D1721" s="3" t="s">
        <v>7292</v>
      </c>
      <c r="E1721" s="3" t="s">
        <v>7293</v>
      </c>
      <c r="F1721" s="3" t="s">
        <v>19</v>
      </c>
      <c r="G1721" s="3" t="s">
        <v>72</v>
      </c>
      <c r="H1721" s="3">
        <v>10.0</v>
      </c>
      <c r="I1721" s="3" t="s">
        <v>7290</v>
      </c>
      <c r="J1721" s="3" t="s">
        <v>22</v>
      </c>
      <c r="K1721" s="3" t="s">
        <v>58</v>
      </c>
      <c r="L1721" s="3" t="s">
        <v>80</v>
      </c>
      <c r="M1721" s="3" t="s">
        <v>81</v>
      </c>
      <c r="N1721" s="3" t="s">
        <v>82</v>
      </c>
      <c r="O1721" s="5">
        <v>1.0</v>
      </c>
      <c r="P1721" s="6" t="str">
        <f t="shared" si="2"/>
        <v>Textiles &amp; Apparels</v>
      </c>
    </row>
    <row r="1722" hidden="1">
      <c r="A1722" s="3" t="s">
        <v>7294</v>
      </c>
      <c r="B1722" s="4">
        <v>530043.0</v>
      </c>
      <c r="C1722" s="3" t="s">
        <v>7295</v>
      </c>
      <c r="D1722" s="3" t="s">
        <v>7296</v>
      </c>
      <c r="E1722" s="3" t="s">
        <v>7297</v>
      </c>
      <c r="F1722" s="3" t="s">
        <v>19</v>
      </c>
      <c r="G1722" s="3" t="s">
        <v>44</v>
      </c>
      <c r="H1722" s="3">
        <v>10.0</v>
      </c>
      <c r="I1722" s="3" t="s">
        <v>7294</v>
      </c>
      <c r="J1722" s="3" t="s">
        <v>22</v>
      </c>
      <c r="K1722" s="3" t="s">
        <v>58</v>
      </c>
      <c r="L1722" s="3" t="s">
        <v>80</v>
      </c>
      <c r="M1722" s="3" t="s">
        <v>81</v>
      </c>
      <c r="N1722" s="3" t="s">
        <v>82</v>
      </c>
      <c r="O1722" s="5">
        <v>94.2247981</v>
      </c>
      <c r="P1722" s="6" t="str">
        <f t="shared" si="2"/>
        <v>Textiles &amp; Apparels</v>
      </c>
    </row>
    <row r="1723" hidden="1">
      <c r="A1723" s="3" t="s">
        <v>7298</v>
      </c>
      <c r="B1723" s="4">
        <v>530045.0</v>
      </c>
      <c r="C1723" s="3" t="s">
        <v>7299</v>
      </c>
      <c r="D1723" s="3" t="s">
        <v>7300</v>
      </c>
      <c r="E1723" s="3" t="s">
        <v>7301</v>
      </c>
      <c r="F1723" s="3" t="s">
        <v>19</v>
      </c>
      <c r="G1723" s="3" t="s">
        <v>44</v>
      </c>
      <c r="H1723" s="3">
        <v>10.0</v>
      </c>
      <c r="I1723" s="3" t="s">
        <v>7298</v>
      </c>
      <c r="J1723" s="3" t="s">
        <v>22</v>
      </c>
      <c r="K1723" s="3" t="s">
        <v>204</v>
      </c>
      <c r="L1723" s="3" t="s">
        <v>204</v>
      </c>
      <c r="M1723" s="3" t="s">
        <v>378</v>
      </c>
      <c r="N1723" s="3" t="s">
        <v>379</v>
      </c>
      <c r="O1723" s="5">
        <v>104.954332</v>
      </c>
      <c r="P1723" s="6" t="str">
        <f t="shared" si="2"/>
        <v>Non Banking Financial Company (NBFC)</v>
      </c>
    </row>
    <row r="1724" hidden="1">
      <c r="A1724" s="3" t="s">
        <v>7302</v>
      </c>
      <c r="B1724" s="4">
        <v>530053.0</v>
      </c>
      <c r="C1724" s="3" t="s">
        <v>7303</v>
      </c>
      <c r="D1724" s="3" t="s">
        <v>7304</v>
      </c>
      <c r="E1724" s="3" t="s">
        <v>7305</v>
      </c>
      <c r="F1724" s="3" t="s">
        <v>19</v>
      </c>
      <c r="G1724" s="3" t="s">
        <v>44</v>
      </c>
      <c r="H1724" s="3">
        <v>10.0</v>
      </c>
      <c r="I1724" s="3" t="s">
        <v>7302</v>
      </c>
      <c r="J1724" s="3" t="s">
        <v>22</v>
      </c>
      <c r="K1724" s="3" t="s">
        <v>410</v>
      </c>
      <c r="L1724" s="3" t="s">
        <v>411</v>
      </c>
      <c r="M1724" s="3" t="s">
        <v>5748</v>
      </c>
      <c r="N1724" s="3" t="s">
        <v>5749</v>
      </c>
      <c r="O1724" s="5">
        <v>65.4789322</v>
      </c>
      <c r="P1724" s="6" t="str">
        <f t="shared" si="2"/>
        <v>Petroleum Products</v>
      </c>
    </row>
    <row r="1725" hidden="1">
      <c r="A1725" s="3" t="s">
        <v>7306</v>
      </c>
      <c r="B1725" s="4">
        <v>531893.0</v>
      </c>
      <c r="C1725" s="3" t="s">
        <v>7307</v>
      </c>
      <c r="D1725" s="3" t="s">
        <v>7308</v>
      </c>
      <c r="E1725" s="3" t="s">
        <v>7309</v>
      </c>
      <c r="F1725" s="3" t="s">
        <v>19</v>
      </c>
      <c r="G1725" s="3" t="s">
        <v>72</v>
      </c>
      <c r="H1725" s="3">
        <v>1.0</v>
      </c>
      <c r="I1725" s="3" t="s">
        <v>7310</v>
      </c>
      <c r="J1725" s="3" t="s">
        <v>22</v>
      </c>
      <c r="K1725" s="3" t="s">
        <v>1673</v>
      </c>
      <c r="L1725" s="3" t="s">
        <v>1673</v>
      </c>
      <c r="M1725" s="3" t="s">
        <v>1674</v>
      </c>
      <c r="N1725" s="3" t="s">
        <v>1675</v>
      </c>
      <c r="O1725" s="5">
        <v>43.0899586</v>
      </c>
      <c r="P1725" s="6" t="str">
        <f t="shared" si="2"/>
        <v>Commercial Services &amp; Supplies</v>
      </c>
    </row>
    <row r="1726" hidden="1">
      <c r="A1726" s="3" t="s">
        <v>7311</v>
      </c>
      <c r="B1726" s="4">
        <v>530057.0</v>
      </c>
      <c r="C1726" s="3" t="s">
        <v>7312</v>
      </c>
      <c r="D1726" s="3" t="s">
        <v>7313</v>
      </c>
      <c r="E1726" s="3" t="s">
        <v>7314</v>
      </c>
      <c r="F1726" s="3" t="s">
        <v>19</v>
      </c>
      <c r="G1726" s="3" t="s">
        <v>72</v>
      </c>
      <c r="H1726" s="3">
        <v>1.0</v>
      </c>
      <c r="I1726" s="3" t="s">
        <v>7311</v>
      </c>
      <c r="J1726" s="3" t="s">
        <v>22</v>
      </c>
      <c r="K1726" s="3" t="s">
        <v>45</v>
      </c>
      <c r="L1726" s="3" t="s">
        <v>45</v>
      </c>
      <c r="M1726" s="3" t="s">
        <v>46</v>
      </c>
      <c r="N1726" s="3" t="s">
        <v>47</v>
      </c>
      <c r="O1726" s="5">
        <v>20.0799999</v>
      </c>
      <c r="P1726" s="6" t="str">
        <f t="shared" si="2"/>
        <v>Pharmaceuticals</v>
      </c>
    </row>
    <row r="1727" hidden="1">
      <c r="A1727" s="3" t="s">
        <v>7315</v>
      </c>
      <c r="B1727" s="4">
        <v>530063.0</v>
      </c>
      <c r="C1727" s="3" t="s">
        <v>7316</v>
      </c>
      <c r="D1727" s="3" t="s">
        <v>7317</v>
      </c>
      <c r="E1727" s="3" t="s">
        <v>7318</v>
      </c>
      <c r="F1727" s="3" t="s">
        <v>19</v>
      </c>
      <c r="G1727" s="3" t="s">
        <v>72</v>
      </c>
      <c r="H1727" s="3">
        <v>10.0</v>
      </c>
      <c r="I1727" s="3" t="s">
        <v>7315</v>
      </c>
      <c r="J1727" s="3" t="s">
        <v>22</v>
      </c>
      <c r="K1727" s="3" t="s">
        <v>97</v>
      </c>
      <c r="L1727" s="3" t="s">
        <v>98</v>
      </c>
      <c r="M1727" s="3" t="s">
        <v>100</v>
      </c>
      <c r="N1727" s="3" t="s">
        <v>373</v>
      </c>
      <c r="O1727" s="5">
        <v>13.8549993</v>
      </c>
      <c r="P1727" s="6" t="str">
        <f t="shared" si="2"/>
        <v>Industrial Products</v>
      </c>
    </row>
    <row r="1728" hidden="1">
      <c r="A1728" s="3" t="s">
        <v>7319</v>
      </c>
      <c r="B1728" s="4">
        <v>530065.0</v>
      </c>
      <c r="C1728" s="3" t="s">
        <v>7320</v>
      </c>
      <c r="D1728" s="3" t="s">
        <v>7321</v>
      </c>
      <c r="E1728" s="3" t="s">
        <v>7320</v>
      </c>
      <c r="F1728" s="3" t="s">
        <v>19</v>
      </c>
      <c r="G1728" s="3" t="s">
        <v>72</v>
      </c>
      <c r="H1728" s="3">
        <v>10.0</v>
      </c>
      <c r="I1728" s="3" t="s">
        <v>7319</v>
      </c>
      <c r="J1728" s="3" t="s">
        <v>22</v>
      </c>
      <c r="K1728" s="3" t="s">
        <v>58</v>
      </c>
      <c r="L1728" s="3" t="s">
        <v>73</v>
      </c>
      <c r="M1728" s="3" t="s">
        <v>74</v>
      </c>
      <c r="N1728" s="3" t="s">
        <v>75</v>
      </c>
      <c r="O1728" s="5">
        <v>1.0</v>
      </c>
      <c r="P1728" s="6" t="str">
        <f t="shared" si="2"/>
        <v>Leisure Services</v>
      </c>
    </row>
    <row r="1729" hidden="1">
      <c r="A1729" s="3" t="s">
        <v>7322</v>
      </c>
      <c r="B1729" s="4">
        <v>530067.0</v>
      </c>
      <c r="C1729" s="3" t="s">
        <v>7323</v>
      </c>
      <c r="D1729" s="3" t="s">
        <v>7324</v>
      </c>
      <c r="E1729" s="3" t="s">
        <v>7325</v>
      </c>
      <c r="F1729" s="3" t="s">
        <v>19</v>
      </c>
      <c r="G1729" s="3" t="s">
        <v>112</v>
      </c>
      <c r="H1729" s="3">
        <v>10.0</v>
      </c>
      <c r="I1729" s="3" t="s">
        <v>7322</v>
      </c>
      <c r="J1729" s="3" t="s">
        <v>22</v>
      </c>
      <c r="K1729" s="3" t="s">
        <v>204</v>
      </c>
      <c r="L1729" s="3" t="s">
        <v>204</v>
      </c>
      <c r="M1729" s="3" t="s">
        <v>378</v>
      </c>
      <c r="N1729" s="3" t="s">
        <v>379</v>
      </c>
      <c r="O1729" s="5">
        <v>1031.7337184</v>
      </c>
      <c r="P1729" s="6" t="str">
        <f t="shared" si="2"/>
        <v>Non Banking Financial Company (NBFC)</v>
      </c>
    </row>
    <row r="1730" hidden="1">
      <c r="A1730" s="3" t="s">
        <v>7326</v>
      </c>
      <c r="B1730" s="4">
        <v>530073.0</v>
      </c>
      <c r="C1730" s="3" t="s">
        <v>7327</v>
      </c>
      <c r="D1730" s="3" t="s">
        <v>7328</v>
      </c>
      <c r="E1730" s="3" t="s">
        <v>7329</v>
      </c>
      <c r="F1730" s="3" t="s">
        <v>19</v>
      </c>
      <c r="G1730" s="3" t="s">
        <v>20</v>
      </c>
      <c r="H1730" s="3">
        <v>2.0</v>
      </c>
      <c r="I1730" s="3" t="s">
        <v>7326</v>
      </c>
      <c r="J1730" s="3" t="s">
        <v>22</v>
      </c>
      <c r="K1730" s="3" t="s">
        <v>97</v>
      </c>
      <c r="L1730" s="3" t="s">
        <v>98</v>
      </c>
      <c r="M1730" s="3" t="s">
        <v>1993</v>
      </c>
      <c r="N1730" s="3" t="s">
        <v>1999</v>
      </c>
      <c r="O1730" s="5">
        <v>4676.1389589</v>
      </c>
      <c r="P1730" s="6" t="str">
        <f t="shared" si="2"/>
        <v>Agricultural, Commercial &amp; Construction Vehicles</v>
      </c>
    </row>
    <row r="1731" hidden="1">
      <c r="A1731" s="3" t="s">
        <v>7330</v>
      </c>
      <c r="B1731" s="4">
        <v>530075.0</v>
      </c>
      <c r="C1731" s="3" t="s">
        <v>7331</v>
      </c>
      <c r="D1731" s="3" t="s">
        <v>7332</v>
      </c>
      <c r="E1731" s="3" t="s">
        <v>7333</v>
      </c>
      <c r="F1731" s="3" t="s">
        <v>19</v>
      </c>
      <c r="G1731" s="3" t="s">
        <v>112</v>
      </c>
      <c r="H1731" s="3">
        <v>10.0</v>
      </c>
      <c r="I1731" s="3" t="s">
        <v>7330</v>
      </c>
      <c r="J1731" s="3" t="s">
        <v>22</v>
      </c>
      <c r="K1731" s="3" t="s">
        <v>410</v>
      </c>
      <c r="L1731" s="3" t="s">
        <v>411</v>
      </c>
      <c r="M1731" s="3" t="s">
        <v>412</v>
      </c>
      <c r="N1731" s="3" t="s">
        <v>504</v>
      </c>
      <c r="O1731" s="5">
        <v>1103.7552877</v>
      </c>
      <c r="P1731" s="6" t="str">
        <f t="shared" si="2"/>
        <v>Oil</v>
      </c>
    </row>
    <row r="1732" hidden="1">
      <c r="A1732" s="3" t="s">
        <v>7334</v>
      </c>
      <c r="B1732" s="4">
        <v>530077.0</v>
      </c>
      <c r="C1732" s="3" t="s">
        <v>7335</v>
      </c>
      <c r="D1732" s="3" t="s">
        <v>7336</v>
      </c>
      <c r="E1732" s="3" t="s">
        <v>7337</v>
      </c>
      <c r="F1732" s="3" t="s">
        <v>19</v>
      </c>
      <c r="G1732" s="3" t="s">
        <v>44</v>
      </c>
      <c r="H1732" s="3">
        <v>10.0</v>
      </c>
      <c r="I1732" s="3" t="s">
        <v>7334</v>
      </c>
      <c r="J1732" s="3" t="s">
        <v>22</v>
      </c>
      <c r="K1732" s="3" t="s">
        <v>145</v>
      </c>
      <c r="L1732" s="3" t="s">
        <v>145</v>
      </c>
      <c r="M1732" s="3" t="s">
        <v>146</v>
      </c>
      <c r="N1732" s="3" t="s">
        <v>2645</v>
      </c>
      <c r="O1732" s="5">
        <v>103.7264371</v>
      </c>
      <c r="P1732" s="6" t="str">
        <f t="shared" si="2"/>
        <v>Agricultural Food &amp; other Products</v>
      </c>
    </row>
    <row r="1733" hidden="1">
      <c r="A1733" s="3" t="s">
        <v>7338</v>
      </c>
      <c r="B1733" s="4">
        <v>530079.0</v>
      </c>
      <c r="C1733" s="3" t="s">
        <v>7339</v>
      </c>
      <c r="D1733" s="3" t="s">
        <v>7340</v>
      </c>
      <c r="E1733" s="3" t="s">
        <v>7341</v>
      </c>
      <c r="F1733" s="3" t="s">
        <v>19</v>
      </c>
      <c r="G1733" s="3" t="s">
        <v>112</v>
      </c>
      <c r="H1733" s="3">
        <v>10.0</v>
      </c>
      <c r="I1733" s="3" t="s">
        <v>7338</v>
      </c>
      <c r="J1733" s="3" t="s">
        <v>22</v>
      </c>
      <c r="K1733" s="3" t="s">
        <v>58</v>
      </c>
      <c r="L1733" s="3" t="s">
        <v>80</v>
      </c>
      <c r="M1733" s="3" t="s">
        <v>81</v>
      </c>
      <c r="N1733" s="3" t="s">
        <v>82</v>
      </c>
      <c r="O1733" s="5">
        <v>1009.8344035</v>
      </c>
      <c r="P1733" s="6" t="str">
        <f t="shared" si="2"/>
        <v>Textiles &amp; Apparels</v>
      </c>
    </row>
    <row r="1734" hidden="1">
      <c r="A1734" s="3" t="s">
        <v>7342</v>
      </c>
      <c r="B1734" s="4">
        <v>530095.0</v>
      </c>
      <c r="C1734" s="3" t="s">
        <v>7343</v>
      </c>
      <c r="D1734" s="3" t="s">
        <v>7344</v>
      </c>
      <c r="E1734" s="3" t="s">
        <v>7345</v>
      </c>
      <c r="F1734" s="3" t="s">
        <v>19</v>
      </c>
      <c r="G1734" s="3" t="s">
        <v>44</v>
      </c>
      <c r="H1734" s="3">
        <v>10.0</v>
      </c>
      <c r="I1734" s="3" t="s">
        <v>7342</v>
      </c>
      <c r="J1734" s="3" t="s">
        <v>22</v>
      </c>
      <c r="K1734" s="3" t="s">
        <v>97</v>
      </c>
      <c r="L1734" s="3" t="s">
        <v>98</v>
      </c>
      <c r="M1734" s="3" t="s">
        <v>100</v>
      </c>
      <c r="N1734" s="3" t="s">
        <v>612</v>
      </c>
      <c r="O1734" s="5">
        <v>1.0</v>
      </c>
      <c r="P1734" s="6" t="str">
        <f t="shared" si="2"/>
        <v>Industrial Products</v>
      </c>
    </row>
    <row r="1735" hidden="1">
      <c r="A1735" s="3" t="s">
        <v>7346</v>
      </c>
      <c r="B1735" s="4">
        <v>530109.0</v>
      </c>
      <c r="C1735" s="3" t="s">
        <v>7347</v>
      </c>
      <c r="D1735" s="3" t="s">
        <v>7348</v>
      </c>
      <c r="E1735" s="3" t="s">
        <v>7349</v>
      </c>
      <c r="F1735" s="3" t="s">
        <v>19</v>
      </c>
      <c r="G1735" s="3" t="s">
        <v>44</v>
      </c>
      <c r="H1735" s="3">
        <v>1.0</v>
      </c>
      <c r="I1735" s="3" t="s">
        <v>7346</v>
      </c>
      <c r="J1735" s="3" t="s">
        <v>22</v>
      </c>
      <c r="K1735" s="3" t="s">
        <v>204</v>
      </c>
      <c r="L1735" s="3" t="s">
        <v>204</v>
      </c>
      <c r="M1735" s="3" t="s">
        <v>378</v>
      </c>
      <c r="N1735" s="3" t="s">
        <v>379</v>
      </c>
      <c r="O1735" s="5">
        <v>23.1274819</v>
      </c>
      <c r="P1735" s="6" t="str">
        <f t="shared" si="2"/>
        <v>Non Banking Financial Company (NBFC)</v>
      </c>
    </row>
    <row r="1736" hidden="1">
      <c r="A1736" s="3" t="s">
        <v>7350</v>
      </c>
      <c r="B1736" s="4">
        <v>530111.0</v>
      </c>
      <c r="C1736" s="3" t="s">
        <v>7351</v>
      </c>
      <c r="D1736" s="3" t="s">
        <v>7352</v>
      </c>
      <c r="E1736" s="3" t="s">
        <v>7353</v>
      </c>
      <c r="F1736" s="3" t="s">
        <v>19</v>
      </c>
      <c r="G1736" s="3" t="s">
        <v>44</v>
      </c>
      <c r="H1736" s="3">
        <v>10.0</v>
      </c>
      <c r="I1736" s="3" t="s">
        <v>7350</v>
      </c>
      <c r="J1736" s="3" t="s">
        <v>22</v>
      </c>
      <c r="K1736" s="3" t="s">
        <v>97</v>
      </c>
      <c r="L1736" s="3" t="s">
        <v>98</v>
      </c>
      <c r="M1736" s="3" t="s">
        <v>100</v>
      </c>
      <c r="N1736" s="3" t="s">
        <v>373</v>
      </c>
      <c r="O1736" s="5">
        <v>13.4495346</v>
      </c>
      <c r="P1736" s="6" t="str">
        <f t="shared" si="2"/>
        <v>Industrial Products</v>
      </c>
    </row>
    <row r="1737">
      <c r="A1737" s="3" t="s">
        <v>570</v>
      </c>
      <c r="B1737" s="4">
        <v>500800.0</v>
      </c>
      <c r="C1737" s="3" t="s">
        <v>7354</v>
      </c>
      <c r="D1737" s="3" t="s">
        <v>7355</v>
      </c>
      <c r="E1737" s="3" t="s">
        <v>7356</v>
      </c>
      <c r="F1737" s="3" t="s">
        <v>19</v>
      </c>
      <c r="G1737" s="3" t="s">
        <v>20</v>
      </c>
      <c r="H1737" s="3">
        <v>1.0</v>
      </c>
      <c r="I1737" s="3" t="s">
        <v>1252</v>
      </c>
      <c r="J1737" s="3" t="s">
        <v>22</v>
      </c>
      <c r="K1737" s="3" t="s">
        <v>145</v>
      </c>
      <c r="L1737" s="3" t="s">
        <v>145</v>
      </c>
      <c r="M1737" s="3" t="s">
        <v>146</v>
      </c>
      <c r="N1737" s="3" t="s">
        <v>444</v>
      </c>
      <c r="O1737" s="5">
        <v>107583.0534845</v>
      </c>
      <c r="P1737" s="6" t="str">
        <f t="shared" si="2"/>
        <v>Agricultural Food &amp; other Products</v>
      </c>
    </row>
    <row r="1738" hidden="1">
      <c r="A1738" s="3" t="s">
        <v>7357</v>
      </c>
      <c r="B1738" s="4">
        <v>530119.0</v>
      </c>
      <c r="C1738" s="3" t="s">
        <v>7358</v>
      </c>
      <c r="D1738" s="3" t="s">
        <v>7359</v>
      </c>
      <c r="E1738" s="3" t="s">
        <v>7360</v>
      </c>
      <c r="F1738" s="3" t="s">
        <v>19</v>
      </c>
      <c r="G1738" s="3" t="s">
        <v>44</v>
      </c>
      <c r="H1738" s="3">
        <v>10.0</v>
      </c>
      <c r="I1738" s="3" t="s">
        <v>7357</v>
      </c>
      <c r="J1738" s="3" t="s">
        <v>22</v>
      </c>
      <c r="K1738" s="3" t="s">
        <v>145</v>
      </c>
      <c r="L1738" s="3" t="s">
        <v>145</v>
      </c>
      <c r="M1738" s="3" t="s">
        <v>146</v>
      </c>
      <c r="N1738" s="3" t="s">
        <v>575</v>
      </c>
      <c r="O1738" s="5">
        <v>18.2691939</v>
      </c>
      <c r="P1738" s="6" t="str">
        <f t="shared" si="2"/>
        <v>Agricultural Food &amp; other Products</v>
      </c>
    </row>
    <row r="1739" hidden="1">
      <c r="A1739" s="3" t="s">
        <v>7361</v>
      </c>
      <c r="B1739" s="4">
        <v>530125.0</v>
      </c>
      <c r="C1739" s="3" t="s">
        <v>7362</v>
      </c>
      <c r="D1739" s="3" t="s">
        <v>7363</v>
      </c>
      <c r="E1739" s="3" t="s">
        <v>7364</v>
      </c>
      <c r="F1739" s="3" t="s">
        <v>19</v>
      </c>
      <c r="G1739" s="3" t="s">
        <v>44</v>
      </c>
      <c r="H1739" s="3">
        <v>10.0</v>
      </c>
      <c r="I1739" s="3" t="s">
        <v>7361</v>
      </c>
      <c r="J1739" s="3" t="s">
        <v>22</v>
      </c>
      <c r="K1739" s="3" t="s">
        <v>45</v>
      </c>
      <c r="L1739" s="3" t="s">
        <v>45</v>
      </c>
      <c r="M1739" s="3" t="s">
        <v>46</v>
      </c>
      <c r="N1739" s="3" t="s">
        <v>47</v>
      </c>
      <c r="O1739" s="5">
        <v>103.0010248</v>
      </c>
      <c r="P1739" s="6" t="str">
        <f t="shared" si="2"/>
        <v>Pharmaceuticals</v>
      </c>
    </row>
    <row r="1740" hidden="1">
      <c r="A1740" s="3" t="s">
        <v>7365</v>
      </c>
      <c r="B1740" s="4">
        <v>530127.0</v>
      </c>
      <c r="C1740" s="3" t="s">
        <v>7366</v>
      </c>
      <c r="D1740" s="3" t="s">
        <v>7367</v>
      </c>
      <c r="E1740" s="3" t="s">
        <v>7368</v>
      </c>
      <c r="F1740" s="3" t="s">
        <v>19</v>
      </c>
      <c r="G1740" s="3" t="s">
        <v>44</v>
      </c>
      <c r="H1740" s="3">
        <v>10.0</v>
      </c>
      <c r="I1740" s="3" t="s">
        <v>7365</v>
      </c>
      <c r="J1740" s="3" t="s">
        <v>22</v>
      </c>
      <c r="K1740" s="3" t="s">
        <v>204</v>
      </c>
      <c r="L1740" s="3" t="s">
        <v>204</v>
      </c>
      <c r="M1740" s="3" t="s">
        <v>378</v>
      </c>
      <c r="N1740" s="3" t="s">
        <v>468</v>
      </c>
      <c r="O1740" s="5">
        <v>14.7785523</v>
      </c>
      <c r="P1740" s="6" t="str">
        <f t="shared" si="2"/>
        <v>Finance</v>
      </c>
    </row>
    <row r="1741" hidden="1">
      <c r="A1741" s="3" t="s">
        <v>7369</v>
      </c>
      <c r="B1741" s="4">
        <v>530129.0</v>
      </c>
      <c r="C1741" s="3" t="s">
        <v>7370</v>
      </c>
      <c r="D1741" s="3" t="s">
        <v>7371</v>
      </c>
      <c r="E1741" s="3" t="s">
        <v>7372</v>
      </c>
      <c r="F1741" s="3" t="s">
        <v>19</v>
      </c>
      <c r="G1741" s="3" t="s">
        <v>44</v>
      </c>
      <c r="H1741" s="3">
        <v>10.0</v>
      </c>
      <c r="I1741" s="3" t="s">
        <v>7369</v>
      </c>
      <c r="J1741" s="3" t="s">
        <v>22</v>
      </c>
      <c r="K1741" s="3" t="s">
        <v>23</v>
      </c>
      <c r="L1741" s="3" t="s">
        <v>65</v>
      </c>
      <c r="M1741" s="3" t="s">
        <v>522</v>
      </c>
      <c r="N1741" s="3" t="s">
        <v>523</v>
      </c>
      <c r="O1741" s="5">
        <v>441.8979598</v>
      </c>
      <c r="P1741" s="6" t="str">
        <f t="shared" si="2"/>
        <v>Minerals &amp; Mining</v>
      </c>
    </row>
    <row r="1742" hidden="1">
      <c r="A1742" s="3" t="s">
        <v>7373</v>
      </c>
      <c r="B1742" s="4">
        <v>530131.0</v>
      </c>
      <c r="C1742" s="3" t="s">
        <v>7374</v>
      </c>
      <c r="D1742" s="3" t="s">
        <v>7375</v>
      </c>
      <c r="E1742" s="3" t="s">
        <v>7376</v>
      </c>
      <c r="F1742" s="3" t="s">
        <v>19</v>
      </c>
      <c r="G1742" s="3" t="s">
        <v>112</v>
      </c>
      <c r="H1742" s="3">
        <v>4.0</v>
      </c>
      <c r="I1742" s="3" t="s">
        <v>7373</v>
      </c>
      <c r="J1742" s="3" t="s">
        <v>22</v>
      </c>
      <c r="K1742" s="3" t="s">
        <v>23</v>
      </c>
      <c r="L1742" s="3" t="s">
        <v>162</v>
      </c>
      <c r="M1742" s="3" t="s">
        <v>163</v>
      </c>
      <c r="N1742" s="3" t="s">
        <v>163</v>
      </c>
      <c r="O1742" s="5">
        <v>2530.6527628</v>
      </c>
      <c r="P1742" s="6" t="str">
        <f t="shared" si="2"/>
        <v>Cement &amp; Cement Products</v>
      </c>
    </row>
    <row r="1743" hidden="1">
      <c r="A1743" s="3" t="s">
        <v>7377</v>
      </c>
      <c r="B1743" s="4">
        <v>530133.0</v>
      </c>
      <c r="C1743" s="3" t="s">
        <v>7378</v>
      </c>
      <c r="D1743" s="3" t="s">
        <v>7379</v>
      </c>
      <c r="E1743" s="3" t="s">
        <v>7380</v>
      </c>
      <c r="F1743" s="3" t="s">
        <v>19</v>
      </c>
      <c r="G1743" s="3" t="s">
        <v>44</v>
      </c>
      <c r="H1743" s="3">
        <v>10.0</v>
      </c>
      <c r="I1743" s="3" t="s">
        <v>7377</v>
      </c>
      <c r="J1743" s="3" t="s">
        <v>22</v>
      </c>
      <c r="K1743" s="3" t="s">
        <v>97</v>
      </c>
      <c r="L1743" s="3" t="s">
        <v>98</v>
      </c>
      <c r="M1743" s="3" t="s">
        <v>100</v>
      </c>
      <c r="N1743" s="3" t="s">
        <v>221</v>
      </c>
      <c r="O1743" s="5">
        <v>1.0</v>
      </c>
      <c r="P1743" s="6" t="str">
        <f t="shared" si="2"/>
        <v>Industrial Products</v>
      </c>
    </row>
    <row r="1744" hidden="1">
      <c r="A1744" s="3" t="s">
        <v>7381</v>
      </c>
      <c r="B1744" s="4">
        <v>530135.0</v>
      </c>
      <c r="C1744" s="3" t="s">
        <v>7382</v>
      </c>
      <c r="D1744" s="3" t="s">
        <v>7383</v>
      </c>
      <c r="E1744" s="3" t="s">
        <v>7384</v>
      </c>
      <c r="F1744" s="3" t="s">
        <v>19</v>
      </c>
      <c r="G1744" s="3" t="s">
        <v>112</v>
      </c>
      <c r="H1744" s="3">
        <v>10.0</v>
      </c>
      <c r="I1744" s="3" t="s">
        <v>7381</v>
      </c>
      <c r="J1744" s="3" t="s">
        <v>22</v>
      </c>
      <c r="K1744" s="3" t="s">
        <v>189</v>
      </c>
      <c r="L1744" s="3" t="s">
        <v>189</v>
      </c>
      <c r="M1744" s="3" t="s">
        <v>190</v>
      </c>
      <c r="N1744" s="3" t="s">
        <v>190</v>
      </c>
      <c r="O1744" s="5">
        <v>2683.2163096</v>
      </c>
      <c r="P1744" s="6" t="str">
        <f t="shared" si="2"/>
        <v>Telecom - Equipment &amp; Accessories</v>
      </c>
    </row>
    <row r="1745" hidden="1">
      <c r="A1745" s="3" t="s">
        <v>7385</v>
      </c>
      <c r="B1745" s="4">
        <v>530139.0</v>
      </c>
      <c r="C1745" s="3" t="s">
        <v>7386</v>
      </c>
      <c r="D1745" s="3" t="s">
        <v>7387</v>
      </c>
      <c r="E1745" s="3" t="s">
        <v>7388</v>
      </c>
      <c r="F1745" s="3" t="s">
        <v>19</v>
      </c>
      <c r="G1745" s="3" t="s">
        <v>72</v>
      </c>
      <c r="H1745" s="3">
        <v>10.0</v>
      </c>
      <c r="I1745" s="3" t="s">
        <v>7385</v>
      </c>
      <c r="J1745" s="3" t="s">
        <v>22</v>
      </c>
      <c r="K1745" s="3" t="s">
        <v>204</v>
      </c>
      <c r="L1745" s="3" t="s">
        <v>204</v>
      </c>
      <c r="M1745" s="3" t="s">
        <v>378</v>
      </c>
      <c r="N1745" s="3" t="s">
        <v>379</v>
      </c>
      <c r="O1745" s="5">
        <v>88.4826763</v>
      </c>
      <c r="P1745" s="6" t="str">
        <f t="shared" si="2"/>
        <v>Non Banking Financial Company (NBFC)</v>
      </c>
    </row>
    <row r="1746" hidden="1">
      <c r="A1746" s="3" t="s">
        <v>7389</v>
      </c>
      <c r="B1746" s="4">
        <v>530141.0</v>
      </c>
      <c r="C1746" s="3" t="s">
        <v>7390</v>
      </c>
      <c r="D1746" s="3" t="s">
        <v>7391</v>
      </c>
      <c r="E1746" s="3" t="s">
        <v>7392</v>
      </c>
      <c r="F1746" s="3" t="s">
        <v>19</v>
      </c>
      <c r="G1746" s="3" t="s">
        <v>72</v>
      </c>
      <c r="H1746" s="3">
        <v>10.0</v>
      </c>
      <c r="I1746" s="3" t="s">
        <v>7389</v>
      </c>
      <c r="J1746" s="3" t="s">
        <v>22</v>
      </c>
      <c r="K1746" s="3" t="s">
        <v>58</v>
      </c>
      <c r="L1746" s="3" t="s">
        <v>59</v>
      </c>
      <c r="M1746" s="3" t="s">
        <v>59</v>
      </c>
      <c r="N1746" s="3" t="s">
        <v>60</v>
      </c>
      <c r="O1746" s="5">
        <v>1.0</v>
      </c>
      <c r="P1746" s="6" t="str">
        <f t="shared" si="2"/>
        <v>Residential, Commercial Projects</v>
      </c>
    </row>
    <row r="1747" hidden="1">
      <c r="A1747" s="3" t="s">
        <v>7393</v>
      </c>
      <c r="B1747" s="4">
        <v>530145.0</v>
      </c>
      <c r="C1747" s="3" t="s">
        <v>7394</v>
      </c>
      <c r="D1747" s="3" t="s">
        <v>7395</v>
      </c>
      <c r="E1747" s="3" t="s">
        <v>7396</v>
      </c>
      <c r="F1747" s="3" t="s">
        <v>19</v>
      </c>
      <c r="G1747" s="3" t="s">
        <v>44</v>
      </c>
      <c r="H1747" s="3">
        <v>10.0</v>
      </c>
      <c r="I1747" s="3" t="s">
        <v>7393</v>
      </c>
      <c r="J1747" s="3" t="s">
        <v>22</v>
      </c>
      <c r="K1747" s="3" t="s">
        <v>97</v>
      </c>
      <c r="L1747" s="3" t="s">
        <v>98</v>
      </c>
      <c r="M1747" s="3" t="s">
        <v>100</v>
      </c>
      <c r="N1747" s="3" t="s">
        <v>580</v>
      </c>
      <c r="O1747" s="5">
        <v>773.2502287</v>
      </c>
      <c r="P1747" s="6" t="str">
        <f t="shared" si="2"/>
        <v>Industrial Products</v>
      </c>
    </row>
    <row r="1748" hidden="1">
      <c r="A1748" s="3" t="s">
        <v>7397</v>
      </c>
      <c r="B1748" s="4">
        <v>520155.0</v>
      </c>
      <c r="C1748" s="3" t="s">
        <v>7398</v>
      </c>
      <c r="D1748" s="3" t="s">
        <v>7399</v>
      </c>
      <c r="E1748" s="3" t="s">
        <v>7400</v>
      </c>
      <c r="F1748" s="3" t="s">
        <v>19</v>
      </c>
      <c r="G1748" s="3" t="s">
        <v>44</v>
      </c>
      <c r="H1748" s="3">
        <v>10.0</v>
      </c>
      <c r="I1748" s="3" t="s">
        <v>5276</v>
      </c>
      <c r="J1748" s="3" t="s">
        <v>22</v>
      </c>
      <c r="K1748" s="3" t="s">
        <v>1673</v>
      </c>
      <c r="L1748" s="3" t="s">
        <v>1673</v>
      </c>
      <c r="M1748" s="3" t="s">
        <v>1879</v>
      </c>
      <c r="N1748" s="3" t="s">
        <v>2912</v>
      </c>
      <c r="O1748" s="5">
        <v>42.6136223</v>
      </c>
      <c r="P1748" s="6" t="str">
        <f t="shared" si="2"/>
        <v>Transport Infrastructure</v>
      </c>
    </row>
    <row r="1749" hidden="1">
      <c r="A1749" s="3" t="s">
        <v>7401</v>
      </c>
      <c r="B1749" s="4">
        <v>530163.0</v>
      </c>
      <c r="C1749" s="3" t="s">
        <v>7402</v>
      </c>
      <c r="D1749" s="3" t="s">
        <v>7403</v>
      </c>
      <c r="E1749" s="3" t="s">
        <v>7404</v>
      </c>
      <c r="F1749" s="3" t="s">
        <v>19</v>
      </c>
      <c r="G1749" s="3" t="s">
        <v>44</v>
      </c>
      <c r="H1749" s="3">
        <v>10.0</v>
      </c>
      <c r="I1749" s="3" t="s">
        <v>7401</v>
      </c>
      <c r="J1749" s="3" t="s">
        <v>22</v>
      </c>
      <c r="K1749" s="3" t="s">
        <v>45</v>
      </c>
      <c r="L1749" s="3" t="s">
        <v>45</v>
      </c>
      <c r="M1749" s="3" t="s">
        <v>46</v>
      </c>
      <c r="N1749" s="3" t="s">
        <v>47</v>
      </c>
      <c r="O1749" s="5">
        <v>447.8911882</v>
      </c>
      <c r="P1749" s="6" t="str">
        <f t="shared" si="2"/>
        <v>Pharmaceuticals</v>
      </c>
    </row>
    <row r="1750" hidden="1">
      <c r="A1750" s="3" t="s">
        <v>7405</v>
      </c>
      <c r="B1750" s="4">
        <v>530167.0</v>
      </c>
      <c r="C1750" s="3" t="s">
        <v>7406</v>
      </c>
      <c r="D1750" s="3" t="s">
        <v>7407</v>
      </c>
      <c r="E1750" s="3" t="s">
        <v>7408</v>
      </c>
      <c r="F1750" s="3" t="s">
        <v>19</v>
      </c>
      <c r="G1750" s="3" t="s">
        <v>44</v>
      </c>
      <c r="H1750" s="3">
        <v>10.0</v>
      </c>
      <c r="I1750" s="3" t="s">
        <v>7405</v>
      </c>
      <c r="J1750" s="3" t="s">
        <v>22</v>
      </c>
      <c r="K1750" s="3" t="s">
        <v>204</v>
      </c>
      <c r="L1750" s="3" t="s">
        <v>204</v>
      </c>
      <c r="M1750" s="3" t="s">
        <v>378</v>
      </c>
      <c r="N1750" s="3" t="s">
        <v>379</v>
      </c>
      <c r="O1750" s="5">
        <v>1.0</v>
      </c>
      <c r="P1750" s="6" t="str">
        <f t="shared" si="2"/>
        <v>Non Banking Financial Company (NBFC)</v>
      </c>
    </row>
    <row r="1751" hidden="1">
      <c r="A1751" s="3" t="s">
        <v>7409</v>
      </c>
      <c r="B1751" s="4">
        <v>530169.0</v>
      </c>
      <c r="C1751" s="3" t="s">
        <v>7410</v>
      </c>
      <c r="D1751" s="3" t="s">
        <v>7411</v>
      </c>
      <c r="E1751" s="3" t="s">
        <v>7412</v>
      </c>
      <c r="F1751" s="3" t="s">
        <v>19</v>
      </c>
      <c r="G1751" s="3" t="s">
        <v>44</v>
      </c>
      <c r="H1751" s="3">
        <v>10.0</v>
      </c>
      <c r="I1751" s="3" t="s">
        <v>7409</v>
      </c>
      <c r="J1751" s="3" t="s">
        <v>22</v>
      </c>
      <c r="K1751" s="3" t="s">
        <v>23</v>
      </c>
      <c r="L1751" s="3" t="s">
        <v>32</v>
      </c>
      <c r="M1751" s="3" t="s">
        <v>33</v>
      </c>
      <c r="N1751" s="3" t="s">
        <v>34</v>
      </c>
      <c r="O1751" s="5">
        <v>49.5727861</v>
      </c>
      <c r="P1751" s="6" t="str">
        <f t="shared" si="2"/>
        <v>Paper, Forest &amp; Jute Products</v>
      </c>
    </row>
    <row r="1752" hidden="1">
      <c r="A1752" s="3" t="s">
        <v>7413</v>
      </c>
      <c r="B1752" s="4">
        <v>530171.0</v>
      </c>
      <c r="C1752" s="3" t="s">
        <v>7414</v>
      </c>
      <c r="D1752" s="3" t="s">
        <v>7415</v>
      </c>
      <c r="E1752" s="3" t="s">
        <v>7416</v>
      </c>
      <c r="F1752" s="3" t="s">
        <v>19</v>
      </c>
      <c r="G1752" s="3" t="s">
        <v>72</v>
      </c>
      <c r="H1752" s="3">
        <v>10.0</v>
      </c>
      <c r="I1752" s="3" t="s">
        <v>7413</v>
      </c>
      <c r="J1752" s="3" t="s">
        <v>22</v>
      </c>
      <c r="K1752" s="3" t="s">
        <v>204</v>
      </c>
      <c r="L1752" s="3" t="s">
        <v>204</v>
      </c>
      <c r="M1752" s="3" t="s">
        <v>378</v>
      </c>
      <c r="N1752" s="3" t="s">
        <v>468</v>
      </c>
      <c r="O1752" s="5">
        <v>1.0</v>
      </c>
      <c r="P1752" s="6" t="str">
        <f t="shared" si="2"/>
        <v>Finance</v>
      </c>
    </row>
    <row r="1753" hidden="1">
      <c r="A1753" s="3" t="s">
        <v>7417</v>
      </c>
      <c r="B1753" s="4">
        <v>530173.0</v>
      </c>
      <c r="C1753" s="3" t="s">
        <v>7418</v>
      </c>
      <c r="D1753" s="3" t="s">
        <v>7419</v>
      </c>
      <c r="E1753" s="3" t="s">
        <v>7420</v>
      </c>
      <c r="F1753" s="3" t="s">
        <v>19</v>
      </c>
      <c r="G1753" s="3" t="s">
        <v>72</v>
      </c>
      <c r="H1753" s="3">
        <v>10.0</v>
      </c>
      <c r="I1753" s="3" t="s">
        <v>7417</v>
      </c>
      <c r="J1753" s="3" t="s">
        <v>22</v>
      </c>
      <c r="K1753" s="3" t="s">
        <v>58</v>
      </c>
      <c r="L1753" s="3" t="s">
        <v>211</v>
      </c>
      <c r="M1753" s="3" t="s">
        <v>211</v>
      </c>
      <c r="N1753" s="3" t="s">
        <v>947</v>
      </c>
      <c r="O1753" s="5">
        <v>1.0</v>
      </c>
      <c r="P1753" s="6" t="str">
        <f t="shared" si="2"/>
        <v>Consumer Durables</v>
      </c>
    </row>
    <row r="1754" hidden="1">
      <c r="A1754" s="3" t="s">
        <v>7421</v>
      </c>
      <c r="B1754" s="4">
        <v>530175.0</v>
      </c>
      <c r="C1754" s="3" t="s">
        <v>7422</v>
      </c>
      <c r="D1754" s="3" t="s">
        <v>7423</v>
      </c>
      <c r="E1754" s="3" t="s">
        <v>7424</v>
      </c>
      <c r="F1754" s="3" t="s">
        <v>19</v>
      </c>
      <c r="G1754" s="3" t="s">
        <v>72</v>
      </c>
      <c r="H1754" s="3">
        <v>10.0</v>
      </c>
      <c r="I1754" s="3" t="s">
        <v>7421</v>
      </c>
      <c r="J1754" s="3" t="s">
        <v>22</v>
      </c>
      <c r="K1754" s="3" t="s">
        <v>473</v>
      </c>
      <c r="L1754" s="3" t="s">
        <v>473</v>
      </c>
      <c r="M1754" s="3" t="s">
        <v>1391</v>
      </c>
      <c r="N1754" s="3" t="s">
        <v>1392</v>
      </c>
      <c r="O1754" s="5">
        <v>234.4040099</v>
      </c>
      <c r="P1754" s="6" t="str">
        <f t="shared" si="2"/>
        <v>IT - Software</v>
      </c>
    </row>
    <row r="1755" hidden="1">
      <c r="A1755" s="3" t="s">
        <v>7425</v>
      </c>
      <c r="B1755" s="4">
        <v>530185.0</v>
      </c>
      <c r="C1755" s="3" t="s">
        <v>7426</v>
      </c>
      <c r="D1755" s="3" t="s">
        <v>7427</v>
      </c>
      <c r="E1755" s="3" t="s">
        <v>7428</v>
      </c>
      <c r="F1755" s="3" t="s">
        <v>19</v>
      </c>
      <c r="G1755" s="3" t="s">
        <v>44</v>
      </c>
      <c r="H1755" s="3">
        <v>1.0</v>
      </c>
      <c r="I1755" s="3" t="s">
        <v>7425</v>
      </c>
      <c r="J1755" s="3" t="s">
        <v>22</v>
      </c>
      <c r="K1755" s="3" t="s">
        <v>58</v>
      </c>
      <c r="L1755" s="3" t="s">
        <v>80</v>
      </c>
      <c r="M1755" s="3" t="s">
        <v>81</v>
      </c>
      <c r="N1755" s="3" t="s">
        <v>82</v>
      </c>
      <c r="O1755" s="5">
        <v>202.0786</v>
      </c>
      <c r="P1755" s="6" t="str">
        <f t="shared" si="2"/>
        <v>Textiles &amp; Apparels</v>
      </c>
    </row>
    <row r="1756" hidden="1">
      <c r="A1756" s="3" t="s">
        <v>7429</v>
      </c>
      <c r="B1756" s="4">
        <v>530187.0</v>
      </c>
      <c r="C1756" s="3" t="s">
        <v>7430</v>
      </c>
      <c r="D1756" s="3" t="s">
        <v>7431</v>
      </c>
      <c r="E1756" s="3" t="s">
        <v>7432</v>
      </c>
      <c r="F1756" s="3" t="s">
        <v>19</v>
      </c>
      <c r="G1756" s="3" t="s">
        <v>44</v>
      </c>
      <c r="H1756" s="3">
        <v>10.0</v>
      </c>
      <c r="I1756" s="3" t="s">
        <v>7429</v>
      </c>
      <c r="J1756" s="3" t="s">
        <v>22</v>
      </c>
      <c r="K1756" s="3" t="s">
        <v>204</v>
      </c>
      <c r="L1756" s="3" t="s">
        <v>204</v>
      </c>
      <c r="M1756" s="3" t="s">
        <v>378</v>
      </c>
      <c r="N1756" s="3" t="s">
        <v>379</v>
      </c>
      <c r="O1756" s="5">
        <v>5.3777073</v>
      </c>
      <c r="P1756" s="6" t="str">
        <f t="shared" si="2"/>
        <v>Non Banking Financial Company (NBFC)</v>
      </c>
    </row>
    <row r="1757" hidden="1">
      <c r="A1757" s="3" t="s">
        <v>7433</v>
      </c>
      <c r="B1757" s="4">
        <v>530197.0</v>
      </c>
      <c r="C1757" s="3" t="s">
        <v>7434</v>
      </c>
      <c r="D1757" s="3" t="s">
        <v>7435</v>
      </c>
      <c r="E1757" s="3" t="s">
        <v>7436</v>
      </c>
      <c r="F1757" s="3" t="s">
        <v>19</v>
      </c>
      <c r="G1757" s="3" t="s">
        <v>72</v>
      </c>
      <c r="H1757" s="3">
        <v>10.0</v>
      </c>
      <c r="I1757" s="3" t="s">
        <v>7433</v>
      </c>
      <c r="J1757" s="3" t="s">
        <v>22</v>
      </c>
      <c r="K1757" s="3" t="s">
        <v>204</v>
      </c>
      <c r="L1757" s="3" t="s">
        <v>204</v>
      </c>
      <c r="M1757" s="3" t="s">
        <v>378</v>
      </c>
      <c r="N1757" s="3" t="s">
        <v>384</v>
      </c>
      <c r="O1757" s="5">
        <v>63.22525</v>
      </c>
      <c r="P1757" s="6" t="str">
        <f t="shared" si="2"/>
        <v>Finance</v>
      </c>
    </row>
    <row r="1758" hidden="1">
      <c r="A1758" s="3" t="s">
        <v>7437</v>
      </c>
      <c r="B1758" s="4">
        <v>530199.0</v>
      </c>
      <c r="C1758" s="3" t="s">
        <v>7438</v>
      </c>
      <c r="D1758" s="3" t="s">
        <v>7439</v>
      </c>
      <c r="E1758" s="3" t="s">
        <v>7440</v>
      </c>
      <c r="F1758" s="3" t="s">
        <v>19</v>
      </c>
      <c r="G1758" s="3" t="s">
        <v>112</v>
      </c>
      <c r="H1758" s="3">
        <v>1.0</v>
      </c>
      <c r="I1758" s="3" t="s">
        <v>7437</v>
      </c>
      <c r="J1758" s="3" t="s">
        <v>22</v>
      </c>
      <c r="K1758" s="3" t="s">
        <v>45</v>
      </c>
      <c r="L1758" s="3" t="s">
        <v>45</v>
      </c>
      <c r="M1758" s="3" t="s">
        <v>46</v>
      </c>
      <c r="N1758" s="3" t="s">
        <v>47</v>
      </c>
      <c r="O1758" s="5">
        <v>1948.2048668</v>
      </c>
      <c r="P1758" s="6" t="str">
        <f t="shared" si="2"/>
        <v>Pharmaceuticals</v>
      </c>
    </row>
    <row r="1759" hidden="1">
      <c r="A1759" s="3" t="s">
        <v>7441</v>
      </c>
      <c r="B1759" s="4">
        <v>530201.0</v>
      </c>
      <c r="C1759" s="3" t="s">
        <v>7442</v>
      </c>
      <c r="D1759" s="3" t="s">
        <v>7443</v>
      </c>
      <c r="E1759" s="3" t="s">
        <v>7444</v>
      </c>
      <c r="F1759" s="3" t="s">
        <v>19</v>
      </c>
      <c r="G1759" s="3" t="s">
        <v>72</v>
      </c>
      <c r="H1759" s="3">
        <v>2.0</v>
      </c>
      <c r="I1759" s="3" t="s">
        <v>7441</v>
      </c>
      <c r="J1759" s="3" t="s">
        <v>22</v>
      </c>
      <c r="K1759" s="3" t="s">
        <v>58</v>
      </c>
      <c r="L1759" s="3" t="s">
        <v>80</v>
      </c>
      <c r="M1759" s="3" t="s">
        <v>81</v>
      </c>
      <c r="N1759" s="3" t="s">
        <v>82</v>
      </c>
      <c r="O1759" s="5">
        <v>41.9348299</v>
      </c>
      <c r="P1759" s="6" t="str">
        <f t="shared" si="2"/>
        <v>Textiles &amp; Apparels</v>
      </c>
    </row>
    <row r="1760" hidden="1">
      <c r="A1760" s="3" t="s">
        <v>7445</v>
      </c>
      <c r="B1760" s="4">
        <v>530207.0</v>
      </c>
      <c r="C1760" s="3" t="s">
        <v>7446</v>
      </c>
      <c r="D1760" s="3" t="s">
        <v>7447</v>
      </c>
      <c r="E1760" s="3" t="s">
        <v>7448</v>
      </c>
      <c r="F1760" s="3" t="s">
        <v>19</v>
      </c>
      <c r="G1760" s="3" t="s">
        <v>72</v>
      </c>
      <c r="H1760" s="3">
        <v>10.0</v>
      </c>
      <c r="I1760" s="3" t="s">
        <v>7445</v>
      </c>
      <c r="J1760" s="3" t="s">
        <v>22</v>
      </c>
      <c r="K1760" s="3" t="s">
        <v>45</v>
      </c>
      <c r="L1760" s="3" t="s">
        <v>45</v>
      </c>
      <c r="M1760" s="3" t="s">
        <v>46</v>
      </c>
      <c r="N1760" s="3" t="s">
        <v>47</v>
      </c>
      <c r="O1760" s="5">
        <v>1.0</v>
      </c>
      <c r="P1760" s="6" t="str">
        <f t="shared" si="2"/>
        <v>Pharmaceuticals</v>
      </c>
    </row>
    <row r="1761" hidden="1">
      <c r="A1761" s="3" t="s">
        <v>7449</v>
      </c>
      <c r="B1761" s="4">
        <v>524675.0</v>
      </c>
      <c r="C1761" s="3" t="s">
        <v>7450</v>
      </c>
      <c r="D1761" s="3" t="s">
        <v>7451</v>
      </c>
      <c r="E1761" s="3" t="s">
        <v>7452</v>
      </c>
      <c r="F1761" s="3" t="s">
        <v>19</v>
      </c>
      <c r="G1761" s="3" t="s">
        <v>44</v>
      </c>
      <c r="H1761" s="3">
        <v>10.0</v>
      </c>
      <c r="I1761" s="3" t="s">
        <v>6477</v>
      </c>
      <c r="J1761" s="3" t="s">
        <v>22</v>
      </c>
      <c r="K1761" s="3" t="s">
        <v>1673</v>
      </c>
      <c r="L1761" s="3" t="s">
        <v>1673</v>
      </c>
      <c r="M1761" s="3" t="s">
        <v>1674</v>
      </c>
      <c r="N1761" s="3" t="s">
        <v>1915</v>
      </c>
      <c r="O1761" s="5">
        <v>41.3713993</v>
      </c>
      <c r="P1761" s="6" t="str">
        <f t="shared" si="2"/>
        <v>Commercial Services &amp; Supplies</v>
      </c>
    </row>
    <row r="1762" hidden="1">
      <c r="A1762" s="3" t="s">
        <v>7453</v>
      </c>
      <c r="B1762" s="4">
        <v>530215.0</v>
      </c>
      <c r="C1762" s="3" t="s">
        <v>7454</v>
      </c>
      <c r="D1762" s="3" t="s">
        <v>7455</v>
      </c>
      <c r="E1762" s="3" t="s">
        <v>7454</v>
      </c>
      <c r="F1762" s="3" t="s">
        <v>19</v>
      </c>
      <c r="G1762" s="3" t="s">
        <v>44</v>
      </c>
      <c r="H1762" s="3">
        <v>10.0</v>
      </c>
      <c r="I1762" s="3" t="s">
        <v>7453</v>
      </c>
      <c r="J1762" s="3" t="s">
        <v>22</v>
      </c>
      <c r="K1762" s="3" t="s">
        <v>145</v>
      </c>
      <c r="L1762" s="3" t="s">
        <v>145</v>
      </c>
      <c r="M1762" s="3" t="s">
        <v>597</v>
      </c>
      <c r="N1762" s="3" t="s">
        <v>1438</v>
      </c>
      <c r="O1762" s="5">
        <v>395.1803912</v>
      </c>
      <c r="P1762" s="6" t="str">
        <f t="shared" si="2"/>
        <v>Food Products</v>
      </c>
    </row>
    <row r="1763" hidden="1">
      <c r="A1763" s="3" t="s">
        <v>7456</v>
      </c>
      <c r="B1763" s="4">
        <v>530231.0</v>
      </c>
      <c r="C1763" s="3" t="s">
        <v>7457</v>
      </c>
      <c r="D1763" s="3" t="s">
        <v>7458</v>
      </c>
      <c r="E1763" s="3" t="s">
        <v>7459</v>
      </c>
      <c r="F1763" s="3" t="s">
        <v>19</v>
      </c>
      <c r="G1763" s="3" t="s">
        <v>44</v>
      </c>
      <c r="H1763" s="3">
        <v>10.0</v>
      </c>
      <c r="I1763" s="3" t="s">
        <v>7456</v>
      </c>
      <c r="J1763" s="3" t="s">
        <v>22</v>
      </c>
      <c r="K1763" s="3" t="s">
        <v>58</v>
      </c>
      <c r="L1763" s="3" t="s">
        <v>80</v>
      </c>
      <c r="M1763" s="3" t="s">
        <v>81</v>
      </c>
      <c r="N1763" s="3" t="s">
        <v>82</v>
      </c>
      <c r="O1763" s="5">
        <v>1.0</v>
      </c>
      <c r="P1763" s="6" t="str">
        <f t="shared" si="2"/>
        <v>Textiles &amp; Apparels</v>
      </c>
    </row>
    <row r="1764" hidden="1">
      <c r="A1764" s="3" t="s">
        <v>7460</v>
      </c>
      <c r="B1764" s="4">
        <v>530233.0</v>
      </c>
      <c r="C1764" s="3" t="s">
        <v>7461</v>
      </c>
      <c r="D1764" s="3" t="s">
        <v>7462</v>
      </c>
      <c r="E1764" s="3" t="s">
        <v>7463</v>
      </c>
      <c r="F1764" s="3" t="s">
        <v>19</v>
      </c>
      <c r="G1764" s="3" t="s">
        <v>72</v>
      </c>
      <c r="H1764" s="3">
        <v>10.0</v>
      </c>
      <c r="I1764" s="3" t="s">
        <v>7460</v>
      </c>
      <c r="J1764" s="3" t="s">
        <v>22</v>
      </c>
      <c r="K1764" s="3" t="s">
        <v>45</v>
      </c>
      <c r="L1764" s="3" t="s">
        <v>45</v>
      </c>
      <c r="M1764" s="3" t="s">
        <v>46</v>
      </c>
      <c r="N1764" s="3" t="s">
        <v>47</v>
      </c>
      <c r="O1764" s="5">
        <v>119.0993519</v>
      </c>
      <c r="P1764" s="6" t="str">
        <f t="shared" si="2"/>
        <v>Pharmaceuticals</v>
      </c>
    </row>
    <row r="1765" hidden="1">
      <c r="A1765" s="3" t="s">
        <v>7464</v>
      </c>
      <c r="B1765" s="4">
        <v>530235.0</v>
      </c>
      <c r="C1765" s="3" t="s">
        <v>7465</v>
      </c>
      <c r="D1765" s="3" t="s">
        <v>7466</v>
      </c>
      <c r="E1765" s="3" t="s">
        <v>7467</v>
      </c>
      <c r="F1765" s="3" t="s">
        <v>19</v>
      </c>
      <c r="G1765" s="3" t="s">
        <v>44</v>
      </c>
      <c r="H1765" s="3">
        <v>10.0</v>
      </c>
      <c r="I1765" s="3" t="s">
        <v>7464</v>
      </c>
      <c r="J1765" s="3" t="s">
        <v>22</v>
      </c>
      <c r="K1765" s="3" t="s">
        <v>204</v>
      </c>
      <c r="L1765" s="3" t="s">
        <v>204</v>
      </c>
      <c r="M1765" s="3" t="s">
        <v>378</v>
      </c>
      <c r="N1765" s="3" t="s">
        <v>379</v>
      </c>
      <c r="O1765" s="5">
        <v>32.9357059</v>
      </c>
      <c r="P1765" s="6" t="str">
        <f t="shared" si="2"/>
        <v>Non Banking Financial Company (NBFC)</v>
      </c>
    </row>
    <row r="1766" hidden="1">
      <c r="A1766" s="3" t="s">
        <v>7468</v>
      </c>
      <c r="B1766" s="4">
        <v>530239.0</v>
      </c>
      <c r="C1766" s="3" t="s">
        <v>7469</v>
      </c>
      <c r="D1766" s="3" t="s">
        <v>7470</v>
      </c>
      <c r="E1766" s="3" t="s">
        <v>7471</v>
      </c>
      <c r="F1766" s="3" t="s">
        <v>19</v>
      </c>
      <c r="G1766" s="3" t="s">
        <v>112</v>
      </c>
      <c r="H1766" s="3">
        <v>1.0</v>
      </c>
      <c r="I1766" s="3" t="s">
        <v>7468</v>
      </c>
      <c r="J1766" s="3" t="s">
        <v>22</v>
      </c>
      <c r="K1766" s="3" t="s">
        <v>45</v>
      </c>
      <c r="L1766" s="3" t="s">
        <v>45</v>
      </c>
      <c r="M1766" s="3" t="s">
        <v>4488</v>
      </c>
      <c r="N1766" s="3" t="s">
        <v>6244</v>
      </c>
      <c r="O1766" s="5">
        <v>2251.8916556</v>
      </c>
      <c r="P1766" s="6" t="str">
        <f t="shared" si="2"/>
        <v>Healthcare Services</v>
      </c>
    </row>
    <row r="1767" hidden="1">
      <c r="A1767" s="3" t="s">
        <v>7472</v>
      </c>
      <c r="B1767" s="4">
        <v>530245.0</v>
      </c>
      <c r="C1767" s="3" t="s">
        <v>7473</v>
      </c>
      <c r="D1767" s="3" t="s">
        <v>7474</v>
      </c>
      <c r="E1767" s="3" t="s">
        <v>7475</v>
      </c>
      <c r="F1767" s="3" t="s">
        <v>19</v>
      </c>
      <c r="G1767" s="3" t="s">
        <v>44</v>
      </c>
      <c r="H1767" s="3">
        <v>10.0</v>
      </c>
      <c r="I1767" s="3" t="s">
        <v>7472</v>
      </c>
      <c r="J1767" s="3" t="s">
        <v>22</v>
      </c>
      <c r="K1767" s="3" t="s">
        <v>204</v>
      </c>
      <c r="L1767" s="3" t="s">
        <v>204</v>
      </c>
      <c r="M1767" s="3" t="s">
        <v>378</v>
      </c>
      <c r="N1767" s="3" t="s">
        <v>379</v>
      </c>
      <c r="O1767" s="5">
        <v>371.7184407</v>
      </c>
      <c r="P1767" s="6" t="str">
        <f t="shared" si="2"/>
        <v>Non Banking Financial Company (NBFC)</v>
      </c>
    </row>
    <row r="1768" hidden="1">
      <c r="A1768" s="3" t="s">
        <v>7476</v>
      </c>
      <c r="B1768" s="4">
        <v>530249.0</v>
      </c>
      <c r="C1768" s="3" t="s">
        <v>7477</v>
      </c>
      <c r="D1768" s="3" t="s">
        <v>7478</v>
      </c>
      <c r="E1768" s="3" t="s">
        <v>7479</v>
      </c>
      <c r="F1768" s="3" t="s">
        <v>19</v>
      </c>
      <c r="G1768" s="3" t="s">
        <v>44</v>
      </c>
      <c r="H1768" s="3">
        <v>10.0</v>
      </c>
      <c r="I1768" s="3" t="s">
        <v>7476</v>
      </c>
      <c r="J1768" s="3" t="s">
        <v>22</v>
      </c>
      <c r="K1768" s="3" t="s">
        <v>204</v>
      </c>
      <c r="L1768" s="3" t="s">
        <v>204</v>
      </c>
      <c r="M1768" s="3" t="s">
        <v>378</v>
      </c>
      <c r="N1768" s="3" t="s">
        <v>468</v>
      </c>
      <c r="O1768" s="5">
        <v>10.6062286</v>
      </c>
      <c r="P1768" s="6" t="str">
        <f t="shared" si="2"/>
        <v>Finance</v>
      </c>
    </row>
    <row r="1769" hidden="1">
      <c r="A1769" s="3" t="s">
        <v>7480</v>
      </c>
      <c r="B1769" s="4">
        <v>539012.0</v>
      </c>
      <c r="C1769" s="3" t="s">
        <v>7481</v>
      </c>
      <c r="D1769" s="3" t="s">
        <v>7482</v>
      </c>
      <c r="E1769" s="3" t="s">
        <v>7483</v>
      </c>
      <c r="F1769" s="3" t="s">
        <v>19</v>
      </c>
      <c r="G1769" s="3" t="s">
        <v>72</v>
      </c>
      <c r="H1769" s="3">
        <v>10.0</v>
      </c>
      <c r="I1769" s="3" t="s">
        <v>7484</v>
      </c>
      <c r="J1769" s="3" t="s">
        <v>22</v>
      </c>
      <c r="K1769" s="3" t="s">
        <v>1673</v>
      </c>
      <c r="L1769" s="3" t="s">
        <v>1673</v>
      </c>
      <c r="M1769" s="3" t="s">
        <v>1674</v>
      </c>
      <c r="N1769" s="3" t="s">
        <v>3183</v>
      </c>
      <c r="O1769" s="5">
        <v>40.5318683</v>
      </c>
      <c r="P1769" s="6" t="str">
        <f t="shared" si="2"/>
        <v>Commercial Services &amp; Supplies</v>
      </c>
    </row>
    <row r="1770" hidden="1">
      <c r="A1770" s="3" t="s">
        <v>7485</v>
      </c>
      <c r="B1770" s="4">
        <v>530253.0</v>
      </c>
      <c r="C1770" s="3" t="s">
        <v>7486</v>
      </c>
      <c r="D1770" s="3" t="s">
        <v>7487</v>
      </c>
      <c r="E1770" s="3" t="s">
        <v>7488</v>
      </c>
      <c r="F1770" s="3" t="s">
        <v>19</v>
      </c>
      <c r="G1770" s="3" t="s">
        <v>44</v>
      </c>
      <c r="H1770" s="3">
        <v>10.0</v>
      </c>
      <c r="I1770" s="3" t="s">
        <v>7485</v>
      </c>
      <c r="J1770" s="3" t="s">
        <v>22</v>
      </c>
      <c r="K1770" s="3" t="s">
        <v>97</v>
      </c>
      <c r="L1770" s="3" t="s">
        <v>98</v>
      </c>
      <c r="M1770" s="3" t="s">
        <v>100</v>
      </c>
      <c r="N1770" s="3" t="s">
        <v>612</v>
      </c>
      <c r="O1770" s="5">
        <v>1.0</v>
      </c>
      <c r="P1770" s="6" t="str">
        <f t="shared" si="2"/>
        <v>Industrial Products</v>
      </c>
    </row>
    <row r="1771" hidden="1">
      <c r="A1771" s="3" t="s">
        <v>7489</v>
      </c>
      <c r="B1771" s="4">
        <v>530255.0</v>
      </c>
      <c r="C1771" s="3" t="s">
        <v>7490</v>
      </c>
      <c r="D1771" s="3" t="s">
        <v>7491</v>
      </c>
      <c r="E1771" s="3" t="s">
        <v>7492</v>
      </c>
      <c r="F1771" s="3" t="s">
        <v>19</v>
      </c>
      <c r="G1771" s="3" t="s">
        <v>72</v>
      </c>
      <c r="H1771" s="3">
        <v>10.0</v>
      </c>
      <c r="I1771" s="3" t="s">
        <v>7489</v>
      </c>
      <c r="J1771" s="3" t="s">
        <v>22</v>
      </c>
      <c r="K1771" s="3" t="s">
        <v>23</v>
      </c>
      <c r="L1771" s="3" t="s">
        <v>32</v>
      </c>
      <c r="M1771" s="3" t="s">
        <v>33</v>
      </c>
      <c r="N1771" s="3" t="s">
        <v>34</v>
      </c>
      <c r="O1771" s="5">
        <v>43.2791835</v>
      </c>
      <c r="P1771" s="6" t="str">
        <f t="shared" si="2"/>
        <v>Paper, Forest &amp; Jute Products</v>
      </c>
    </row>
    <row r="1772" hidden="1">
      <c r="A1772" s="3" t="s">
        <v>7493</v>
      </c>
      <c r="B1772" s="4">
        <v>543372.0</v>
      </c>
      <c r="C1772" s="3" t="s">
        <v>7494</v>
      </c>
      <c r="D1772" s="3" t="s">
        <v>7495</v>
      </c>
      <c r="E1772" s="3" t="s">
        <v>7496</v>
      </c>
      <c r="F1772" s="3" t="s">
        <v>19</v>
      </c>
      <c r="G1772" s="3" t="s">
        <v>6293</v>
      </c>
      <c r="H1772" s="3">
        <v>10.0</v>
      </c>
      <c r="I1772" s="3" t="s">
        <v>7497</v>
      </c>
      <c r="J1772" s="3" t="s">
        <v>22</v>
      </c>
      <c r="K1772" s="3" t="s">
        <v>1673</v>
      </c>
      <c r="L1772" s="3" t="s">
        <v>1673</v>
      </c>
      <c r="M1772" s="3" t="s">
        <v>1674</v>
      </c>
      <c r="N1772" s="3" t="s">
        <v>3189</v>
      </c>
      <c r="O1772" s="5">
        <v>39.0</v>
      </c>
      <c r="P1772" s="6" t="str">
        <f t="shared" si="2"/>
        <v>Commercial Services &amp; Supplies</v>
      </c>
    </row>
    <row r="1773" hidden="1">
      <c r="A1773" s="3" t="s">
        <v>7498</v>
      </c>
      <c r="B1773" s="4">
        <v>530263.0</v>
      </c>
      <c r="C1773" s="3" t="s">
        <v>7499</v>
      </c>
      <c r="D1773" s="3" t="s">
        <v>7500</v>
      </c>
      <c r="E1773" s="3" t="s">
        <v>7501</v>
      </c>
      <c r="F1773" s="3" t="s">
        <v>19</v>
      </c>
      <c r="G1773" s="3" t="s">
        <v>44</v>
      </c>
      <c r="H1773" s="3">
        <v>1.0</v>
      </c>
      <c r="I1773" s="3" t="s">
        <v>7498</v>
      </c>
      <c r="J1773" s="3" t="s">
        <v>22</v>
      </c>
      <c r="K1773" s="3" t="s">
        <v>204</v>
      </c>
      <c r="L1773" s="3" t="s">
        <v>204</v>
      </c>
      <c r="M1773" s="3" t="s">
        <v>378</v>
      </c>
      <c r="N1773" s="3" t="s">
        <v>379</v>
      </c>
      <c r="O1773" s="5">
        <v>40.626181</v>
      </c>
      <c r="P1773" s="6" t="str">
        <f t="shared" si="2"/>
        <v>Non Banking Financial Company (NBFC)</v>
      </c>
    </row>
    <row r="1774" hidden="1">
      <c r="A1774" s="3" t="s">
        <v>7502</v>
      </c>
      <c r="B1774" s="4">
        <v>530265.0</v>
      </c>
      <c r="C1774" s="3" t="s">
        <v>7503</v>
      </c>
      <c r="D1774" s="3" t="s">
        <v>7504</v>
      </c>
      <c r="E1774" s="3" t="s">
        <v>7505</v>
      </c>
      <c r="F1774" s="3" t="s">
        <v>19</v>
      </c>
      <c r="G1774" s="3" t="s">
        <v>44</v>
      </c>
      <c r="H1774" s="3">
        <v>10.0</v>
      </c>
      <c r="I1774" s="3" t="s">
        <v>7502</v>
      </c>
      <c r="J1774" s="3" t="s">
        <v>22</v>
      </c>
      <c r="K1774" s="3" t="s">
        <v>23</v>
      </c>
      <c r="L1774" s="3" t="s">
        <v>162</v>
      </c>
      <c r="M1774" s="3" t="s">
        <v>163</v>
      </c>
      <c r="N1774" s="3" t="s">
        <v>163</v>
      </c>
      <c r="O1774" s="5">
        <v>52.496</v>
      </c>
      <c r="P1774" s="6" t="str">
        <f t="shared" si="2"/>
        <v>Cement &amp; Cement Products</v>
      </c>
    </row>
    <row r="1775" hidden="1">
      <c r="A1775" s="3" t="s">
        <v>7506</v>
      </c>
      <c r="B1775" s="4">
        <v>530267.0</v>
      </c>
      <c r="C1775" s="3" t="s">
        <v>7507</v>
      </c>
      <c r="D1775" s="3" t="s">
        <v>7508</v>
      </c>
      <c r="E1775" s="3" t="s">
        <v>7509</v>
      </c>
      <c r="F1775" s="3" t="s">
        <v>19</v>
      </c>
      <c r="G1775" s="3" t="s">
        <v>72</v>
      </c>
      <c r="H1775" s="3">
        <v>10.0</v>
      </c>
      <c r="I1775" s="3" t="s">
        <v>7506</v>
      </c>
      <c r="J1775" s="3" t="s">
        <v>22</v>
      </c>
      <c r="K1775" s="3" t="s">
        <v>97</v>
      </c>
      <c r="L1775" s="3" t="s">
        <v>98</v>
      </c>
      <c r="M1775" s="3" t="s">
        <v>99</v>
      </c>
      <c r="N1775" s="3" t="s">
        <v>100</v>
      </c>
      <c r="O1775" s="5">
        <v>1.0</v>
      </c>
      <c r="P1775" s="6" t="str">
        <f t="shared" si="2"/>
        <v>Industrial Products</v>
      </c>
    </row>
    <row r="1776" hidden="1">
      <c r="A1776" s="3" t="s">
        <v>7510</v>
      </c>
      <c r="B1776" s="4">
        <v>530281.0</v>
      </c>
      <c r="C1776" s="3" t="s">
        <v>7511</v>
      </c>
      <c r="D1776" s="3" t="s">
        <v>7512</v>
      </c>
      <c r="E1776" s="3" t="s">
        <v>7513</v>
      </c>
      <c r="F1776" s="3" t="s">
        <v>19</v>
      </c>
      <c r="G1776" s="3" t="s">
        <v>44</v>
      </c>
      <c r="H1776" s="3">
        <v>10.0</v>
      </c>
      <c r="I1776" s="3" t="s">
        <v>7510</v>
      </c>
      <c r="J1776" s="3" t="s">
        <v>22</v>
      </c>
      <c r="K1776" s="3" t="s">
        <v>97</v>
      </c>
      <c r="L1776" s="3" t="s">
        <v>98</v>
      </c>
      <c r="M1776" s="3" t="s">
        <v>100</v>
      </c>
      <c r="N1776" s="3" t="s">
        <v>373</v>
      </c>
      <c r="O1776" s="5">
        <v>1.0</v>
      </c>
      <c r="P1776" s="6" t="str">
        <f t="shared" si="2"/>
        <v>Industrial Products</v>
      </c>
    </row>
    <row r="1777" hidden="1">
      <c r="A1777" s="3" t="s">
        <v>7514</v>
      </c>
      <c r="B1777" s="4">
        <v>531178.0</v>
      </c>
      <c r="C1777" s="3" t="s">
        <v>7515</v>
      </c>
      <c r="D1777" s="3" t="s">
        <v>7516</v>
      </c>
      <c r="E1777" s="3" t="s">
        <v>7517</v>
      </c>
      <c r="F1777" s="3" t="s">
        <v>19</v>
      </c>
      <c r="G1777" s="3" t="s">
        <v>44</v>
      </c>
      <c r="H1777" s="3">
        <v>10.0</v>
      </c>
      <c r="I1777" s="3" t="s">
        <v>7518</v>
      </c>
      <c r="J1777" s="3" t="s">
        <v>22</v>
      </c>
      <c r="K1777" s="3" t="s">
        <v>1673</v>
      </c>
      <c r="L1777" s="3" t="s">
        <v>1673</v>
      </c>
      <c r="M1777" s="3" t="s">
        <v>1674</v>
      </c>
      <c r="N1777" s="3" t="s">
        <v>1915</v>
      </c>
      <c r="O1777" s="5">
        <v>38.8512876</v>
      </c>
      <c r="P1777" s="6" t="str">
        <f t="shared" si="2"/>
        <v>Commercial Services &amp; Supplies</v>
      </c>
    </row>
    <row r="1778" hidden="1">
      <c r="A1778" s="3" t="s">
        <v>7519</v>
      </c>
      <c r="B1778" s="4">
        <v>530291.0</v>
      </c>
      <c r="C1778" s="3" t="s">
        <v>7520</v>
      </c>
      <c r="D1778" s="3" t="s">
        <v>7521</v>
      </c>
      <c r="E1778" s="3" t="s">
        <v>7522</v>
      </c>
      <c r="F1778" s="3" t="s">
        <v>19</v>
      </c>
      <c r="G1778" s="3" t="s">
        <v>72</v>
      </c>
      <c r="H1778" s="3">
        <v>10.0</v>
      </c>
      <c r="I1778" s="3" t="s">
        <v>7519</v>
      </c>
      <c r="J1778" s="3" t="s">
        <v>22</v>
      </c>
      <c r="K1778" s="3" t="s">
        <v>145</v>
      </c>
      <c r="L1778" s="3" t="s">
        <v>145</v>
      </c>
      <c r="M1778" s="3" t="s">
        <v>146</v>
      </c>
      <c r="N1778" s="3" t="s">
        <v>575</v>
      </c>
      <c r="O1778" s="5">
        <v>1.0</v>
      </c>
      <c r="P1778" s="6" t="str">
        <f t="shared" si="2"/>
        <v>Agricultural Food &amp; other Products</v>
      </c>
    </row>
    <row r="1779" hidden="1">
      <c r="A1779" s="3" t="s">
        <v>3633</v>
      </c>
      <c r="B1779" s="4">
        <v>504369.0</v>
      </c>
      <c r="C1779" s="3" t="s">
        <v>7523</v>
      </c>
      <c r="D1779" s="3" t="s">
        <v>7524</v>
      </c>
      <c r="E1779" s="3" t="s">
        <v>7525</v>
      </c>
      <c r="F1779" s="3" t="s">
        <v>19</v>
      </c>
      <c r="G1779" s="3" t="s">
        <v>44</v>
      </c>
      <c r="H1779" s="3">
        <v>1.0</v>
      </c>
      <c r="I1779" s="3" t="s">
        <v>1849</v>
      </c>
      <c r="J1779" s="3" t="s">
        <v>22</v>
      </c>
      <c r="K1779" s="3" t="s">
        <v>1673</v>
      </c>
      <c r="L1779" s="3" t="s">
        <v>1673</v>
      </c>
      <c r="M1779" s="3" t="s">
        <v>1674</v>
      </c>
      <c r="N1779" s="3" t="s">
        <v>1915</v>
      </c>
      <c r="O1779" s="5">
        <v>38.3700975</v>
      </c>
      <c r="P1779" s="6" t="str">
        <f t="shared" si="2"/>
        <v>Commercial Services &amp; Supplies</v>
      </c>
    </row>
    <row r="1780">
      <c r="A1780" s="3" t="s">
        <v>7526</v>
      </c>
      <c r="B1780" s="4">
        <v>500825.0</v>
      </c>
      <c r="C1780" s="3" t="s">
        <v>7527</v>
      </c>
      <c r="D1780" s="3" t="s">
        <v>7528</v>
      </c>
      <c r="E1780" s="3" t="s">
        <v>7529</v>
      </c>
      <c r="F1780" s="3" t="s">
        <v>19</v>
      </c>
      <c r="G1780" s="3" t="s">
        <v>20</v>
      </c>
      <c r="H1780" s="3">
        <v>1.0</v>
      </c>
      <c r="I1780" s="3" t="s">
        <v>1261</v>
      </c>
      <c r="J1780" s="3" t="s">
        <v>22</v>
      </c>
      <c r="K1780" s="3" t="s">
        <v>145</v>
      </c>
      <c r="L1780" s="3" t="s">
        <v>145</v>
      </c>
      <c r="M1780" s="3" t="s">
        <v>597</v>
      </c>
      <c r="N1780" s="3" t="s">
        <v>2344</v>
      </c>
      <c r="O1780" s="5">
        <v>132299.60016</v>
      </c>
      <c r="P1780" s="6" t="str">
        <f t="shared" si="2"/>
        <v>Food Products</v>
      </c>
    </row>
    <row r="1781" hidden="1">
      <c r="A1781" s="3" t="s">
        <v>7530</v>
      </c>
      <c r="B1781" s="4">
        <v>530307.0</v>
      </c>
      <c r="C1781" s="3" t="s">
        <v>7531</v>
      </c>
      <c r="D1781" s="3" t="s">
        <v>7532</v>
      </c>
      <c r="E1781" s="3" t="s">
        <v>7533</v>
      </c>
      <c r="F1781" s="3" t="s">
        <v>19</v>
      </c>
      <c r="G1781" s="3" t="s">
        <v>112</v>
      </c>
      <c r="H1781" s="3">
        <v>2.0</v>
      </c>
      <c r="I1781" s="3" t="s">
        <v>7530</v>
      </c>
      <c r="J1781" s="3" t="s">
        <v>22</v>
      </c>
      <c r="K1781" s="3" t="s">
        <v>145</v>
      </c>
      <c r="L1781" s="3" t="s">
        <v>145</v>
      </c>
      <c r="M1781" s="3" t="s">
        <v>146</v>
      </c>
      <c r="N1781" s="3" t="s">
        <v>2645</v>
      </c>
      <c r="O1781" s="5">
        <v>1061.3459644</v>
      </c>
      <c r="P1781" s="6" t="str">
        <f t="shared" si="2"/>
        <v>Agricultural Food &amp; other Products</v>
      </c>
    </row>
    <row r="1782" hidden="1">
      <c r="A1782" s="3" t="s">
        <v>7225</v>
      </c>
      <c r="B1782" s="4">
        <v>504810.0</v>
      </c>
      <c r="C1782" s="3" t="s">
        <v>7534</v>
      </c>
      <c r="D1782" s="3" t="s">
        <v>7535</v>
      </c>
      <c r="E1782" s="3" t="s">
        <v>7536</v>
      </c>
      <c r="F1782" s="3" t="s">
        <v>19</v>
      </c>
      <c r="G1782" s="3" t="s">
        <v>72</v>
      </c>
      <c r="H1782" s="3">
        <v>10.0</v>
      </c>
      <c r="I1782" s="3" t="s">
        <v>1910</v>
      </c>
      <c r="J1782" s="3" t="s">
        <v>22</v>
      </c>
      <c r="K1782" s="3" t="s">
        <v>1673</v>
      </c>
      <c r="L1782" s="3" t="s">
        <v>1673</v>
      </c>
      <c r="M1782" s="3" t="s">
        <v>1674</v>
      </c>
      <c r="N1782" s="3" t="s">
        <v>1705</v>
      </c>
      <c r="O1782" s="5">
        <v>38.3482745</v>
      </c>
      <c r="P1782" s="6" t="str">
        <f t="shared" si="2"/>
        <v>Commercial Services &amp; Supplies</v>
      </c>
    </row>
    <row r="1783" hidden="1">
      <c r="A1783" s="3" t="s">
        <v>7537</v>
      </c>
      <c r="B1783" s="4">
        <v>530313.0</v>
      </c>
      <c r="C1783" s="3" t="s">
        <v>7538</v>
      </c>
      <c r="D1783" s="3" t="s">
        <v>7539</v>
      </c>
      <c r="E1783" s="3" t="s">
        <v>7540</v>
      </c>
      <c r="F1783" s="3" t="s">
        <v>19</v>
      </c>
      <c r="G1783" s="3" t="s">
        <v>44</v>
      </c>
      <c r="H1783" s="3">
        <v>1.0</v>
      </c>
      <c r="I1783" s="3" t="s">
        <v>7537</v>
      </c>
      <c r="J1783" s="3" t="s">
        <v>22</v>
      </c>
      <c r="K1783" s="3" t="s">
        <v>45</v>
      </c>
      <c r="L1783" s="3" t="s">
        <v>45</v>
      </c>
      <c r="M1783" s="3" t="s">
        <v>46</v>
      </c>
      <c r="N1783" s="3" t="s">
        <v>47</v>
      </c>
      <c r="O1783" s="5">
        <v>243.9224039</v>
      </c>
      <c r="P1783" s="6" t="str">
        <f t="shared" si="2"/>
        <v>Pharmaceuticals</v>
      </c>
    </row>
    <row r="1784" hidden="1">
      <c r="A1784" s="3" t="s">
        <v>7541</v>
      </c>
      <c r="B1784" s="4">
        <v>530315.0</v>
      </c>
      <c r="C1784" s="3" t="s">
        <v>7542</v>
      </c>
      <c r="D1784" s="3" t="s">
        <v>7543</v>
      </c>
      <c r="E1784" s="3" t="s">
        <v>7544</v>
      </c>
      <c r="F1784" s="3" t="s">
        <v>19</v>
      </c>
      <c r="G1784" s="3" t="s">
        <v>44</v>
      </c>
      <c r="H1784" s="3">
        <v>10.0</v>
      </c>
      <c r="I1784" s="3" t="s">
        <v>7541</v>
      </c>
      <c r="J1784" s="3" t="s">
        <v>22</v>
      </c>
      <c r="K1784" s="3" t="s">
        <v>97</v>
      </c>
      <c r="L1784" s="3" t="s">
        <v>98</v>
      </c>
      <c r="M1784" s="3" t="s">
        <v>100</v>
      </c>
      <c r="N1784" s="3" t="s">
        <v>373</v>
      </c>
      <c r="O1784" s="5">
        <v>173.6270994</v>
      </c>
      <c r="P1784" s="6" t="str">
        <f t="shared" si="2"/>
        <v>Industrial Products</v>
      </c>
    </row>
    <row r="1785" hidden="1">
      <c r="A1785" s="3" t="s">
        <v>7545</v>
      </c>
      <c r="B1785" s="4">
        <v>530317.0</v>
      </c>
      <c r="C1785" s="3" t="s">
        <v>7546</v>
      </c>
      <c r="D1785" s="3" t="s">
        <v>7547</v>
      </c>
      <c r="E1785" s="3" t="s">
        <v>7548</v>
      </c>
      <c r="F1785" s="3" t="s">
        <v>19</v>
      </c>
      <c r="G1785" s="3" t="s">
        <v>44</v>
      </c>
      <c r="H1785" s="3">
        <v>10.0</v>
      </c>
      <c r="I1785" s="3" t="s">
        <v>7545</v>
      </c>
      <c r="J1785" s="3" t="s">
        <v>22</v>
      </c>
      <c r="K1785" s="3" t="s">
        <v>45</v>
      </c>
      <c r="L1785" s="3" t="s">
        <v>45</v>
      </c>
      <c r="M1785" s="3" t="s">
        <v>46</v>
      </c>
      <c r="N1785" s="3" t="s">
        <v>47</v>
      </c>
      <c r="O1785" s="5">
        <v>77.804689</v>
      </c>
      <c r="P1785" s="6" t="str">
        <f t="shared" si="2"/>
        <v>Pharmaceuticals</v>
      </c>
    </row>
    <row r="1786" hidden="1">
      <c r="A1786" s="3" t="s">
        <v>7549</v>
      </c>
      <c r="B1786" s="4">
        <v>530331.0</v>
      </c>
      <c r="C1786" s="3" t="s">
        <v>7550</v>
      </c>
      <c r="D1786" s="3" t="s">
        <v>7551</v>
      </c>
      <c r="E1786" s="3" t="s">
        <v>7552</v>
      </c>
      <c r="F1786" s="3" t="s">
        <v>19</v>
      </c>
      <c r="G1786" s="3" t="s">
        <v>44</v>
      </c>
      <c r="H1786" s="3">
        <v>10.0</v>
      </c>
      <c r="I1786" s="3" t="s">
        <v>7549</v>
      </c>
      <c r="J1786" s="3" t="s">
        <v>22</v>
      </c>
      <c r="K1786" s="3" t="s">
        <v>58</v>
      </c>
      <c r="L1786" s="3" t="s">
        <v>80</v>
      </c>
      <c r="M1786" s="3" t="s">
        <v>81</v>
      </c>
      <c r="N1786" s="3" t="s">
        <v>82</v>
      </c>
      <c r="O1786" s="5">
        <v>164.94235</v>
      </c>
      <c r="P1786" s="6" t="str">
        <f t="shared" si="2"/>
        <v>Textiles &amp; Apparels</v>
      </c>
    </row>
    <row r="1787" hidden="1">
      <c r="A1787" s="3" t="s">
        <v>7553</v>
      </c>
      <c r="B1787" s="4">
        <v>530341.0</v>
      </c>
      <c r="C1787" s="3" t="s">
        <v>7554</v>
      </c>
      <c r="D1787" s="3" t="s">
        <v>7555</v>
      </c>
      <c r="E1787" s="3" t="s">
        <v>7556</v>
      </c>
      <c r="F1787" s="3" t="s">
        <v>19</v>
      </c>
      <c r="G1787" s="3" t="s">
        <v>44</v>
      </c>
      <c r="H1787" s="3">
        <v>10.0</v>
      </c>
      <c r="I1787" s="3" t="s">
        <v>7553</v>
      </c>
      <c r="J1787" s="3" t="s">
        <v>22</v>
      </c>
      <c r="K1787" s="3" t="s">
        <v>204</v>
      </c>
      <c r="L1787" s="3" t="s">
        <v>204</v>
      </c>
      <c r="M1787" s="3" t="s">
        <v>378</v>
      </c>
      <c r="N1787" s="3" t="s">
        <v>379</v>
      </c>
      <c r="O1787" s="5">
        <v>93.9467292</v>
      </c>
      <c r="P1787" s="6" t="str">
        <f t="shared" si="2"/>
        <v>Non Banking Financial Company (NBFC)</v>
      </c>
    </row>
    <row r="1788">
      <c r="A1788" s="3" t="s">
        <v>7557</v>
      </c>
      <c r="B1788" s="4">
        <v>500830.0</v>
      </c>
      <c r="C1788" s="3" t="s">
        <v>7558</v>
      </c>
      <c r="D1788" s="3" t="s">
        <v>7559</v>
      </c>
      <c r="E1788" s="3" t="s">
        <v>7560</v>
      </c>
      <c r="F1788" s="3" t="s">
        <v>19</v>
      </c>
      <c r="G1788" s="3" t="s">
        <v>20</v>
      </c>
      <c r="H1788" s="3">
        <v>1.0</v>
      </c>
      <c r="I1788" s="3" t="s">
        <v>1266</v>
      </c>
      <c r="J1788" s="3" t="s">
        <v>22</v>
      </c>
      <c r="K1788" s="3" t="s">
        <v>145</v>
      </c>
      <c r="L1788" s="3" t="s">
        <v>145</v>
      </c>
      <c r="M1788" s="3" t="s">
        <v>2790</v>
      </c>
      <c r="N1788" s="3" t="s">
        <v>2791</v>
      </c>
      <c r="O1788" s="5">
        <v>77767.3663273</v>
      </c>
      <c r="P1788" s="6" t="str">
        <f t="shared" si="2"/>
        <v>Personal Products</v>
      </c>
    </row>
    <row r="1789" hidden="1">
      <c r="A1789" s="3" t="s">
        <v>7561</v>
      </c>
      <c r="B1789" s="4">
        <v>530355.0</v>
      </c>
      <c r="C1789" s="3" t="s">
        <v>7562</v>
      </c>
      <c r="D1789" s="3" t="s">
        <v>7563</v>
      </c>
      <c r="E1789" s="3" t="s">
        <v>7564</v>
      </c>
      <c r="F1789" s="3" t="s">
        <v>19</v>
      </c>
      <c r="G1789" s="3" t="s">
        <v>112</v>
      </c>
      <c r="H1789" s="3">
        <v>10.0</v>
      </c>
      <c r="I1789" s="3" t="s">
        <v>7561</v>
      </c>
      <c r="J1789" s="3" t="s">
        <v>22</v>
      </c>
      <c r="K1789" s="3" t="s">
        <v>410</v>
      </c>
      <c r="L1789" s="3" t="s">
        <v>411</v>
      </c>
      <c r="M1789" s="3" t="s">
        <v>412</v>
      </c>
      <c r="N1789" s="3" t="s">
        <v>821</v>
      </c>
      <c r="O1789" s="5">
        <v>1277.0839876</v>
      </c>
      <c r="P1789" s="6" t="str">
        <f t="shared" si="2"/>
        <v>Oil</v>
      </c>
    </row>
    <row r="1790" hidden="1">
      <c r="A1790" s="3" t="s">
        <v>7565</v>
      </c>
      <c r="B1790" s="4">
        <v>530357.0</v>
      </c>
      <c r="C1790" s="3" t="s">
        <v>7566</v>
      </c>
      <c r="D1790" s="3" t="s">
        <v>7567</v>
      </c>
      <c r="E1790" s="3" t="s">
        <v>7566</v>
      </c>
      <c r="F1790" s="3" t="s">
        <v>19</v>
      </c>
      <c r="G1790" s="3" t="s">
        <v>44</v>
      </c>
      <c r="H1790" s="3">
        <v>1.0</v>
      </c>
      <c r="I1790" s="3" t="s">
        <v>7565</v>
      </c>
      <c r="J1790" s="3" t="s">
        <v>22</v>
      </c>
      <c r="K1790" s="3" t="s">
        <v>204</v>
      </c>
      <c r="L1790" s="3" t="s">
        <v>204</v>
      </c>
      <c r="M1790" s="3" t="s">
        <v>378</v>
      </c>
      <c r="N1790" s="3" t="s">
        <v>468</v>
      </c>
      <c r="O1790" s="5">
        <v>1.0</v>
      </c>
      <c r="P1790" s="6" t="str">
        <f t="shared" si="2"/>
        <v>Finance</v>
      </c>
    </row>
    <row r="1791" hidden="1">
      <c r="A1791" s="3" t="s">
        <v>7568</v>
      </c>
      <c r="B1791" s="4">
        <v>530361.0</v>
      </c>
      <c r="C1791" s="3" t="s">
        <v>7569</v>
      </c>
      <c r="D1791" s="3" t="s">
        <v>7570</v>
      </c>
      <c r="E1791" s="3" t="s">
        <v>7571</v>
      </c>
      <c r="F1791" s="3" t="s">
        <v>19</v>
      </c>
      <c r="G1791" s="3" t="s">
        <v>44</v>
      </c>
      <c r="H1791" s="3">
        <v>10.0</v>
      </c>
      <c r="I1791" s="3" t="s">
        <v>7568</v>
      </c>
      <c r="J1791" s="3" t="s">
        <v>22</v>
      </c>
      <c r="K1791" s="3" t="s">
        <v>58</v>
      </c>
      <c r="L1791" s="3" t="s">
        <v>80</v>
      </c>
      <c r="M1791" s="3" t="s">
        <v>81</v>
      </c>
      <c r="N1791" s="3" t="s">
        <v>82</v>
      </c>
      <c r="O1791" s="5">
        <v>46.3134099</v>
      </c>
      <c r="P1791" s="6" t="str">
        <f t="shared" si="2"/>
        <v>Textiles &amp; Apparels</v>
      </c>
    </row>
    <row r="1792" hidden="1">
      <c r="A1792" s="3" t="s">
        <v>7572</v>
      </c>
      <c r="B1792" s="4">
        <v>530363.0</v>
      </c>
      <c r="C1792" s="3" t="s">
        <v>7573</v>
      </c>
      <c r="D1792" s="3" t="s">
        <v>7574</v>
      </c>
      <c r="E1792" s="3" t="s">
        <v>7575</v>
      </c>
      <c r="F1792" s="3" t="s">
        <v>19</v>
      </c>
      <c r="G1792" s="3" t="s">
        <v>112</v>
      </c>
      <c r="H1792" s="3">
        <v>1.0</v>
      </c>
      <c r="I1792" s="3" t="s">
        <v>7572</v>
      </c>
      <c r="J1792" s="3" t="s">
        <v>22</v>
      </c>
      <c r="K1792" s="3" t="s">
        <v>145</v>
      </c>
      <c r="L1792" s="3" t="s">
        <v>145</v>
      </c>
      <c r="M1792" s="3" t="s">
        <v>146</v>
      </c>
      <c r="N1792" s="3" t="s">
        <v>147</v>
      </c>
      <c r="O1792" s="5">
        <v>921.54132</v>
      </c>
      <c r="P1792" s="6" t="str">
        <f t="shared" si="2"/>
        <v>Agricultural Food &amp; other Products</v>
      </c>
    </row>
    <row r="1793" hidden="1">
      <c r="A1793" s="3" t="s">
        <v>7576</v>
      </c>
      <c r="B1793" s="4">
        <v>530365.0</v>
      </c>
      <c r="C1793" s="3" t="s">
        <v>7577</v>
      </c>
      <c r="D1793" s="3" t="s">
        <v>7578</v>
      </c>
      <c r="E1793" s="3" t="s">
        <v>7579</v>
      </c>
      <c r="F1793" s="3" t="s">
        <v>19</v>
      </c>
      <c r="G1793" s="3" t="s">
        <v>112</v>
      </c>
      <c r="H1793" s="3">
        <v>10.0</v>
      </c>
      <c r="I1793" s="3" t="s">
        <v>7576</v>
      </c>
      <c r="J1793" s="3" t="s">
        <v>22</v>
      </c>
      <c r="K1793" s="3" t="s">
        <v>58</v>
      </c>
      <c r="L1793" s="3" t="s">
        <v>211</v>
      </c>
      <c r="M1793" s="3" t="s">
        <v>211</v>
      </c>
      <c r="N1793" s="3" t="s">
        <v>971</v>
      </c>
      <c r="O1793" s="5">
        <v>613.7306485</v>
      </c>
      <c r="P1793" s="6" t="str">
        <f t="shared" si="2"/>
        <v>Consumer Durables</v>
      </c>
    </row>
    <row r="1794" hidden="1">
      <c r="A1794" s="3" t="s">
        <v>7580</v>
      </c>
      <c r="B1794" s="4">
        <v>530367.0</v>
      </c>
      <c r="C1794" s="3" t="s">
        <v>7581</v>
      </c>
      <c r="D1794" s="3" t="s">
        <v>7582</v>
      </c>
      <c r="E1794" s="3" t="s">
        <v>7583</v>
      </c>
      <c r="F1794" s="3" t="s">
        <v>19</v>
      </c>
      <c r="G1794" s="3" t="s">
        <v>112</v>
      </c>
      <c r="H1794" s="3">
        <v>2.0</v>
      </c>
      <c r="I1794" s="3" t="s">
        <v>7580</v>
      </c>
      <c r="J1794" s="3" t="s">
        <v>22</v>
      </c>
      <c r="K1794" s="3" t="s">
        <v>58</v>
      </c>
      <c r="L1794" s="3" t="s">
        <v>133</v>
      </c>
      <c r="M1794" s="3" t="s">
        <v>134</v>
      </c>
      <c r="N1794" s="3" t="s">
        <v>135</v>
      </c>
      <c r="O1794" s="5">
        <v>3441.4346505</v>
      </c>
      <c r="P1794" s="6" t="str">
        <f t="shared" si="2"/>
        <v>Auto Components &amp; Equipments</v>
      </c>
    </row>
    <row r="1795" hidden="1">
      <c r="A1795" s="3" t="s">
        <v>7584</v>
      </c>
      <c r="B1795" s="4">
        <v>530369.0</v>
      </c>
      <c r="C1795" s="3" t="s">
        <v>7585</v>
      </c>
      <c r="D1795" s="3" t="s">
        <v>7586</v>
      </c>
      <c r="E1795" s="3" t="s">
        <v>7587</v>
      </c>
      <c r="F1795" s="3" t="s">
        <v>19</v>
      </c>
      <c r="G1795" s="3" t="s">
        <v>72</v>
      </c>
      <c r="H1795" s="3">
        <v>10.0</v>
      </c>
      <c r="I1795" s="3" t="s">
        <v>7584</v>
      </c>
      <c r="J1795" s="3" t="s">
        <v>22</v>
      </c>
      <c r="K1795" s="3" t="s">
        <v>58</v>
      </c>
      <c r="L1795" s="3" t="s">
        <v>133</v>
      </c>
      <c r="M1795" s="3" t="s">
        <v>134</v>
      </c>
      <c r="N1795" s="3" t="s">
        <v>449</v>
      </c>
      <c r="O1795" s="5">
        <v>19.477479</v>
      </c>
      <c r="P1795" s="6" t="str">
        <f t="shared" si="2"/>
        <v>Auto Components</v>
      </c>
    </row>
    <row r="1796" hidden="1">
      <c r="A1796" s="3" t="s">
        <v>7588</v>
      </c>
      <c r="B1796" s="4">
        <v>530377.0</v>
      </c>
      <c r="C1796" s="3" t="s">
        <v>7589</v>
      </c>
      <c r="D1796" s="3" t="s">
        <v>7590</v>
      </c>
      <c r="E1796" s="3" t="s">
        <v>7591</v>
      </c>
      <c r="F1796" s="3" t="s">
        <v>19</v>
      </c>
      <c r="G1796" s="3" t="s">
        <v>112</v>
      </c>
      <c r="H1796" s="3">
        <v>1.0</v>
      </c>
      <c r="I1796" s="3" t="s">
        <v>7588</v>
      </c>
      <c r="J1796" s="3" t="s">
        <v>22</v>
      </c>
      <c r="K1796" s="3" t="s">
        <v>58</v>
      </c>
      <c r="L1796" s="3" t="s">
        <v>59</v>
      </c>
      <c r="M1796" s="3" t="s">
        <v>59</v>
      </c>
      <c r="N1796" s="3" t="s">
        <v>60</v>
      </c>
      <c r="O1796" s="5">
        <v>479.8468772</v>
      </c>
      <c r="P1796" s="6" t="str">
        <f t="shared" si="2"/>
        <v>Residential, Commercial Projects</v>
      </c>
    </row>
    <row r="1797" hidden="1">
      <c r="A1797" s="3" t="s">
        <v>7592</v>
      </c>
      <c r="B1797" s="4">
        <v>530393.0</v>
      </c>
      <c r="C1797" s="3" t="s">
        <v>7593</v>
      </c>
      <c r="D1797" s="3" t="s">
        <v>7594</v>
      </c>
      <c r="E1797" s="3" t="s">
        <v>7595</v>
      </c>
      <c r="F1797" s="3" t="s">
        <v>19</v>
      </c>
      <c r="G1797" s="3" t="s">
        <v>112</v>
      </c>
      <c r="H1797" s="3">
        <v>2.0</v>
      </c>
      <c r="I1797" s="3" t="s">
        <v>7592</v>
      </c>
      <c r="J1797" s="3" t="s">
        <v>22</v>
      </c>
      <c r="K1797" s="3" t="s">
        <v>204</v>
      </c>
      <c r="L1797" s="3" t="s">
        <v>204</v>
      </c>
      <c r="M1797" s="3" t="s">
        <v>205</v>
      </c>
      <c r="N1797" s="3" t="s">
        <v>2109</v>
      </c>
      <c r="O1797" s="5">
        <v>160.1976403</v>
      </c>
      <c r="P1797" s="6" t="str">
        <f t="shared" si="2"/>
        <v>Capital Markets</v>
      </c>
    </row>
    <row r="1798" hidden="1">
      <c r="A1798" s="3" t="s">
        <v>7596</v>
      </c>
      <c r="B1798" s="4">
        <v>530401.0</v>
      </c>
      <c r="C1798" s="3" t="s">
        <v>7597</v>
      </c>
      <c r="D1798" s="3" t="s">
        <v>7598</v>
      </c>
      <c r="E1798" s="3" t="s">
        <v>7599</v>
      </c>
      <c r="F1798" s="3" t="s">
        <v>19</v>
      </c>
      <c r="G1798" s="3" t="s">
        <v>44</v>
      </c>
      <c r="H1798" s="3">
        <v>10.0</v>
      </c>
      <c r="I1798" s="3" t="s">
        <v>7596</v>
      </c>
      <c r="J1798" s="3" t="s">
        <v>22</v>
      </c>
      <c r="K1798" s="3" t="s">
        <v>23</v>
      </c>
      <c r="L1798" s="3" t="s">
        <v>24</v>
      </c>
      <c r="M1798" s="3" t="s">
        <v>25</v>
      </c>
      <c r="N1798" s="3" t="s">
        <v>52</v>
      </c>
      <c r="O1798" s="5">
        <v>41.6135547</v>
      </c>
      <c r="P1798" s="6" t="str">
        <f t="shared" si="2"/>
        <v>Chemicals &amp; Petrochemicals</v>
      </c>
    </row>
    <row r="1799" hidden="1">
      <c r="A1799" s="3" t="s">
        <v>7600</v>
      </c>
      <c r="B1799" s="4">
        <v>530405.0</v>
      </c>
      <c r="C1799" s="3" t="s">
        <v>7601</v>
      </c>
      <c r="D1799" s="3" t="s">
        <v>7602</v>
      </c>
      <c r="E1799" s="3" t="s">
        <v>7603</v>
      </c>
      <c r="F1799" s="3" t="s">
        <v>19</v>
      </c>
      <c r="G1799" s="3" t="s">
        <v>44</v>
      </c>
      <c r="H1799" s="3">
        <v>10.0</v>
      </c>
      <c r="I1799" s="3" t="s">
        <v>7600</v>
      </c>
      <c r="J1799" s="3" t="s">
        <v>22</v>
      </c>
      <c r="K1799" s="3" t="s">
        <v>204</v>
      </c>
      <c r="L1799" s="3" t="s">
        <v>204</v>
      </c>
      <c r="M1799" s="3" t="s">
        <v>378</v>
      </c>
      <c r="N1799" s="3" t="s">
        <v>468</v>
      </c>
      <c r="O1799" s="5">
        <v>1.0</v>
      </c>
      <c r="P1799" s="6" t="str">
        <f t="shared" si="2"/>
        <v>Finance</v>
      </c>
    </row>
    <row r="1800" hidden="1">
      <c r="A1800" s="3" t="s">
        <v>7604</v>
      </c>
      <c r="B1800" s="4">
        <v>530407.0</v>
      </c>
      <c r="C1800" s="3" t="s">
        <v>7605</v>
      </c>
      <c r="D1800" s="3" t="s">
        <v>7606</v>
      </c>
      <c r="E1800" s="3" t="s">
        <v>7607</v>
      </c>
      <c r="F1800" s="3" t="s">
        <v>19</v>
      </c>
      <c r="G1800" s="3" t="s">
        <v>72</v>
      </c>
      <c r="H1800" s="3">
        <v>10.0</v>
      </c>
      <c r="I1800" s="3" t="s">
        <v>7604</v>
      </c>
      <c r="J1800" s="3" t="s">
        <v>22</v>
      </c>
      <c r="K1800" s="3" t="s">
        <v>204</v>
      </c>
      <c r="L1800" s="3" t="s">
        <v>204</v>
      </c>
      <c r="M1800" s="3" t="s">
        <v>378</v>
      </c>
      <c r="N1800" s="3" t="s">
        <v>379</v>
      </c>
      <c r="O1800" s="5">
        <v>11.587439</v>
      </c>
      <c r="P1800" s="6" t="str">
        <f t="shared" si="2"/>
        <v>Non Banking Financial Company (NBFC)</v>
      </c>
    </row>
    <row r="1801" hidden="1">
      <c r="A1801" s="3" t="s">
        <v>7608</v>
      </c>
      <c r="B1801" s="4">
        <v>530419.0</v>
      </c>
      <c r="C1801" s="3" t="s">
        <v>7609</v>
      </c>
      <c r="D1801" s="3" t="s">
        <v>7610</v>
      </c>
      <c r="E1801" s="3" t="s">
        <v>7611</v>
      </c>
      <c r="F1801" s="3" t="s">
        <v>19</v>
      </c>
      <c r="G1801" s="3" t="s">
        <v>44</v>
      </c>
      <c r="H1801" s="3">
        <v>10.0</v>
      </c>
      <c r="I1801" s="3" t="s">
        <v>7608</v>
      </c>
      <c r="J1801" s="3" t="s">
        <v>22</v>
      </c>
      <c r="K1801" s="3" t="s">
        <v>204</v>
      </c>
      <c r="L1801" s="3" t="s">
        <v>204</v>
      </c>
      <c r="M1801" s="3" t="s">
        <v>378</v>
      </c>
      <c r="N1801" s="3" t="s">
        <v>468</v>
      </c>
      <c r="O1801" s="5">
        <v>41.3390178</v>
      </c>
      <c r="P1801" s="6" t="str">
        <f t="shared" si="2"/>
        <v>Finance</v>
      </c>
    </row>
    <row r="1802" hidden="1">
      <c r="A1802" s="3" t="s">
        <v>7612</v>
      </c>
      <c r="B1802" s="4">
        <v>530421.0</v>
      </c>
      <c r="C1802" s="3" t="s">
        <v>7613</v>
      </c>
      <c r="D1802" s="3" t="s">
        <v>7614</v>
      </c>
      <c r="E1802" s="3" t="s">
        <v>7615</v>
      </c>
      <c r="F1802" s="3" t="s">
        <v>19</v>
      </c>
      <c r="G1802" s="3" t="s">
        <v>44</v>
      </c>
      <c r="H1802" s="3">
        <v>10.0</v>
      </c>
      <c r="I1802" s="3" t="s">
        <v>7612</v>
      </c>
      <c r="J1802" s="3" t="s">
        <v>22</v>
      </c>
      <c r="K1802" s="3" t="s">
        <v>23</v>
      </c>
      <c r="L1802" s="3" t="s">
        <v>24</v>
      </c>
      <c r="M1802" s="3" t="s">
        <v>25</v>
      </c>
      <c r="N1802" s="3" t="s">
        <v>52</v>
      </c>
      <c r="O1802" s="5">
        <v>1.0</v>
      </c>
      <c r="P1802" s="6" t="str">
        <f t="shared" si="2"/>
        <v>Chemicals &amp; Petrochemicals</v>
      </c>
    </row>
    <row r="1803" hidden="1">
      <c r="A1803" s="3" t="s">
        <v>7616</v>
      </c>
      <c r="B1803" s="4">
        <v>530427.0</v>
      </c>
      <c r="C1803" s="3" t="s">
        <v>7617</v>
      </c>
      <c r="D1803" s="3" t="s">
        <v>7618</v>
      </c>
      <c r="E1803" s="3" t="s">
        <v>7619</v>
      </c>
      <c r="F1803" s="3" t="s">
        <v>19</v>
      </c>
      <c r="G1803" s="3" t="s">
        <v>44</v>
      </c>
      <c r="H1803" s="3">
        <v>10.0</v>
      </c>
      <c r="I1803" s="3" t="s">
        <v>7616</v>
      </c>
      <c r="J1803" s="3" t="s">
        <v>22</v>
      </c>
      <c r="K1803" s="3" t="s">
        <v>145</v>
      </c>
      <c r="L1803" s="3" t="s">
        <v>145</v>
      </c>
      <c r="M1803" s="3" t="s">
        <v>1757</v>
      </c>
      <c r="N1803" s="3" t="s">
        <v>1757</v>
      </c>
      <c r="O1803" s="5">
        <v>24.8963615</v>
      </c>
      <c r="P1803" s="6" t="str">
        <f t="shared" si="2"/>
        <v>Household Products</v>
      </c>
    </row>
    <row r="1804" hidden="1">
      <c r="A1804" s="3" t="s">
        <v>7620</v>
      </c>
      <c r="B1804" s="4">
        <v>530429.0</v>
      </c>
      <c r="C1804" s="3" t="s">
        <v>7621</v>
      </c>
      <c r="D1804" s="3" t="s">
        <v>7622</v>
      </c>
      <c r="E1804" s="3" t="s">
        <v>7623</v>
      </c>
      <c r="F1804" s="3" t="s">
        <v>19</v>
      </c>
      <c r="G1804" s="3" t="s">
        <v>72</v>
      </c>
      <c r="H1804" s="3">
        <v>10.0</v>
      </c>
      <c r="I1804" s="3" t="s">
        <v>7620</v>
      </c>
      <c r="J1804" s="3" t="s">
        <v>22</v>
      </c>
      <c r="K1804" s="3" t="s">
        <v>97</v>
      </c>
      <c r="L1804" s="3" t="s">
        <v>98</v>
      </c>
      <c r="M1804" s="3" t="s">
        <v>100</v>
      </c>
      <c r="N1804" s="3" t="s">
        <v>580</v>
      </c>
      <c r="O1804" s="5">
        <v>1.0</v>
      </c>
      <c r="P1804" s="6" t="str">
        <f t="shared" si="2"/>
        <v>Industrial Products</v>
      </c>
    </row>
    <row r="1805" hidden="1">
      <c r="A1805" s="3" t="s">
        <v>7624</v>
      </c>
      <c r="B1805" s="4">
        <v>530431.0</v>
      </c>
      <c r="C1805" s="3" t="s">
        <v>7625</v>
      </c>
      <c r="D1805" s="3" t="s">
        <v>7626</v>
      </c>
      <c r="E1805" s="3" t="s">
        <v>7627</v>
      </c>
      <c r="F1805" s="3" t="s">
        <v>19</v>
      </c>
      <c r="G1805" s="3" t="s">
        <v>44</v>
      </c>
      <c r="H1805" s="3">
        <v>2.0</v>
      </c>
      <c r="I1805" s="3" t="s">
        <v>7624</v>
      </c>
      <c r="J1805" s="3" t="s">
        <v>22</v>
      </c>
      <c r="K1805" s="3" t="s">
        <v>97</v>
      </c>
      <c r="L1805" s="3" t="s">
        <v>98</v>
      </c>
      <c r="M1805" s="3" t="s">
        <v>100</v>
      </c>
      <c r="N1805" s="3" t="s">
        <v>1386</v>
      </c>
      <c r="O1805" s="5">
        <v>504.6964716</v>
      </c>
      <c r="P1805" s="6" t="str">
        <f t="shared" si="2"/>
        <v>Industrial Products</v>
      </c>
    </row>
    <row r="1806" hidden="1">
      <c r="A1806" s="3" t="s">
        <v>7628</v>
      </c>
      <c r="B1806" s="4">
        <v>530433.0</v>
      </c>
      <c r="C1806" s="3" t="s">
        <v>7629</v>
      </c>
      <c r="D1806" s="3" t="s">
        <v>7630</v>
      </c>
      <c r="E1806" s="3" t="s">
        <v>7631</v>
      </c>
      <c r="F1806" s="3" t="s">
        <v>19</v>
      </c>
      <c r="G1806" s="3" t="s">
        <v>72</v>
      </c>
      <c r="H1806" s="3">
        <v>10.0</v>
      </c>
      <c r="I1806" s="3" t="s">
        <v>7628</v>
      </c>
      <c r="J1806" s="3" t="s">
        <v>22</v>
      </c>
      <c r="K1806" s="3" t="s">
        <v>23</v>
      </c>
      <c r="L1806" s="3" t="s">
        <v>24</v>
      </c>
      <c r="M1806" s="3" t="s">
        <v>91</v>
      </c>
      <c r="N1806" s="3" t="s">
        <v>92</v>
      </c>
      <c r="O1806" s="5">
        <v>48.0055842</v>
      </c>
      <c r="P1806" s="6" t="str">
        <f t="shared" si="2"/>
        <v>Fertilizers &amp; Agrochemicals</v>
      </c>
    </row>
    <row r="1807" hidden="1">
      <c r="A1807" s="3" t="s">
        <v>7632</v>
      </c>
      <c r="B1807" s="4">
        <v>530439.0</v>
      </c>
      <c r="C1807" s="3" t="s">
        <v>7633</v>
      </c>
      <c r="D1807" s="3" t="s">
        <v>7634</v>
      </c>
      <c r="E1807" s="3" t="s">
        <v>7635</v>
      </c>
      <c r="F1807" s="3" t="s">
        <v>19</v>
      </c>
      <c r="G1807" s="3" t="s">
        <v>44</v>
      </c>
      <c r="H1807" s="3">
        <v>10.0</v>
      </c>
      <c r="I1807" s="3" t="s">
        <v>7632</v>
      </c>
      <c r="J1807" s="3" t="s">
        <v>22</v>
      </c>
      <c r="K1807" s="3" t="s">
        <v>204</v>
      </c>
      <c r="L1807" s="3" t="s">
        <v>204</v>
      </c>
      <c r="M1807" s="3" t="s">
        <v>378</v>
      </c>
      <c r="N1807" s="3" t="s">
        <v>379</v>
      </c>
      <c r="O1807" s="5">
        <v>1.0</v>
      </c>
      <c r="P1807" s="6" t="str">
        <f t="shared" si="2"/>
        <v>Non Banking Financial Company (NBFC)</v>
      </c>
    </row>
    <row r="1808" hidden="1">
      <c r="A1808" s="3" t="s">
        <v>7636</v>
      </c>
      <c r="B1808" s="4">
        <v>530443.0</v>
      </c>
      <c r="C1808" s="3" t="s">
        <v>7637</v>
      </c>
      <c r="D1808" s="3" t="s">
        <v>7638</v>
      </c>
      <c r="E1808" s="3" t="s">
        <v>7639</v>
      </c>
      <c r="F1808" s="3" t="s">
        <v>19</v>
      </c>
      <c r="G1808" s="3" t="s">
        <v>44</v>
      </c>
      <c r="H1808" s="3">
        <v>10.0</v>
      </c>
      <c r="I1808" s="3" t="s">
        <v>7636</v>
      </c>
      <c r="J1808" s="3" t="s">
        <v>22</v>
      </c>
      <c r="K1808" s="3" t="s">
        <v>58</v>
      </c>
      <c r="L1808" s="3" t="s">
        <v>80</v>
      </c>
      <c r="M1808" s="3" t="s">
        <v>81</v>
      </c>
      <c r="N1808" s="3" t="s">
        <v>82</v>
      </c>
      <c r="O1808" s="5">
        <v>1.0</v>
      </c>
      <c r="P1808" s="6" t="str">
        <f t="shared" si="2"/>
        <v>Textiles &amp; Apparels</v>
      </c>
    </row>
    <row r="1809" hidden="1">
      <c r="A1809" s="3" t="s">
        <v>7640</v>
      </c>
      <c r="B1809" s="4">
        <v>543461.0</v>
      </c>
      <c r="C1809" s="3" t="s">
        <v>7641</v>
      </c>
      <c r="D1809" s="3" t="s">
        <v>7642</v>
      </c>
      <c r="E1809" s="3" t="s">
        <v>7643</v>
      </c>
      <c r="F1809" s="3" t="s">
        <v>19</v>
      </c>
      <c r="G1809" s="3" t="s">
        <v>2428</v>
      </c>
      <c r="H1809" s="3">
        <v>10.0</v>
      </c>
      <c r="I1809" s="3" t="s">
        <v>7644</v>
      </c>
      <c r="J1809" s="3" t="s">
        <v>22</v>
      </c>
      <c r="K1809" s="3" t="s">
        <v>1673</v>
      </c>
      <c r="L1809" s="3" t="s">
        <v>1673</v>
      </c>
      <c r="M1809" s="3" t="s">
        <v>1674</v>
      </c>
      <c r="N1809" s="3" t="s">
        <v>1915</v>
      </c>
      <c r="O1809" s="5">
        <v>37.96588</v>
      </c>
      <c r="P1809" s="6" t="str">
        <f t="shared" si="2"/>
        <v>Commercial Services &amp; Supplies</v>
      </c>
    </row>
    <row r="1810" hidden="1">
      <c r="A1810" s="3" t="s">
        <v>7645</v>
      </c>
      <c r="B1810" s="4">
        <v>530449.0</v>
      </c>
      <c r="C1810" s="3" t="s">
        <v>7646</v>
      </c>
      <c r="D1810" s="3" t="s">
        <v>7647</v>
      </c>
      <c r="E1810" s="3" t="s">
        <v>7648</v>
      </c>
      <c r="F1810" s="3" t="s">
        <v>19</v>
      </c>
      <c r="G1810" s="3" t="s">
        <v>72</v>
      </c>
      <c r="H1810" s="3">
        <v>10.0</v>
      </c>
      <c r="I1810" s="3" t="s">
        <v>7645</v>
      </c>
      <c r="J1810" s="3" t="s">
        <v>22</v>
      </c>
      <c r="K1810" s="3" t="s">
        <v>97</v>
      </c>
      <c r="L1810" s="3" t="s">
        <v>98</v>
      </c>
      <c r="M1810" s="3" t="s">
        <v>100</v>
      </c>
      <c r="N1810" s="3" t="s">
        <v>580</v>
      </c>
      <c r="O1810" s="5">
        <v>228.42805</v>
      </c>
      <c r="P1810" s="6" t="str">
        <f t="shared" si="2"/>
        <v>Industrial Products</v>
      </c>
    </row>
    <row r="1811" hidden="1">
      <c r="A1811" s="3" t="s">
        <v>7649</v>
      </c>
      <c r="B1811" s="4">
        <v>530457.0</v>
      </c>
      <c r="C1811" s="3" t="s">
        <v>7650</v>
      </c>
      <c r="D1811" s="3" t="s">
        <v>7651</v>
      </c>
      <c r="E1811" s="3" t="s">
        <v>7652</v>
      </c>
      <c r="F1811" s="3" t="s">
        <v>19</v>
      </c>
      <c r="G1811" s="3" t="s">
        <v>72</v>
      </c>
      <c r="H1811" s="3">
        <v>10.0</v>
      </c>
      <c r="I1811" s="3" t="s">
        <v>7649</v>
      </c>
      <c r="J1811" s="3" t="s">
        <v>22</v>
      </c>
      <c r="K1811" s="3" t="s">
        <v>58</v>
      </c>
      <c r="L1811" s="3" t="s">
        <v>182</v>
      </c>
      <c r="M1811" s="3" t="s">
        <v>1168</v>
      </c>
      <c r="N1811" s="3" t="s">
        <v>1568</v>
      </c>
      <c r="O1811" s="5">
        <v>1.0</v>
      </c>
      <c r="P1811" s="6" t="str">
        <f t="shared" si="2"/>
        <v>Entertainment</v>
      </c>
    </row>
    <row r="1812" hidden="1">
      <c r="A1812" s="3" t="s">
        <v>7653</v>
      </c>
      <c r="B1812" s="4">
        <v>530459.0</v>
      </c>
      <c r="C1812" s="3" t="s">
        <v>7654</v>
      </c>
      <c r="D1812" s="3" t="s">
        <v>7655</v>
      </c>
      <c r="E1812" s="3" t="s">
        <v>7656</v>
      </c>
      <c r="F1812" s="3" t="s">
        <v>19</v>
      </c>
      <c r="G1812" s="3" t="s">
        <v>44</v>
      </c>
      <c r="H1812" s="3">
        <v>10.0</v>
      </c>
      <c r="I1812" s="3" t="s">
        <v>7653</v>
      </c>
      <c r="J1812" s="3" t="s">
        <v>22</v>
      </c>
      <c r="K1812" s="3" t="s">
        <v>58</v>
      </c>
      <c r="L1812" s="3" t="s">
        <v>80</v>
      </c>
      <c r="M1812" s="3" t="s">
        <v>81</v>
      </c>
      <c r="N1812" s="3" t="s">
        <v>82</v>
      </c>
      <c r="O1812" s="5">
        <v>22.4648858</v>
      </c>
      <c r="P1812" s="6" t="str">
        <f t="shared" si="2"/>
        <v>Textiles &amp; Apparels</v>
      </c>
    </row>
    <row r="1813" hidden="1">
      <c r="A1813" s="3" t="s">
        <v>7657</v>
      </c>
      <c r="B1813" s="4">
        <v>530461.0</v>
      </c>
      <c r="C1813" s="3" t="s">
        <v>7658</v>
      </c>
      <c r="D1813" s="3" t="s">
        <v>7659</v>
      </c>
      <c r="E1813" s="3" t="s">
        <v>7660</v>
      </c>
      <c r="F1813" s="3" t="s">
        <v>19</v>
      </c>
      <c r="G1813" s="3" t="s">
        <v>44</v>
      </c>
      <c r="H1813" s="3">
        <v>10.0</v>
      </c>
      <c r="I1813" s="3" t="s">
        <v>7657</v>
      </c>
      <c r="J1813" s="3" t="s">
        <v>22</v>
      </c>
      <c r="K1813" s="3" t="s">
        <v>145</v>
      </c>
      <c r="L1813" s="3" t="s">
        <v>145</v>
      </c>
      <c r="M1813" s="3" t="s">
        <v>597</v>
      </c>
      <c r="N1813" s="3" t="s">
        <v>1065</v>
      </c>
      <c r="O1813" s="5">
        <v>83.5287412</v>
      </c>
      <c r="P1813" s="6" t="str">
        <f t="shared" si="2"/>
        <v>Food Products</v>
      </c>
    </row>
    <row r="1814" hidden="1">
      <c r="A1814" s="3" t="s">
        <v>7661</v>
      </c>
      <c r="B1814" s="4">
        <v>530469.0</v>
      </c>
      <c r="C1814" s="3" t="s">
        <v>7662</v>
      </c>
      <c r="D1814" s="3" t="s">
        <v>7663</v>
      </c>
      <c r="E1814" s="3" t="s">
        <v>7664</v>
      </c>
      <c r="F1814" s="3" t="s">
        <v>19</v>
      </c>
      <c r="G1814" s="3" t="s">
        <v>44</v>
      </c>
      <c r="H1814" s="3">
        <v>10.0</v>
      </c>
      <c r="I1814" s="3" t="s">
        <v>7661</v>
      </c>
      <c r="J1814" s="3" t="s">
        <v>22</v>
      </c>
      <c r="K1814" s="3" t="s">
        <v>204</v>
      </c>
      <c r="L1814" s="3" t="s">
        <v>204</v>
      </c>
      <c r="M1814" s="3" t="s">
        <v>378</v>
      </c>
      <c r="N1814" s="3" t="s">
        <v>379</v>
      </c>
      <c r="O1814" s="5">
        <v>1.0</v>
      </c>
      <c r="P1814" s="6" t="str">
        <f t="shared" si="2"/>
        <v>Non Banking Financial Company (NBFC)</v>
      </c>
    </row>
    <row r="1815" hidden="1">
      <c r="A1815" s="3" t="s">
        <v>7665</v>
      </c>
      <c r="B1815" s="4">
        <v>530475.0</v>
      </c>
      <c r="C1815" s="3" t="s">
        <v>7666</v>
      </c>
      <c r="D1815" s="3" t="s">
        <v>7667</v>
      </c>
      <c r="E1815" s="3" t="s">
        <v>7666</v>
      </c>
      <c r="F1815" s="3" t="s">
        <v>19</v>
      </c>
      <c r="G1815" s="3" t="s">
        <v>86</v>
      </c>
      <c r="H1815" s="3">
        <v>10.0</v>
      </c>
      <c r="I1815" s="3" t="s">
        <v>7665</v>
      </c>
      <c r="J1815" s="3" t="s">
        <v>22</v>
      </c>
      <c r="K1815" s="3" t="s">
        <v>23</v>
      </c>
      <c r="L1815" s="3" t="s">
        <v>24</v>
      </c>
      <c r="M1815" s="3" t="s">
        <v>25</v>
      </c>
      <c r="N1815" s="3" t="s">
        <v>26</v>
      </c>
      <c r="O1815" s="5">
        <v>3422.432</v>
      </c>
      <c r="P1815" s="6" t="str">
        <f t="shared" si="2"/>
        <v>Specialty Chemicals</v>
      </c>
    </row>
    <row r="1816" hidden="1">
      <c r="A1816" s="3" t="s">
        <v>7668</v>
      </c>
      <c r="B1816" s="4">
        <v>530477.0</v>
      </c>
      <c r="C1816" s="3" t="s">
        <v>7669</v>
      </c>
      <c r="D1816" s="3" t="s">
        <v>7670</v>
      </c>
      <c r="E1816" s="3" t="s">
        <v>7671</v>
      </c>
      <c r="F1816" s="3" t="s">
        <v>19</v>
      </c>
      <c r="G1816" s="3" t="s">
        <v>44</v>
      </c>
      <c r="H1816" s="3">
        <v>10.0</v>
      </c>
      <c r="I1816" s="3" t="s">
        <v>7668</v>
      </c>
      <c r="J1816" s="3" t="s">
        <v>22</v>
      </c>
      <c r="K1816" s="3" t="s">
        <v>23</v>
      </c>
      <c r="L1816" s="3" t="s">
        <v>24</v>
      </c>
      <c r="M1816" s="3" t="s">
        <v>25</v>
      </c>
      <c r="N1816" s="3" t="s">
        <v>52</v>
      </c>
      <c r="O1816" s="5">
        <v>583.7263586</v>
      </c>
      <c r="P1816" s="6" t="str">
        <f t="shared" si="2"/>
        <v>Chemicals &amp; Petrochemicals</v>
      </c>
    </row>
    <row r="1817" hidden="1">
      <c r="A1817" s="3" t="s">
        <v>7672</v>
      </c>
      <c r="B1817" s="4">
        <v>533296.0</v>
      </c>
      <c r="C1817" s="3" t="s">
        <v>7673</v>
      </c>
      <c r="D1817" s="3" t="s">
        <v>7674</v>
      </c>
      <c r="E1817" s="3" t="s">
        <v>7675</v>
      </c>
      <c r="F1817" s="3" t="s">
        <v>19</v>
      </c>
      <c r="G1817" s="3" t="s">
        <v>112</v>
      </c>
      <c r="H1817" s="3">
        <v>10.0</v>
      </c>
      <c r="I1817" s="3" t="s">
        <v>7676</v>
      </c>
      <c r="J1817" s="3" t="s">
        <v>22</v>
      </c>
      <c r="K1817" s="3" t="s">
        <v>1673</v>
      </c>
      <c r="L1817" s="3" t="s">
        <v>1673</v>
      </c>
      <c r="M1817" s="3" t="s">
        <v>1674</v>
      </c>
      <c r="N1817" s="3" t="s">
        <v>1675</v>
      </c>
      <c r="O1817" s="5">
        <v>37.8066595</v>
      </c>
      <c r="P1817" s="6" t="str">
        <f t="shared" si="2"/>
        <v>Commercial Services &amp; Supplies</v>
      </c>
    </row>
    <row r="1818" hidden="1">
      <c r="A1818" s="3" t="s">
        <v>7677</v>
      </c>
      <c r="B1818" s="4">
        <v>530499.0</v>
      </c>
      <c r="C1818" s="3" t="s">
        <v>7678</v>
      </c>
      <c r="D1818" s="3" t="s">
        <v>7679</v>
      </c>
      <c r="E1818" s="3" t="s">
        <v>7680</v>
      </c>
      <c r="F1818" s="3" t="s">
        <v>19</v>
      </c>
      <c r="G1818" s="3" t="s">
        <v>44</v>
      </c>
      <c r="H1818" s="3">
        <v>10.0</v>
      </c>
      <c r="I1818" s="3" t="s">
        <v>7677</v>
      </c>
      <c r="J1818" s="3" t="s">
        <v>22</v>
      </c>
      <c r="K1818" s="3" t="s">
        <v>204</v>
      </c>
      <c r="L1818" s="3" t="s">
        <v>204</v>
      </c>
      <c r="M1818" s="3" t="s">
        <v>378</v>
      </c>
      <c r="N1818" s="3" t="s">
        <v>379</v>
      </c>
      <c r="O1818" s="5">
        <v>742.2177364</v>
      </c>
      <c r="P1818" s="6" t="str">
        <f t="shared" si="2"/>
        <v>Non Banking Financial Company (NBFC)</v>
      </c>
    </row>
    <row r="1819">
      <c r="A1819" s="3" t="s">
        <v>1296</v>
      </c>
      <c r="B1819" s="4">
        <v>500875.0</v>
      </c>
      <c r="C1819" s="3" t="s">
        <v>7681</v>
      </c>
      <c r="D1819" s="3" t="s">
        <v>7682</v>
      </c>
      <c r="E1819" s="3" t="s">
        <v>7683</v>
      </c>
      <c r="F1819" s="3" t="s">
        <v>19</v>
      </c>
      <c r="G1819" s="3" t="s">
        <v>20</v>
      </c>
      <c r="H1819" s="3">
        <v>1.0</v>
      </c>
      <c r="I1819" s="3" t="s">
        <v>1284</v>
      </c>
      <c r="J1819" s="3" t="s">
        <v>22</v>
      </c>
      <c r="K1819" s="3" t="s">
        <v>145</v>
      </c>
      <c r="L1819" s="3" t="s">
        <v>145</v>
      </c>
      <c r="M1819" s="3" t="s">
        <v>7260</v>
      </c>
      <c r="N1819" s="3" t="s">
        <v>7260</v>
      </c>
      <c r="O1819" s="5">
        <v>528559.29</v>
      </c>
      <c r="P1819" s="6" t="str">
        <f t="shared" si="2"/>
        <v>Diversified FMCG</v>
      </c>
    </row>
    <row r="1820" hidden="1">
      <c r="A1820" s="3" t="s">
        <v>7684</v>
      </c>
      <c r="B1820" s="4">
        <v>530521.0</v>
      </c>
      <c r="C1820" s="3" t="s">
        <v>7685</v>
      </c>
      <c r="D1820" s="3" t="s">
        <v>7686</v>
      </c>
      <c r="E1820" s="3" t="s">
        <v>7687</v>
      </c>
      <c r="F1820" s="3" t="s">
        <v>19</v>
      </c>
      <c r="G1820" s="3" t="s">
        <v>44</v>
      </c>
      <c r="H1820" s="3">
        <v>10.0</v>
      </c>
      <c r="I1820" s="3" t="s">
        <v>7684</v>
      </c>
      <c r="J1820" s="3" t="s">
        <v>22</v>
      </c>
      <c r="K1820" s="3" t="s">
        <v>58</v>
      </c>
      <c r="L1820" s="3" t="s">
        <v>80</v>
      </c>
      <c r="M1820" s="3" t="s">
        <v>81</v>
      </c>
      <c r="N1820" s="3" t="s">
        <v>944</v>
      </c>
      <c r="O1820" s="5">
        <v>92.4441393</v>
      </c>
      <c r="P1820" s="6" t="str">
        <f t="shared" si="2"/>
        <v>Textiles &amp; Apparels</v>
      </c>
    </row>
    <row r="1821" hidden="1">
      <c r="A1821" s="3" t="s">
        <v>7688</v>
      </c>
      <c r="B1821" s="4">
        <v>530525.0</v>
      </c>
      <c r="C1821" s="3" t="s">
        <v>7689</v>
      </c>
      <c r="D1821" s="3" t="s">
        <v>7690</v>
      </c>
      <c r="E1821" s="3" t="s">
        <v>7691</v>
      </c>
      <c r="F1821" s="3" t="s">
        <v>19</v>
      </c>
      <c r="G1821" s="3" t="s">
        <v>72</v>
      </c>
      <c r="H1821" s="3">
        <v>5.0</v>
      </c>
      <c r="I1821" s="3" t="s">
        <v>7688</v>
      </c>
      <c r="J1821" s="3" t="s">
        <v>22</v>
      </c>
      <c r="K1821" s="3" t="s">
        <v>58</v>
      </c>
      <c r="L1821" s="3" t="s">
        <v>211</v>
      </c>
      <c r="M1821" s="3" t="s">
        <v>211</v>
      </c>
      <c r="N1821" s="3" t="s">
        <v>947</v>
      </c>
      <c r="O1821" s="5">
        <v>233.426932</v>
      </c>
      <c r="P1821" s="6" t="str">
        <f t="shared" si="2"/>
        <v>Consumer Durables</v>
      </c>
    </row>
    <row r="1822" hidden="1">
      <c r="A1822" s="3" t="s">
        <v>7692</v>
      </c>
      <c r="B1822" s="4">
        <v>530533.0</v>
      </c>
      <c r="C1822" s="3" t="s">
        <v>7693</v>
      </c>
      <c r="D1822" s="3" t="s">
        <v>7694</v>
      </c>
      <c r="E1822" s="3" t="s">
        <v>7695</v>
      </c>
      <c r="F1822" s="3" t="s">
        <v>19</v>
      </c>
      <c r="G1822" s="3" t="s">
        <v>44</v>
      </c>
      <c r="H1822" s="3">
        <v>10.0</v>
      </c>
      <c r="I1822" s="3" t="s">
        <v>7692</v>
      </c>
      <c r="J1822" s="3" t="s">
        <v>22</v>
      </c>
      <c r="K1822" s="3" t="s">
        <v>145</v>
      </c>
      <c r="L1822" s="3" t="s">
        <v>145</v>
      </c>
      <c r="M1822" s="3" t="s">
        <v>146</v>
      </c>
      <c r="N1822" s="3" t="s">
        <v>444</v>
      </c>
      <c r="O1822" s="5">
        <v>72.269422</v>
      </c>
      <c r="P1822" s="6" t="str">
        <f t="shared" si="2"/>
        <v>Agricultural Food &amp; other Products</v>
      </c>
    </row>
    <row r="1823" hidden="1">
      <c r="A1823" s="3" t="s">
        <v>7696</v>
      </c>
      <c r="B1823" s="4">
        <v>530537.0</v>
      </c>
      <c r="C1823" s="3" t="s">
        <v>7697</v>
      </c>
      <c r="D1823" s="3" t="s">
        <v>7698</v>
      </c>
      <c r="E1823" s="3" t="s">
        <v>7699</v>
      </c>
      <c r="F1823" s="3" t="s">
        <v>19</v>
      </c>
      <c r="G1823" s="3" t="s">
        <v>57</v>
      </c>
      <c r="H1823" s="3">
        <v>10.0</v>
      </c>
      <c r="I1823" s="3" t="s">
        <v>7696</v>
      </c>
      <c r="J1823" s="3" t="s">
        <v>22</v>
      </c>
      <c r="K1823" s="3" t="s">
        <v>204</v>
      </c>
      <c r="L1823" s="3" t="s">
        <v>204</v>
      </c>
      <c r="M1823" s="3" t="s">
        <v>378</v>
      </c>
      <c r="N1823" s="3" t="s">
        <v>3066</v>
      </c>
      <c r="O1823" s="5">
        <v>1.0</v>
      </c>
      <c r="P1823" s="6" t="str">
        <f t="shared" si="2"/>
        <v>Finance</v>
      </c>
    </row>
    <row r="1824" hidden="1">
      <c r="A1824" s="3" t="s">
        <v>7700</v>
      </c>
      <c r="B1824" s="4">
        <v>530545.0</v>
      </c>
      <c r="C1824" s="3" t="s">
        <v>7701</v>
      </c>
      <c r="D1824" s="3" t="s">
        <v>7702</v>
      </c>
      <c r="E1824" s="3" t="s">
        <v>7703</v>
      </c>
      <c r="F1824" s="3" t="s">
        <v>19</v>
      </c>
      <c r="G1824" s="3" t="s">
        <v>44</v>
      </c>
      <c r="H1824" s="3">
        <v>10.0</v>
      </c>
      <c r="I1824" s="3" t="s">
        <v>7700</v>
      </c>
      <c r="J1824" s="3" t="s">
        <v>22</v>
      </c>
      <c r="K1824" s="3" t="s">
        <v>58</v>
      </c>
      <c r="L1824" s="3" t="s">
        <v>211</v>
      </c>
      <c r="M1824" s="3" t="s">
        <v>211</v>
      </c>
      <c r="N1824" s="3" t="s">
        <v>6778</v>
      </c>
      <c r="O1824" s="5">
        <v>135.2438337</v>
      </c>
      <c r="P1824" s="6" t="str">
        <f t="shared" si="2"/>
        <v>Consumer Durables</v>
      </c>
    </row>
    <row r="1825" hidden="1">
      <c r="A1825" s="3" t="s">
        <v>7704</v>
      </c>
      <c r="B1825" s="4">
        <v>530547.0</v>
      </c>
      <c r="C1825" s="3" t="s">
        <v>7705</v>
      </c>
      <c r="D1825" s="3" t="s">
        <v>7706</v>
      </c>
      <c r="E1825" s="3" t="s">
        <v>7707</v>
      </c>
      <c r="F1825" s="3" t="s">
        <v>19</v>
      </c>
      <c r="G1825" s="3" t="s">
        <v>72</v>
      </c>
      <c r="H1825" s="3">
        <v>10.0</v>
      </c>
      <c r="I1825" s="3" t="s">
        <v>7704</v>
      </c>
      <c r="J1825" s="3" t="s">
        <v>22</v>
      </c>
      <c r="K1825" s="3" t="s">
        <v>204</v>
      </c>
      <c r="L1825" s="3" t="s">
        <v>204</v>
      </c>
      <c r="M1825" s="3" t="s">
        <v>378</v>
      </c>
      <c r="N1825" s="3" t="s">
        <v>379</v>
      </c>
      <c r="O1825" s="5">
        <v>1.0</v>
      </c>
      <c r="P1825" s="6" t="str">
        <f t="shared" si="2"/>
        <v>Non Banking Financial Company (NBFC)</v>
      </c>
    </row>
    <row r="1826">
      <c r="A1826" s="3" t="s">
        <v>7708</v>
      </c>
      <c r="B1826" s="4">
        <v>501425.0</v>
      </c>
      <c r="C1826" s="3" t="s">
        <v>7709</v>
      </c>
      <c r="D1826" s="3" t="s">
        <v>7710</v>
      </c>
      <c r="E1826" s="3" t="s">
        <v>7711</v>
      </c>
      <c r="F1826" s="3" t="s">
        <v>19</v>
      </c>
      <c r="G1826" s="3" t="s">
        <v>20</v>
      </c>
      <c r="H1826" s="3">
        <v>2.0</v>
      </c>
      <c r="I1826" s="3" t="s">
        <v>1397</v>
      </c>
      <c r="J1826" s="3" t="s">
        <v>22</v>
      </c>
      <c r="K1826" s="3" t="s">
        <v>145</v>
      </c>
      <c r="L1826" s="3" t="s">
        <v>145</v>
      </c>
      <c r="M1826" s="3" t="s">
        <v>597</v>
      </c>
      <c r="N1826" s="3" t="s">
        <v>2344</v>
      </c>
      <c r="O1826" s="5">
        <v>14196.4056112</v>
      </c>
      <c r="P1826" s="6" t="str">
        <f t="shared" si="2"/>
        <v>Food Products</v>
      </c>
    </row>
    <row r="1827" hidden="1">
      <c r="A1827" s="3" t="s">
        <v>7712</v>
      </c>
      <c r="B1827" s="4">
        <v>530555.0</v>
      </c>
      <c r="C1827" s="3" t="s">
        <v>7713</v>
      </c>
      <c r="D1827" s="3" t="s">
        <v>7714</v>
      </c>
      <c r="E1827" s="3" t="s">
        <v>7715</v>
      </c>
      <c r="F1827" s="3" t="s">
        <v>19</v>
      </c>
      <c r="G1827" s="3" t="s">
        <v>86</v>
      </c>
      <c r="H1827" s="3">
        <v>2.0</v>
      </c>
      <c r="I1827" s="3" t="s">
        <v>7712</v>
      </c>
      <c r="J1827" s="3" t="s">
        <v>22</v>
      </c>
      <c r="K1827" s="3" t="s">
        <v>97</v>
      </c>
      <c r="L1827" s="3" t="s">
        <v>98</v>
      </c>
      <c r="M1827" s="3" t="s">
        <v>100</v>
      </c>
      <c r="N1827" s="3" t="s">
        <v>1804</v>
      </c>
      <c r="O1827" s="5">
        <v>2251.7805681</v>
      </c>
      <c r="P1827" s="6" t="str">
        <f t="shared" si="2"/>
        <v>Industrial Products</v>
      </c>
    </row>
    <row r="1828" hidden="1">
      <c r="A1828" s="3" t="s">
        <v>7716</v>
      </c>
      <c r="B1828" s="4">
        <v>530557.0</v>
      </c>
      <c r="C1828" s="3" t="s">
        <v>7717</v>
      </c>
      <c r="D1828" s="3" t="s">
        <v>7718</v>
      </c>
      <c r="E1828" s="3" t="s">
        <v>7719</v>
      </c>
      <c r="F1828" s="3" t="s">
        <v>19</v>
      </c>
      <c r="G1828" s="3" t="s">
        <v>72</v>
      </c>
      <c r="H1828" s="3">
        <v>1.0</v>
      </c>
      <c r="I1828" s="3" t="s">
        <v>7716</v>
      </c>
      <c r="J1828" s="3" t="s">
        <v>22</v>
      </c>
      <c r="K1828" s="3" t="s">
        <v>204</v>
      </c>
      <c r="L1828" s="3" t="s">
        <v>204</v>
      </c>
      <c r="M1828" s="3" t="s">
        <v>378</v>
      </c>
      <c r="N1828" s="3" t="s">
        <v>379</v>
      </c>
      <c r="O1828" s="5">
        <v>135.3963653</v>
      </c>
      <c r="P1828" s="6" t="str">
        <f t="shared" si="2"/>
        <v>Non Banking Financial Company (NBFC)</v>
      </c>
    </row>
    <row r="1829" hidden="1">
      <c r="A1829" s="3" t="s">
        <v>7720</v>
      </c>
      <c r="B1829" s="4">
        <v>530565.0</v>
      </c>
      <c r="C1829" s="3" t="s">
        <v>7721</v>
      </c>
      <c r="D1829" s="3" t="s">
        <v>7722</v>
      </c>
      <c r="E1829" s="3" t="s">
        <v>7723</v>
      </c>
      <c r="F1829" s="3" t="s">
        <v>19</v>
      </c>
      <c r="G1829" s="3" t="s">
        <v>72</v>
      </c>
      <c r="H1829" s="3">
        <v>10.0</v>
      </c>
      <c r="I1829" s="3" t="s">
        <v>7720</v>
      </c>
      <c r="J1829" s="3" t="s">
        <v>22</v>
      </c>
      <c r="K1829" s="3" t="s">
        <v>58</v>
      </c>
      <c r="L1829" s="3" t="s">
        <v>80</v>
      </c>
      <c r="M1829" s="3" t="s">
        <v>81</v>
      </c>
      <c r="N1829" s="3" t="s">
        <v>944</v>
      </c>
      <c r="O1829" s="5">
        <v>65.7068367</v>
      </c>
      <c r="P1829" s="6" t="str">
        <f t="shared" si="2"/>
        <v>Textiles &amp; Apparels</v>
      </c>
    </row>
    <row r="1830" hidden="1">
      <c r="A1830" s="3" t="s">
        <v>7724</v>
      </c>
      <c r="B1830" s="4">
        <v>539546.0</v>
      </c>
      <c r="C1830" s="3" t="s">
        <v>7725</v>
      </c>
      <c r="D1830" s="3" t="s">
        <v>7726</v>
      </c>
      <c r="E1830" s="3" t="s">
        <v>7727</v>
      </c>
      <c r="F1830" s="3" t="s">
        <v>19</v>
      </c>
      <c r="G1830" s="3" t="s">
        <v>44</v>
      </c>
      <c r="H1830" s="3">
        <v>10.0</v>
      </c>
      <c r="I1830" s="3" t="s">
        <v>7728</v>
      </c>
      <c r="J1830" s="3" t="s">
        <v>22</v>
      </c>
      <c r="K1830" s="3" t="s">
        <v>1673</v>
      </c>
      <c r="L1830" s="3" t="s">
        <v>1673</v>
      </c>
      <c r="M1830" s="3" t="s">
        <v>1674</v>
      </c>
      <c r="N1830" s="3" t="s">
        <v>1915</v>
      </c>
      <c r="O1830" s="5">
        <v>37.4165646</v>
      </c>
      <c r="P1830" s="6" t="str">
        <f t="shared" si="2"/>
        <v>Commercial Services &amp; Supplies</v>
      </c>
    </row>
    <row r="1831" hidden="1">
      <c r="A1831" s="3" t="s">
        <v>7729</v>
      </c>
      <c r="B1831" s="4">
        <v>530577.0</v>
      </c>
      <c r="C1831" s="3" t="s">
        <v>7730</v>
      </c>
      <c r="D1831" s="3" t="s">
        <v>7731</v>
      </c>
      <c r="E1831" s="3" t="s">
        <v>7732</v>
      </c>
      <c r="F1831" s="3" t="s">
        <v>19</v>
      </c>
      <c r="G1831" s="3" t="s">
        <v>44</v>
      </c>
      <c r="H1831" s="3">
        <v>10.0</v>
      </c>
      <c r="I1831" s="3" t="s">
        <v>7729</v>
      </c>
      <c r="J1831" s="3" t="s">
        <v>22</v>
      </c>
      <c r="K1831" s="3" t="s">
        <v>204</v>
      </c>
      <c r="L1831" s="3" t="s">
        <v>204</v>
      </c>
      <c r="M1831" s="3" t="s">
        <v>378</v>
      </c>
      <c r="N1831" s="3" t="s">
        <v>379</v>
      </c>
      <c r="O1831" s="5">
        <v>53.2997337</v>
      </c>
      <c r="P1831" s="6" t="str">
        <f t="shared" si="2"/>
        <v>Non Banking Financial Company (NBFC)</v>
      </c>
    </row>
    <row r="1832" hidden="1">
      <c r="A1832" s="3" t="s">
        <v>7733</v>
      </c>
      <c r="B1832" s="4">
        <v>530579.0</v>
      </c>
      <c r="C1832" s="3" t="s">
        <v>7734</v>
      </c>
      <c r="D1832" s="3" t="s">
        <v>7735</v>
      </c>
      <c r="E1832" s="3" t="s">
        <v>7736</v>
      </c>
      <c r="F1832" s="3" t="s">
        <v>19</v>
      </c>
      <c r="G1832" s="3" t="s">
        <v>44</v>
      </c>
      <c r="H1832" s="3">
        <v>5.0</v>
      </c>
      <c r="I1832" s="3" t="s">
        <v>7733</v>
      </c>
      <c r="J1832" s="3" t="s">
        <v>22</v>
      </c>
      <c r="K1832" s="3" t="s">
        <v>204</v>
      </c>
      <c r="L1832" s="3" t="s">
        <v>204</v>
      </c>
      <c r="M1832" s="3" t="s">
        <v>378</v>
      </c>
      <c r="N1832" s="3" t="s">
        <v>379</v>
      </c>
      <c r="O1832" s="5">
        <v>479.6845</v>
      </c>
      <c r="P1832" s="6" t="str">
        <f t="shared" si="2"/>
        <v>Non Banking Financial Company (NBFC)</v>
      </c>
    </row>
    <row r="1833" hidden="1">
      <c r="A1833" s="3" t="s">
        <v>7737</v>
      </c>
      <c r="B1833" s="4">
        <v>540843.0</v>
      </c>
      <c r="C1833" s="3" t="s">
        <v>7738</v>
      </c>
      <c r="D1833" s="3" t="s">
        <v>7739</v>
      </c>
      <c r="E1833" s="3" t="s">
        <v>7740</v>
      </c>
      <c r="F1833" s="3" t="s">
        <v>19</v>
      </c>
      <c r="G1833" s="3" t="s">
        <v>6293</v>
      </c>
      <c r="H1833" s="3">
        <v>10.0</v>
      </c>
      <c r="I1833" s="3" t="s">
        <v>7741</v>
      </c>
      <c r="J1833" s="3" t="s">
        <v>22</v>
      </c>
      <c r="K1833" s="3" t="s">
        <v>1673</v>
      </c>
      <c r="L1833" s="3" t="s">
        <v>1673</v>
      </c>
      <c r="M1833" s="3" t="s">
        <v>1674</v>
      </c>
      <c r="N1833" s="3" t="s">
        <v>1675</v>
      </c>
      <c r="O1833" s="5">
        <v>37.2096</v>
      </c>
      <c r="P1833" s="6" t="str">
        <f t="shared" si="2"/>
        <v>Commercial Services &amp; Supplies</v>
      </c>
    </row>
    <row r="1834" hidden="1">
      <c r="A1834" s="3" t="s">
        <v>7742</v>
      </c>
      <c r="B1834" s="4">
        <v>530585.0</v>
      </c>
      <c r="C1834" s="3" t="s">
        <v>7743</v>
      </c>
      <c r="D1834" s="3" t="s">
        <v>7744</v>
      </c>
      <c r="E1834" s="3" t="s">
        <v>7745</v>
      </c>
      <c r="F1834" s="3" t="s">
        <v>19</v>
      </c>
      <c r="G1834" s="3" t="s">
        <v>72</v>
      </c>
      <c r="H1834" s="3">
        <v>10.0</v>
      </c>
      <c r="I1834" s="3" t="s">
        <v>7742</v>
      </c>
      <c r="J1834" s="3" t="s">
        <v>22</v>
      </c>
      <c r="K1834" s="3" t="s">
        <v>204</v>
      </c>
      <c r="L1834" s="3" t="s">
        <v>204</v>
      </c>
      <c r="M1834" s="3" t="s">
        <v>205</v>
      </c>
      <c r="N1834" s="3" t="s">
        <v>2109</v>
      </c>
      <c r="O1834" s="5">
        <v>230.789559</v>
      </c>
      <c r="P1834" s="6" t="str">
        <f t="shared" si="2"/>
        <v>Capital Markets</v>
      </c>
    </row>
    <row r="1835" hidden="1">
      <c r="A1835" s="3" t="s">
        <v>7746</v>
      </c>
      <c r="B1835" s="4">
        <v>530589.0</v>
      </c>
      <c r="C1835" s="3" t="s">
        <v>7747</v>
      </c>
      <c r="D1835" s="3" t="s">
        <v>7748</v>
      </c>
      <c r="E1835" s="3" t="s">
        <v>7749</v>
      </c>
      <c r="F1835" s="3" t="s">
        <v>19</v>
      </c>
      <c r="G1835" s="3" t="s">
        <v>44</v>
      </c>
      <c r="H1835" s="3">
        <v>10.0</v>
      </c>
      <c r="I1835" s="3" t="s">
        <v>7746</v>
      </c>
      <c r="J1835" s="3" t="s">
        <v>22</v>
      </c>
      <c r="K1835" s="3" t="s">
        <v>58</v>
      </c>
      <c r="L1835" s="3" t="s">
        <v>211</v>
      </c>
      <c r="M1835" s="3" t="s">
        <v>211</v>
      </c>
      <c r="N1835" s="3" t="s">
        <v>848</v>
      </c>
      <c r="O1835" s="5">
        <v>210.9155177</v>
      </c>
      <c r="P1835" s="6" t="str">
        <f t="shared" si="2"/>
        <v>Consumer Durables</v>
      </c>
    </row>
    <row r="1836" hidden="1">
      <c r="A1836" s="3" t="s">
        <v>7750</v>
      </c>
      <c r="B1836" s="4">
        <v>530595.0</v>
      </c>
      <c r="C1836" s="3" t="s">
        <v>7751</v>
      </c>
      <c r="D1836" s="3" t="s">
        <v>7752</v>
      </c>
      <c r="E1836" s="3" t="s">
        <v>7753</v>
      </c>
      <c r="F1836" s="3" t="s">
        <v>19</v>
      </c>
      <c r="G1836" s="3" t="s">
        <v>72</v>
      </c>
      <c r="H1836" s="3">
        <v>10.0</v>
      </c>
      <c r="I1836" s="3" t="s">
        <v>7750</v>
      </c>
      <c r="J1836" s="3" t="s">
        <v>22</v>
      </c>
      <c r="K1836" s="3" t="s">
        <v>473</v>
      </c>
      <c r="L1836" s="3" t="s">
        <v>473</v>
      </c>
      <c r="M1836" s="3" t="s">
        <v>1391</v>
      </c>
      <c r="N1836" s="3" t="s">
        <v>1392</v>
      </c>
      <c r="O1836" s="5">
        <v>1.0</v>
      </c>
      <c r="P1836" s="6" t="str">
        <f t="shared" si="2"/>
        <v>IT - Software</v>
      </c>
    </row>
    <row r="1837" hidden="1">
      <c r="A1837" s="3" t="s">
        <v>7754</v>
      </c>
      <c r="B1837" s="4">
        <v>530601.0</v>
      </c>
      <c r="C1837" s="3" t="s">
        <v>7755</v>
      </c>
      <c r="D1837" s="3" t="s">
        <v>7756</v>
      </c>
      <c r="E1837" s="3" t="s">
        <v>7757</v>
      </c>
      <c r="F1837" s="3" t="s">
        <v>19</v>
      </c>
      <c r="G1837" s="3" t="s">
        <v>44</v>
      </c>
      <c r="H1837" s="3">
        <v>10.0</v>
      </c>
      <c r="I1837" s="3" t="s">
        <v>7754</v>
      </c>
      <c r="J1837" s="3" t="s">
        <v>22</v>
      </c>
      <c r="K1837" s="3" t="s">
        <v>204</v>
      </c>
      <c r="L1837" s="3" t="s">
        <v>204</v>
      </c>
      <c r="M1837" s="3" t="s">
        <v>378</v>
      </c>
      <c r="N1837" s="3" t="s">
        <v>379</v>
      </c>
      <c r="O1837" s="5">
        <v>1.0</v>
      </c>
      <c r="P1837" s="6" t="str">
        <f t="shared" si="2"/>
        <v>Non Banking Financial Company (NBFC)</v>
      </c>
    </row>
    <row r="1838" hidden="1">
      <c r="A1838" s="3" t="s">
        <v>7758</v>
      </c>
      <c r="B1838" s="4">
        <v>530615.0</v>
      </c>
      <c r="C1838" s="3" t="s">
        <v>7759</v>
      </c>
      <c r="D1838" s="3" t="s">
        <v>7760</v>
      </c>
      <c r="E1838" s="3" t="s">
        <v>7761</v>
      </c>
      <c r="F1838" s="3" t="s">
        <v>19</v>
      </c>
      <c r="G1838" s="3" t="s">
        <v>72</v>
      </c>
      <c r="H1838" s="3">
        <v>10.0</v>
      </c>
      <c r="I1838" s="3" t="s">
        <v>7758</v>
      </c>
      <c r="J1838" s="3" t="s">
        <v>22</v>
      </c>
      <c r="K1838" s="3" t="s">
        <v>97</v>
      </c>
      <c r="L1838" s="3" t="s">
        <v>98</v>
      </c>
      <c r="M1838" s="3" t="s">
        <v>100</v>
      </c>
      <c r="N1838" s="3" t="s">
        <v>612</v>
      </c>
      <c r="O1838" s="5">
        <v>130.4109603</v>
      </c>
      <c r="P1838" s="6" t="str">
        <f t="shared" si="2"/>
        <v>Industrial Products</v>
      </c>
    </row>
    <row r="1839" hidden="1">
      <c r="A1839" s="3" t="s">
        <v>7762</v>
      </c>
      <c r="B1839" s="4">
        <v>530617.0</v>
      </c>
      <c r="C1839" s="3" t="s">
        <v>7763</v>
      </c>
      <c r="D1839" s="3" t="s">
        <v>7764</v>
      </c>
      <c r="E1839" s="3" t="s">
        <v>7765</v>
      </c>
      <c r="F1839" s="3" t="s">
        <v>19</v>
      </c>
      <c r="G1839" s="3" t="s">
        <v>44</v>
      </c>
      <c r="H1839" s="3">
        <v>10.0</v>
      </c>
      <c r="I1839" s="3" t="s">
        <v>7762</v>
      </c>
      <c r="J1839" s="3" t="s">
        <v>22</v>
      </c>
      <c r="K1839" s="3" t="s">
        <v>145</v>
      </c>
      <c r="L1839" s="3" t="s">
        <v>145</v>
      </c>
      <c r="M1839" s="3" t="s">
        <v>597</v>
      </c>
      <c r="N1839" s="3" t="s">
        <v>2344</v>
      </c>
      <c r="O1839" s="5">
        <v>64.8296185</v>
      </c>
      <c r="P1839" s="6" t="str">
        <f t="shared" si="2"/>
        <v>Food Products</v>
      </c>
    </row>
    <row r="1840" hidden="1">
      <c r="A1840" s="3" t="s">
        <v>7766</v>
      </c>
      <c r="B1840" s="4">
        <v>530621.0</v>
      </c>
      <c r="C1840" s="3" t="s">
        <v>7767</v>
      </c>
      <c r="D1840" s="3" t="s">
        <v>7768</v>
      </c>
      <c r="E1840" s="3" t="s">
        <v>7769</v>
      </c>
      <c r="F1840" s="3" t="s">
        <v>19</v>
      </c>
      <c r="G1840" s="3" t="s">
        <v>44</v>
      </c>
      <c r="H1840" s="3">
        <v>5.0</v>
      </c>
      <c r="I1840" s="3" t="s">
        <v>7766</v>
      </c>
      <c r="J1840" s="3" t="s">
        <v>22</v>
      </c>
      <c r="K1840" s="3" t="s">
        <v>58</v>
      </c>
      <c r="L1840" s="3" t="s">
        <v>133</v>
      </c>
      <c r="M1840" s="3" t="s">
        <v>134</v>
      </c>
      <c r="N1840" s="3" t="s">
        <v>135</v>
      </c>
      <c r="O1840" s="5">
        <v>113.859333</v>
      </c>
      <c r="P1840" s="6" t="str">
        <f t="shared" si="2"/>
        <v>Auto Components &amp; Equipments</v>
      </c>
    </row>
    <row r="1841" hidden="1">
      <c r="A1841" s="3" t="s">
        <v>7770</v>
      </c>
      <c r="B1841" s="4">
        <v>530627.0</v>
      </c>
      <c r="C1841" s="3" t="s">
        <v>7771</v>
      </c>
      <c r="D1841" s="3" t="s">
        <v>7772</v>
      </c>
      <c r="E1841" s="3" t="s">
        <v>7773</v>
      </c>
      <c r="F1841" s="3" t="s">
        <v>19</v>
      </c>
      <c r="G1841" s="3" t="s">
        <v>44</v>
      </c>
      <c r="H1841" s="3">
        <v>10.0</v>
      </c>
      <c r="I1841" s="3" t="s">
        <v>7770</v>
      </c>
      <c r="J1841" s="3" t="s">
        <v>22</v>
      </c>
      <c r="K1841" s="3" t="s">
        <v>23</v>
      </c>
      <c r="L1841" s="3" t="s">
        <v>24</v>
      </c>
      <c r="M1841" s="3" t="s">
        <v>25</v>
      </c>
      <c r="N1841" s="3" t="s">
        <v>26</v>
      </c>
      <c r="O1841" s="5">
        <v>231.446992</v>
      </c>
      <c r="P1841" s="6" t="str">
        <f t="shared" si="2"/>
        <v>Specialty Chemicals</v>
      </c>
    </row>
    <row r="1842" hidden="1">
      <c r="A1842" s="3" t="s">
        <v>7774</v>
      </c>
      <c r="B1842" s="4">
        <v>530643.0</v>
      </c>
      <c r="C1842" s="3" t="s">
        <v>7775</v>
      </c>
      <c r="D1842" s="3" t="s">
        <v>7776</v>
      </c>
      <c r="E1842" s="3" t="s">
        <v>7777</v>
      </c>
      <c r="F1842" s="3" t="s">
        <v>19</v>
      </c>
      <c r="G1842" s="3" t="s">
        <v>72</v>
      </c>
      <c r="H1842" s="3">
        <v>10.0</v>
      </c>
      <c r="I1842" s="3" t="s">
        <v>7774</v>
      </c>
      <c r="J1842" s="3" t="s">
        <v>22</v>
      </c>
      <c r="K1842" s="3" t="s">
        <v>1647</v>
      </c>
      <c r="L1842" s="3" t="s">
        <v>1647</v>
      </c>
      <c r="M1842" s="3" t="s">
        <v>7778</v>
      </c>
      <c r="N1842" s="3" t="s">
        <v>7779</v>
      </c>
      <c r="O1842" s="5">
        <v>1273.0794101</v>
      </c>
      <c r="P1842" s="6" t="str">
        <f t="shared" si="2"/>
        <v>Other Utilities</v>
      </c>
    </row>
    <row r="1843" hidden="1">
      <c r="A1843" s="3" t="s">
        <v>7780</v>
      </c>
      <c r="B1843" s="4">
        <v>530655.0</v>
      </c>
      <c r="C1843" s="3" t="s">
        <v>7781</v>
      </c>
      <c r="D1843" s="3" t="s">
        <v>7782</v>
      </c>
      <c r="E1843" s="3" t="s">
        <v>7783</v>
      </c>
      <c r="F1843" s="3" t="s">
        <v>19</v>
      </c>
      <c r="G1843" s="3" t="s">
        <v>112</v>
      </c>
      <c r="H1843" s="3">
        <v>2.0</v>
      </c>
      <c r="I1843" s="3" t="s">
        <v>7780</v>
      </c>
      <c r="J1843" s="3" t="s">
        <v>22</v>
      </c>
      <c r="K1843" s="3" t="s">
        <v>97</v>
      </c>
      <c r="L1843" s="3" t="s">
        <v>98</v>
      </c>
      <c r="M1843" s="3" t="s">
        <v>100</v>
      </c>
      <c r="N1843" s="3" t="s">
        <v>612</v>
      </c>
      <c r="O1843" s="5">
        <v>3041.088894</v>
      </c>
      <c r="P1843" s="6" t="str">
        <f t="shared" si="2"/>
        <v>Industrial Products</v>
      </c>
    </row>
    <row r="1844" hidden="1">
      <c r="A1844" s="3" t="s">
        <v>7784</v>
      </c>
      <c r="B1844" s="4">
        <v>530663.0</v>
      </c>
      <c r="C1844" s="3" t="s">
        <v>7785</v>
      </c>
      <c r="D1844" s="3" t="s">
        <v>7786</v>
      </c>
      <c r="E1844" s="3" t="s">
        <v>7787</v>
      </c>
      <c r="F1844" s="3" t="s">
        <v>19</v>
      </c>
      <c r="G1844" s="3" t="s">
        <v>44</v>
      </c>
      <c r="H1844" s="3">
        <v>1.0</v>
      </c>
      <c r="I1844" s="3" t="s">
        <v>7784</v>
      </c>
      <c r="J1844" s="3" t="s">
        <v>22</v>
      </c>
      <c r="K1844" s="3" t="s">
        <v>204</v>
      </c>
      <c r="L1844" s="3" t="s">
        <v>204</v>
      </c>
      <c r="M1844" s="3" t="s">
        <v>378</v>
      </c>
      <c r="N1844" s="3" t="s">
        <v>379</v>
      </c>
      <c r="O1844" s="5">
        <v>9.2264973</v>
      </c>
      <c r="P1844" s="6" t="str">
        <f t="shared" si="2"/>
        <v>Non Banking Financial Company (NBFC)</v>
      </c>
    </row>
    <row r="1845" hidden="1">
      <c r="A1845" s="3" t="s">
        <v>7788</v>
      </c>
      <c r="B1845" s="4">
        <v>530665.0</v>
      </c>
      <c r="C1845" s="3" t="s">
        <v>7789</v>
      </c>
      <c r="D1845" s="3" t="s">
        <v>7790</v>
      </c>
      <c r="E1845" s="3" t="s">
        <v>7791</v>
      </c>
      <c r="F1845" s="3" t="s">
        <v>19</v>
      </c>
      <c r="G1845" s="3" t="s">
        <v>44</v>
      </c>
      <c r="H1845" s="3">
        <v>1.0</v>
      </c>
      <c r="I1845" s="3" t="s">
        <v>7788</v>
      </c>
      <c r="J1845" s="3" t="s">
        <v>22</v>
      </c>
      <c r="K1845" s="3" t="s">
        <v>45</v>
      </c>
      <c r="L1845" s="3" t="s">
        <v>45</v>
      </c>
      <c r="M1845" s="3" t="s">
        <v>46</v>
      </c>
      <c r="N1845" s="3" t="s">
        <v>47</v>
      </c>
      <c r="O1845" s="5">
        <v>24.451246</v>
      </c>
      <c r="P1845" s="6" t="str">
        <f t="shared" si="2"/>
        <v>Pharmaceuticals</v>
      </c>
    </row>
    <row r="1846" hidden="1">
      <c r="A1846" s="3" t="s">
        <v>7792</v>
      </c>
      <c r="B1846" s="4">
        <v>530675.0</v>
      </c>
      <c r="C1846" s="3" t="s">
        <v>7793</v>
      </c>
      <c r="D1846" s="3" t="s">
        <v>7794</v>
      </c>
      <c r="E1846" s="3" t="s">
        <v>7795</v>
      </c>
      <c r="F1846" s="3" t="s">
        <v>19</v>
      </c>
      <c r="G1846" s="3" t="s">
        <v>44</v>
      </c>
      <c r="H1846" s="3">
        <v>10.0</v>
      </c>
      <c r="I1846" s="3" t="s">
        <v>7792</v>
      </c>
      <c r="J1846" s="3" t="s">
        <v>22</v>
      </c>
      <c r="K1846" s="3" t="s">
        <v>58</v>
      </c>
      <c r="L1846" s="3" t="s">
        <v>211</v>
      </c>
      <c r="M1846" s="3" t="s">
        <v>211</v>
      </c>
      <c r="N1846" s="3" t="s">
        <v>947</v>
      </c>
      <c r="O1846" s="5">
        <v>13.225889</v>
      </c>
      <c r="P1846" s="6" t="str">
        <f t="shared" si="2"/>
        <v>Consumer Durables</v>
      </c>
    </row>
    <row r="1847" hidden="1">
      <c r="A1847" s="3" t="s">
        <v>7796</v>
      </c>
      <c r="B1847" s="4">
        <v>530677.0</v>
      </c>
      <c r="C1847" s="3" t="s">
        <v>7797</v>
      </c>
      <c r="D1847" s="3" t="s">
        <v>7798</v>
      </c>
      <c r="E1847" s="3" t="s">
        <v>7799</v>
      </c>
      <c r="F1847" s="3" t="s">
        <v>19</v>
      </c>
      <c r="G1847" s="3" t="s">
        <v>44</v>
      </c>
      <c r="H1847" s="3">
        <v>10.0</v>
      </c>
      <c r="I1847" s="3" t="s">
        <v>7796</v>
      </c>
      <c r="J1847" s="3" t="s">
        <v>22</v>
      </c>
      <c r="K1847" s="3" t="s">
        <v>58</v>
      </c>
      <c r="L1847" s="3" t="s">
        <v>59</v>
      </c>
      <c r="M1847" s="3" t="s">
        <v>59</v>
      </c>
      <c r="N1847" s="3" t="s">
        <v>60</v>
      </c>
      <c r="O1847" s="5">
        <v>231.2274352</v>
      </c>
      <c r="P1847" s="6" t="str">
        <f t="shared" si="2"/>
        <v>Residential, Commercial Projects</v>
      </c>
    </row>
    <row r="1848" hidden="1">
      <c r="A1848" s="3" t="s">
        <v>5130</v>
      </c>
      <c r="B1848" s="4">
        <v>531737.0</v>
      </c>
      <c r="C1848" s="3" t="s">
        <v>7800</v>
      </c>
      <c r="D1848" s="3" t="s">
        <v>7801</v>
      </c>
      <c r="E1848" s="3" t="s">
        <v>7800</v>
      </c>
      <c r="F1848" s="3" t="s">
        <v>19</v>
      </c>
      <c r="G1848" s="3" t="s">
        <v>44</v>
      </c>
      <c r="H1848" s="3">
        <v>1.0</v>
      </c>
      <c r="I1848" s="3" t="s">
        <v>7802</v>
      </c>
      <c r="J1848" s="3" t="s">
        <v>22</v>
      </c>
      <c r="K1848" s="3" t="s">
        <v>1673</v>
      </c>
      <c r="L1848" s="3" t="s">
        <v>1673</v>
      </c>
      <c r="M1848" s="3" t="s">
        <v>1674</v>
      </c>
      <c r="N1848" s="3" t="s">
        <v>1675</v>
      </c>
      <c r="O1848" s="5">
        <v>35.8235948</v>
      </c>
      <c r="P1848" s="6" t="str">
        <f t="shared" si="2"/>
        <v>Commercial Services &amp; Supplies</v>
      </c>
    </row>
    <row r="1849" hidden="1">
      <c r="A1849" s="3" t="s">
        <v>7803</v>
      </c>
      <c r="B1849" s="4">
        <v>530695.0</v>
      </c>
      <c r="C1849" s="3" t="s">
        <v>7804</v>
      </c>
      <c r="D1849" s="3" t="s">
        <v>7805</v>
      </c>
      <c r="E1849" s="3" t="s">
        <v>7806</v>
      </c>
      <c r="F1849" s="3" t="s">
        <v>19</v>
      </c>
      <c r="G1849" s="3" t="s">
        <v>44</v>
      </c>
      <c r="H1849" s="3">
        <v>5.0</v>
      </c>
      <c r="I1849" s="3" t="s">
        <v>7803</v>
      </c>
      <c r="J1849" s="3" t="s">
        <v>22</v>
      </c>
      <c r="K1849" s="3" t="s">
        <v>58</v>
      </c>
      <c r="L1849" s="3" t="s">
        <v>59</v>
      </c>
      <c r="M1849" s="3" t="s">
        <v>59</v>
      </c>
      <c r="N1849" s="3" t="s">
        <v>60</v>
      </c>
      <c r="O1849" s="5">
        <v>49.761825</v>
      </c>
      <c r="P1849" s="6" t="str">
        <f t="shared" si="2"/>
        <v>Residential, Commercial Projects</v>
      </c>
    </row>
    <row r="1850" hidden="1">
      <c r="A1850" s="3" t="s">
        <v>7807</v>
      </c>
      <c r="B1850" s="4">
        <v>514060.0</v>
      </c>
      <c r="C1850" s="3" t="s">
        <v>7808</v>
      </c>
      <c r="D1850" s="3" t="s">
        <v>7809</v>
      </c>
      <c r="E1850" s="3" t="s">
        <v>7810</v>
      </c>
      <c r="F1850" s="3" t="s">
        <v>19</v>
      </c>
      <c r="G1850" s="3" t="s">
        <v>72</v>
      </c>
      <c r="H1850" s="3">
        <v>10.0</v>
      </c>
      <c r="I1850" s="3" t="s">
        <v>4342</v>
      </c>
      <c r="J1850" s="3" t="s">
        <v>22</v>
      </c>
      <c r="K1850" s="3" t="s">
        <v>1673</v>
      </c>
      <c r="L1850" s="3" t="s">
        <v>1673</v>
      </c>
      <c r="M1850" s="3" t="s">
        <v>1674</v>
      </c>
      <c r="N1850" s="3" t="s">
        <v>1915</v>
      </c>
      <c r="O1850" s="5">
        <v>35.5584</v>
      </c>
      <c r="P1850" s="6" t="str">
        <f t="shared" si="2"/>
        <v>Commercial Services &amp; Supplies</v>
      </c>
    </row>
    <row r="1851" hidden="1">
      <c r="A1851" s="3" t="s">
        <v>7811</v>
      </c>
      <c r="B1851" s="4">
        <v>530699.0</v>
      </c>
      <c r="C1851" s="3" t="s">
        <v>7812</v>
      </c>
      <c r="D1851" s="3" t="s">
        <v>7813</v>
      </c>
      <c r="E1851" s="3" t="s">
        <v>7814</v>
      </c>
      <c r="F1851" s="3" t="s">
        <v>19</v>
      </c>
      <c r="G1851" s="3" t="s">
        <v>86</v>
      </c>
      <c r="H1851" s="3">
        <v>1.0</v>
      </c>
      <c r="I1851" s="3" t="s">
        <v>7811</v>
      </c>
      <c r="J1851" s="3" t="s">
        <v>22</v>
      </c>
      <c r="K1851" s="3" t="s">
        <v>58</v>
      </c>
      <c r="L1851" s="3" t="s">
        <v>80</v>
      </c>
      <c r="M1851" s="3" t="s">
        <v>81</v>
      </c>
      <c r="N1851" s="3" t="s">
        <v>82</v>
      </c>
      <c r="O1851" s="5">
        <v>1145.04915</v>
      </c>
      <c r="P1851" s="6" t="str">
        <f t="shared" si="2"/>
        <v>Textiles &amp; Apparels</v>
      </c>
    </row>
    <row r="1852" hidden="1">
      <c r="A1852" s="3" t="s">
        <v>7815</v>
      </c>
      <c r="B1852" s="4">
        <v>530705.0</v>
      </c>
      <c r="C1852" s="3" t="s">
        <v>7816</v>
      </c>
      <c r="D1852" s="3" t="s">
        <v>7817</v>
      </c>
      <c r="E1852" s="3" t="s">
        <v>7818</v>
      </c>
      <c r="F1852" s="3" t="s">
        <v>19</v>
      </c>
      <c r="G1852" s="3" t="s">
        <v>72</v>
      </c>
      <c r="H1852" s="3">
        <v>10.0</v>
      </c>
      <c r="I1852" s="3" t="s">
        <v>7815</v>
      </c>
      <c r="J1852" s="3" t="s">
        <v>22</v>
      </c>
      <c r="K1852" s="3" t="s">
        <v>58</v>
      </c>
      <c r="L1852" s="3" t="s">
        <v>80</v>
      </c>
      <c r="M1852" s="3" t="s">
        <v>81</v>
      </c>
      <c r="N1852" s="3" t="s">
        <v>82</v>
      </c>
      <c r="O1852" s="5">
        <v>15.384745</v>
      </c>
      <c r="P1852" s="6" t="str">
        <f t="shared" si="2"/>
        <v>Textiles &amp; Apparels</v>
      </c>
    </row>
    <row r="1853" hidden="1">
      <c r="A1853" s="3" t="s">
        <v>7819</v>
      </c>
      <c r="B1853" s="4">
        <v>530709.0</v>
      </c>
      <c r="C1853" s="3" t="s">
        <v>7820</v>
      </c>
      <c r="D1853" s="3" t="s">
        <v>7821</v>
      </c>
      <c r="E1853" s="3" t="s">
        <v>7822</v>
      </c>
      <c r="F1853" s="3" t="s">
        <v>19</v>
      </c>
      <c r="G1853" s="3" t="s">
        <v>44</v>
      </c>
      <c r="H1853" s="3">
        <v>10.0</v>
      </c>
      <c r="I1853" s="3" t="s">
        <v>7819</v>
      </c>
      <c r="J1853" s="3" t="s">
        <v>22</v>
      </c>
      <c r="K1853" s="3" t="s">
        <v>204</v>
      </c>
      <c r="L1853" s="3" t="s">
        <v>204</v>
      </c>
      <c r="M1853" s="3" t="s">
        <v>378</v>
      </c>
      <c r="N1853" s="3" t="s">
        <v>379</v>
      </c>
      <c r="O1853" s="5">
        <v>1.0</v>
      </c>
      <c r="P1853" s="6" t="str">
        <f t="shared" si="2"/>
        <v>Non Banking Financial Company (NBFC)</v>
      </c>
    </row>
    <row r="1854" hidden="1">
      <c r="A1854" s="3" t="s">
        <v>7823</v>
      </c>
      <c r="B1854" s="4">
        <v>530711.0</v>
      </c>
      <c r="C1854" s="3" t="s">
        <v>7824</v>
      </c>
      <c r="D1854" s="3" t="s">
        <v>7825</v>
      </c>
      <c r="E1854" s="3" t="s">
        <v>7826</v>
      </c>
      <c r="F1854" s="3" t="s">
        <v>19</v>
      </c>
      <c r="G1854" s="3" t="s">
        <v>44</v>
      </c>
      <c r="H1854" s="3">
        <v>10.0</v>
      </c>
      <c r="I1854" s="3" t="s">
        <v>7823</v>
      </c>
      <c r="J1854" s="3" t="s">
        <v>22</v>
      </c>
      <c r="K1854" s="3" t="s">
        <v>58</v>
      </c>
      <c r="L1854" s="3" t="s">
        <v>133</v>
      </c>
      <c r="M1854" s="3" t="s">
        <v>134</v>
      </c>
      <c r="N1854" s="3" t="s">
        <v>135</v>
      </c>
      <c r="O1854" s="5">
        <v>72.1274044</v>
      </c>
      <c r="P1854" s="6" t="str">
        <f t="shared" si="2"/>
        <v>Auto Components &amp; Equipments</v>
      </c>
    </row>
    <row r="1855" hidden="1">
      <c r="A1855" s="3" t="s">
        <v>7827</v>
      </c>
      <c r="B1855" s="4">
        <v>530713.0</v>
      </c>
      <c r="C1855" s="3" t="s">
        <v>7828</v>
      </c>
      <c r="D1855" s="3" t="s">
        <v>7829</v>
      </c>
      <c r="E1855" s="3" t="s">
        <v>7830</v>
      </c>
      <c r="F1855" s="3" t="s">
        <v>19</v>
      </c>
      <c r="G1855" s="3" t="s">
        <v>44</v>
      </c>
      <c r="H1855" s="3">
        <v>10.0</v>
      </c>
      <c r="I1855" s="3" t="s">
        <v>7827</v>
      </c>
      <c r="J1855" s="3" t="s">
        <v>22</v>
      </c>
      <c r="K1855" s="3" t="s">
        <v>473</v>
      </c>
      <c r="L1855" s="3" t="s">
        <v>473</v>
      </c>
      <c r="M1855" s="3" t="s">
        <v>1391</v>
      </c>
      <c r="N1855" s="3" t="s">
        <v>1840</v>
      </c>
      <c r="O1855" s="5">
        <v>1.0</v>
      </c>
      <c r="P1855" s="6" t="str">
        <f t="shared" si="2"/>
        <v>Computers - Software &amp; Consulting</v>
      </c>
    </row>
    <row r="1856" hidden="1">
      <c r="A1856" s="3" t="s">
        <v>7831</v>
      </c>
      <c r="B1856" s="4">
        <v>530715.0</v>
      </c>
      <c r="C1856" s="3" t="s">
        <v>7832</v>
      </c>
      <c r="D1856" s="3" t="s">
        <v>7833</v>
      </c>
      <c r="E1856" s="3" t="s">
        <v>7834</v>
      </c>
      <c r="F1856" s="3" t="s">
        <v>19</v>
      </c>
      <c r="G1856" s="3" t="s">
        <v>86</v>
      </c>
      <c r="H1856" s="3">
        <v>10.0</v>
      </c>
      <c r="I1856" s="3" t="s">
        <v>7831</v>
      </c>
      <c r="J1856" s="3" t="s">
        <v>22</v>
      </c>
      <c r="K1856" s="3" t="s">
        <v>58</v>
      </c>
      <c r="L1856" s="3" t="s">
        <v>80</v>
      </c>
      <c r="M1856" s="3" t="s">
        <v>81</v>
      </c>
      <c r="N1856" s="3" t="s">
        <v>82</v>
      </c>
      <c r="O1856" s="5">
        <v>15.9129798</v>
      </c>
      <c r="P1856" s="6" t="str">
        <f t="shared" si="2"/>
        <v>Textiles &amp; Apparels</v>
      </c>
    </row>
    <row r="1857" hidden="1">
      <c r="A1857" s="3" t="s">
        <v>7835</v>
      </c>
      <c r="B1857" s="4">
        <v>530723.0</v>
      </c>
      <c r="C1857" s="3" t="s">
        <v>7836</v>
      </c>
      <c r="D1857" s="3" t="s">
        <v>7837</v>
      </c>
      <c r="E1857" s="3" t="s">
        <v>7838</v>
      </c>
      <c r="F1857" s="3" t="s">
        <v>19</v>
      </c>
      <c r="G1857" s="3" t="s">
        <v>44</v>
      </c>
      <c r="H1857" s="3">
        <v>10.0</v>
      </c>
      <c r="I1857" s="3" t="s">
        <v>7835</v>
      </c>
      <c r="J1857" s="3" t="s">
        <v>22</v>
      </c>
      <c r="K1857" s="3" t="s">
        <v>204</v>
      </c>
      <c r="L1857" s="3" t="s">
        <v>204</v>
      </c>
      <c r="M1857" s="3" t="s">
        <v>205</v>
      </c>
      <c r="N1857" s="3" t="s">
        <v>2109</v>
      </c>
      <c r="O1857" s="5">
        <v>135.6799388</v>
      </c>
      <c r="P1857" s="6" t="str">
        <f t="shared" si="2"/>
        <v>Capital Markets</v>
      </c>
    </row>
    <row r="1858" hidden="1">
      <c r="A1858" s="3" t="s">
        <v>7839</v>
      </c>
      <c r="B1858" s="4">
        <v>530733.0</v>
      </c>
      <c r="C1858" s="3" t="s">
        <v>7840</v>
      </c>
      <c r="D1858" s="3" t="s">
        <v>7841</v>
      </c>
      <c r="E1858" s="3" t="s">
        <v>7842</v>
      </c>
      <c r="F1858" s="3" t="s">
        <v>19</v>
      </c>
      <c r="G1858" s="3" t="s">
        <v>72</v>
      </c>
      <c r="H1858" s="3">
        <v>10.0</v>
      </c>
      <c r="I1858" s="3" t="s">
        <v>7839</v>
      </c>
      <c r="J1858" s="3" t="s">
        <v>22</v>
      </c>
      <c r="K1858" s="3" t="s">
        <v>58</v>
      </c>
      <c r="L1858" s="3" t="s">
        <v>182</v>
      </c>
      <c r="M1858" s="3" t="s">
        <v>183</v>
      </c>
      <c r="N1858" s="3" t="s">
        <v>184</v>
      </c>
      <c r="O1858" s="5">
        <v>4.6747143</v>
      </c>
      <c r="P1858" s="6" t="str">
        <f t="shared" si="2"/>
        <v>Media</v>
      </c>
    </row>
    <row r="1859" hidden="1">
      <c r="A1859" s="3" t="s">
        <v>7843</v>
      </c>
      <c r="B1859" s="4">
        <v>530735.0</v>
      </c>
      <c r="C1859" s="3" t="s">
        <v>7844</v>
      </c>
      <c r="D1859" s="3" t="s">
        <v>7845</v>
      </c>
      <c r="E1859" s="3" t="s">
        <v>7846</v>
      </c>
      <c r="F1859" s="3" t="s">
        <v>19</v>
      </c>
      <c r="G1859" s="3" t="s">
        <v>44</v>
      </c>
      <c r="H1859" s="3">
        <v>10.0</v>
      </c>
      <c r="I1859" s="3" t="s">
        <v>7843</v>
      </c>
      <c r="J1859" s="3" t="s">
        <v>22</v>
      </c>
      <c r="K1859" s="3" t="s">
        <v>145</v>
      </c>
      <c r="L1859" s="3" t="s">
        <v>145</v>
      </c>
      <c r="M1859" s="3" t="s">
        <v>597</v>
      </c>
      <c r="N1859" s="3" t="s">
        <v>2344</v>
      </c>
      <c r="O1859" s="5">
        <v>8.177165</v>
      </c>
      <c r="P1859" s="6" t="str">
        <f t="shared" si="2"/>
        <v>Food Products</v>
      </c>
    </row>
    <row r="1860" hidden="1">
      <c r="A1860" s="3" t="s">
        <v>7847</v>
      </c>
      <c r="B1860" s="4">
        <v>530741.0</v>
      </c>
      <c r="C1860" s="3" t="s">
        <v>7848</v>
      </c>
      <c r="D1860" s="3" t="s">
        <v>7849</v>
      </c>
      <c r="E1860" s="3" t="s">
        <v>7850</v>
      </c>
      <c r="F1860" s="3" t="s">
        <v>19</v>
      </c>
      <c r="G1860" s="3" t="s">
        <v>44</v>
      </c>
      <c r="H1860" s="3">
        <v>10.0</v>
      </c>
      <c r="I1860" s="3" t="s">
        <v>7847</v>
      </c>
      <c r="J1860" s="3" t="s">
        <v>22</v>
      </c>
      <c r="K1860" s="3" t="s">
        <v>145</v>
      </c>
      <c r="L1860" s="3" t="s">
        <v>145</v>
      </c>
      <c r="M1860" s="3" t="s">
        <v>597</v>
      </c>
      <c r="N1860" s="3" t="s">
        <v>5161</v>
      </c>
      <c r="O1860" s="5">
        <v>188.5021231</v>
      </c>
      <c r="P1860" s="6" t="str">
        <f t="shared" si="2"/>
        <v>Food Products</v>
      </c>
    </row>
    <row r="1861" hidden="1">
      <c r="A1861" s="3" t="s">
        <v>7851</v>
      </c>
      <c r="B1861" s="4">
        <v>530747.0</v>
      </c>
      <c r="C1861" s="3" t="s">
        <v>7852</v>
      </c>
      <c r="D1861" s="3" t="s">
        <v>7853</v>
      </c>
      <c r="E1861" s="3" t="s">
        <v>7854</v>
      </c>
      <c r="F1861" s="3" t="s">
        <v>19</v>
      </c>
      <c r="G1861" s="3" t="s">
        <v>44</v>
      </c>
      <c r="H1861" s="3">
        <v>10.0</v>
      </c>
      <c r="I1861" s="3" t="s">
        <v>7851</v>
      </c>
      <c r="J1861" s="3" t="s">
        <v>22</v>
      </c>
      <c r="K1861" s="3" t="s">
        <v>204</v>
      </c>
      <c r="L1861" s="3" t="s">
        <v>204</v>
      </c>
      <c r="M1861" s="3" t="s">
        <v>378</v>
      </c>
      <c r="N1861" s="3" t="s">
        <v>379</v>
      </c>
      <c r="O1861" s="5">
        <v>24.0008907</v>
      </c>
      <c r="P1861" s="6" t="str">
        <f t="shared" si="2"/>
        <v>Non Banking Financial Company (NBFC)</v>
      </c>
    </row>
    <row r="1862" hidden="1">
      <c r="A1862" s="3" t="s">
        <v>7855</v>
      </c>
      <c r="B1862" s="4">
        <v>530755.0</v>
      </c>
      <c r="C1862" s="3" t="s">
        <v>7856</v>
      </c>
      <c r="D1862" s="3" t="s">
        <v>7857</v>
      </c>
      <c r="E1862" s="3" t="s">
        <v>7858</v>
      </c>
      <c r="F1862" s="3" t="s">
        <v>19</v>
      </c>
      <c r="G1862" s="3" t="s">
        <v>44</v>
      </c>
      <c r="H1862" s="3">
        <v>10.0</v>
      </c>
      <c r="I1862" s="3" t="s">
        <v>7855</v>
      </c>
      <c r="J1862" s="3" t="s">
        <v>22</v>
      </c>
      <c r="K1862" s="3" t="s">
        <v>23</v>
      </c>
      <c r="L1862" s="3" t="s">
        <v>32</v>
      </c>
      <c r="M1862" s="3" t="s">
        <v>33</v>
      </c>
      <c r="N1862" s="3" t="s">
        <v>34</v>
      </c>
      <c r="O1862" s="5">
        <v>1.0</v>
      </c>
      <c r="P1862" s="6" t="str">
        <f t="shared" si="2"/>
        <v>Paper, Forest &amp; Jute Products</v>
      </c>
    </row>
    <row r="1863" hidden="1">
      <c r="A1863" s="3" t="s">
        <v>7859</v>
      </c>
      <c r="B1863" s="4">
        <v>530759.0</v>
      </c>
      <c r="C1863" s="3" t="s">
        <v>7860</v>
      </c>
      <c r="D1863" s="3" t="s">
        <v>7861</v>
      </c>
      <c r="E1863" s="3" t="s">
        <v>7862</v>
      </c>
      <c r="F1863" s="3" t="s">
        <v>19</v>
      </c>
      <c r="G1863" s="3" t="s">
        <v>112</v>
      </c>
      <c r="H1863" s="3">
        <v>2.0</v>
      </c>
      <c r="I1863" s="3" t="s">
        <v>7859</v>
      </c>
      <c r="J1863" s="3" t="s">
        <v>22</v>
      </c>
      <c r="K1863" s="3" t="s">
        <v>58</v>
      </c>
      <c r="L1863" s="3" t="s">
        <v>133</v>
      </c>
      <c r="M1863" s="3" t="s">
        <v>134</v>
      </c>
      <c r="N1863" s="3" t="s">
        <v>135</v>
      </c>
      <c r="O1863" s="5">
        <v>1341.5612064</v>
      </c>
      <c r="P1863" s="6" t="str">
        <f t="shared" si="2"/>
        <v>Auto Components &amp; Equipments</v>
      </c>
    </row>
    <row r="1864" hidden="1">
      <c r="A1864" s="3" t="s">
        <v>7863</v>
      </c>
      <c r="B1864" s="4">
        <v>530765.0</v>
      </c>
      <c r="C1864" s="3" t="s">
        <v>7864</v>
      </c>
      <c r="D1864" s="3" t="s">
        <v>7865</v>
      </c>
      <c r="E1864" s="3" t="s">
        <v>7866</v>
      </c>
      <c r="F1864" s="3" t="s">
        <v>19</v>
      </c>
      <c r="G1864" s="3" t="s">
        <v>44</v>
      </c>
      <c r="H1864" s="3">
        <v>10.0</v>
      </c>
      <c r="I1864" s="3" t="s">
        <v>7863</v>
      </c>
      <c r="J1864" s="3" t="s">
        <v>22</v>
      </c>
      <c r="K1864" s="3" t="s">
        <v>97</v>
      </c>
      <c r="L1864" s="3" t="s">
        <v>98</v>
      </c>
      <c r="M1864" s="3" t="s">
        <v>100</v>
      </c>
      <c r="N1864" s="3" t="s">
        <v>7867</v>
      </c>
      <c r="O1864" s="5">
        <v>1.0</v>
      </c>
      <c r="P1864" s="6" t="str">
        <f t="shared" si="2"/>
        <v>Industrial Products</v>
      </c>
    </row>
    <row r="1865" hidden="1">
      <c r="A1865" s="3" t="s">
        <v>7868</v>
      </c>
      <c r="B1865" s="4">
        <v>530779.0</v>
      </c>
      <c r="C1865" s="3" t="s">
        <v>7869</v>
      </c>
      <c r="D1865" s="3" t="s">
        <v>7870</v>
      </c>
      <c r="E1865" s="3" t="s">
        <v>7871</v>
      </c>
      <c r="F1865" s="3" t="s">
        <v>19</v>
      </c>
      <c r="G1865" s="3" t="s">
        <v>44</v>
      </c>
      <c r="H1865" s="3">
        <v>10.0</v>
      </c>
      <c r="I1865" s="3" t="s">
        <v>7868</v>
      </c>
      <c r="J1865" s="3" t="s">
        <v>22</v>
      </c>
      <c r="K1865" s="3" t="s">
        <v>204</v>
      </c>
      <c r="L1865" s="3" t="s">
        <v>204</v>
      </c>
      <c r="M1865" s="3" t="s">
        <v>378</v>
      </c>
      <c r="N1865" s="3" t="s">
        <v>379</v>
      </c>
      <c r="O1865" s="5">
        <v>46.506565</v>
      </c>
      <c r="P1865" s="6" t="str">
        <f t="shared" si="2"/>
        <v>Non Banking Financial Company (NBFC)</v>
      </c>
    </row>
    <row r="1866" hidden="1">
      <c r="A1866" s="3" t="s">
        <v>7872</v>
      </c>
      <c r="B1866" s="4">
        <v>530787.0</v>
      </c>
      <c r="C1866" s="3" t="s">
        <v>7873</v>
      </c>
      <c r="D1866" s="3" t="s">
        <v>7874</v>
      </c>
      <c r="E1866" s="3" t="s">
        <v>7875</v>
      </c>
      <c r="F1866" s="3" t="s">
        <v>19</v>
      </c>
      <c r="G1866" s="3" t="s">
        <v>72</v>
      </c>
      <c r="H1866" s="3">
        <v>10.0</v>
      </c>
      <c r="I1866" s="3" t="s">
        <v>7872</v>
      </c>
      <c r="J1866" s="3" t="s">
        <v>22</v>
      </c>
      <c r="K1866" s="3" t="s">
        <v>58</v>
      </c>
      <c r="L1866" s="3" t="s">
        <v>182</v>
      </c>
      <c r="M1866" s="3" t="s">
        <v>2898</v>
      </c>
      <c r="N1866" s="3" t="s">
        <v>2898</v>
      </c>
      <c r="O1866" s="5">
        <v>63.531017</v>
      </c>
      <c r="P1866" s="6" t="str">
        <f t="shared" si="2"/>
        <v>Printing &amp; Publication</v>
      </c>
    </row>
    <row r="1867" hidden="1">
      <c r="A1867" s="3" t="s">
        <v>7876</v>
      </c>
      <c r="B1867" s="4">
        <v>530789.0</v>
      </c>
      <c r="C1867" s="3" t="s">
        <v>7877</v>
      </c>
      <c r="D1867" s="3" t="s">
        <v>7878</v>
      </c>
      <c r="E1867" s="3" t="s">
        <v>7879</v>
      </c>
      <c r="F1867" s="3" t="s">
        <v>19</v>
      </c>
      <c r="G1867" s="3" t="s">
        <v>44</v>
      </c>
      <c r="H1867" s="3">
        <v>10.0</v>
      </c>
      <c r="I1867" s="3" t="s">
        <v>7876</v>
      </c>
      <c r="J1867" s="3" t="s">
        <v>22</v>
      </c>
      <c r="K1867" s="3" t="s">
        <v>204</v>
      </c>
      <c r="L1867" s="3" t="s">
        <v>204</v>
      </c>
      <c r="M1867" s="3" t="s">
        <v>378</v>
      </c>
      <c r="N1867" s="3" t="s">
        <v>379</v>
      </c>
      <c r="O1867" s="5">
        <v>76.5893646</v>
      </c>
      <c r="P1867" s="6" t="str">
        <f t="shared" si="2"/>
        <v>Non Banking Financial Company (NBFC)</v>
      </c>
    </row>
    <row r="1868" hidden="1">
      <c r="A1868" s="3" t="s">
        <v>7880</v>
      </c>
      <c r="B1868" s="4">
        <v>530795.0</v>
      </c>
      <c r="C1868" s="3" t="s">
        <v>7881</v>
      </c>
      <c r="D1868" s="3" t="s">
        <v>7882</v>
      </c>
      <c r="E1868" s="3" t="s">
        <v>7883</v>
      </c>
      <c r="F1868" s="3" t="s">
        <v>19</v>
      </c>
      <c r="G1868" s="3" t="s">
        <v>72</v>
      </c>
      <c r="H1868" s="3">
        <v>10.0</v>
      </c>
      <c r="I1868" s="3" t="s">
        <v>7880</v>
      </c>
      <c r="J1868" s="3" t="s">
        <v>22</v>
      </c>
      <c r="K1868" s="3" t="s">
        <v>58</v>
      </c>
      <c r="L1868" s="3" t="s">
        <v>80</v>
      </c>
      <c r="M1868" s="3" t="s">
        <v>81</v>
      </c>
      <c r="N1868" s="3" t="s">
        <v>82</v>
      </c>
      <c r="O1868" s="5">
        <v>1.0</v>
      </c>
      <c r="P1868" s="6" t="str">
        <f t="shared" si="2"/>
        <v>Textiles &amp; Apparels</v>
      </c>
    </row>
    <row r="1869" hidden="1">
      <c r="A1869" s="3" t="s">
        <v>7884</v>
      </c>
      <c r="B1869" s="4">
        <v>543754.0</v>
      </c>
      <c r="C1869" s="3" t="s">
        <v>7885</v>
      </c>
      <c r="D1869" s="3" t="s">
        <v>7886</v>
      </c>
      <c r="E1869" s="3" t="s">
        <v>7887</v>
      </c>
      <c r="F1869" s="3" t="s">
        <v>19</v>
      </c>
      <c r="G1869" s="3" t="s">
        <v>2428</v>
      </c>
      <c r="H1869" s="3">
        <v>10.0</v>
      </c>
      <c r="I1869" s="3" t="s">
        <v>7888</v>
      </c>
      <c r="J1869" s="3" t="s">
        <v>22</v>
      </c>
      <c r="K1869" s="3" t="s">
        <v>1673</v>
      </c>
      <c r="L1869" s="3" t="s">
        <v>1673</v>
      </c>
      <c r="M1869" s="3" t="s">
        <v>1689</v>
      </c>
      <c r="N1869" s="3" t="s">
        <v>1690</v>
      </c>
      <c r="O1869" s="5">
        <v>35.311912</v>
      </c>
      <c r="P1869" s="6" t="str">
        <f t="shared" si="2"/>
        <v>Transport Services</v>
      </c>
    </row>
    <row r="1870" hidden="1">
      <c r="A1870" s="3" t="s">
        <v>7889</v>
      </c>
      <c r="B1870" s="4">
        <v>530799.0</v>
      </c>
      <c r="C1870" s="3" t="s">
        <v>7890</v>
      </c>
      <c r="D1870" s="3" t="s">
        <v>7891</v>
      </c>
      <c r="E1870" s="3" t="s">
        <v>7892</v>
      </c>
      <c r="F1870" s="3" t="s">
        <v>19</v>
      </c>
      <c r="G1870" s="3" t="s">
        <v>44</v>
      </c>
      <c r="H1870" s="3">
        <v>10.0</v>
      </c>
      <c r="I1870" s="3" t="s">
        <v>7889</v>
      </c>
      <c r="J1870" s="3" t="s">
        <v>22</v>
      </c>
      <c r="K1870" s="3" t="s">
        <v>204</v>
      </c>
      <c r="L1870" s="3" t="s">
        <v>204</v>
      </c>
      <c r="M1870" s="3" t="s">
        <v>378</v>
      </c>
      <c r="N1870" s="3" t="s">
        <v>379</v>
      </c>
      <c r="O1870" s="5">
        <v>11.3271037</v>
      </c>
      <c r="P1870" s="6" t="str">
        <f t="shared" si="2"/>
        <v>Non Banking Financial Company (NBFC)</v>
      </c>
    </row>
    <row r="1871" hidden="1">
      <c r="A1871" s="3" t="s">
        <v>7893</v>
      </c>
      <c r="B1871" s="4">
        <v>530803.0</v>
      </c>
      <c r="C1871" s="3" t="s">
        <v>7894</v>
      </c>
      <c r="D1871" s="3" t="s">
        <v>7895</v>
      </c>
      <c r="E1871" s="3" t="s">
        <v>7896</v>
      </c>
      <c r="F1871" s="3" t="s">
        <v>19</v>
      </c>
      <c r="G1871" s="3" t="s">
        <v>112</v>
      </c>
      <c r="H1871" s="3">
        <v>5.0</v>
      </c>
      <c r="I1871" s="3" t="s">
        <v>7893</v>
      </c>
      <c r="J1871" s="3" t="s">
        <v>22</v>
      </c>
      <c r="K1871" s="3" t="s">
        <v>23</v>
      </c>
      <c r="L1871" s="3" t="s">
        <v>24</v>
      </c>
      <c r="M1871" s="3" t="s">
        <v>25</v>
      </c>
      <c r="N1871" s="3" t="s">
        <v>368</v>
      </c>
      <c r="O1871" s="5">
        <v>738.5262117</v>
      </c>
      <c r="P1871" s="6" t="str">
        <f t="shared" si="2"/>
        <v>Chemicals &amp; Petrochemicals</v>
      </c>
    </row>
    <row r="1872" hidden="1">
      <c r="A1872" s="3" t="s">
        <v>7897</v>
      </c>
      <c r="B1872" s="4">
        <v>543621.0</v>
      </c>
      <c r="C1872" s="3" t="s">
        <v>7898</v>
      </c>
      <c r="D1872" s="3" t="s">
        <v>7899</v>
      </c>
      <c r="E1872" s="3" t="s">
        <v>7900</v>
      </c>
      <c r="F1872" s="3" t="s">
        <v>19</v>
      </c>
      <c r="G1872" s="3" t="s">
        <v>2428</v>
      </c>
      <c r="H1872" s="3">
        <v>10.0</v>
      </c>
      <c r="I1872" s="3" t="s">
        <v>7901</v>
      </c>
      <c r="J1872" s="3" t="s">
        <v>22</v>
      </c>
      <c r="K1872" s="3" t="s">
        <v>1673</v>
      </c>
      <c r="L1872" s="3" t="s">
        <v>1673</v>
      </c>
      <c r="M1872" s="3" t="s">
        <v>1689</v>
      </c>
      <c r="N1872" s="3" t="s">
        <v>1690</v>
      </c>
      <c r="O1872" s="5">
        <v>34.68</v>
      </c>
      <c r="P1872" s="6" t="str">
        <f t="shared" si="2"/>
        <v>Transport Services</v>
      </c>
    </row>
    <row r="1873" hidden="1">
      <c r="A1873" s="3" t="s">
        <v>7902</v>
      </c>
      <c r="B1873" s="4">
        <v>519532.0</v>
      </c>
      <c r="C1873" s="3" t="s">
        <v>7903</v>
      </c>
      <c r="D1873" s="3" t="s">
        <v>7904</v>
      </c>
      <c r="E1873" s="3" t="s">
        <v>7905</v>
      </c>
      <c r="F1873" s="3" t="s">
        <v>19</v>
      </c>
      <c r="G1873" s="3" t="s">
        <v>72</v>
      </c>
      <c r="H1873" s="3">
        <v>10.0</v>
      </c>
      <c r="I1873" s="3" t="s">
        <v>5147</v>
      </c>
      <c r="J1873" s="3" t="s">
        <v>22</v>
      </c>
      <c r="K1873" s="3" t="s">
        <v>1673</v>
      </c>
      <c r="L1873" s="3" t="s">
        <v>1673</v>
      </c>
      <c r="M1873" s="3" t="s">
        <v>1674</v>
      </c>
      <c r="N1873" s="3" t="s">
        <v>1915</v>
      </c>
      <c r="O1873" s="5">
        <v>34.534123</v>
      </c>
      <c r="P1873" s="6" t="str">
        <f t="shared" si="2"/>
        <v>Commercial Services &amp; Supplies</v>
      </c>
    </row>
    <row r="1874">
      <c r="A1874" s="3" t="s">
        <v>7906</v>
      </c>
      <c r="B1874" s="4">
        <v>507815.0</v>
      </c>
      <c r="C1874" s="3" t="s">
        <v>7907</v>
      </c>
      <c r="D1874" s="3" t="s">
        <v>7908</v>
      </c>
      <c r="E1874" s="3" t="s">
        <v>7909</v>
      </c>
      <c r="F1874" s="3" t="s">
        <v>19</v>
      </c>
      <c r="G1874" s="3" t="s">
        <v>20</v>
      </c>
      <c r="H1874" s="3">
        <v>10.0</v>
      </c>
      <c r="I1874" s="3" t="s">
        <v>2708</v>
      </c>
      <c r="J1874" s="3" t="s">
        <v>22</v>
      </c>
      <c r="K1874" s="3" t="s">
        <v>145</v>
      </c>
      <c r="L1874" s="3" t="s">
        <v>145</v>
      </c>
      <c r="M1874" s="3" t="s">
        <v>2790</v>
      </c>
      <c r="N1874" s="3" t="s">
        <v>2791</v>
      </c>
      <c r="O1874" s="5">
        <v>23596.998165</v>
      </c>
      <c r="P1874" s="6" t="str">
        <f t="shared" si="2"/>
        <v>Personal Products</v>
      </c>
    </row>
    <row r="1875" hidden="1">
      <c r="A1875" s="3" t="s">
        <v>7910</v>
      </c>
      <c r="B1875" s="4">
        <v>530821.0</v>
      </c>
      <c r="C1875" s="3" t="s">
        <v>7911</v>
      </c>
      <c r="D1875" s="3" t="s">
        <v>7912</v>
      </c>
      <c r="E1875" s="3" t="s">
        <v>7913</v>
      </c>
      <c r="F1875" s="3" t="s">
        <v>19</v>
      </c>
      <c r="G1875" s="3" t="s">
        <v>72</v>
      </c>
      <c r="H1875" s="3">
        <v>10.0</v>
      </c>
      <c r="I1875" s="3" t="s">
        <v>7910</v>
      </c>
      <c r="J1875" s="3" t="s">
        <v>22</v>
      </c>
      <c r="K1875" s="3" t="s">
        <v>58</v>
      </c>
      <c r="L1875" s="3" t="s">
        <v>59</v>
      </c>
      <c r="M1875" s="3" t="s">
        <v>59</v>
      </c>
      <c r="N1875" s="3" t="s">
        <v>60</v>
      </c>
      <c r="O1875" s="5">
        <v>24.343735</v>
      </c>
      <c r="P1875" s="6" t="str">
        <f t="shared" si="2"/>
        <v>Residential, Commercial Projects</v>
      </c>
    </row>
    <row r="1876" hidden="1">
      <c r="A1876" s="3" t="s">
        <v>7914</v>
      </c>
      <c r="B1876" s="4">
        <v>530825.0</v>
      </c>
      <c r="C1876" s="3" t="s">
        <v>7915</v>
      </c>
      <c r="D1876" s="3" t="s">
        <v>7916</v>
      </c>
      <c r="E1876" s="3" t="s">
        <v>7917</v>
      </c>
      <c r="F1876" s="3" t="s">
        <v>19</v>
      </c>
      <c r="G1876" s="3" t="s">
        <v>72</v>
      </c>
      <c r="H1876" s="3">
        <v>10.0</v>
      </c>
      <c r="I1876" s="3" t="s">
        <v>7914</v>
      </c>
      <c r="J1876" s="3" t="s">
        <v>22</v>
      </c>
      <c r="K1876" s="3" t="s">
        <v>23</v>
      </c>
      <c r="L1876" s="3" t="s">
        <v>24</v>
      </c>
      <c r="M1876" s="3" t="s">
        <v>25</v>
      </c>
      <c r="N1876" s="3" t="s">
        <v>26</v>
      </c>
      <c r="O1876" s="5">
        <v>80.6452569</v>
      </c>
      <c r="P1876" s="6" t="str">
        <f t="shared" si="2"/>
        <v>Specialty Chemicals</v>
      </c>
    </row>
    <row r="1877" hidden="1">
      <c r="A1877" s="3" t="s">
        <v>7918</v>
      </c>
      <c r="B1877" s="4">
        <v>530829.0</v>
      </c>
      <c r="C1877" s="3" t="s">
        <v>7919</v>
      </c>
      <c r="D1877" s="3" t="s">
        <v>7920</v>
      </c>
      <c r="E1877" s="3" t="s">
        <v>7921</v>
      </c>
      <c r="F1877" s="3" t="s">
        <v>19</v>
      </c>
      <c r="G1877" s="3" t="s">
        <v>44</v>
      </c>
      <c r="H1877" s="3">
        <v>10.0</v>
      </c>
      <c r="I1877" s="3" t="s">
        <v>7918</v>
      </c>
      <c r="J1877" s="3" t="s">
        <v>22</v>
      </c>
      <c r="K1877" s="3" t="s">
        <v>204</v>
      </c>
      <c r="L1877" s="3" t="s">
        <v>204</v>
      </c>
      <c r="M1877" s="3" t="s">
        <v>378</v>
      </c>
      <c r="N1877" s="3" t="s">
        <v>379</v>
      </c>
      <c r="O1877" s="5">
        <v>1.0</v>
      </c>
      <c r="P1877" s="6" t="str">
        <f t="shared" si="2"/>
        <v>Non Banking Financial Company (NBFC)</v>
      </c>
    </row>
    <row r="1878" hidden="1">
      <c r="A1878" s="3" t="s">
        <v>7922</v>
      </c>
      <c r="B1878" s="4">
        <v>530839.0</v>
      </c>
      <c r="C1878" s="3" t="s">
        <v>7923</v>
      </c>
      <c r="D1878" s="3" t="s">
        <v>7924</v>
      </c>
      <c r="E1878" s="3" t="s">
        <v>7925</v>
      </c>
      <c r="F1878" s="3" t="s">
        <v>19</v>
      </c>
      <c r="G1878" s="3" t="s">
        <v>44</v>
      </c>
      <c r="H1878" s="3">
        <v>10.0</v>
      </c>
      <c r="I1878" s="3" t="s">
        <v>7922</v>
      </c>
      <c r="J1878" s="3" t="s">
        <v>22</v>
      </c>
      <c r="K1878" s="3" t="s">
        <v>473</v>
      </c>
      <c r="L1878" s="3" t="s">
        <v>473</v>
      </c>
      <c r="M1878" s="3" t="s">
        <v>1391</v>
      </c>
      <c r="N1878" s="3" t="s">
        <v>1392</v>
      </c>
      <c r="O1878" s="5">
        <v>7.700114</v>
      </c>
      <c r="P1878" s="6" t="str">
        <f t="shared" si="2"/>
        <v>IT - Software</v>
      </c>
    </row>
    <row r="1879" hidden="1">
      <c r="A1879" s="3" t="s">
        <v>7926</v>
      </c>
      <c r="B1879" s="4">
        <v>530843.0</v>
      </c>
      <c r="C1879" s="3" t="s">
        <v>7927</v>
      </c>
      <c r="D1879" s="3" t="s">
        <v>7928</v>
      </c>
      <c r="E1879" s="3" t="s">
        <v>7929</v>
      </c>
      <c r="F1879" s="3" t="s">
        <v>19</v>
      </c>
      <c r="G1879" s="3" t="s">
        <v>86</v>
      </c>
      <c r="H1879" s="3">
        <v>1.0</v>
      </c>
      <c r="I1879" s="3" t="s">
        <v>7926</v>
      </c>
      <c r="J1879" s="3" t="s">
        <v>22</v>
      </c>
      <c r="K1879" s="3" t="s">
        <v>145</v>
      </c>
      <c r="L1879" s="3" t="s">
        <v>145</v>
      </c>
      <c r="M1879" s="3" t="s">
        <v>2790</v>
      </c>
      <c r="N1879" s="3" t="s">
        <v>2791</v>
      </c>
      <c r="O1879" s="5">
        <v>2430.0175633</v>
      </c>
      <c r="P1879" s="6" t="str">
        <f t="shared" si="2"/>
        <v>Personal Products</v>
      </c>
    </row>
    <row r="1880" hidden="1">
      <c r="A1880" s="3" t="s">
        <v>7930</v>
      </c>
      <c r="B1880" s="4">
        <v>530845.0</v>
      </c>
      <c r="C1880" s="3" t="s">
        <v>7931</v>
      </c>
      <c r="D1880" s="3" t="s">
        <v>7932</v>
      </c>
      <c r="E1880" s="3" t="s">
        <v>7933</v>
      </c>
      <c r="F1880" s="3" t="s">
        <v>19</v>
      </c>
      <c r="G1880" s="3" t="s">
        <v>44</v>
      </c>
      <c r="H1880" s="3">
        <v>10.0</v>
      </c>
      <c r="I1880" s="3" t="s">
        <v>7930</v>
      </c>
      <c r="J1880" s="3" t="s">
        <v>22</v>
      </c>
      <c r="K1880" s="3" t="s">
        <v>23</v>
      </c>
      <c r="L1880" s="3" t="s">
        <v>24</v>
      </c>
      <c r="M1880" s="3" t="s">
        <v>25</v>
      </c>
      <c r="N1880" s="3" t="s">
        <v>26</v>
      </c>
      <c r="O1880" s="5">
        <v>749.8958665</v>
      </c>
      <c r="P1880" s="6" t="str">
        <f t="shared" si="2"/>
        <v>Specialty Chemicals</v>
      </c>
    </row>
    <row r="1881" hidden="1">
      <c r="A1881" s="3" t="s">
        <v>7934</v>
      </c>
      <c r="B1881" s="4">
        <v>530853.0</v>
      </c>
      <c r="C1881" s="3" t="s">
        <v>7935</v>
      </c>
      <c r="D1881" s="3" t="s">
        <v>7936</v>
      </c>
      <c r="E1881" s="3" t="s">
        <v>7937</v>
      </c>
      <c r="F1881" s="3" t="s">
        <v>19</v>
      </c>
      <c r="G1881" s="3" t="s">
        <v>44</v>
      </c>
      <c r="H1881" s="3">
        <v>10.0</v>
      </c>
      <c r="I1881" s="3" t="s">
        <v>7934</v>
      </c>
      <c r="J1881" s="3" t="s">
        <v>22</v>
      </c>
      <c r="K1881" s="3" t="s">
        <v>145</v>
      </c>
      <c r="L1881" s="3" t="s">
        <v>145</v>
      </c>
      <c r="M1881" s="3" t="s">
        <v>1757</v>
      </c>
      <c r="N1881" s="3" t="s">
        <v>1757</v>
      </c>
      <c r="O1881" s="5">
        <v>36.5586183</v>
      </c>
      <c r="P1881" s="6" t="str">
        <f t="shared" si="2"/>
        <v>Household Products</v>
      </c>
    </row>
    <row r="1882" hidden="1">
      <c r="A1882" s="3" t="s">
        <v>7938</v>
      </c>
      <c r="B1882" s="4">
        <v>530855.0</v>
      </c>
      <c r="C1882" s="3" t="s">
        <v>7939</v>
      </c>
      <c r="D1882" s="3" t="s">
        <v>7940</v>
      </c>
      <c r="E1882" s="3" t="s">
        <v>7941</v>
      </c>
      <c r="F1882" s="3" t="s">
        <v>19</v>
      </c>
      <c r="G1882" s="3" t="s">
        <v>72</v>
      </c>
      <c r="H1882" s="3">
        <v>10.0</v>
      </c>
      <c r="I1882" s="3" t="s">
        <v>7938</v>
      </c>
      <c r="J1882" s="3" t="s">
        <v>22</v>
      </c>
      <c r="K1882" s="3" t="s">
        <v>204</v>
      </c>
      <c r="L1882" s="3" t="s">
        <v>204</v>
      </c>
      <c r="M1882" s="3" t="s">
        <v>378</v>
      </c>
      <c r="N1882" s="3" t="s">
        <v>379</v>
      </c>
      <c r="O1882" s="5">
        <v>1.0</v>
      </c>
      <c r="P1882" s="6" t="str">
        <f t="shared" si="2"/>
        <v>Non Banking Financial Company (NBFC)</v>
      </c>
    </row>
    <row r="1883" hidden="1">
      <c r="A1883" s="3" t="s">
        <v>7942</v>
      </c>
      <c r="B1883" s="4">
        <v>530871.0</v>
      </c>
      <c r="C1883" s="3" t="s">
        <v>7943</v>
      </c>
      <c r="D1883" s="3" t="s">
        <v>7944</v>
      </c>
      <c r="E1883" s="3" t="s">
        <v>7945</v>
      </c>
      <c r="F1883" s="3" t="s">
        <v>19</v>
      </c>
      <c r="G1883" s="3" t="s">
        <v>112</v>
      </c>
      <c r="H1883" s="3">
        <v>5.0</v>
      </c>
      <c r="I1883" s="3" t="s">
        <v>7942</v>
      </c>
      <c r="J1883" s="3" t="s">
        <v>22</v>
      </c>
      <c r="K1883" s="3" t="s">
        <v>23</v>
      </c>
      <c r="L1883" s="3" t="s">
        <v>24</v>
      </c>
      <c r="M1883" s="3" t="s">
        <v>25</v>
      </c>
      <c r="N1883" s="3" t="s">
        <v>26</v>
      </c>
      <c r="O1883" s="5">
        <v>839.8434193</v>
      </c>
      <c r="P1883" s="6" t="str">
        <f t="shared" si="2"/>
        <v>Specialty Chemicals</v>
      </c>
    </row>
    <row r="1884" hidden="1">
      <c r="A1884" s="3" t="s">
        <v>7946</v>
      </c>
      <c r="B1884" s="4">
        <v>530879.0</v>
      </c>
      <c r="C1884" s="3" t="s">
        <v>7947</v>
      </c>
      <c r="D1884" s="3" t="s">
        <v>7948</v>
      </c>
      <c r="E1884" s="3" t="s">
        <v>7949</v>
      </c>
      <c r="F1884" s="3" t="s">
        <v>19</v>
      </c>
      <c r="G1884" s="3" t="s">
        <v>112</v>
      </c>
      <c r="H1884" s="3">
        <v>10.0</v>
      </c>
      <c r="I1884" s="3" t="s">
        <v>7946</v>
      </c>
      <c r="J1884" s="3" t="s">
        <v>22</v>
      </c>
      <c r="K1884" s="3" t="s">
        <v>204</v>
      </c>
      <c r="L1884" s="3" t="s">
        <v>204</v>
      </c>
      <c r="M1884" s="3" t="s">
        <v>378</v>
      </c>
      <c r="N1884" s="3" t="s">
        <v>379</v>
      </c>
      <c r="O1884" s="5">
        <v>812.28945</v>
      </c>
      <c r="P1884" s="6" t="str">
        <f t="shared" si="2"/>
        <v>Non Banking Financial Company (NBFC)</v>
      </c>
    </row>
    <row r="1885" hidden="1">
      <c r="A1885" s="3" t="s">
        <v>7950</v>
      </c>
      <c r="B1885" s="4">
        <v>530881.0</v>
      </c>
      <c r="C1885" s="3" t="s">
        <v>7951</v>
      </c>
      <c r="D1885" s="3" t="s">
        <v>7952</v>
      </c>
      <c r="E1885" s="3" t="s">
        <v>7953</v>
      </c>
      <c r="F1885" s="3" t="s">
        <v>19</v>
      </c>
      <c r="G1885" s="3" t="s">
        <v>72</v>
      </c>
      <c r="H1885" s="3">
        <v>10.0</v>
      </c>
      <c r="I1885" s="3" t="s">
        <v>7950</v>
      </c>
      <c r="J1885" s="3" t="s">
        <v>22</v>
      </c>
      <c r="K1885" s="3" t="s">
        <v>204</v>
      </c>
      <c r="L1885" s="3" t="s">
        <v>204</v>
      </c>
      <c r="M1885" s="3" t="s">
        <v>378</v>
      </c>
      <c r="N1885" s="3" t="s">
        <v>468</v>
      </c>
      <c r="O1885" s="5">
        <v>154.958434</v>
      </c>
      <c r="P1885" s="6" t="str">
        <f t="shared" si="2"/>
        <v>Finance</v>
      </c>
    </row>
    <row r="1886" hidden="1">
      <c r="A1886" s="3" t="s">
        <v>7954</v>
      </c>
      <c r="B1886" s="4">
        <v>530883.0</v>
      </c>
      <c r="C1886" s="3" t="s">
        <v>7955</v>
      </c>
      <c r="D1886" s="3" t="s">
        <v>7956</v>
      </c>
      <c r="E1886" s="3" t="s">
        <v>7957</v>
      </c>
      <c r="F1886" s="3" t="s">
        <v>19</v>
      </c>
      <c r="G1886" s="3" t="s">
        <v>44</v>
      </c>
      <c r="H1886" s="3">
        <v>2.0</v>
      </c>
      <c r="I1886" s="3" t="s">
        <v>7954</v>
      </c>
      <c r="J1886" s="3" t="s">
        <v>22</v>
      </c>
      <c r="K1886" s="3" t="s">
        <v>23</v>
      </c>
      <c r="L1886" s="3" t="s">
        <v>24</v>
      </c>
      <c r="M1886" s="3" t="s">
        <v>91</v>
      </c>
      <c r="N1886" s="3" t="s">
        <v>252</v>
      </c>
      <c r="O1886" s="5">
        <v>49.020678</v>
      </c>
      <c r="P1886" s="6" t="str">
        <f t="shared" si="2"/>
        <v>Fertilizers &amp; Agrochemicals</v>
      </c>
    </row>
    <row r="1887" hidden="1">
      <c r="A1887" s="3" t="s">
        <v>7958</v>
      </c>
      <c r="B1887" s="4">
        <v>530897.0</v>
      </c>
      <c r="C1887" s="3" t="s">
        <v>7959</v>
      </c>
      <c r="D1887" s="3" t="s">
        <v>7960</v>
      </c>
      <c r="E1887" s="3" t="s">
        <v>7961</v>
      </c>
      <c r="F1887" s="3" t="s">
        <v>19</v>
      </c>
      <c r="G1887" s="3" t="s">
        <v>44</v>
      </c>
      <c r="H1887" s="3">
        <v>10.0</v>
      </c>
      <c r="I1887" s="3" t="s">
        <v>7958</v>
      </c>
      <c r="J1887" s="3" t="s">
        <v>22</v>
      </c>
      <c r="K1887" s="3" t="s">
        <v>45</v>
      </c>
      <c r="L1887" s="3" t="s">
        <v>45</v>
      </c>
      <c r="M1887" s="3" t="s">
        <v>4488</v>
      </c>
      <c r="N1887" s="3" t="s">
        <v>4489</v>
      </c>
      <c r="O1887" s="5">
        <v>57.0826932</v>
      </c>
      <c r="P1887" s="6" t="str">
        <f t="shared" si="2"/>
        <v>Healthcare Services</v>
      </c>
    </row>
    <row r="1888" hidden="1">
      <c r="A1888" s="3" t="s">
        <v>7962</v>
      </c>
      <c r="B1888" s="4">
        <v>530899.0</v>
      </c>
      <c r="C1888" s="3" t="s">
        <v>7963</v>
      </c>
      <c r="D1888" s="3" t="s">
        <v>7964</v>
      </c>
      <c r="E1888" s="3" t="s">
        <v>7965</v>
      </c>
      <c r="F1888" s="3" t="s">
        <v>19</v>
      </c>
      <c r="G1888" s="3" t="s">
        <v>44</v>
      </c>
      <c r="H1888" s="3">
        <v>10.0</v>
      </c>
      <c r="I1888" s="3" t="s">
        <v>7962</v>
      </c>
      <c r="J1888" s="3" t="s">
        <v>22</v>
      </c>
      <c r="K1888" s="3" t="s">
        <v>58</v>
      </c>
      <c r="L1888" s="3" t="s">
        <v>80</v>
      </c>
      <c r="M1888" s="3" t="s">
        <v>81</v>
      </c>
      <c r="N1888" s="3" t="s">
        <v>82</v>
      </c>
      <c r="O1888" s="5">
        <v>1.0</v>
      </c>
      <c r="P1888" s="6" t="str">
        <f t="shared" si="2"/>
        <v>Textiles &amp; Apparels</v>
      </c>
    </row>
    <row r="1889" hidden="1">
      <c r="A1889" s="3" t="s">
        <v>7966</v>
      </c>
      <c r="B1889" s="4">
        <v>512485.0</v>
      </c>
      <c r="C1889" s="3" t="s">
        <v>7967</v>
      </c>
      <c r="D1889" s="3" t="s">
        <v>7968</v>
      </c>
      <c r="E1889" s="3" t="s">
        <v>7969</v>
      </c>
      <c r="F1889" s="3" t="s">
        <v>19</v>
      </c>
      <c r="G1889" s="3" t="s">
        <v>44</v>
      </c>
      <c r="H1889" s="3">
        <v>10.0</v>
      </c>
      <c r="I1889" s="3" t="s">
        <v>3914</v>
      </c>
      <c r="J1889" s="3" t="s">
        <v>22</v>
      </c>
      <c r="K1889" s="3" t="s">
        <v>1673</v>
      </c>
      <c r="L1889" s="3" t="s">
        <v>1673</v>
      </c>
      <c r="M1889" s="3" t="s">
        <v>1674</v>
      </c>
      <c r="N1889" s="3" t="s">
        <v>1915</v>
      </c>
      <c r="O1889" s="5">
        <v>34.5273412</v>
      </c>
      <c r="P1889" s="6" t="str">
        <f t="shared" si="2"/>
        <v>Commercial Services &amp; Supplies</v>
      </c>
    </row>
    <row r="1890" hidden="1">
      <c r="A1890" s="3" t="s">
        <v>6795</v>
      </c>
      <c r="B1890" s="4">
        <v>530213.0</v>
      </c>
      <c r="C1890" s="3" t="s">
        <v>7970</v>
      </c>
      <c r="D1890" s="3" t="s">
        <v>7971</v>
      </c>
      <c r="E1890" s="3" t="s">
        <v>7972</v>
      </c>
      <c r="F1890" s="3" t="s">
        <v>19</v>
      </c>
      <c r="G1890" s="3" t="s">
        <v>44</v>
      </c>
      <c r="H1890" s="3">
        <v>10.0</v>
      </c>
      <c r="I1890" s="3" t="s">
        <v>7449</v>
      </c>
      <c r="J1890" s="3" t="s">
        <v>22</v>
      </c>
      <c r="K1890" s="3" t="s">
        <v>1673</v>
      </c>
      <c r="L1890" s="3" t="s">
        <v>1673</v>
      </c>
      <c r="M1890" s="3" t="s">
        <v>1674</v>
      </c>
      <c r="N1890" s="3" t="s">
        <v>1915</v>
      </c>
      <c r="O1890" s="5">
        <v>33.927168</v>
      </c>
      <c r="P1890" s="6" t="str">
        <f t="shared" si="2"/>
        <v>Commercial Services &amp; Supplies</v>
      </c>
    </row>
    <row r="1891" hidden="1">
      <c r="A1891" s="3" t="s">
        <v>7973</v>
      </c>
      <c r="B1891" s="4">
        <v>526622.0</v>
      </c>
      <c r="C1891" s="3" t="s">
        <v>7974</v>
      </c>
      <c r="D1891" s="3" t="s">
        <v>7975</v>
      </c>
      <c r="E1891" s="3" t="s">
        <v>7976</v>
      </c>
      <c r="F1891" s="3" t="s">
        <v>19</v>
      </c>
      <c r="G1891" s="3" t="s">
        <v>44</v>
      </c>
      <c r="H1891" s="3">
        <v>1.0</v>
      </c>
      <c r="I1891" s="3" t="s">
        <v>6939</v>
      </c>
      <c r="J1891" s="3" t="s">
        <v>22</v>
      </c>
      <c r="K1891" s="3" t="s">
        <v>1673</v>
      </c>
      <c r="L1891" s="3" t="s">
        <v>1673</v>
      </c>
      <c r="M1891" s="3" t="s">
        <v>1689</v>
      </c>
      <c r="N1891" s="3" t="s">
        <v>1690</v>
      </c>
      <c r="O1891" s="5">
        <v>32.623995</v>
      </c>
      <c r="P1891" s="6" t="str">
        <f t="shared" si="2"/>
        <v>Transport Services</v>
      </c>
    </row>
    <row r="1892" hidden="1">
      <c r="A1892" s="3" t="s">
        <v>7977</v>
      </c>
      <c r="B1892" s="4">
        <v>530919.0</v>
      </c>
      <c r="C1892" s="3" t="s">
        <v>7978</v>
      </c>
      <c r="D1892" s="3" t="s">
        <v>7979</v>
      </c>
      <c r="E1892" s="3" t="s">
        <v>7980</v>
      </c>
      <c r="F1892" s="3" t="s">
        <v>19</v>
      </c>
      <c r="G1892" s="3" t="s">
        <v>112</v>
      </c>
      <c r="H1892" s="3">
        <v>10.0</v>
      </c>
      <c r="I1892" s="3" t="s">
        <v>7977</v>
      </c>
      <c r="J1892" s="3" t="s">
        <v>22</v>
      </c>
      <c r="K1892" s="3" t="s">
        <v>58</v>
      </c>
      <c r="L1892" s="3" t="s">
        <v>133</v>
      </c>
      <c r="M1892" s="3" t="s">
        <v>134</v>
      </c>
      <c r="N1892" s="3" t="s">
        <v>135</v>
      </c>
      <c r="O1892" s="5">
        <v>709.7552928</v>
      </c>
      <c r="P1892" s="6" t="str">
        <f t="shared" si="2"/>
        <v>Auto Components &amp; Equipments</v>
      </c>
    </row>
    <row r="1893" hidden="1">
      <c r="A1893" s="3" t="s">
        <v>7981</v>
      </c>
      <c r="B1893" s="4">
        <v>530925.0</v>
      </c>
      <c r="C1893" s="3" t="s">
        <v>7982</v>
      </c>
      <c r="D1893" s="3" t="s">
        <v>7983</v>
      </c>
      <c r="E1893" s="3" t="s">
        <v>7984</v>
      </c>
      <c r="F1893" s="3" t="s">
        <v>19</v>
      </c>
      <c r="G1893" s="3" t="s">
        <v>44</v>
      </c>
      <c r="H1893" s="3">
        <v>10.0</v>
      </c>
      <c r="I1893" s="3" t="s">
        <v>7981</v>
      </c>
      <c r="J1893" s="3" t="s">
        <v>22</v>
      </c>
      <c r="K1893" s="3" t="s">
        <v>204</v>
      </c>
      <c r="L1893" s="3" t="s">
        <v>204</v>
      </c>
      <c r="M1893" s="3" t="s">
        <v>378</v>
      </c>
      <c r="N1893" s="3" t="s">
        <v>379</v>
      </c>
      <c r="O1893" s="5">
        <v>1.0</v>
      </c>
      <c r="P1893" s="6" t="str">
        <f t="shared" si="2"/>
        <v>Non Banking Financial Company (NBFC)</v>
      </c>
    </row>
    <row r="1894" hidden="1">
      <c r="A1894" s="3" t="s">
        <v>7985</v>
      </c>
      <c r="B1894" s="4">
        <v>530927.0</v>
      </c>
      <c r="C1894" s="3" t="s">
        <v>7986</v>
      </c>
      <c r="D1894" s="3" t="s">
        <v>7987</v>
      </c>
      <c r="E1894" s="3" t="s">
        <v>7988</v>
      </c>
      <c r="F1894" s="3" t="s">
        <v>19</v>
      </c>
      <c r="G1894" s="3" t="s">
        <v>2267</v>
      </c>
      <c r="H1894" s="3">
        <v>10.0</v>
      </c>
      <c r="I1894" s="3" t="s">
        <v>7985</v>
      </c>
      <c r="J1894" s="3" t="s">
        <v>22</v>
      </c>
      <c r="K1894" s="3" t="s">
        <v>204</v>
      </c>
      <c r="L1894" s="3" t="s">
        <v>204</v>
      </c>
      <c r="M1894" s="3" t="s">
        <v>378</v>
      </c>
      <c r="N1894" s="3" t="s">
        <v>6960</v>
      </c>
      <c r="O1894" s="5">
        <v>1.0</v>
      </c>
      <c r="P1894" s="6" t="str">
        <f t="shared" si="2"/>
        <v>Finance</v>
      </c>
    </row>
    <row r="1895" hidden="1">
      <c r="A1895" s="3" t="s">
        <v>7989</v>
      </c>
      <c r="B1895" s="4">
        <v>540361.0</v>
      </c>
      <c r="C1895" s="3" t="s">
        <v>7990</v>
      </c>
      <c r="D1895" s="3" t="s">
        <v>7991</v>
      </c>
      <c r="E1895" s="3" t="s">
        <v>7992</v>
      </c>
      <c r="F1895" s="3" t="s">
        <v>19</v>
      </c>
      <c r="G1895" s="3" t="s">
        <v>44</v>
      </c>
      <c r="H1895" s="3">
        <v>2.0</v>
      </c>
      <c r="I1895" s="3" t="s">
        <v>7993</v>
      </c>
      <c r="J1895" s="3" t="s">
        <v>22</v>
      </c>
      <c r="K1895" s="3" t="s">
        <v>1673</v>
      </c>
      <c r="L1895" s="3" t="s">
        <v>1673</v>
      </c>
      <c r="M1895" s="3" t="s">
        <v>1674</v>
      </c>
      <c r="N1895" s="3" t="s">
        <v>1915</v>
      </c>
      <c r="O1895" s="5">
        <v>32.4626077</v>
      </c>
      <c r="P1895" s="6" t="str">
        <f t="shared" si="2"/>
        <v>Commercial Services &amp; Supplies</v>
      </c>
    </row>
    <row r="1896" hidden="1">
      <c r="A1896" s="3" t="s">
        <v>7994</v>
      </c>
      <c r="B1896" s="4">
        <v>530931.0</v>
      </c>
      <c r="C1896" s="3" t="s">
        <v>7995</v>
      </c>
      <c r="D1896" s="3" t="s">
        <v>7996</v>
      </c>
      <c r="E1896" s="3" t="s">
        <v>7997</v>
      </c>
      <c r="F1896" s="3" t="s">
        <v>19</v>
      </c>
      <c r="G1896" s="3" t="s">
        <v>72</v>
      </c>
      <c r="H1896" s="3">
        <v>10.0</v>
      </c>
      <c r="I1896" s="3" t="s">
        <v>7994</v>
      </c>
      <c r="J1896" s="3" t="s">
        <v>22</v>
      </c>
      <c r="K1896" s="3" t="s">
        <v>97</v>
      </c>
      <c r="L1896" s="3" t="s">
        <v>98</v>
      </c>
      <c r="M1896" s="3" t="s">
        <v>100</v>
      </c>
      <c r="N1896" s="3" t="s">
        <v>373</v>
      </c>
      <c r="O1896" s="5">
        <v>1.0</v>
      </c>
      <c r="P1896" s="6" t="str">
        <f t="shared" si="2"/>
        <v>Industrial Products</v>
      </c>
    </row>
    <row r="1897" hidden="1">
      <c r="A1897" s="3" t="s">
        <v>7998</v>
      </c>
      <c r="B1897" s="4">
        <v>530943.0</v>
      </c>
      <c r="C1897" s="3" t="s">
        <v>7999</v>
      </c>
      <c r="D1897" s="3" t="s">
        <v>8000</v>
      </c>
      <c r="E1897" s="3" t="s">
        <v>8001</v>
      </c>
      <c r="F1897" s="3" t="s">
        <v>19</v>
      </c>
      <c r="G1897" s="3" t="s">
        <v>86</v>
      </c>
      <c r="H1897" s="3">
        <v>10.0</v>
      </c>
      <c r="I1897" s="3" t="s">
        <v>7998</v>
      </c>
      <c r="J1897" s="3" t="s">
        <v>22</v>
      </c>
      <c r="K1897" s="3" t="s">
        <v>58</v>
      </c>
      <c r="L1897" s="3" t="s">
        <v>182</v>
      </c>
      <c r="M1897" s="3" t="s">
        <v>1168</v>
      </c>
      <c r="N1897" s="3" t="s">
        <v>1169</v>
      </c>
      <c r="O1897" s="5">
        <v>639.9456472</v>
      </c>
      <c r="P1897" s="6" t="str">
        <f t="shared" si="2"/>
        <v>Entertainment</v>
      </c>
    </row>
    <row r="1898" hidden="1">
      <c r="A1898" s="3" t="s">
        <v>8002</v>
      </c>
      <c r="B1898" s="4">
        <v>530951.0</v>
      </c>
      <c r="C1898" s="3" t="s">
        <v>8003</v>
      </c>
      <c r="D1898" s="3" t="s">
        <v>8004</v>
      </c>
      <c r="E1898" s="3" t="s">
        <v>8003</v>
      </c>
      <c r="F1898" s="3" t="s">
        <v>19</v>
      </c>
      <c r="G1898" s="3" t="s">
        <v>44</v>
      </c>
      <c r="H1898" s="3">
        <v>10.0</v>
      </c>
      <c r="I1898" s="3" t="s">
        <v>8002</v>
      </c>
      <c r="J1898" s="3" t="s">
        <v>22</v>
      </c>
      <c r="K1898" s="3" t="s">
        <v>473</v>
      </c>
      <c r="L1898" s="3" t="s">
        <v>473</v>
      </c>
      <c r="M1898" s="3" t="s">
        <v>1538</v>
      </c>
      <c r="N1898" s="3" t="s">
        <v>1539</v>
      </c>
      <c r="O1898" s="5">
        <v>96.7709957</v>
      </c>
      <c r="P1898" s="6" t="str">
        <f t="shared" si="2"/>
        <v>IT - Services</v>
      </c>
    </row>
    <row r="1899" hidden="1">
      <c r="A1899" s="3" t="s">
        <v>8005</v>
      </c>
      <c r="B1899" s="4">
        <v>530953.0</v>
      </c>
      <c r="C1899" s="3" t="s">
        <v>8006</v>
      </c>
      <c r="D1899" s="3" t="s">
        <v>8007</v>
      </c>
      <c r="E1899" s="3" t="s">
        <v>8008</v>
      </c>
      <c r="F1899" s="3" t="s">
        <v>19</v>
      </c>
      <c r="G1899" s="3" t="s">
        <v>44</v>
      </c>
      <c r="H1899" s="3">
        <v>10.0</v>
      </c>
      <c r="I1899" s="3" t="s">
        <v>8005</v>
      </c>
      <c r="J1899" s="3" t="s">
        <v>22</v>
      </c>
      <c r="K1899" s="3" t="s">
        <v>145</v>
      </c>
      <c r="L1899" s="3" t="s">
        <v>145</v>
      </c>
      <c r="M1899" s="3" t="s">
        <v>146</v>
      </c>
      <c r="N1899" s="3" t="s">
        <v>2645</v>
      </c>
      <c r="O1899" s="5">
        <v>49.1803286</v>
      </c>
      <c r="P1899" s="6" t="str">
        <f t="shared" si="2"/>
        <v>Agricultural Food &amp; other Products</v>
      </c>
    </row>
    <row r="1900" hidden="1">
      <c r="A1900" s="3" t="s">
        <v>8009</v>
      </c>
      <c r="B1900" s="4">
        <v>530959.0</v>
      </c>
      <c r="C1900" s="3" t="s">
        <v>8010</v>
      </c>
      <c r="D1900" s="3" t="s">
        <v>8011</v>
      </c>
      <c r="E1900" s="3" t="s">
        <v>8012</v>
      </c>
      <c r="F1900" s="3" t="s">
        <v>19</v>
      </c>
      <c r="G1900" s="3" t="s">
        <v>44</v>
      </c>
      <c r="H1900" s="3">
        <v>5.0</v>
      </c>
      <c r="I1900" s="3" t="s">
        <v>8009</v>
      </c>
      <c r="J1900" s="3" t="s">
        <v>22</v>
      </c>
      <c r="K1900" s="3" t="s">
        <v>145</v>
      </c>
      <c r="L1900" s="3" t="s">
        <v>145</v>
      </c>
      <c r="M1900" s="3" t="s">
        <v>146</v>
      </c>
      <c r="N1900" s="3" t="s">
        <v>444</v>
      </c>
      <c r="O1900" s="5">
        <v>42.4114087</v>
      </c>
      <c r="P1900" s="6" t="str">
        <f t="shared" si="2"/>
        <v>Agricultural Food &amp; other Products</v>
      </c>
    </row>
    <row r="1901" hidden="1">
      <c r="A1901" s="3" t="s">
        <v>8013</v>
      </c>
      <c r="B1901" s="4">
        <v>530961.0</v>
      </c>
      <c r="C1901" s="3" t="s">
        <v>8014</v>
      </c>
      <c r="D1901" s="3" t="s">
        <v>8015</v>
      </c>
      <c r="E1901" s="3" t="s">
        <v>8016</v>
      </c>
      <c r="F1901" s="3" t="s">
        <v>19</v>
      </c>
      <c r="G1901" s="3" t="s">
        <v>112</v>
      </c>
      <c r="H1901" s="3">
        <v>1.0</v>
      </c>
      <c r="I1901" s="3" t="s">
        <v>8013</v>
      </c>
      <c r="J1901" s="3" t="s">
        <v>22</v>
      </c>
      <c r="K1901" s="3" t="s">
        <v>23</v>
      </c>
      <c r="L1901" s="3" t="s">
        <v>24</v>
      </c>
      <c r="M1901" s="3" t="s">
        <v>25</v>
      </c>
      <c r="N1901" s="3" t="s">
        <v>26</v>
      </c>
      <c r="O1901" s="5">
        <v>680.9517166</v>
      </c>
      <c r="P1901" s="6" t="str">
        <f t="shared" si="2"/>
        <v>Specialty Chemicals</v>
      </c>
    </row>
    <row r="1902">
      <c r="A1902" s="3" t="s">
        <v>6160</v>
      </c>
      <c r="B1902" s="4">
        <v>509966.0</v>
      </c>
      <c r="C1902" s="3" t="s">
        <v>8017</v>
      </c>
      <c r="D1902" s="3" t="s">
        <v>8018</v>
      </c>
      <c r="E1902" s="3" t="s">
        <v>8019</v>
      </c>
      <c r="F1902" s="3" t="s">
        <v>19</v>
      </c>
      <c r="G1902" s="3" t="s">
        <v>20</v>
      </c>
      <c r="H1902" s="3">
        <v>10.0</v>
      </c>
      <c r="I1902" s="3" t="s">
        <v>3147</v>
      </c>
      <c r="J1902" s="3" t="s">
        <v>22</v>
      </c>
      <c r="K1902" s="3" t="s">
        <v>145</v>
      </c>
      <c r="L1902" s="3" t="s">
        <v>145</v>
      </c>
      <c r="M1902" s="3" t="s">
        <v>3120</v>
      </c>
      <c r="N1902" s="3" t="s">
        <v>3120</v>
      </c>
      <c r="O1902" s="5">
        <v>6104.9318668</v>
      </c>
      <c r="P1902" s="6" t="str">
        <f t="shared" si="2"/>
        <v>Cigarettes &amp; Tobacco Products</v>
      </c>
    </row>
    <row r="1903" hidden="1">
      <c r="A1903" s="3" t="s">
        <v>8020</v>
      </c>
      <c r="B1903" s="4">
        <v>530973.0</v>
      </c>
      <c r="C1903" s="3" t="s">
        <v>8021</v>
      </c>
      <c r="D1903" s="3" t="s">
        <v>8022</v>
      </c>
      <c r="E1903" s="3" t="s">
        <v>8023</v>
      </c>
      <c r="F1903" s="3" t="s">
        <v>19</v>
      </c>
      <c r="G1903" s="3" t="s">
        <v>44</v>
      </c>
      <c r="H1903" s="3">
        <v>10.0</v>
      </c>
      <c r="I1903" s="3" t="s">
        <v>8020</v>
      </c>
      <c r="J1903" s="3" t="s">
        <v>22</v>
      </c>
      <c r="K1903" s="3" t="s">
        <v>97</v>
      </c>
      <c r="L1903" s="3" t="s">
        <v>98</v>
      </c>
      <c r="M1903" s="3" t="s">
        <v>100</v>
      </c>
      <c r="N1903" s="3" t="s">
        <v>580</v>
      </c>
      <c r="O1903" s="5">
        <v>23.848352</v>
      </c>
      <c r="P1903" s="6" t="str">
        <f t="shared" si="2"/>
        <v>Industrial Products</v>
      </c>
    </row>
    <row r="1904" hidden="1">
      <c r="A1904" s="3" t="s">
        <v>8024</v>
      </c>
      <c r="B1904" s="4">
        <v>530977.0</v>
      </c>
      <c r="C1904" s="3" t="s">
        <v>8025</v>
      </c>
      <c r="D1904" s="3" t="s">
        <v>8026</v>
      </c>
      <c r="E1904" s="3" t="s">
        <v>8027</v>
      </c>
      <c r="F1904" s="3" t="s">
        <v>19</v>
      </c>
      <c r="G1904" s="3" t="s">
        <v>44</v>
      </c>
      <c r="H1904" s="3">
        <v>10.0</v>
      </c>
      <c r="I1904" s="3" t="s">
        <v>8024</v>
      </c>
      <c r="J1904" s="3" t="s">
        <v>22</v>
      </c>
      <c r="K1904" s="3" t="s">
        <v>23</v>
      </c>
      <c r="L1904" s="3" t="s">
        <v>162</v>
      </c>
      <c r="M1904" s="3" t="s">
        <v>163</v>
      </c>
      <c r="N1904" s="3" t="s">
        <v>163</v>
      </c>
      <c r="O1904" s="5">
        <v>1.0</v>
      </c>
      <c r="P1904" s="6" t="str">
        <f t="shared" si="2"/>
        <v>Cement &amp; Cement Products</v>
      </c>
    </row>
    <row r="1905" hidden="1">
      <c r="A1905" s="3" t="s">
        <v>8028</v>
      </c>
      <c r="B1905" s="4">
        <v>530979.0</v>
      </c>
      <c r="C1905" s="3" t="s">
        <v>8029</v>
      </c>
      <c r="D1905" s="3" t="s">
        <v>8030</v>
      </c>
      <c r="E1905" s="3" t="s">
        <v>8031</v>
      </c>
      <c r="F1905" s="3" t="s">
        <v>19</v>
      </c>
      <c r="G1905" s="3" t="s">
        <v>44</v>
      </c>
      <c r="H1905" s="3">
        <v>10.0</v>
      </c>
      <c r="I1905" s="3" t="s">
        <v>8028</v>
      </c>
      <c r="J1905" s="3" t="s">
        <v>22</v>
      </c>
      <c r="K1905" s="3" t="s">
        <v>204</v>
      </c>
      <c r="L1905" s="3" t="s">
        <v>204</v>
      </c>
      <c r="M1905" s="3" t="s">
        <v>378</v>
      </c>
      <c r="N1905" s="3" t="s">
        <v>3066</v>
      </c>
      <c r="O1905" s="5">
        <v>44.1872267</v>
      </c>
      <c r="P1905" s="6" t="str">
        <f t="shared" si="2"/>
        <v>Finance</v>
      </c>
    </row>
    <row r="1906" hidden="1">
      <c r="A1906" s="3" t="s">
        <v>8032</v>
      </c>
      <c r="B1906" s="4">
        <v>530991.0</v>
      </c>
      <c r="C1906" s="3" t="s">
        <v>8033</v>
      </c>
      <c r="D1906" s="3" t="s">
        <v>8034</v>
      </c>
      <c r="E1906" s="3" t="s">
        <v>8035</v>
      </c>
      <c r="F1906" s="3" t="s">
        <v>19</v>
      </c>
      <c r="G1906" s="3" t="s">
        <v>44</v>
      </c>
      <c r="H1906" s="3">
        <v>10.0</v>
      </c>
      <c r="I1906" s="3" t="s">
        <v>8032</v>
      </c>
      <c r="J1906" s="3" t="s">
        <v>22</v>
      </c>
      <c r="K1906" s="3" t="s">
        <v>45</v>
      </c>
      <c r="L1906" s="3" t="s">
        <v>45</v>
      </c>
      <c r="M1906" s="3" t="s">
        <v>46</v>
      </c>
      <c r="N1906" s="3" t="s">
        <v>47</v>
      </c>
      <c r="O1906" s="5">
        <v>46.6247736</v>
      </c>
      <c r="P1906" s="6" t="str">
        <f t="shared" si="2"/>
        <v>Pharmaceuticals</v>
      </c>
    </row>
    <row r="1907" hidden="1">
      <c r="A1907" s="3" t="s">
        <v>8036</v>
      </c>
      <c r="B1907" s="4">
        <v>530997.0</v>
      </c>
      <c r="C1907" s="3" t="s">
        <v>8037</v>
      </c>
      <c r="D1907" s="3" t="s">
        <v>8038</v>
      </c>
      <c r="E1907" s="3" t="s">
        <v>8039</v>
      </c>
      <c r="F1907" s="3" t="s">
        <v>19</v>
      </c>
      <c r="G1907" s="3" t="s">
        <v>44</v>
      </c>
      <c r="H1907" s="3">
        <v>10.0</v>
      </c>
      <c r="I1907" s="3" t="s">
        <v>8036</v>
      </c>
      <c r="J1907" s="3" t="s">
        <v>22</v>
      </c>
      <c r="K1907" s="3" t="s">
        <v>145</v>
      </c>
      <c r="L1907" s="3" t="s">
        <v>145</v>
      </c>
      <c r="M1907" s="3" t="s">
        <v>146</v>
      </c>
      <c r="N1907" s="3" t="s">
        <v>2645</v>
      </c>
      <c r="O1907" s="5">
        <v>59.0607965</v>
      </c>
      <c r="P1907" s="6" t="str">
        <f t="shared" si="2"/>
        <v>Agricultural Food &amp; other Products</v>
      </c>
    </row>
    <row r="1908">
      <c r="A1908" s="3" t="s">
        <v>592</v>
      </c>
      <c r="B1908" s="4">
        <v>512573.0</v>
      </c>
      <c r="C1908" s="3" t="s">
        <v>8040</v>
      </c>
      <c r="D1908" s="3" t="s">
        <v>8041</v>
      </c>
      <c r="E1908" s="3" t="s">
        <v>8042</v>
      </c>
      <c r="F1908" s="3" t="s">
        <v>19</v>
      </c>
      <c r="G1908" s="3" t="s">
        <v>20</v>
      </c>
      <c r="H1908" s="3">
        <v>1.0</v>
      </c>
      <c r="I1908" s="3" t="s">
        <v>3973</v>
      </c>
      <c r="J1908" s="3" t="s">
        <v>22</v>
      </c>
      <c r="K1908" s="3" t="s">
        <v>145</v>
      </c>
      <c r="L1908" s="3" t="s">
        <v>145</v>
      </c>
      <c r="M1908" s="3" t="s">
        <v>597</v>
      </c>
      <c r="N1908" s="3" t="s">
        <v>5098</v>
      </c>
      <c r="O1908" s="5">
        <v>8050.0216805</v>
      </c>
      <c r="P1908" s="6" t="str">
        <f t="shared" si="2"/>
        <v>Food Products</v>
      </c>
    </row>
    <row r="1909" hidden="1">
      <c r="A1909" s="3" t="s">
        <v>8043</v>
      </c>
      <c r="B1909" s="4">
        <v>531003.0</v>
      </c>
      <c r="C1909" s="3" t="s">
        <v>8044</v>
      </c>
      <c r="D1909" s="3" t="s">
        <v>8045</v>
      </c>
      <c r="E1909" s="3" t="s">
        <v>8046</v>
      </c>
      <c r="F1909" s="3" t="s">
        <v>19</v>
      </c>
      <c r="G1909" s="3" t="s">
        <v>72</v>
      </c>
      <c r="H1909" s="3">
        <v>10.0</v>
      </c>
      <c r="I1909" s="3" t="s">
        <v>8043</v>
      </c>
      <c r="J1909" s="3" t="s">
        <v>22</v>
      </c>
      <c r="K1909" s="3" t="s">
        <v>204</v>
      </c>
      <c r="L1909" s="3" t="s">
        <v>204</v>
      </c>
      <c r="M1909" s="3" t="s">
        <v>378</v>
      </c>
      <c r="N1909" s="3" t="s">
        <v>379</v>
      </c>
      <c r="O1909" s="5">
        <v>15.72236</v>
      </c>
      <c r="P1909" s="6" t="str">
        <f t="shared" si="2"/>
        <v>Non Banking Financial Company (NBFC)</v>
      </c>
    </row>
    <row r="1910" hidden="1">
      <c r="A1910" s="3" t="s">
        <v>8047</v>
      </c>
      <c r="B1910" s="4">
        <v>501261.0</v>
      </c>
      <c r="C1910" s="3" t="s">
        <v>8048</v>
      </c>
      <c r="D1910" s="3" t="s">
        <v>8049</v>
      </c>
      <c r="E1910" s="3" t="s">
        <v>8050</v>
      </c>
      <c r="F1910" s="3" t="s">
        <v>19</v>
      </c>
      <c r="G1910" s="3" t="s">
        <v>72</v>
      </c>
      <c r="H1910" s="3">
        <v>10.0</v>
      </c>
      <c r="I1910" s="3" t="s">
        <v>1331</v>
      </c>
      <c r="J1910" s="3" t="s">
        <v>22</v>
      </c>
      <c r="K1910" s="3" t="s">
        <v>1673</v>
      </c>
      <c r="L1910" s="3" t="s">
        <v>1673</v>
      </c>
      <c r="M1910" s="3" t="s">
        <v>1674</v>
      </c>
      <c r="N1910" s="3" t="s">
        <v>3189</v>
      </c>
      <c r="O1910" s="5">
        <v>32.32</v>
      </c>
      <c r="P1910" s="6" t="str">
        <f t="shared" si="2"/>
        <v>Commercial Services &amp; Supplies</v>
      </c>
    </row>
    <row r="1911" hidden="1">
      <c r="A1911" s="3" t="s">
        <v>8051</v>
      </c>
      <c r="B1911" s="4">
        <v>531025.0</v>
      </c>
      <c r="C1911" s="3" t="s">
        <v>8052</v>
      </c>
      <c r="D1911" s="3" t="s">
        <v>8053</v>
      </c>
      <c r="E1911" s="3" t="s">
        <v>8054</v>
      </c>
      <c r="F1911" s="3" t="s">
        <v>19</v>
      </c>
      <c r="G1911" s="3" t="s">
        <v>44</v>
      </c>
      <c r="H1911" s="3">
        <v>1.0</v>
      </c>
      <c r="I1911" s="3" t="s">
        <v>8051</v>
      </c>
      <c r="J1911" s="3" t="s">
        <v>22</v>
      </c>
      <c r="K1911" s="3" t="s">
        <v>204</v>
      </c>
      <c r="L1911" s="3" t="s">
        <v>204</v>
      </c>
      <c r="M1911" s="3" t="s">
        <v>378</v>
      </c>
      <c r="N1911" s="3" t="s">
        <v>468</v>
      </c>
      <c r="O1911" s="5">
        <v>54.8880662</v>
      </c>
      <c r="P1911" s="6" t="str">
        <f t="shared" si="2"/>
        <v>Finance</v>
      </c>
    </row>
    <row r="1912" hidden="1">
      <c r="A1912" s="3" t="s">
        <v>8055</v>
      </c>
      <c r="B1912" s="4">
        <v>531027.0</v>
      </c>
      <c r="C1912" s="3" t="s">
        <v>8056</v>
      </c>
      <c r="D1912" s="3" t="s">
        <v>8057</v>
      </c>
      <c r="E1912" s="3" t="s">
        <v>8058</v>
      </c>
      <c r="F1912" s="3" t="s">
        <v>19</v>
      </c>
      <c r="G1912" s="3" t="s">
        <v>72</v>
      </c>
      <c r="H1912" s="3">
        <v>10.0</v>
      </c>
      <c r="I1912" s="3" t="s">
        <v>8055</v>
      </c>
      <c r="J1912" s="3" t="s">
        <v>22</v>
      </c>
      <c r="K1912" s="3" t="s">
        <v>204</v>
      </c>
      <c r="L1912" s="3" t="s">
        <v>204</v>
      </c>
      <c r="M1912" s="3" t="s">
        <v>378</v>
      </c>
      <c r="N1912" s="3" t="s">
        <v>468</v>
      </c>
      <c r="O1912" s="5">
        <v>1.0</v>
      </c>
      <c r="P1912" s="6" t="str">
        <f t="shared" si="2"/>
        <v>Finance</v>
      </c>
    </row>
    <row r="1913" hidden="1">
      <c r="A1913" s="3" t="s">
        <v>8059</v>
      </c>
      <c r="B1913" s="4">
        <v>531035.0</v>
      </c>
      <c r="C1913" s="3" t="s">
        <v>8060</v>
      </c>
      <c r="D1913" s="3" t="s">
        <v>8061</v>
      </c>
      <c r="E1913" s="3" t="s">
        <v>8062</v>
      </c>
      <c r="F1913" s="3" t="s">
        <v>19</v>
      </c>
      <c r="G1913" s="3" t="s">
        <v>72</v>
      </c>
      <c r="H1913" s="3">
        <v>10.0</v>
      </c>
      <c r="I1913" s="3" t="s">
        <v>8059</v>
      </c>
      <c r="J1913" s="3" t="s">
        <v>22</v>
      </c>
      <c r="K1913" s="3" t="s">
        <v>58</v>
      </c>
      <c r="L1913" s="3" t="s">
        <v>133</v>
      </c>
      <c r="M1913" s="3" t="s">
        <v>906</v>
      </c>
      <c r="N1913" s="3" t="s">
        <v>961</v>
      </c>
      <c r="O1913" s="5">
        <v>1209.7772026</v>
      </c>
      <c r="P1913" s="6" t="str">
        <f t="shared" si="2"/>
        <v>Automobiles</v>
      </c>
    </row>
    <row r="1914" hidden="1">
      <c r="A1914" s="3" t="s">
        <v>8063</v>
      </c>
      <c r="B1914" s="4">
        <v>531041.0</v>
      </c>
      <c r="C1914" s="3" t="s">
        <v>8064</v>
      </c>
      <c r="D1914" s="3" t="s">
        <v>8065</v>
      </c>
      <c r="E1914" s="3" t="s">
        <v>8066</v>
      </c>
      <c r="F1914" s="3" t="s">
        <v>19</v>
      </c>
      <c r="G1914" s="3" t="s">
        <v>44</v>
      </c>
      <c r="H1914" s="3">
        <v>10.0</v>
      </c>
      <c r="I1914" s="3" t="s">
        <v>8063</v>
      </c>
      <c r="J1914" s="3" t="s">
        <v>22</v>
      </c>
      <c r="K1914" s="3" t="s">
        <v>58</v>
      </c>
      <c r="L1914" s="3" t="s">
        <v>133</v>
      </c>
      <c r="M1914" s="3" t="s">
        <v>906</v>
      </c>
      <c r="N1914" s="3" t="s">
        <v>8067</v>
      </c>
      <c r="O1914" s="5">
        <v>361.5044799</v>
      </c>
      <c r="P1914" s="6" t="str">
        <f t="shared" si="2"/>
        <v>Automobiles</v>
      </c>
    </row>
    <row r="1915" hidden="1">
      <c r="A1915" s="3" t="s">
        <v>8068</v>
      </c>
      <c r="B1915" s="4">
        <v>531043.0</v>
      </c>
      <c r="C1915" s="3" t="s">
        <v>8069</v>
      </c>
      <c r="D1915" s="3" t="s">
        <v>8070</v>
      </c>
      <c r="E1915" s="3" t="s">
        <v>8071</v>
      </c>
      <c r="F1915" s="3" t="s">
        <v>19</v>
      </c>
      <c r="G1915" s="3" t="s">
        <v>44</v>
      </c>
      <c r="H1915" s="3">
        <v>10.0</v>
      </c>
      <c r="I1915" s="3" t="s">
        <v>8068</v>
      </c>
      <c r="J1915" s="3" t="s">
        <v>22</v>
      </c>
      <c r="K1915" s="3" t="s">
        <v>45</v>
      </c>
      <c r="L1915" s="3" t="s">
        <v>45</v>
      </c>
      <c r="M1915" s="3" t="s">
        <v>4488</v>
      </c>
      <c r="N1915" s="3" t="s">
        <v>4489</v>
      </c>
      <c r="O1915" s="5">
        <v>1.0</v>
      </c>
      <c r="P1915" s="6" t="str">
        <f t="shared" si="2"/>
        <v>Healthcare Services</v>
      </c>
    </row>
    <row r="1916" hidden="1">
      <c r="A1916" s="3" t="s">
        <v>8072</v>
      </c>
      <c r="B1916" s="4">
        <v>531049.0</v>
      </c>
      <c r="C1916" s="3" t="s">
        <v>8073</v>
      </c>
      <c r="D1916" s="3" t="s">
        <v>8074</v>
      </c>
      <c r="E1916" s="3" t="s">
        <v>8075</v>
      </c>
      <c r="F1916" s="3" t="s">
        <v>19</v>
      </c>
      <c r="G1916" s="3" t="s">
        <v>57</v>
      </c>
      <c r="H1916" s="3">
        <v>10.0</v>
      </c>
      <c r="I1916" s="3" t="s">
        <v>8072</v>
      </c>
      <c r="J1916" s="3" t="s">
        <v>22</v>
      </c>
      <c r="K1916" s="3" t="s">
        <v>23</v>
      </c>
      <c r="L1916" s="3" t="s">
        <v>162</v>
      </c>
      <c r="M1916" s="3" t="s">
        <v>1491</v>
      </c>
      <c r="N1916" s="3" t="s">
        <v>1491</v>
      </c>
      <c r="O1916" s="5">
        <v>1.0</v>
      </c>
      <c r="P1916" s="6" t="str">
        <f t="shared" si="2"/>
        <v>Other Construction Materials</v>
      </c>
    </row>
    <row r="1917" hidden="1">
      <c r="A1917" s="3" t="s">
        <v>8076</v>
      </c>
      <c r="B1917" s="4">
        <v>531051.0</v>
      </c>
      <c r="C1917" s="3" t="s">
        <v>8077</v>
      </c>
      <c r="D1917" s="3" t="s">
        <v>8078</v>
      </c>
      <c r="E1917" s="3" t="s">
        <v>8079</v>
      </c>
      <c r="F1917" s="3" t="s">
        <v>19</v>
      </c>
      <c r="G1917" s="3" t="s">
        <v>72</v>
      </c>
      <c r="H1917" s="3">
        <v>10.0</v>
      </c>
      <c r="I1917" s="3" t="s">
        <v>8076</v>
      </c>
      <c r="J1917" s="3" t="s">
        <v>22</v>
      </c>
      <c r="K1917" s="3" t="s">
        <v>204</v>
      </c>
      <c r="L1917" s="3" t="s">
        <v>204</v>
      </c>
      <c r="M1917" s="3" t="s">
        <v>378</v>
      </c>
      <c r="N1917" s="3" t="s">
        <v>379</v>
      </c>
      <c r="O1917" s="5">
        <v>1.0</v>
      </c>
      <c r="P1917" s="6" t="str">
        <f t="shared" si="2"/>
        <v>Non Banking Financial Company (NBFC)</v>
      </c>
    </row>
    <row r="1918" hidden="1">
      <c r="A1918" s="3" t="s">
        <v>8080</v>
      </c>
      <c r="B1918" s="4">
        <v>531065.0</v>
      </c>
      <c r="C1918" s="3" t="s">
        <v>8081</v>
      </c>
      <c r="D1918" s="3" t="s">
        <v>8082</v>
      </c>
      <c r="E1918" s="3" t="s">
        <v>8083</v>
      </c>
      <c r="F1918" s="3" t="s">
        <v>19</v>
      </c>
      <c r="G1918" s="3" t="s">
        <v>72</v>
      </c>
      <c r="H1918" s="3">
        <v>5.0</v>
      </c>
      <c r="I1918" s="3" t="s">
        <v>8080</v>
      </c>
      <c r="J1918" s="3" t="s">
        <v>22</v>
      </c>
      <c r="K1918" s="3" t="s">
        <v>145</v>
      </c>
      <c r="L1918" s="3" t="s">
        <v>145</v>
      </c>
      <c r="M1918" s="3" t="s">
        <v>146</v>
      </c>
      <c r="N1918" s="3" t="s">
        <v>147</v>
      </c>
      <c r="O1918" s="5">
        <v>1.0</v>
      </c>
      <c r="P1918" s="6" t="str">
        <f t="shared" si="2"/>
        <v>Agricultural Food &amp; other Products</v>
      </c>
    </row>
    <row r="1919" hidden="1">
      <c r="A1919" s="3" t="s">
        <v>6981</v>
      </c>
      <c r="B1919" s="4">
        <v>521232.0</v>
      </c>
      <c r="C1919" s="3" t="s">
        <v>8084</v>
      </c>
      <c r="D1919" s="3" t="s">
        <v>8085</v>
      </c>
      <c r="E1919" s="3" t="s">
        <v>8086</v>
      </c>
      <c r="F1919" s="3" t="s">
        <v>19</v>
      </c>
      <c r="G1919" s="3" t="s">
        <v>1858</v>
      </c>
      <c r="H1919" s="3">
        <v>10.0</v>
      </c>
      <c r="I1919" s="3" t="s">
        <v>5425</v>
      </c>
      <c r="J1919" s="3" t="s">
        <v>22</v>
      </c>
      <c r="K1919" s="3" t="s">
        <v>1673</v>
      </c>
      <c r="L1919" s="3" t="s">
        <v>1673</v>
      </c>
      <c r="M1919" s="3" t="s">
        <v>1674</v>
      </c>
      <c r="N1919" s="3" t="s">
        <v>1915</v>
      </c>
      <c r="O1919" s="5">
        <v>31.4118003</v>
      </c>
      <c r="P1919" s="6" t="str">
        <f t="shared" si="2"/>
        <v>Commercial Services &amp; Supplies</v>
      </c>
    </row>
    <row r="1920" hidden="1">
      <c r="A1920" s="3" t="s">
        <v>8087</v>
      </c>
      <c r="B1920" s="4">
        <v>531069.0</v>
      </c>
      <c r="C1920" s="3" t="s">
        <v>8088</v>
      </c>
      <c r="D1920" s="3" t="s">
        <v>8089</v>
      </c>
      <c r="E1920" s="3" t="s">
        <v>8090</v>
      </c>
      <c r="F1920" s="3" t="s">
        <v>19</v>
      </c>
      <c r="G1920" s="3" t="s">
        <v>44</v>
      </c>
      <c r="H1920" s="3">
        <v>10.0</v>
      </c>
      <c r="I1920" s="3" t="s">
        <v>8087</v>
      </c>
      <c r="J1920" s="3" t="s">
        <v>22</v>
      </c>
      <c r="K1920" s="3" t="s">
        <v>145</v>
      </c>
      <c r="L1920" s="3" t="s">
        <v>145</v>
      </c>
      <c r="M1920" s="3" t="s">
        <v>146</v>
      </c>
      <c r="N1920" s="3" t="s">
        <v>575</v>
      </c>
      <c r="O1920" s="5">
        <v>364.6237418</v>
      </c>
      <c r="P1920" s="6" t="str">
        <f t="shared" si="2"/>
        <v>Agricultural Food &amp; other Products</v>
      </c>
    </row>
    <row r="1921" hidden="1">
      <c r="A1921" s="3" t="s">
        <v>8091</v>
      </c>
      <c r="B1921" s="4">
        <v>531080.0</v>
      </c>
      <c r="C1921" s="3" t="s">
        <v>8092</v>
      </c>
      <c r="D1921" s="3" t="s">
        <v>8093</v>
      </c>
      <c r="E1921" s="3" t="s">
        <v>8094</v>
      </c>
      <c r="F1921" s="3" t="s">
        <v>19</v>
      </c>
      <c r="G1921" s="3" t="s">
        <v>44</v>
      </c>
      <c r="H1921" s="3">
        <v>10.0</v>
      </c>
      <c r="I1921" s="3" t="s">
        <v>8091</v>
      </c>
      <c r="J1921" s="3" t="s">
        <v>22</v>
      </c>
      <c r="K1921" s="3" t="s">
        <v>58</v>
      </c>
      <c r="L1921" s="3" t="s">
        <v>59</v>
      </c>
      <c r="M1921" s="3" t="s">
        <v>59</v>
      </c>
      <c r="N1921" s="3" t="s">
        <v>60</v>
      </c>
      <c r="O1921" s="5">
        <v>135.0608841</v>
      </c>
      <c r="P1921" s="6" t="str">
        <f t="shared" si="2"/>
        <v>Residential, Commercial Projects</v>
      </c>
    </row>
    <row r="1922" hidden="1">
      <c r="A1922" s="3" t="s">
        <v>3611</v>
      </c>
      <c r="B1922" s="4">
        <v>541983.0</v>
      </c>
      <c r="C1922" s="3" t="s">
        <v>8095</v>
      </c>
      <c r="D1922" s="3" t="s">
        <v>8096</v>
      </c>
      <c r="E1922" s="3" t="s">
        <v>8097</v>
      </c>
      <c r="F1922" s="3" t="s">
        <v>19</v>
      </c>
      <c r="G1922" s="3" t="s">
        <v>2428</v>
      </c>
      <c r="H1922" s="3">
        <v>10.0</v>
      </c>
      <c r="I1922" s="3" t="s">
        <v>8098</v>
      </c>
      <c r="J1922" s="3" t="s">
        <v>22</v>
      </c>
      <c r="K1922" s="3" t="s">
        <v>1673</v>
      </c>
      <c r="L1922" s="3" t="s">
        <v>1673</v>
      </c>
      <c r="M1922" s="3" t="s">
        <v>1674</v>
      </c>
      <c r="N1922" s="3" t="s">
        <v>1675</v>
      </c>
      <c r="O1922" s="5">
        <v>31.3156172</v>
      </c>
      <c r="P1922" s="6" t="str">
        <f t="shared" si="2"/>
        <v>Commercial Services &amp; Supplies</v>
      </c>
    </row>
    <row r="1923" hidden="1">
      <c r="A1923" s="3" t="s">
        <v>8099</v>
      </c>
      <c r="B1923" s="4">
        <v>531083.0</v>
      </c>
      <c r="C1923" s="3" t="s">
        <v>8100</v>
      </c>
      <c r="D1923" s="3" t="s">
        <v>8101</v>
      </c>
      <c r="E1923" s="3" t="s">
        <v>8102</v>
      </c>
      <c r="F1923" s="3" t="s">
        <v>19</v>
      </c>
      <c r="G1923" s="3" t="s">
        <v>72</v>
      </c>
      <c r="H1923" s="3">
        <v>10.0</v>
      </c>
      <c r="I1923" s="3" t="s">
        <v>8099</v>
      </c>
      <c r="J1923" s="3" t="s">
        <v>22</v>
      </c>
      <c r="K1923" s="3" t="s">
        <v>473</v>
      </c>
      <c r="L1923" s="3" t="s">
        <v>473</v>
      </c>
      <c r="M1923" s="3" t="s">
        <v>1391</v>
      </c>
      <c r="N1923" s="3" t="s">
        <v>1392</v>
      </c>
      <c r="O1923" s="5">
        <v>1.0</v>
      </c>
      <c r="P1923" s="6" t="str">
        <f t="shared" si="2"/>
        <v>IT - Software</v>
      </c>
    </row>
    <row r="1924" hidden="1">
      <c r="A1924" s="3" t="s">
        <v>8103</v>
      </c>
      <c r="B1924" s="4">
        <v>531091.0</v>
      </c>
      <c r="C1924" s="3" t="s">
        <v>8104</v>
      </c>
      <c r="D1924" s="3" t="s">
        <v>8105</v>
      </c>
      <c r="E1924" s="3" t="s">
        <v>8106</v>
      </c>
      <c r="F1924" s="3" t="s">
        <v>19</v>
      </c>
      <c r="G1924" s="3" t="s">
        <v>72</v>
      </c>
      <c r="H1924" s="3">
        <v>10.0</v>
      </c>
      <c r="I1924" s="3" t="s">
        <v>8103</v>
      </c>
      <c r="J1924" s="3" t="s">
        <v>22</v>
      </c>
      <c r="K1924" s="3" t="s">
        <v>204</v>
      </c>
      <c r="L1924" s="3" t="s">
        <v>204</v>
      </c>
      <c r="M1924" s="3" t="s">
        <v>378</v>
      </c>
      <c r="N1924" s="3" t="s">
        <v>379</v>
      </c>
      <c r="O1924" s="5">
        <v>17.2513465</v>
      </c>
      <c r="P1924" s="6" t="str">
        <f t="shared" si="2"/>
        <v>Non Banking Financial Company (NBFC)</v>
      </c>
    </row>
    <row r="1925" hidden="1">
      <c r="A1925" s="3" t="s">
        <v>8107</v>
      </c>
      <c r="B1925" s="4">
        <v>531092.0</v>
      </c>
      <c r="C1925" s="3" t="s">
        <v>8108</v>
      </c>
      <c r="D1925" s="3" t="s">
        <v>8109</v>
      </c>
      <c r="E1925" s="3" t="s">
        <v>8110</v>
      </c>
      <c r="F1925" s="3" t="s">
        <v>19</v>
      </c>
      <c r="G1925" s="3" t="s">
        <v>86</v>
      </c>
      <c r="H1925" s="3">
        <v>1.0</v>
      </c>
      <c r="I1925" s="3" t="s">
        <v>8107</v>
      </c>
      <c r="J1925" s="3" t="s">
        <v>22</v>
      </c>
      <c r="K1925" s="3" t="s">
        <v>97</v>
      </c>
      <c r="L1925" s="3" t="s">
        <v>965</v>
      </c>
      <c r="M1925" s="3" t="s">
        <v>965</v>
      </c>
      <c r="N1925" s="3" t="s">
        <v>966</v>
      </c>
      <c r="O1925" s="5">
        <v>1640.030832</v>
      </c>
      <c r="P1925" s="6" t="str">
        <f t="shared" si="2"/>
        <v>Civil Construction</v>
      </c>
    </row>
    <row r="1926" hidden="1">
      <c r="A1926" s="3" t="s">
        <v>8111</v>
      </c>
      <c r="B1926" s="4">
        <v>531099.0</v>
      </c>
      <c r="C1926" s="3" t="s">
        <v>8112</v>
      </c>
      <c r="D1926" s="3" t="s">
        <v>8113</v>
      </c>
      <c r="E1926" s="3" t="s">
        <v>8114</v>
      </c>
      <c r="F1926" s="3" t="s">
        <v>19</v>
      </c>
      <c r="G1926" s="3" t="s">
        <v>72</v>
      </c>
      <c r="H1926" s="3">
        <v>10.0</v>
      </c>
      <c r="I1926" s="3" t="s">
        <v>8111</v>
      </c>
      <c r="J1926" s="3" t="s">
        <v>22</v>
      </c>
      <c r="K1926" s="3" t="s">
        <v>45</v>
      </c>
      <c r="L1926" s="3" t="s">
        <v>45</v>
      </c>
      <c r="M1926" s="3" t="s">
        <v>46</v>
      </c>
      <c r="N1926" s="3" t="s">
        <v>47</v>
      </c>
      <c r="O1926" s="5">
        <v>1.0</v>
      </c>
      <c r="P1926" s="6" t="str">
        <f t="shared" si="2"/>
        <v>Pharmaceuticals</v>
      </c>
    </row>
    <row r="1927" hidden="1">
      <c r="A1927" s="3" t="s">
        <v>8115</v>
      </c>
      <c r="B1927" s="4">
        <v>531109.0</v>
      </c>
      <c r="C1927" s="3" t="s">
        <v>8116</v>
      </c>
      <c r="D1927" s="3" t="s">
        <v>8117</v>
      </c>
      <c r="E1927" s="3" t="s">
        <v>8118</v>
      </c>
      <c r="F1927" s="3" t="s">
        <v>19</v>
      </c>
      <c r="G1927" s="3" t="s">
        <v>44</v>
      </c>
      <c r="H1927" s="3">
        <v>10.0</v>
      </c>
      <c r="I1927" s="3" t="s">
        <v>8115</v>
      </c>
      <c r="J1927" s="3" t="s">
        <v>22</v>
      </c>
      <c r="K1927" s="3" t="s">
        <v>23</v>
      </c>
      <c r="L1927" s="3" t="s">
        <v>24</v>
      </c>
      <c r="M1927" s="3" t="s">
        <v>25</v>
      </c>
      <c r="N1927" s="3" t="s">
        <v>26</v>
      </c>
      <c r="O1927" s="5">
        <v>118.8070977</v>
      </c>
      <c r="P1927" s="6" t="str">
        <f t="shared" si="2"/>
        <v>Specialty Chemicals</v>
      </c>
    </row>
    <row r="1928" hidden="1">
      <c r="A1928" s="3" t="s">
        <v>8119</v>
      </c>
      <c r="B1928" s="4">
        <v>531111.0</v>
      </c>
      <c r="C1928" s="3" t="s">
        <v>8120</v>
      </c>
      <c r="D1928" s="3" t="s">
        <v>8121</v>
      </c>
      <c r="E1928" s="3" t="s">
        <v>8122</v>
      </c>
      <c r="F1928" s="3" t="s">
        <v>19</v>
      </c>
      <c r="G1928" s="3" t="s">
        <v>1858</v>
      </c>
      <c r="H1928" s="3">
        <v>10.0</v>
      </c>
      <c r="I1928" s="3" t="s">
        <v>8119</v>
      </c>
      <c r="J1928" s="3" t="s">
        <v>22</v>
      </c>
      <c r="K1928" s="3" t="s">
        <v>58</v>
      </c>
      <c r="L1928" s="3" t="s">
        <v>211</v>
      </c>
      <c r="M1928" s="3" t="s">
        <v>211</v>
      </c>
      <c r="N1928" s="3" t="s">
        <v>2812</v>
      </c>
      <c r="O1928" s="5">
        <v>36.21</v>
      </c>
      <c r="P1928" s="6" t="str">
        <f t="shared" si="2"/>
        <v>Consumer Durables</v>
      </c>
    </row>
    <row r="1929" hidden="1">
      <c r="A1929" s="3" t="s">
        <v>8123</v>
      </c>
      <c r="B1929" s="4">
        <v>531112.0</v>
      </c>
      <c r="C1929" s="3" t="s">
        <v>8124</v>
      </c>
      <c r="D1929" s="3" t="s">
        <v>8125</v>
      </c>
      <c r="E1929" s="3" t="s">
        <v>8126</v>
      </c>
      <c r="F1929" s="3" t="s">
        <v>19</v>
      </c>
      <c r="G1929" s="3" t="s">
        <v>112</v>
      </c>
      <c r="H1929" s="3">
        <v>10.0</v>
      </c>
      <c r="I1929" s="3" t="s">
        <v>8123</v>
      </c>
      <c r="J1929" s="3" t="s">
        <v>22</v>
      </c>
      <c r="K1929" s="3" t="s">
        <v>97</v>
      </c>
      <c r="L1929" s="3" t="s">
        <v>98</v>
      </c>
      <c r="M1929" s="3" t="s">
        <v>100</v>
      </c>
      <c r="N1929" s="3" t="s">
        <v>1909</v>
      </c>
      <c r="O1929" s="5">
        <v>3662.3792988</v>
      </c>
      <c r="P1929" s="6" t="str">
        <f t="shared" si="2"/>
        <v>Industrial Products</v>
      </c>
    </row>
    <row r="1930" hidden="1">
      <c r="A1930" s="3" t="s">
        <v>8127</v>
      </c>
      <c r="B1930" s="4">
        <v>531119.0</v>
      </c>
      <c r="C1930" s="3" t="s">
        <v>8128</v>
      </c>
      <c r="D1930" s="3" t="s">
        <v>8129</v>
      </c>
      <c r="E1930" s="3" t="s">
        <v>8130</v>
      </c>
      <c r="F1930" s="3" t="s">
        <v>19</v>
      </c>
      <c r="G1930" s="3" t="s">
        <v>72</v>
      </c>
      <c r="H1930" s="3">
        <v>10.0</v>
      </c>
      <c r="I1930" s="3" t="s">
        <v>8127</v>
      </c>
      <c r="J1930" s="3" t="s">
        <v>22</v>
      </c>
      <c r="K1930" s="3" t="s">
        <v>58</v>
      </c>
      <c r="L1930" s="3" t="s">
        <v>211</v>
      </c>
      <c r="M1930" s="3" t="s">
        <v>211</v>
      </c>
      <c r="N1930" s="3" t="s">
        <v>947</v>
      </c>
      <c r="O1930" s="5">
        <v>256.725522</v>
      </c>
      <c r="P1930" s="6" t="str">
        <f t="shared" si="2"/>
        <v>Consumer Durables</v>
      </c>
    </row>
    <row r="1931">
      <c r="A1931" s="3" t="s">
        <v>8131</v>
      </c>
      <c r="B1931" s="4">
        <v>519126.0</v>
      </c>
      <c r="C1931" s="3" t="s">
        <v>8132</v>
      </c>
      <c r="D1931" s="3" t="s">
        <v>8133</v>
      </c>
      <c r="E1931" s="3" t="s">
        <v>8134</v>
      </c>
      <c r="F1931" s="3" t="s">
        <v>19</v>
      </c>
      <c r="G1931" s="3" t="s">
        <v>20</v>
      </c>
      <c r="H1931" s="3">
        <v>2.0</v>
      </c>
      <c r="I1931" s="3" t="s">
        <v>4990</v>
      </c>
      <c r="J1931" s="3" t="s">
        <v>22</v>
      </c>
      <c r="K1931" s="3" t="s">
        <v>145</v>
      </c>
      <c r="L1931" s="3" t="s">
        <v>145</v>
      </c>
      <c r="M1931" s="3" t="s">
        <v>7260</v>
      </c>
      <c r="N1931" s="3" t="s">
        <v>7260</v>
      </c>
      <c r="O1931" s="5">
        <v>6085.9466062</v>
      </c>
      <c r="P1931" s="6" t="str">
        <f t="shared" si="2"/>
        <v>Diversified FMCG</v>
      </c>
    </row>
    <row r="1932" hidden="1">
      <c r="A1932" s="3" t="s">
        <v>8135</v>
      </c>
      <c r="B1932" s="4">
        <v>531129.0</v>
      </c>
      <c r="C1932" s="3" t="s">
        <v>8136</v>
      </c>
      <c r="D1932" s="3" t="s">
        <v>8137</v>
      </c>
      <c r="E1932" s="3" t="s">
        <v>8138</v>
      </c>
      <c r="F1932" s="3" t="s">
        <v>19</v>
      </c>
      <c r="G1932" s="3" t="s">
        <v>72</v>
      </c>
      <c r="H1932" s="3">
        <v>2.0</v>
      </c>
      <c r="I1932" s="3" t="s">
        <v>8135</v>
      </c>
      <c r="J1932" s="3" t="s">
        <v>22</v>
      </c>
      <c r="K1932" s="3" t="s">
        <v>23</v>
      </c>
      <c r="L1932" s="3" t="s">
        <v>162</v>
      </c>
      <c r="M1932" s="3" t="s">
        <v>1491</v>
      </c>
      <c r="N1932" s="3" t="s">
        <v>1491</v>
      </c>
      <c r="O1932" s="5">
        <v>63.0900299</v>
      </c>
      <c r="P1932" s="6" t="str">
        <f t="shared" si="2"/>
        <v>Other Construction Materials</v>
      </c>
    </row>
    <row r="1933" hidden="1">
      <c r="A1933" s="3" t="s">
        <v>8139</v>
      </c>
      <c r="B1933" s="4">
        <v>538496.0</v>
      </c>
      <c r="C1933" s="3" t="s">
        <v>8140</v>
      </c>
      <c r="D1933" s="3" t="s">
        <v>8141</v>
      </c>
      <c r="E1933" s="3" t="s">
        <v>8142</v>
      </c>
      <c r="F1933" s="3" t="s">
        <v>19</v>
      </c>
      <c r="G1933" s="3" t="s">
        <v>2428</v>
      </c>
      <c r="H1933" s="3">
        <v>10.0</v>
      </c>
      <c r="I1933" s="3" t="s">
        <v>8143</v>
      </c>
      <c r="J1933" s="3" t="s">
        <v>22</v>
      </c>
      <c r="K1933" s="3" t="s">
        <v>1673</v>
      </c>
      <c r="L1933" s="3" t="s">
        <v>1673</v>
      </c>
      <c r="M1933" s="3" t="s">
        <v>1674</v>
      </c>
      <c r="N1933" s="3" t="s">
        <v>3189</v>
      </c>
      <c r="O1933" s="5">
        <v>30.8022647</v>
      </c>
      <c r="P1933" s="6" t="str">
        <f t="shared" si="2"/>
        <v>Commercial Services &amp; Supplies</v>
      </c>
    </row>
    <row r="1934" hidden="1">
      <c r="A1934" s="3" t="s">
        <v>8144</v>
      </c>
      <c r="B1934" s="4">
        <v>531144.0</v>
      </c>
      <c r="C1934" s="3" t="s">
        <v>8145</v>
      </c>
      <c r="D1934" s="3" t="s">
        <v>8146</v>
      </c>
      <c r="E1934" s="3" t="s">
        <v>8147</v>
      </c>
      <c r="F1934" s="3" t="s">
        <v>19</v>
      </c>
      <c r="G1934" s="3" t="s">
        <v>72</v>
      </c>
      <c r="H1934" s="3">
        <v>10.0</v>
      </c>
      <c r="I1934" s="3" t="s">
        <v>8144</v>
      </c>
      <c r="J1934" s="3" t="s">
        <v>22</v>
      </c>
      <c r="K1934" s="3" t="s">
        <v>58</v>
      </c>
      <c r="L1934" s="3" t="s">
        <v>133</v>
      </c>
      <c r="M1934" s="3" t="s">
        <v>134</v>
      </c>
      <c r="N1934" s="3" t="s">
        <v>135</v>
      </c>
      <c r="O1934" s="5">
        <v>41.7202921</v>
      </c>
      <c r="P1934" s="6" t="str">
        <f t="shared" si="2"/>
        <v>Auto Components &amp; Equipments</v>
      </c>
    </row>
    <row r="1935" hidden="1">
      <c r="A1935" s="3" t="s">
        <v>8148</v>
      </c>
      <c r="B1935" s="4">
        <v>531146.0</v>
      </c>
      <c r="C1935" s="3" t="s">
        <v>8149</v>
      </c>
      <c r="D1935" s="3" t="s">
        <v>8150</v>
      </c>
      <c r="E1935" s="3" t="s">
        <v>8151</v>
      </c>
      <c r="F1935" s="3" t="s">
        <v>19</v>
      </c>
      <c r="G1935" s="3" t="s">
        <v>112</v>
      </c>
      <c r="H1935" s="3">
        <v>10.0</v>
      </c>
      <c r="I1935" s="3" t="s">
        <v>8148</v>
      </c>
      <c r="J1935" s="3" t="s">
        <v>22</v>
      </c>
      <c r="K1935" s="3" t="s">
        <v>45</v>
      </c>
      <c r="L1935" s="3" t="s">
        <v>45</v>
      </c>
      <c r="M1935" s="3" t="s">
        <v>46</v>
      </c>
      <c r="N1935" s="3" t="s">
        <v>47</v>
      </c>
      <c r="O1935" s="5">
        <v>601.181812</v>
      </c>
      <c r="P1935" s="6" t="str">
        <f t="shared" si="2"/>
        <v>Pharmaceuticals</v>
      </c>
    </row>
    <row r="1936" hidden="1">
      <c r="A1936" s="3" t="s">
        <v>8152</v>
      </c>
      <c r="B1936" s="4">
        <v>531147.0</v>
      </c>
      <c r="C1936" s="3" t="s">
        <v>8153</v>
      </c>
      <c r="D1936" s="3" t="s">
        <v>8154</v>
      </c>
      <c r="E1936" s="3" t="s">
        <v>8153</v>
      </c>
      <c r="F1936" s="3" t="s">
        <v>19</v>
      </c>
      <c r="G1936" s="3" t="s">
        <v>112</v>
      </c>
      <c r="H1936" s="3">
        <v>5.0</v>
      </c>
      <c r="I1936" s="3" t="s">
        <v>8152</v>
      </c>
      <c r="J1936" s="3" t="s">
        <v>22</v>
      </c>
      <c r="K1936" s="3" t="s">
        <v>58</v>
      </c>
      <c r="L1936" s="3" t="s">
        <v>133</v>
      </c>
      <c r="M1936" s="3" t="s">
        <v>134</v>
      </c>
      <c r="N1936" s="3" t="s">
        <v>135</v>
      </c>
      <c r="O1936" s="5">
        <v>1999.8859431</v>
      </c>
      <c r="P1936" s="6" t="str">
        <f t="shared" si="2"/>
        <v>Auto Components &amp; Equipments</v>
      </c>
    </row>
    <row r="1937" hidden="1">
      <c r="A1937" s="3" t="s">
        <v>8155</v>
      </c>
      <c r="B1937" s="4">
        <v>531153.0</v>
      </c>
      <c r="C1937" s="3" t="s">
        <v>8156</v>
      </c>
      <c r="D1937" s="3" t="s">
        <v>8157</v>
      </c>
      <c r="E1937" s="3" t="s">
        <v>8158</v>
      </c>
      <c r="F1937" s="3" t="s">
        <v>19</v>
      </c>
      <c r="G1937" s="3" t="s">
        <v>44</v>
      </c>
      <c r="H1937" s="3">
        <v>1.0</v>
      </c>
      <c r="I1937" s="3" t="s">
        <v>8155</v>
      </c>
      <c r="J1937" s="3" t="s">
        <v>22</v>
      </c>
      <c r="K1937" s="3" t="s">
        <v>145</v>
      </c>
      <c r="L1937" s="3" t="s">
        <v>145</v>
      </c>
      <c r="M1937" s="3" t="s">
        <v>146</v>
      </c>
      <c r="N1937" s="3" t="s">
        <v>575</v>
      </c>
      <c r="O1937" s="5">
        <v>66.7721538</v>
      </c>
      <c r="P1937" s="6" t="str">
        <f t="shared" si="2"/>
        <v>Agricultural Food &amp; other Products</v>
      </c>
    </row>
    <row r="1938" hidden="1">
      <c r="A1938" s="3" t="s">
        <v>8159</v>
      </c>
      <c r="B1938" s="4">
        <v>531155.0</v>
      </c>
      <c r="C1938" s="3" t="s">
        <v>8160</v>
      </c>
      <c r="D1938" s="3" t="s">
        <v>8161</v>
      </c>
      <c r="E1938" s="3" t="s">
        <v>8162</v>
      </c>
      <c r="F1938" s="3" t="s">
        <v>19</v>
      </c>
      <c r="G1938" s="3" t="s">
        <v>72</v>
      </c>
      <c r="H1938" s="3">
        <v>10.0</v>
      </c>
      <c r="I1938" s="3" t="s">
        <v>8159</v>
      </c>
      <c r="J1938" s="3" t="s">
        <v>22</v>
      </c>
      <c r="K1938" s="3" t="s">
        <v>58</v>
      </c>
      <c r="L1938" s="3" t="s">
        <v>59</v>
      </c>
      <c r="M1938" s="3" t="s">
        <v>59</v>
      </c>
      <c r="N1938" s="3" t="s">
        <v>60</v>
      </c>
      <c r="O1938" s="5">
        <v>1.0</v>
      </c>
      <c r="P1938" s="6" t="str">
        <f t="shared" si="2"/>
        <v>Residential, Commercial Projects</v>
      </c>
    </row>
    <row r="1939" hidden="1">
      <c r="A1939" s="3" t="s">
        <v>8163</v>
      </c>
      <c r="B1939" s="4">
        <v>531156.0</v>
      </c>
      <c r="C1939" s="3" t="s">
        <v>8164</v>
      </c>
      <c r="D1939" s="3" t="s">
        <v>8165</v>
      </c>
      <c r="E1939" s="3" t="s">
        <v>8166</v>
      </c>
      <c r="F1939" s="3" t="s">
        <v>19</v>
      </c>
      <c r="G1939" s="3" t="s">
        <v>44</v>
      </c>
      <c r="H1939" s="3">
        <v>1.0</v>
      </c>
      <c r="I1939" s="3" t="s">
        <v>8163</v>
      </c>
      <c r="J1939" s="3" t="s">
        <v>22</v>
      </c>
      <c r="K1939" s="3" t="s">
        <v>145</v>
      </c>
      <c r="L1939" s="3" t="s">
        <v>145</v>
      </c>
      <c r="M1939" s="3" t="s">
        <v>146</v>
      </c>
      <c r="N1939" s="3" t="s">
        <v>2645</v>
      </c>
      <c r="O1939" s="5">
        <v>39.374625</v>
      </c>
      <c r="P1939" s="6" t="str">
        <f t="shared" si="2"/>
        <v>Agricultural Food &amp; other Products</v>
      </c>
    </row>
    <row r="1940" hidden="1">
      <c r="A1940" s="3" t="s">
        <v>8167</v>
      </c>
      <c r="B1940" s="4">
        <v>531157.0</v>
      </c>
      <c r="C1940" s="3" t="s">
        <v>8168</v>
      </c>
      <c r="D1940" s="3" t="s">
        <v>8169</v>
      </c>
      <c r="E1940" s="3" t="s">
        <v>8170</v>
      </c>
      <c r="F1940" s="3" t="s">
        <v>19</v>
      </c>
      <c r="G1940" s="3" t="s">
        <v>72</v>
      </c>
      <c r="H1940" s="3">
        <v>10.0</v>
      </c>
      <c r="I1940" s="3" t="s">
        <v>8167</v>
      </c>
      <c r="J1940" s="3" t="s">
        <v>22</v>
      </c>
      <c r="K1940" s="3" t="s">
        <v>23</v>
      </c>
      <c r="L1940" s="3" t="s">
        <v>24</v>
      </c>
      <c r="M1940" s="3" t="s">
        <v>25</v>
      </c>
      <c r="N1940" s="3" t="s">
        <v>26</v>
      </c>
      <c r="O1940" s="5">
        <v>12.7883887</v>
      </c>
      <c r="P1940" s="6" t="str">
        <f t="shared" si="2"/>
        <v>Specialty Chemicals</v>
      </c>
    </row>
    <row r="1941" hidden="1">
      <c r="A1941" s="3" t="s">
        <v>8171</v>
      </c>
      <c r="B1941" s="4">
        <v>541196.0</v>
      </c>
      <c r="C1941" s="3" t="s">
        <v>8172</v>
      </c>
      <c r="D1941" s="3" t="s">
        <v>8173</v>
      </c>
      <c r="E1941" s="3" t="s">
        <v>8174</v>
      </c>
      <c r="F1941" s="3" t="s">
        <v>19</v>
      </c>
      <c r="G1941" s="3" t="s">
        <v>6293</v>
      </c>
      <c r="H1941" s="3">
        <v>10.0</v>
      </c>
      <c r="I1941" s="3" t="s">
        <v>8175</v>
      </c>
      <c r="J1941" s="3" t="s">
        <v>22</v>
      </c>
      <c r="K1941" s="3" t="s">
        <v>1673</v>
      </c>
      <c r="L1941" s="3" t="s">
        <v>1673</v>
      </c>
      <c r="M1941" s="3" t="s">
        <v>1674</v>
      </c>
      <c r="N1941" s="3" t="s">
        <v>3189</v>
      </c>
      <c r="O1941" s="5">
        <v>29.5353091</v>
      </c>
      <c r="P1941" s="6" t="str">
        <f t="shared" si="2"/>
        <v>Commercial Services &amp; Supplies</v>
      </c>
    </row>
    <row r="1942" hidden="1">
      <c r="A1942" s="3" t="s">
        <v>8176</v>
      </c>
      <c r="B1942" s="4">
        <v>531161.0</v>
      </c>
      <c r="C1942" s="3" t="s">
        <v>8177</v>
      </c>
      <c r="D1942" s="3" t="s">
        <v>8178</v>
      </c>
      <c r="E1942" s="3" t="s">
        <v>8179</v>
      </c>
      <c r="F1942" s="3" t="s">
        <v>19</v>
      </c>
      <c r="G1942" s="3" t="s">
        <v>44</v>
      </c>
      <c r="H1942" s="3">
        <v>5.0</v>
      </c>
      <c r="I1942" s="3" t="s">
        <v>8176</v>
      </c>
      <c r="J1942" s="3" t="s">
        <v>22</v>
      </c>
      <c r="K1942" s="3" t="s">
        <v>473</v>
      </c>
      <c r="L1942" s="3" t="s">
        <v>473</v>
      </c>
      <c r="M1942" s="3" t="s">
        <v>1391</v>
      </c>
      <c r="N1942" s="3" t="s">
        <v>1392</v>
      </c>
      <c r="O1942" s="5">
        <v>316.953327</v>
      </c>
      <c r="P1942" s="6" t="str">
        <f t="shared" si="2"/>
        <v>IT - Software</v>
      </c>
    </row>
    <row r="1943">
      <c r="A1943" s="3" t="s">
        <v>8180</v>
      </c>
      <c r="B1943" s="4">
        <v>519552.0</v>
      </c>
      <c r="C1943" s="3" t="s">
        <v>8181</v>
      </c>
      <c r="D1943" s="3" t="s">
        <v>8182</v>
      </c>
      <c r="E1943" s="3" t="s">
        <v>8181</v>
      </c>
      <c r="F1943" s="3" t="s">
        <v>19</v>
      </c>
      <c r="G1943" s="3" t="s">
        <v>112</v>
      </c>
      <c r="H1943" s="3">
        <v>5.0</v>
      </c>
      <c r="I1943" s="3" t="s">
        <v>5152</v>
      </c>
      <c r="J1943" s="3" t="s">
        <v>22</v>
      </c>
      <c r="K1943" s="3" t="s">
        <v>145</v>
      </c>
      <c r="L1943" s="3" t="s">
        <v>145</v>
      </c>
      <c r="M1943" s="3" t="s">
        <v>597</v>
      </c>
      <c r="N1943" s="3" t="s">
        <v>598</v>
      </c>
      <c r="O1943" s="5">
        <v>5225.8662664</v>
      </c>
      <c r="P1943" s="6" t="str">
        <f t="shared" si="2"/>
        <v>Food Products</v>
      </c>
    </row>
    <row r="1944" hidden="1">
      <c r="A1944" s="3" t="s">
        <v>8183</v>
      </c>
      <c r="B1944" s="4">
        <v>531163.0</v>
      </c>
      <c r="C1944" s="3" t="s">
        <v>8184</v>
      </c>
      <c r="D1944" s="3" t="s">
        <v>8185</v>
      </c>
      <c r="E1944" s="3" t="s">
        <v>8184</v>
      </c>
      <c r="F1944" s="3" t="s">
        <v>19</v>
      </c>
      <c r="G1944" s="3" t="s">
        <v>44</v>
      </c>
      <c r="H1944" s="3">
        <v>10.0</v>
      </c>
      <c r="I1944" s="3" t="s">
        <v>8183</v>
      </c>
      <c r="J1944" s="3" t="s">
        <v>22</v>
      </c>
      <c r="K1944" s="3" t="s">
        <v>23</v>
      </c>
      <c r="L1944" s="3" t="s">
        <v>24</v>
      </c>
      <c r="M1944" s="3" t="s">
        <v>25</v>
      </c>
      <c r="N1944" s="3" t="s">
        <v>26</v>
      </c>
      <c r="O1944" s="5">
        <v>43.6146954</v>
      </c>
      <c r="P1944" s="6" t="str">
        <f t="shared" si="2"/>
        <v>Specialty Chemicals</v>
      </c>
    </row>
    <row r="1945" hidden="1">
      <c r="A1945" s="3" t="s">
        <v>8186</v>
      </c>
      <c r="B1945" s="4">
        <v>531168.0</v>
      </c>
      <c r="C1945" s="3" t="s">
        <v>8187</v>
      </c>
      <c r="D1945" s="3" t="s">
        <v>8188</v>
      </c>
      <c r="E1945" s="3" t="s">
        <v>8189</v>
      </c>
      <c r="F1945" s="3" t="s">
        <v>19</v>
      </c>
      <c r="G1945" s="3" t="s">
        <v>72</v>
      </c>
      <c r="H1945" s="3">
        <v>10.0</v>
      </c>
      <c r="I1945" s="3" t="s">
        <v>8186</v>
      </c>
      <c r="J1945" s="3" t="s">
        <v>22</v>
      </c>
      <c r="K1945" s="3" t="s">
        <v>23</v>
      </c>
      <c r="L1945" s="3" t="s">
        <v>162</v>
      </c>
      <c r="M1945" s="3" t="s">
        <v>1491</v>
      </c>
      <c r="N1945" s="3" t="s">
        <v>1491</v>
      </c>
      <c r="O1945" s="5">
        <v>62.2009461</v>
      </c>
      <c r="P1945" s="6" t="str">
        <f t="shared" si="2"/>
        <v>Other Construction Materials</v>
      </c>
    </row>
    <row r="1946" hidden="1">
      <c r="A1946" s="3" t="s">
        <v>8190</v>
      </c>
      <c r="B1946" s="4">
        <v>531169.0</v>
      </c>
      <c r="C1946" s="3" t="s">
        <v>8191</v>
      </c>
      <c r="D1946" s="3" t="s">
        <v>8192</v>
      </c>
      <c r="E1946" s="3" t="s">
        <v>8193</v>
      </c>
      <c r="F1946" s="3" t="s">
        <v>19</v>
      </c>
      <c r="G1946" s="3" t="s">
        <v>72</v>
      </c>
      <c r="H1946" s="3">
        <v>10.0</v>
      </c>
      <c r="I1946" s="3" t="s">
        <v>8190</v>
      </c>
      <c r="J1946" s="3" t="s">
        <v>22</v>
      </c>
      <c r="K1946" s="3" t="s">
        <v>204</v>
      </c>
      <c r="L1946" s="3" t="s">
        <v>204</v>
      </c>
      <c r="M1946" s="3" t="s">
        <v>378</v>
      </c>
      <c r="N1946" s="3" t="s">
        <v>379</v>
      </c>
      <c r="O1946" s="5">
        <v>96.5008534</v>
      </c>
      <c r="P1946" s="6" t="str">
        <f t="shared" si="2"/>
        <v>Non Banking Financial Company (NBFC)</v>
      </c>
    </row>
    <row r="1947" hidden="1">
      <c r="A1947" s="3" t="s">
        <v>8194</v>
      </c>
      <c r="B1947" s="4">
        <v>531173.0</v>
      </c>
      <c r="C1947" s="3" t="s">
        <v>8195</v>
      </c>
      <c r="D1947" s="3" t="s">
        <v>8196</v>
      </c>
      <c r="E1947" s="3" t="s">
        <v>8197</v>
      </c>
      <c r="F1947" s="3" t="s">
        <v>19</v>
      </c>
      <c r="G1947" s="3" t="s">
        <v>44</v>
      </c>
      <c r="H1947" s="3">
        <v>10.0</v>
      </c>
      <c r="I1947" s="3" t="s">
        <v>8194</v>
      </c>
      <c r="J1947" s="3" t="s">
        <v>22</v>
      </c>
      <c r="K1947" s="3" t="s">
        <v>45</v>
      </c>
      <c r="L1947" s="3" t="s">
        <v>45</v>
      </c>
      <c r="M1947" s="3" t="s">
        <v>46</v>
      </c>
      <c r="N1947" s="3" t="s">
        <v>47</v>
      </c>
      <c r="O1947" s="5">
        <v>184.364182</v>
      </c>
      <c r="P1947" s="6" t="str">
        <f t="shared" si="2"/>
        <v>Pharmaceuticals</v>
      </c>
    </row>
    <row r="1948" hidden="1">
      <c r="A1948" s="3" t="s">
        <v>8198</v>
      </c>
      <c r="B1948" s="4">
        <v>531175.0</v>
      </c>
      <c r="C1948" s="3" t="s">
        <v>8199</v>
      </c>
      <c r="D1948" s="3" t="s">
        <v>8200</v>
      </c>
      <c r="E1948" s="3" t="s">
        <v>8201</v>
      </c>
      <c r="F1948" s="3" t="s">
        <v>19</v>
      </c>
      <c r="G1948" s="3" t="s">
        <v>72</v>
      </c>
      <c r="H1948" s="3">
        <v>1.0</v>
      </c>
      <c r="I1948" s="3" t="s">
        <v>8198</v>
      </c>
      <c r="J1948" s="3" t="s">
        <v>22</v>
      </c>
      <c r="K1948" s="3" t="s">
        <v>473</v>
      </c>
      <c r="L1948" s="3" t="s">
        <v>473</v>
      </c>
      <c r="M1948" s="3" t="s">
        <v>1391</v>
      </c>
      <c r="N1948" s="3" t="s">
        <v>1392</v>
      </c>
      <c r="O1948" s="5">
        <v>144.6705471</v>
      </c>
      <c r="P1948" s="6" t="str">
        <f t="shared" si="2"/>
        <v>IT - Software</v>
      </c>
    </row>
    <row r="1949" hidden="1">
      <c r="A1949" s="3" t="s">
        <v>8202</v>
      </c>
      <c r="B1949" s="4">
        <v>531176.0</v>
      </c>
      <c r="C1949" s="3" t="s">
        <v>8203</v>
      </c>
      <c r="D1949" s="3" t="s">
        <v>8204</v>
      </c>
      <c r="E1949" s="3" t="s">
        <v>8205</v>
      </c>
      <c r="F1949" s="3" t="s">
        <v>19</v>
      </c>
      <c r="G1949" s="3" t="s">
        <v>44</v>
      </c>
      <c r="H1949" s="3">
        <v>2.0</v>
      </c>
      <c r="I1949" s="3" t="s">
        <v>8202</v>
      </c>
      <c r="J1949" s="3" t="s">
        <v>22</v>
      </c>
      <c r="K1949" s="3" t="s">
        <v>204</v>
      </c>
      <c r="L1949" s="3" t="s">
        <v>204</v>
      </c>
      <c r="M1949" s="3" t="s">
        <v>205</v>
      </c>
      <c r="N1949" s="3" t="s">
        <v>206</v>
      </c>
      <c r="O1949" s="5">
        <v>65.7003221</v>
      </c>
      <c r="P1949" s="6" t="str">
        <f t="shared" si="2"/>
        <v>Capital Markets</v>
      </c>
    </row>
    <row r="1950" hidden="1">
      <c r="A1950" s="3" t="s">
        <v>7518</v>
      </c>
      <c r="B1950" s="4">
        <v>540811.0</v>
      </c>
      <c r="C1950" s="3" t="s">
        <v>8206</v>
      </c>
      <c r="D1950" s="3" t="s">
        <v>8207</v>
      </c>
      <c r="E1950" s="3" t="s">
        <v>8208</v>
      </c>
      <c r="F1950" s="3" t="s">
        <v>19</v>
      </c>
      <c r="G1950" s="3" t="s">
        <v>2428</v>
      </c>
      <c r="H1950" s="3">
        <v>10.0</v>
      </c>
      <c r="I1950" s="3" t="s">
        <v>8209</v>
      </c>
      <c r="J1950" s="3" t="s">
        <v>22</v>
      </c>
      <c r="K1950" s="3" t="s">
        <v>1673</v>
      </c>
      <c r="L1950" s="3" t="s">
        <v>1673</v>
      </c>
      <c r="M1950" s="3" t="s">
        <v>1674</v>
      </c>
      <c r="N1950" s="3" t="s">
        <v>1915</v>
      </c>
      <c r="O1950" s="5">
        <v>28.7461959</v>
      </c>
      <c r="P1950" s="6" t="str">
        <f t="shared" si="2"/>
        <v>Commercial Services &amp; Supplies</v>
      </c>
    </row>
    <row r="1951" hidden="1">
      <c r="A1951" s="3" t="s">
        <v>8210</v>
      </c>
      <c r="B1951" s="4">
        <v>531179.0</v>
      </c>
      <c r="C1951" s="3" t="s">
        <v>8211</v>
      </c>
      <c r="D1951" s="3" t="s">
        <v>8212</v>
      </c>
      <c r="E1951" s="3" t="s">
        <v>8213</v>
      </c>
      <c r="F1951" s="3" t="s">
        <v>19</v>
      </c>
      <c r="G1951" s="3" t="s">
        <v>112</v>
      </c>
      <c r="H1951" s="3">
        <v>10.0</v>
      </c>
      <c r="I1951" s="3" t="s">
        <v>8210</v>
      </c>
      <c r="J1951" s="3" t="s">
        <v>22</v>
      </c>
      <c r="K1951" s="3" t="s">
        <v>204</v>
      </c>
      <c r="L1951" s="3" t="s">
        <v>204</v>
      </c>
      <c r="M1951" s="3" t="s">
        <v>378</v>
      </c>
      <c r="N1951" s="3" t="s">
        <v>379</v>
      </c>
      <c r="O1951" s="5">
        <v>2195.8717743</v>
      </c>
      <c r="P1951" s="6" t="str">
        <f t="shared" si="2"/>
        <v>Non Banking Financial Company (NBFC)</v>
      </c>
    </row>
    <row r="1952" hidden="1">
      <c r="A1952" s="3" t="s">
        <v>8214</v>
      </c>
      <c r="B1952" s="4">
        <v>531199.0</v>
      </c>
      <c r="C1952" s="3" t="s">
        <v>8215</v>
      </c>
      <c r="D1952" s="3" t="s">
        <v>8216</v>
      </c>
      <c r="E1952" s="3" t="s">
        <v>8217</v>
      </c>
      <c r="F1952" s="3" t="s">
        <v>19</v>
      </c>
      <c r="G1952" s="3" t="s">
        <v>44</v>
      </c>
      <c r="H1952" s="3">
        <v>10.0</v>
      </c>
      <c r="I1952" s="3" t="s">
        <v>8214</v>
      </c>
      <c r="J1952" s="3" t="s">
        <v>22</v>
      </c>
      <c r="K1952" s="3" t="s">
        <v>204</v>
      </c>
      <c r="L1952" s="3" t="s">
        <v>204</v>
      </c>
      <c r="M1952" s="3" t="s">
        <v>378</v>
      </c>
      <c r="N1952" s="3" t="s">
        <v>379</v>
      </c>
      <c r="O1952" s="5">
        <v>19.5314043</v>
      </c>
      <c r="P1952" s="6" t="str">
        <f t="shared" si="2"/>
        <v>Non Banking Financial Company (NBFC)</v>
      </c>
    </row>
    <row r="1953" hidden="1">
      <c r="A1953" s="3" t="s">
        <v>8218</v>
      </c>
      <c r="B1953" s="4">
        <v>531201.0</v>
      </c>
      <c r="C1953" s="3" t="s">
        <v>8219</v>
      </c>
      <c r="D1953" s="3" t="s">
        <v>8220</v>
      </c>
      <c r="E1953" s="3" t="s">
        <v>8221</v>
      </c>
      <c r="F1953" s="3" t="s">
        <v>19</v>
      </c>
      <c r="G1953" s="3" t="s">
        <v>86</v>
      </c>
      <c r="H1953" s="3">
        <v>10.0</v>
      </c>
      <c r="I1953" s="3" t="s">
        <v>8218</v>
      </c>
      <c r="J1953" s="3" t="s">
        <v>22</v>
      </c>
      <c r="K1953" s="3" t="s">
        <v>97</v>
      </c>
      <c r="L1953" s="3" t="s">
        <v>98</v>
      </c>
      <c r="M1953" s="3" t="s">
        <v>1747</v>
      </c>
      <c r="N1953" s="3" t="s">
        <v>1748</v>
      </c>
      <c r="O1953" s="5">
        <v>4642.4751289</v>
      </c>
      <c r="P1953" s="6" t="str">
        <f t="shared" si="2"/>
        <v>Electrical Equipment</v>
      </c>
    </row>
    <row r="1954" hidden="1">
      <c r="A1954" s="3" t="s">
        <v>8222</v>
      </c>
      <c r="B1954" s="4">
        <v>530697.0</v>
      </c>
      <c r="C1954" s="3" t="s">
        <v>8223</v>
      </c>
      <c r="D1954" s="3" t="s">
        <v>8224</v>
      </c>
      <c r="E1954" s="3" t="s">
        <v>8225</v>
      </c>
      <c r="F1954" s="3" t="s">
        <v>19</v>
      </c>
      <c r="G1954" s="3" t="s">
        <v>44</v>
      </c>
      <c r="H1954" s="3">
        <v>10.0</v>
      </c>
      <c r="I1954" s="3" t="s">
        <v>7807</v>
      </c>
      <c r="J1954" s="3" t="s">
        <v>22</v>
      </c>
      <c r="K1954" s="3" t="s">
        <v>1673</v>
      </c>
      <c r="L1954" s="3" t="s">
        <v>1673</v>
      </c>
      <c r="M1954" s="3" t="s">
        <v>1674</v>
      </c>
      <c r="N1954" s="3" t="s">
        <v>1675</v>
      </c>
      <c r="O1954" s="5">
        <v>26.6519964</v>
      </c>
      <c r="P1954" s="6" t="str">
        <f t="shared" si="2"/>
        <v>Commercial Services &amp; Supplies</v>
      </c>
    </row>
    <row r="1955" hidden="1">
      <c r="A1955" s="3" t="s">
        <v>2060</v>
      </c>
      <c r="B1955" s="4">
        <v>544156.0</v>
      </c>
      <c r="C1955" s="3" t="s">
        <v>8226</v>
      </c>
      <c r="D1955" s="3" t="s">
        <v>8227</v>
      </c>
      <c r="E1955" s="3" t="s">
        <v>8228</v>
      </c>
      <c r="F1955" s="3" t="s">
        <v>19</v>
      </c>
      <c r="G1955" s="3" t="s">
        <v>6293</v>
      </c>
      <c r="H1955" s="3">
        <v>10.0</v>
      </c>
      <c r="I1955" s="3" t="s">
        <v>8229</v>
      </c>
      <c r="J1955" s="3" t="s">
        <v>22</v>
      </c>
      <c r="K1955" s="3" t="s">
        <v>1673</v>
      </c>
      <c r="L1955" s="3" t="s">
        <v>1673</v>
      </c>
      <c r="M1955" s="3" t="s">
        <v>1689</v>
      </c>
      <c r="N1955" s="3" t="s">
        <v>1690</v>
      </c>
      <c r="O1955" s="5">
        <v>26.0368237</v>
      </c>
      <c r="P1955" s="6" t="str">
        <f t="shared" si="2"/>
        <v>Transport Services</v>
      </c>
    </row>
    <row r="1956" hidden="1">
      <c r="A1956" s="3" t="s">
        <v>8230</v>
      </c>
      <c r="B1956" s="4">
        <v>531209.0</v>
      </c>
      <c r="C1956" s="3" t="s">
        <v>8231</v>
      </c>
      <c r="D1956" s="3" t="s">
        <v>8232</v>
      </c>
      <c r="E1956" s="3" t="s">
        <v>8233</v>
      </c>
      <c r="F1956" s="3" t="s">
        <v>19</v>
      </c>
      <c r="G1956" s="3" t="s">
        <v>112</v>
      </c>
      <c r="H1956" s="3">
        <v>10.0</v>
      </c>
      <c r="I1956" s="3" t="s">
        <v>8230</v>
      </c>
      <c r="J1956" s="3" t="s">
        <v>22</v>
      </c>
      <c r="K1956" s="3" t="s">
        <v>473</v>
      </c>
      <c r="L1956" s="3" t="s">
        <v>473</v>
      </c>
      <c r="M1956" s="3" t="s">
        <v>1391</v>
      </c>
      <c r="N1956" s="3" t="s">
        <v>1392</v>
      </c>
      <c r="O1956" s="5">
        <v>3824.0489703</v>
      </c>
      <c r="P1956" s="6" t="str">
        <f t="shared" si="2"/>
        <v>IT - Software</v>
      </c>
    </row>
    <row r="1957" hidden="1">
      <c r="A1957" s="3" t="s">
        <v>8234</v>
      </c>
      <c r="B1957" s="4">
        <v>531210.0</v>
      </c>
      <c r="C1957" s="3" t="s">
        <v>8235</v>
      </c>
      <c r="D1957" s="3" t="s">
        <v>8236</v>
      </c>
      <c r="E1957" s="3" t="s">
        <v>8237</v>
      </c>
      <c r="F1957" s="3" t="s">
        <v>19</v>
      </c>
      <c r="G1957" s="3" t="s">
        <v>44</v>
      </c>
      <c r="H1957" s="3">
        <v>10.0</v>
      </c>
      <c r="I1957" s="3" t="s">
        <v>8234</v>
      </c>
      <c r="J1957" s="3" t="s">
        <v>22</v>
      </c>
      <c r="K1957" s="3" t="s">
        <v>45</v>
      </c>
      <c r="L1957" s="3" t="s">
        <v>45</v>
      </c>
      <c r="M1957" s="3" t="s">
        <v>46</v>
      </c>
      <c r="N1957" s="3" t="s">
        <v>47</v>
      </c>
      <c r="O1957" s="5">
        <v>15.5813944</v>
      </c>
      <c r="P1957" s="6" t="str">
        <f t="shared" si="2"/>
        <v>Pharmaceuticals</v>
      </c>
    </row>
    <row r="1958" hidden="1">
      <c r="A1958" s="3" t="s">
        <v>8238</v>
      </c>
      <c r="B1958" s="4">
        <v>531212.0</v>
      </c>
      <c r="C1958" s="3" t="s">
        <v>8239</v>
      </c>
      <c r="D1958" s="3" t="s">
        <v>8240</v>
      </c>
      <c r="E1958" s="3" t="s">
        <v>8241</v>
      </c>
      <c r="F1958" s="3" t="s">
        <v>19</v>
      </c>
      <c r="G1958" s="3" t="s">
        <v>44</v>
      </c>
      <c r="H1958" s="3">
        <v>10.0</v>
      </c>
      <c r="I1958" s="3" t="s">
        <v>8238</v>
      </c>
      <c r="J1958" s="3" t="s">
        <v>22</v>
      </c>
      <c r="K1958" s="3" t="s">
        <v>204</v>
      </c>
      <c r="L1958" s="3" t="s">
        <v>204</v>
      </c>
      <c r="M1958" s="3" t="s">
        <v>378</v>
      </c>
      <c r="N1958" s="3" t="s">
        <v>379</v>
      </c>
      <c r="O1958" s="5">
        <v>30.16763</v>
      </c>
      <c r="P1958" s="6" t="str">
        <f t="shared" si="2"/>
        <v>Non Banking Financial Company (NBFC)</v>
      </c>
    </row>
    <row r="1959">
      <c r="A1959" s="3" t="s">
        <v>8242</v>
      </c>
      <c r="B1959" s="4">
        <v>519600.0</v>
      </c>
      <c r="C1959" s="3" t="s">
        <v>8243</v>
      </c>
      <c r="D1959" s="3" t="s">
        <v>8244</v>
      </c>
      <c r="E1959" s="3" t="s">
        <v>8245</v>
      </c>
      <c r="F1959" s="3" t="s">
        <v>19</v>
      </c>
      <c r="G1959" s="3" t="s">
        <v>20</v>
      </c>
      <c r="H1959" s="3">
        <v>2.0</v>
      </c>
      <c r="I1959" s="3" t="s">
        <v>5166</v>
      </c>
      <c r="J1959" s="3" t="s">
        <v>22</v>
      </c>
      <c r="K1959" s="3" t="s">
        <v>145</v>
      </c>
      <c r="L1959" s="3" t="s">
        <v>145</v>
      </c>
      <c r="M1959" s="3" t="s">
        <v>146</v>
      </c>
      <c r="N1959" s="3" t="s">
        <v>444</v>
      </c>
      <c r="O1959" s="5">
        <v>7850.6874385</v>
      </c>
      <c r="P1959" s="6" t="str">
        <f t="shared" si="2"/>
        <v>Agricultural Food &amp; other Products</v>
      </c>
    </row>
    <row r="1960" hidden="1">
      <c r="A1960" s="3" t="s">
        <v>8246</v>
      </c>
      <c r="B1960" s="4">
        <v>531215.0</v>
      </c>
      <c r="C1960" s="3" t="s">
        <v>8247</v>
      </c>
      <c r="D1960" s="3" t="s">
        <v>8248</v>
      </c>
      <c r="E1960" s="3" t="s">
        <v>8249</v>
      </c>
      <c r="F1960" s="3" t="s">
        <v>19</v>
      </c>
      <c r="G1960" s="3" t="s">
        <v>72</v>
      </c>
      <c r="H1960" s="3">
        <v>10.0</v>
      </c>
      <c r="I1960" s="3" t="s">
        <v>8246</v>
      </c>
      <c r="J1960" s="3" t="s">
        <v>22</v>
      </c>
      <c r="K1960" s="3" t="s">
        <v>97</v>
      </c>
      <c r="L1960" s="3" t="s">
        <v>98</v>
      </c>
      <c r="M1960" s="3" t="s">
        <v>1747</v>
      </c>
      <c r="N1960" s="3" t="s">
        <v>1748</v>
      </c>
      <c r="O1960" s="5">
        <v>198.5618909</v>
      </c>
      <c r="P1960" s="6" t="str">
        <f t="shared" si="2"/>
        <v>Electrical Equipment</v>
      </c>
    </row>
    <row r="1961" hidden="1">
      <c r="A1961" s="3" t="s">
        <v>8250</v>
      </c>
      <c r="B1961" s="4">
        <v>531216.0</v>
      </c>
      <c r="C1961" s="3" t="s">
        <v>8251</v>
      </c>
      <c r="D1961" s="3" t="s">
        <v>8252</v>
      </c>
      <c r="E1961" s="3" t="s">
        <v>8253</v>
      </c>
      <c r="F1961" s="3" t="s">
        <v>19</v>
      </c>
      <c r="G1961" s="3" t="s">
        <v>44</v>
      </c>
      <c r="H1961" s="3">
        <v>1.0</v>
      </c>
      <c r="I1961" s="3" t="s">
        <v>8250</v>
      </c>
      <c r="J1961" s="3" t="s">
        <v>22</v>
      </c>
      <c r="K1961" s="3" t="s">
        <v>145</v>
      </c>
      <c r="L1961" s="3" t="s">
        <v>145</v>
      </c>
      <c r="M1961" s="3" t="s">
        <v>2558</v>
      </c>
      <c r="N1961" s="3" t="s">
        <v>2559</v>
      </c>
      <c r="O1961" s="5">
        <v>303.9458162</v>
      </c>
      <c r="P1961" s="6" t="str">
        <f t="shared" si="2"/>
        <v>Beverages</v>
      </c>
    </row>
    <row r="1962" hidden="1">
      <c r="A1962" s="3" t="s">
        <v>8254</v>
      </c>
      <c r="B1962" s="4">
        <v>531219.0</v>
      </c>
      <c r="C1962" s="3" t="s">
        <v>8255</v>
      </c>
      <c r="D1962" s="3" t="s">
        <v>8256</v>
      </c>
      <c r="E1962" s="3" t="s">
        <v>8257</v>
      </c>
      <c r="F1962" s="3" t="s">
        <v>19</v>
      </c>
      <c r="G1962" s="3" t="s">
        <v>1858</v>
      </c>
      <c r="H1962" s="3">
        <v>10.0</v>
      </c>
      <c r="I1962" s="3" t="s">
        <v>8254</v>
      </c>
      <c r="J1962" s="3" t="s">
        <v>22</v>
      </c>
      <c r="K1962" s="3" t="s">
        <v>45</v>
      </c>
      <c r="L1962" s="3" t="s">
        <v>45</v>
      </c>
      <c r="M1962" s="3" t="s">
        <v>46</v>
      </c>
      <c r="N1962" s="3" t="s">
        <v>47</v>
      </c>
      <c r="O1962" s="5">
        <v>1.0</v>
      </c>
      <c r="P1962" s="6" t="str">
        <f t="shared" si="2"/>
        <v>Pharmaceuticals</v>
      </c>
    </row>
    <row r="1963" hidden="1">
      <c r="A1963" s="3" t="s">
        <v>8258</v>
      </c>
      <c r="B1963" s="4">
        <v>531221.0</v>
      </c>
      <c r="C1963" s="3" t="s">
        <v>8259</v>
      </c>
      <c r="D1963" s="3" t="s">
        <v>8260</v>
      </c>
      <c r="E1963" s="3" t="s">
        <v>8261</v>
      </c>
      <c r="F1963" s="3" t="s">
        <v>19</v>
      </c>
      <c r="G1963" s="3" t="s">
        <v>44</v>
      </c>
      <c r="H1963" s="3">
        <v>10.0</v>
      </c>
      <c r="I1963" s="3" t="s">
        <v>8258</v>
      </c>
      <c r="J1963" s="3" t="s">
        <v>22</v>
      </c>
      <c r="K1963" s="3" t="s">
        <v>23</v>
      </c>
      <c r="L1963" s="3" t="s">
        <v>162</v>
      </c>
      <c r="M1963" s="3" t="s">
        <v>1491</v>
      </c>
      <c r="N1963" s="3" t="s">
        <v>1491</v>
      </c>
      <c r="O1963" s="5">
        <v>1.0</v>
      </c>
      <c r="P1963" s="6" t="str">
        <f t="shared" si="2"/>
        <v>Other Construction Materials</v>
      </c>
    </row>
    <row r="1964" hidden="1">
      <c r="A1964" s="3" t="s">
        <v>8262</v>
      </c>
      <c r="B1964" s="4">
        <v>531223.0</v>
      </c>
      <c r="C1964" s="3" t="s">
        <v>8263</v>
      </c>
      <c r="D1964" s="3" t="s">
        <v>8264</v>
      </c>
      <c r="E1964" s="3" t="s">
        <v>8265</v>
      </c>
      <c r="F1964" s="3" t="s">
        <v>19</v>
      </c>
      <c r="G1964" s="3" t="s">
        <v>44</v>
      </c>
      <c r="H1964" s="3">
        <v>10.0</v>
      </c>
      <c r="I1964" s="3" t="s">
        <v>8262</v>
      </c>
      <c r="J1964" s="3" t="s">
        <v>22</v>
      </c>
      <c r="K1964" s="3" t="s">
        <v>58</v>
      </c>
      <c r="L1964" s="3" t="s">
        <v>80</v>
      </c>
      <c r="M1964" s="3" t="s">
        <v>81</v>
      </c>
      <c r="N1964" s="3" t="s">
        <v>82</v>
      </c>
      <c r="O1964" s="5">
        <v>61.692358</v>
      </c>
      <c r="P1964" s="6" t="str">
        <f t="shared" si="2"/>
        <v>Textiles &amp; Apparels</v>
      </c>
    </row>
    <row r="1965" hidden="1">
      <c r="A1965" s="3" t="s">
        <v>8266</v>
      </c>
      <c r="B1965" s="4">
        <v>531225.0</v>
      </c>
      <c r="C1965" s="3" t="s">
        <v>8267</v>
      </c>
      <c r="D1965" s="3" t="s">
        <v>8268</v>
      </c>
      <c r="E1965" s="3" t="s">
        <v>8269</v>
      </c>
      <c r="F1965" s="3" t="s">
        <v>19</v>
      </c>
      <c r="G1965" s="3" t="s">
        <v>44</v>
      </c>
      <c r="H1965" s="3">
        <v>1.0</v>
      </c>
      <c r="I1965" s="3" t="s">
        <v>8266</v>
      </c>
      <c r="J1965" s="3" t="s">
        <v>22</v>
      </c>
      <c r="K1965" s="3" t="s">
        <v>473</v>
      </c>
      <c r="L1965" s="3" t="s">
        <v>473</v>
      </c>
      <c r="M1965" s="3" t="s">
        <v>1391</v>
      </c>
      <c r="N1965" s="3" t="s">
        <v>1840</v>
      </c>
      <c r="O1965" s="5">
        <v>548.8938</v>
      </c>
      <c r="P1965" s="6" t="str">
        <f t="shared" si="2"/>
        <v>Computers - Software &amp; Consulting</v>
      </c>
    </row>
    <row r="1966" hidden="1">
      <c r="A1966" s="3" t="s">
        <v>8270</v>
      </c>
      <c r="B1966" s="4">
        <v>531227.0</v>
      </c>
      <c r="C1966" s="3" t="s">
        <v>8271</v>
      </c>
      <c r="D1966" s="3" t="s">
        <v>8272</v>
      </c>
      <c r="E1966" s="3" t="s">
        <v>8273</v>
      </c>
      <c r="F1966" s="3" t="s">
        <v>19</v>
      </c>
      <c r="G1966" s="3" t="s">
        <v>72</v>
      </c>
      <c r="H1966" s="3">
        <v>10.0</v>
      </c>
      <c r="I1966" s="3" t="s">
        <v>8270</v>
      </c>
      <c r="J1966" s="3" t="s">
        <v>22</v>
      </c>
      <c r="K1966" s="3" t="s">
        <v>23</v>
      </c>
      <c r="L1966" s="3" t="s">
        <v>24</v>
      </c>
      <c r="M1966" s="3" t="s">
        <v>25</v>
      </c>
      <c r="N1966" s="3" t="s">
        <v>52</v>
      </c>
      <c r="O1966" s="5">
        <v>44.3442015</v>
      </c>
      <c r="P1966" s="6" t="str">
        <f t="shared" si="2"/>
        <v>Chemicals &amp; Petrochemicals</v>
      </c>
    </row>
    <row r="1967" hidden="1">
      <c r="A1967" s="3" t="s">
        <v>8274</v>
      </c>
      <c r="B1967" s="4">
        <v>531228.0</v>
      </c>
      <c r="C1967" s="3" t="s">
        <v>8275</v>
      </c>
      <c r="D1967" s="3" t="s">
        <v>8276</v>
      </c>
      <c r="E1967" s="3" t="s">
        <v>8277</v>
      </c>
      <c r="F1967" s="3" t="s">
        <v>19</v>
      </c>
      <c r="G1967" s="3" t="s">
        <v>44</v>
      </c>
      <c r="H1967" s="3">
        <v>10.0</v>
      </c>
      <c r="I1967" s="3" t="s">
        <v>8274</v>
      </c>
      <c r="J1967" s="3" t="s">
        <v>22</v>
      </c>
      <c r="K1967" s="3" t="s">
        <v>204</v>
      </c>
      <c r="L1967" s="3" t="s">
        <v>204</v>
      </c>
      <c r="M1967" s="3" t="s">
        <v>378</v>
      </c>
      <c r="N1967" s="3" t="s">
        <v>379</v>
      </c>
      <c r="O1967" s="5">
        <v>1.0</v>
      </c>
      <c r="P1967" s="6" t="str">
        <f t="shared" si="2"/>
        <v>Non Banking Financial Company (NBFC)</v>
      </c>
    </row>
    <row r="1968" hidden="1">
      <c r="A1968" s="3" t="s">
        <v>8278</v>
      </c>
      <c r="B1968" s="4">
        <v>531233.0</v>
      </c>
      <c r="C1968" s="3" t="s">
        <v>8279</v>
      </c>
      <c r="D1968" s="3" t="s">
        <v>8280</v>
      </c>
      <c r="E1968" s="3" t="s">
        <v>8281</v>
      </c>
      <c r="F1968" s="3" t="s">
        <v>19</v>
      </c>
      <c r="G1968" s="3" t="s">
        <v>44</v>
      </c>
      <c r="H1968" s="3">
        <v>2.0</v>
      </c>
      <c r="I1968" s="3" t="s">
        <v>8278</v>
      </c>
      <c r="J1968" s="3" t="s">
        <v>22</v>
      </c>
      <c r="K1968" s="3" t="s">
        <v>97</v>
      </c>
      <c r="L1968" s="3" t="s">
        <v>98</v>
      </c>
      <c r="M1968" s="3" t="s">
        <v>99</v>
      </c>
      <c r="N1968" s="3" t="s">
        <v>100</v>
      </c>
      <c r="O1968" s="5">
        <v>84.5932959</v>
      </c>
      <c r="P1968" s="6" t="str">
        <f t="shared" si="2"/>
        <v>Industrial Products</v>
      </c>
    </row>
    <row r="1969" hidden="1">
      <c r="A1969" s="3" t="s">
        <v>8282</v>
      </c>
      <c r="B1969" s="4">
        <v>531234.0</v>
      </c>
      <c r="C1969" s="3" t="s">
        <v>8283</v>
      </c>
      <c r="D1969" s="3" t="s">
        <v>8284</v>
      </c>
      <c r="E1969" s="3" t="s">
        <v>8285</v>
      </c>
      <c r="F1969" s="3" t="s">
        <v>19</v>
      </c>
      <c r="G1969" s="3" t="s">
        <v>44</v>
      </c>
      <c r="H1969" s="3">
        <v>10.0</v>
      </c>
      <c r="I1969" s="3" t="s">
        <v>8282</v>
      </c>
      <c r="J1969" s="3" t="s">
        <v>22</v>
      </c>
      <c r="K1969" s="3" t="s">
        <v>58</v>
      </c>
      <c r="L1969" s="3" t="s">
        <v>80</v>
      </c>
      <c r="M1969" s="3" t="s">
        <v>81</v>
      </c>
      <c r="N1969" s="3" t="s">
        <v>944</v>
      </c>
      <c r="O1969" s="5">
        <v>106.729428</v>
      </c>
      <c r="P1969" s="6" t="str">
        <f t="shared" si="2"/>
        <v>Textiles &amp; Apparels</v>
      </c>
    </row>
    <row r="1970" hidden="1">
      <c r="A1970" s="3" t="s">
        <v>8286</v>
      </c>
      <c r="B1970" s="4">
        <v>531235.0</v>
      </c>
      <c r="C1970" s="3" t="s">
        <v>8287</v>
      </c>
      <c r="D1970" s="3" t="s">
        <v>8288</v>
      </c>
      <c r="E1970" s="3" t="s">
        <v>8289</v>
      </c>
      <c r="F1970" s="3" t="s">
        <v>19</v>
      </c>
      <c r="G1970" s="3" t="s">
        <v>72</v>
      </c>
      <c r="H1970" s="3">
        <v>10.0</v>
      </c>
      <c r="I1970" s="3" t="s">
        <v>8286</v>
      </c>
      <c r="J1970" s="3" t="s">
        <v>22</v>
      </c>
      <c r="K1970" s="3" t="s">
        <v>204</v>
      </c>
      <c r="L1970" s="3" t="s">
        <v>204</v>
      </c>
      <c r="M1970" s="3" t="s">
        <v>378</v>
      </c>
      <c r="N1970" s="3" t="s">
        <v>379</v>
      </c>
      <c r="O1970" s="5">
        <v>1.0</v>
      </c>
      <c r="P1970" s="6" t="str">
        <f t="shared" si="2"/>
        <v>Non Banking Financial Company (NBFC)</v>
      </c>
    </row>
    <row r="1971" hidden="1">
      <c r="A1971" s="3" t="s">
        <v>8290</v>
      </c>
      <c r="B1971" s="4">
        <v>531237.0</v>
      </c>
      <c r="C1971" s="3" t="s">
        <v>8291</v>
      </c>
      <c r="D1971" s="3" t="s">
        <v>8292</v>
      </c>
      <c r="E1971" s="3" t="s">
        <v>8293</v>
      </c>
      <c r="F1971" s="3" t="s">
        <v>19</v>
      </c>
      <c r="G1971" s="3" t="s">
        <v>72</v>
      </c>
      <c r="H1971" s="3">
        <v>10.0</v>
      </c>
      <c r="I1971" s="3" t="s">
        <v>8290</v>
      </c>
      <c r="J1971" s="3" t="s">
        <v>22</v>
      </c>
      <c r="K1971" s="3" t="s">
        <v>204</v>
      </c>
      <c r="L1971" s="3" t="s">
        <v>204</v>
      </c>
      <c r="M1971" s="3" t="s">
        <v>378</v>
      </c>
      <c r="N1971" s="3" t="s">
        <v>379</v>
      </c>
      <c r="O1971" s="5">
        <v>1.0</v>
      </c>
      <c r="P1971" s="6" t="str">
        <f t="shared" si="2"/>
        <v>Non Banking Financial Company (NBFC)</v>
      </c>
    </row>
    <row r="1972" hidden="1">
      <c r="A1972" s="3" t="s">
        <v>8294</v>
      </c>
      <c r="B1972" s="4">
        <v>540809.0</v>
      </c>
      <c r="C1972" s="3" t="s">
        <v>8295</v>
      </c>
      <c r="D1972" s="3" t="s">
        <v>8296</v>
      </c>
      <c r="E1972" s="3" t="s">
        <v>8297</v>
      </c>
      <c r="F1972" s="3" t="s">
        <v>19</v>
      </c>
      <c r="G1972" s="3" t="s">
        <v>112</v>
      </c>
      <c r="H1972" s="3">
        <v>10.0</v>
      </c>
      <c r="I1972" s="3" t="s">
        <v>8298</v>
      </c>
      <c r="J1972" s="3" t="s">
        <v>22</v>
      </c>
      <c r="K1972" s="3" t="s">
        <v>1673</v>
      </c>
      <c r="L1972" s="3" t="s">
        <v>1673</v>
      </c>
      <c r="M1972" s="3" t="s">
        <v>1674</v>
      </c>
      <c r="N1972" s="3" t="s">
        <v>1915</v>
      </c>
      <c r="O1972" s="5">
        <v>25.950811</v>
      </c>
      <c r="P1972" s="6" t="str">
        <f t="shared" si="2"/>
        <v>Commercial Services &amp; Supplies</v>
      </c>
    </row>
    <row r="1973" hidden="1">
      <c r="A1973" s="3" t="s">
        <v>8299</v>
      </c>
      <c r="B1973" s="4">
        <v>531241.0</v>
      </c>
      <c r="C1973" s="3" t="s">
        <v>8300</v>
      </c>
      <c r="D1973" s="3" t="s">
        <v>8301</v>
      </c>
      <c r="E1973" s="3" t="s">
        <v>8302</v>
      </c>
      <c r="F1973" s="3" t="s">
        <v>19</v>
      </c>
      <c r="G1973" s="3" t="s">
        <v>112</v>
      </c>
      <c r="H1973" s="3">
        <v>10.0</v>
      </c>
      <c r="I1973" s="3" t="s">
        <v>8299</v>
      </c>
      <c r="J1973" s="3" t="s">
        <v>22</v>
      </c>
      <c r="K1973" s="3" t="s">
        <v>145</v>
      </c>
      <c r="L1973" s="3" t="s">
        <v>145</v>
      </c>
      <c r="M1973" s="3" t="s">
        <v>1757</v>
      </c>
      <c r="N1973" s="3" t="s">
        <v>5735</v>
      </c>
      <c r="O1973" s="5">
        <v>872.685481</v>
      </c>
      <c r="P1973" s="6" t="str">
        <f t="shared" si="2"/>
        <v>Household Products</v>
      </c>
    </row>
    <row r="1974" hidden="1">
      <c r="A1974" s="3" t="s">
        <v>8303</v>
      </c>
      <c r="B1974" s="4">
        <v>531246.0</v>
      </c>
      <c r="C1974" s="3" t="s">
        <v>8304</v>
      </c>
      <c r="D1974" s="3" t="s">
        <v>8305</v>
      </c>
      <c r="E1974" s="3" t="s">
        <v>8306</v>
      </c>
      <c r="F1974" s="3" t="s">
        <v>19</v>
      </c>
      <c r="G1974" s="3" t="s">
        <v>44</v>
      </c>
      <c r="H1974" s="3">
        <v>10.0</v>
      </c>
      <c r="I1974" s="3" t="s">
        <v>8303</v>
      </c>
      <c r="J1974" s="3" t="s">
        <v>22</v>
      </c>
      <c r="K1974" s="3" t="s">
        <v>145</v>
      </c>
      <c r="L1974" s="3" t="s">
        <v>145</v>
      </c>
      <c r="M1974" s="3" t="s">
        <v>146</v>
      </c>
      <c r="N1974" s="3" t="s">
        <v>575</v>
      </c>
      <c r="O1974" s="5">
        <v>25.0264202</v>
      </c>
      <c r="P1974" s="6" t="str">
        <f t="shared" si="2"/>
        <v>Agricultural Food &amp; other Products</v>
      </c>
    </row>
    <row r="1975" hidden="1">
      <c r="A1975" s="3" t="s">
        <v>8307</v>
      </c>
      <c r="B1975" s="4">
        <v>531253.0</v>
      </c>
      <c r="C1975" s="3" t="s">
        <v>8308</v>
      </c>
      <c r="D1975" s="3" t="s">
        <v>8309</v>
      </c>
      <c r="E1975" s="3" t="s">
        <v>8310</v>
      </c>
      <c r="F1975" s="3" t="s">
        <v>19</v>
      </c>
      <c r="G1975" s="3" t="s">
        <v>44</v>
      </c>
      <c r="H1975" s="3">
        <v>10.0</v>
      </c>
      <c r="I1975" s="3" t="s">
        <v>8307</v>
      </c>
      <c r="J1975" s="3" t="s">
        <v>22</v>
      </c>
      <c r="K1975" s="3" t="s">
        <v>23</v>
      </c>
      <c r="L1975" s="3" t="s">
        <v>24</v>
      </c>
      <c r="M1975" s="3" t="s">
        <v>25</v>
      </c>
      <c r="N1975" s="3" t="s">
        <v>26</v>
      </c>
      <c r="O1975" s="5">
        <v>282.3089052</v>
      </c>
      <c r="P1975" s="6" t="str">
        <f t="shared" si="2"/>
        <v>Specialty Chemicals</v>
      </c>
    </row>
    <row r="1976" hidden="1">
      <c r="A1976" s="3" t="s">
        <v>8311</v>
      </c>
      <c r="B1976" s="4">
        <v>531254.0</v>
      </c>
      <c r="C1976" s="3" t="s">
        <v>8312</v>
      </c>
      <c r="D1976" s="3" t="s">
        <v>8313</v>
      </c>
      <c r="E1976" s="3" t="s">
        <v>8314</v>
      </c>
      <c r="F1976" s="3" t="s">
        <v>19</v>
      </c>
      <c r="G1976" s="3" t="s">
        <v>44</v>
      </c>
      <c r="H1976" s="3">
        <v>10.0</v>
      </c>
      <c r="I1976" s="3" t="s">
        <v>8311</v>
      </c>
      <c r="J1976" s="3" t="s">
        <v>22</v>
      </c>
      <c r="K1976" s="3" t="s">
        <v>204</v>
      </c>
      <c r="L1976" s="3" t="s">
        <v>204</v>
      </c>
      <c r="M1976" s="3" t="s">
        <v>378</v>
      </c>
      <c r="N1976" s="3" t="s">
        <v>379</v>
      </c>
      <c r="O1976" s="5">
        <v>81.9140121</v>
      </c>
      <c r="P1976" s="6" t="str">
        <f t="shared" si="2"/>
        <v>Non Banking Financial Company (NBFC)</v>
      </c>
    </row>
    <row r="1977" hidden="1">
      <c r="A1977" s="3" t="s">
        <v>8315</v>
      </c>
      <c r="B1977" s="4">
        <v>531255.0</v>
      </c>
      <c r="C1977" s="3" t="s">
        <v>8316</v>
      </c>
      <c r="D1977" s="3" t="s">
        <v>8317</v>
      </c>
      <c r="E1977" s="3" t="s">
        <v>8318</v>
      </c>
      <c r="F1977" s="3" t="s">
        <v>19</v>
      </c>
      <c r="G1977" s="3" t="s">
        <v>72</v>
      </c>
      <c r="H1977" s="3">
        <v>10.0</v>
      </c>
      <c r="I1977" s="3" t="s">
        <v>8315</v>
      </c>
      <c r="J1977" s="3" t="s">
        <v>22</v>
      </c>
      <c r="K1977" s="3" t="s">
        <v>204</v>
      </c>
      <c r="L1977" s="3" t="s">
        <v>204</v>
      </c>
      <c r="M1977" s="3" t="s">
        <v>378</v>
      </c>
      <c r="N1977" s="3" t="s">
        <v>379</v>
      </c>
      <c r="O1977" s="5">
        <v>24.3540541</v>
      </c>
      <c r="P1977" s="6" t="str">
        <f t="shared" si="2"/>
        <v>Non Banking Financial Company (NBFC)</v>
      </c>
    </row>
    <row r="1978" hidden="1">
      <c r="A1978" s="3" t="s">
        <v>8319</v>
      </c>
      <c r="B1978" s="4">
        <v>531257.0</v>
      </c>
      <c r="C1978" s="3" t="s">
        <v>8320</v>
      </c>
      <c r="D1978" s="3" t="s">
        <v>8321</v>
      </c>
      <c r="E1978" s="3" t="s">
        <v>8322</v>
      </c>
      <c r="F1978" s="3" t="s">
        <v>19</v>
      </c>
      <c r="G1978" s="3" t="s">
        <v>72</v>
      </c>
      <c r="H1978" s="3">
        <v>10.0</v>
      </c>
      <c r="I1978" s="3" t="s">
        <v>8319</v>
      </c>
      <c r="J1978" s="3" t="s">
        <v>22</v>
      </c>
      <c r="K1978" s="3" t="s">
        <v>23</v>
      </c>
      <c r="L1978" s="3" t="s">
        <v>24</v>
      </c>
      <c r="M1978" s="3" t="s">
        <v>25</v>
      </c>
      <c r="N1978" s="3" t="s">
        <v>26</v>
      </c>
      <c r="O1978" s="5">
        <v>12.2005124</v>
      </c>
      <c r="P1978" s="6" t="str">
        <f t="shared" si="2"/>
        <v>Specialty Chemicals</v>
      </c>
    </row>
    <row r="1979" hidden="1">
      <c r="A1979" s="3" t="s">
        <v>8323</v>
      </c>
      <c r="B1979" s="4">
        <v>531259.0</v>
      </c>
      <c r="C1979" s="3" t="s">
        <v>8324</v>
      </c>
      <c r="D1979" s="3" t="s">
        <v>8325</v>
      </c>
      <c r="E1979" s="3" t="s">
        <v>8324</v>
      </c>
      <c r="F1979" s="3" t="s">
        <v>19</v>
      </c>
      <c r="G1979" s="3" t="s">
        <v>72</v>
      </c>
      <c r="H1979" s="3">
        <v>10.0</v>
      </c>
      <c r="I1979" s="3" t="s">
        <v>8323</v>
      </c>
      <c r="J1979" s="3" t="s">
        <v>22</v>
      </c>
      <c r="K1979" s="3" t="s">
        <v>58</v>
      </c>
      <c r="L1979" s="3" t="s">
        <v>182</v>
      </c>
      <c r="M1979" s="3" t="s">
        <v>183</v>
      </c>
      <c r="N1979" s="3" t="s">
        <v>6800</v>
      </c>
      <c r="O1979" s="5">
        <v>9.4705201</v>
      </c>
      <c r="P1979" s="6" t="str">
        <f t="shared" si="2"/>
        <v>Media</v>
      </c>
    </row>
    <row r="1980" hidden="1">
      <c r="A1980" s="3" t="s">
        <v>8326</v>
      </c>
      <c r="B1980" s="4">
        <v>531260.0</v>
      </c>
      <c r="C1980" s="3" t="s">
        <v>8327</v>
      </c>
      <c r="D1980" s="3" t="s">
        <v>8328</v>
      </c>
      <c r="E1980" s="3" t="s">
        <v>8329</v>
      </c>
      <c r="F1980" s="3" t="s">
        <v>19</v>
      </c>
      <c r="G1980" s="3" t="s">
        <v>44</v>
      </c>
      <c r="H1980" s="3">
        <v>10.0</v>
      </c>
      <c r="I1980" s="3" t="s">
        <v>8326</v>
      </c>
      <c r="J1980" s="3" t="s">
        <v>22</v>
      </c>
      <c r="K1980" s="3" t="s">
        <v>97</v>
      </c>
      <c r="L1980" s="3" t="s">
        <v>965</v>
      </c>
      <c r="M1980" s="3" t="s">
        <v>965</v>
      </c>
      <c r="N1980" s="3" t="s">
        <v>966</v>
      </c>
      <c r="O1980" s="5">
        <v>202.000444</v>
      </c>
      <c r="P1980" s="6" t="str">
        <f t="shared" si="2"/>
        <v>Civil Construction</v>
      </c>
    </row>
    <row r="1981" hidden="1">
      <c r="A1981" s="3" t="s">
        <v>8330</v>
      </c>
      <c r="B1981" s="4">
        <v>531266.0</v>
      </c>
      <c r="C1981" s="3" t="s">
        <v>8331</v>
      </c>
      <c r="D1981" s="3" t="s">
        <v>8332</v>
      </c>
      <c r="E1981" s="3" t="s">
        <v>8333</v>
      </c>
      <c r="F1981" s="3" t="s">
        <v>19</v>
      </c>
      <c r="G1981" s="3" t="s">
        <v>112</v>
      </c>
      <c r="H1981" s="3">
        <v>10.0</v>
      </c>
      <c r="I1981" s="3" t="s">
        <v>8330</v>
      </c>
      <c r="J1981" s="3" t="s">
        <v>22</v>
      </c>
      <c r="K1981" s="3" t="s">
        <v>97</v>
      </c>
      <c r="L1981" s="3" t="s">
        <v>98</v>
      </c>
      <c r="M1981" s="3" t="s">
        <v>1993</v>
      </c>
      <c r="N1981" s="3" t="s">
        <v>8334</v>
      </c>
      <c r="O1981" s="5">
        <v>3617.3452137</v>
      </c>
      <c r="P1981" s="6" t="str">
        <f t="shared" si="2"/>
        <v>Agricultural, Commercial &amp; Construction Vehicles</v>
      </c>
    </row>
    <row r="1982" hidden="1">
      <c r="A1982" s="3" t="s">
        <v>8335</v>
      </c>
      <c r="B1982" s="4">
        <v>531268.0</v>
      </c>
      <c r="C1982" s="3" t="s">
        <v>8336</v>
      </c>
      <c r="D1982" s="3" t="s">
        <v>8337</v>
      </c>
      <c r="E1982" s="3" t="s">
        <v>8338</v>
      </c>
      <c r="F1982" s="3" t="s">
        <v>19</v>
      </c>
      <c r="G1982" s="3" t="s">
        <v>44</v>
      </c>
      <c r="H1982" s="3">
        <v>10.0</v>
      </c>
      <c r="I1982" s="3" t="s">
        <v>8335</v>
      </c>
      <c r="J1982" s="3" t="s">
        <v>22</v>
      </c>
      <c r="K1982" s="3" t="s">
        <v>473</v>
      </c>
      <c r="L1982" s="3" t="s">
        <v>473</v>
      </c>
      <c r="M1982" s="3" t="s">
        <v>1391</v>
      </c>
      <c r="N1982" s="3" t="s">
        <v>1392</v>
      </c>
      <c r="O1982" s="5">
        <v>30.7609087</v>
      </c>
      <c r="P1982" s="6" t="str">
        <f t="shared" si="2"/>
        <v>IT - Software</v>
      </c>
    </row>
    <row r="1983" hidden="1">
      <c r="A1983" s="3" t="s">
        <v>8339</v>
      </c>
      <c r="B1983" s="4">
        <v>531272.0</v>
      </c>
      <c r="C1983" s="3" t="s">
        <v>8340</v>
      </c>
      <c r="D1983" s="3" t="s">
        <v>8341</v>
      </c>
      <c r="E1983" s="3" t="s">
        <v>8342</v>
      </c>
      <c r="F1983" s="3" t="s">
        <v>19</v>
      </c>
      <c r="G1983" s="3" t="s">
        <v>44</v>
      </c>
      <c r="H1983" s="3">
        <v>10.0</v>
      </c>
      <c r="I1983" s="3" t="s">
        <v>8339</v>
      </c>
      <c r="J1983" s="3" t="s">
        <v>22</v>
      </c>
      <c r="K1983" s="3" t="s">
        <v>204</v>
      </c>
      <c r="L1983" s="3" t="s">
        <v>204</v>
      </c>
      <c r="M1983" s="3" t="s">
        <v>378</v>
      </c>
      <c r="N1983" s="3" t="s">
        <v>379</v>
      </c>
      <c r="O1983" s="5">
        <v>1.0</v>
      </c>
      <c r="P1983" s="6" t="str">
        <f t="shared" si="2"/>
        <v>Non Banking Financial Company (NBFC)</v>
      </c>
    </row>
    <row r="1984" hidden="1">
      <c r="A1984" s="3" t="s">
        <v>8343</v>
      </c>
      <c r="B1984" s="4">
        <v>531273.0</v>
      </c>
      <c r="C1984" s="3" t="s">
        <v>8344</v>
      </c>
      <c r="D1984" s="3" t="s">
        <v>8345</v>
      </c>
      <c r="E1984" s="3" t="s">
        <v>8346</v>
      </c>
      <c r="F1984" s="3" t="s">
        <v>19</v>
      </c>
      <c r="G1984" s="3" t="s">
        <v>44</v>
      </c>
      <c r="H1984" s="3">
        <v>1.0</v>
      </c>
      <c r="I1984" s="3" t="s">
        <v>8343</v>
      </c>
      <c r="J1984" s="3" t="s">
        <v>22</v>
      </c>
      <c r="K1984" s="3" t="s">
        <v>58</v>
      </c>
      <c r="L1984" s="3" t="s">
        <v>59</v>
      </c>
      <c r="M1984" s="3" t="s">
        <v>59</v>
      </c>
      <c r="N1984" s="3" t="s">
        <v>60</v>
      </c>
      <c r="O1984" s="5">
        <v>198.1127827</v>
      </c>
      <c r="P1984" s="6" t="str">
        <f t="shared" si="2"/>
        <v>Residential, Commercial Projects</v>
      </c>
    </row>
    <row r="1985" hidden="1">
      <c r="A1985" s="3" t="s">
        <v>8347</v>
      </c>
      <c r="B1985" s="4">
        <v>531278.0</v>
      </c>
      <c r="C1985" s="3" t="s">
        <v>8348</v>
      </c>
      <c r="D1985" s="3" t="s">
        <v>8349</v>
      </c>
      <c r="E1985" s="3" t="s">
        <v>8350</v>
      </c>
      <c r="F1985" s="3" t="s">
        <v>19</v>
      </c>
      <c r="G1985" s="3" t="s">
        <v>72</v>
      </c>
      <c r="H1985" s="3">
        <v>10.0</v>
      </c>
      <c r="I1985" s="3" t="s">
        <v>8347</v>
      </c>
      <c r="J1985" s="3" t="s">
        <v>22</v>
      </c>
      <c r="K1985" s="3" t="s">
        <v>204</v>
      </c>
      <c r="L1985" s="3" t="s">
        <v>204</v>
      </c>
      <c r="M1985" s="3" t="s">
        <v>378</v>
      </c>
      <c r="N1985" s="3" t="s">
        <v>468</v>
      </c>
      <c r="O1985" s="5">
        <v>1.0</v>
      </c>
      <c r="P1985" s="6" t="str">
        <f t="shared" si="2"/>
        <v>Finance</v>
      </c>
    </row>
    <row r="1986" hidden="1">
      <c r="A1986" s="3" t="s">
        <v>8351</v>
      </c>
      <c r="B1986" s="4">
        <v>531279.0</v>
      </c>
      <c r="C1986" s="3" t="s">
        <v>8352</v>
      </c>
      <c r="D1986" s="3" t="s">
        <v>8353</v>
      </c>
      <c r="E1986" s="3" t="s">
        <v>8354</v>
      </c>
      <c r="F1986" s="3" t="s">
        <v>19</v>
      </c>
      <c r="G1986" s="3" t="s">
        <v>72</v>
      </c>
      <c r="H1986" s="3">
        <v>2.0</v>
      </c>
      <c r="I1986" s="3" t="s">
        <v>8351</v>
      </c>
      <c r="J1986" s="3" t="s">
        <v>22</v>
      </c>
      <c r="K1986" s="3" t="s">
        <v>204</v>
      </c>
      <c r="L1986" s="3" t="s">
        <v>204</v>
      </c>
      <c r="M1986" s="3" t="s">
        <v>378</v>
      </c>
      <c r="N1986" s="3" t="s">
        <v>379</v>
      </c>
      <c r="O1986" s="5">
        <v>72.1217622</v>
      </c>
      <c r="P1986" s="6" t="str">
        <f t="shared" si="2"/>
        <v>Non Banking Financial Company (NBFC)</v>
      </c>
    </row>
    <row r="1987" hidden="1">
      <c r="A1987" s="3" t="s">
        <v>8355</v>
      </c>
      <c r="B1987" s="4">
        <v>531280.0</v>
      </c>
      <c r="C1987" s="3" t="s">
        <v>8356</v>
      </c>
      <c r="D1987" s="3" t="s">
        <v>8357</v>
      </c>
      <c r="E1987" s="3" t="s">
        <v>8358</v>
      </c>
      <c r="F1987" s="3" t="s">
        <v>19</v>
      </c>
      <c r="G1987" s="3" t="s">
        <v>72</v>
      </c>
      <c r="H1987" s="3">
        <v>10.0</v>
      </c>
      <c r="I1987" s="3" t="s">
        <v>8355</v>
      </c>
      <c r="J1987" s="3" t="s">
        <v>22</v>
      </c>
      <c r="K1987" s="3" t="s">
        <v>97</v>
      </c>
      <c r="L1987" s="3" t="s">
        <v>98</v>
      </c>
      <c r="M1987" s="3" t="s">
        <v>100</v>
      </c>
      <c r="N1987" s="3" t="s">
        <v>373</v>
      </c>
      <c r="O1987" s="5">
        <v>1.0</v>
      </c>
      <c r="P1987" s="6" t="str">
        <f t="shared" si="2"/>
        <v>Industrial Products</v>
      </c>
    </row>
    <row r="1988" hidden="1">
      <c r="A1988" s="3" t="s">
        <v>8359</v>
      </c>
      <c r="B1988" s="4">
        <v>531281.0</v>
      </c>
      <c r="C1988" s="3" t="s">
        <v>8360</v>
      </c>
      <c r="D1988" s="3" t="s">
        <v>8361</v>
      </c>
      <c r="E1988" s="3" t="s">
        <v>8362</v>
      </c>
      <c r="F1988" s="3" t="s">
        <v>19</v>
      </c>
      <c r="G1988" s="3" t="s">
        <v>72</v>
      </c>
      <c r="H1988" s="3">
        <v>5.0</v>
      </c>
      <c r="I1988" s="3" t="s">
        <v>8359</v>
      </c>
      <c r="J1988" s="3" t="s">
        <v>22</v>
      </c>
      <c r="K1988" s="3" t="s">
        <v>23</v>
      </c>
      <c r="L1988" s="3" t="s">
        <v>162</v>
      </c>
      <c r="M1988" s="3" t="s">
        <v>1491</v>
      </c>
      <c r="N1988" s="3" t="s">
        <v>1491</v>
      </c>
      <c r="O1988" s="5">
        <v>17.298848</v>
      </c>
      <c r="P1988" s="6" t="str">
        <f t="shared" si="2"/>
        <v>Other Construction Materials</v>
      </c>
    </row>
    <row r="1989" hidden="1">
      <c r="A1989" s="3" t="s">
        <v>8363</v>
      </c>
      <c r="B1989" s="4">
        <v>531283.0</v>
      </c>
      <c r="C1989" s="3" t="s">
        <v>8364</v>
      </c>
      <c r="D1989" s="3" t="s">
        <v>8365</v>
      </c>
      <c r="E1989" s="3" t="s">
        <v>8366</v>
      </c>
      <c r="F1989" s="3" t="s">
        <v>19</v>
      </c>
      <c r="G1989" s="3" t="s">
        <v>44</v>
      </c>
      <c r="H1989" s="3">
        <v>10.0</v>
      </c>
      <c r="I1989" s="3" t="s">
        <v>8363</v>
      </c>
      <c r="J1989" s="3" t="s">
        <v>22</v>
      </c>
      <c r="K1989" s="3" t="s">
        <v>204</v>
      </c>
      <c r="L1989" s="3" t="s">
        <v>204</v>
      </c>
      <c r="M1989" s="3" t="s">
        <v>378</v>
      </c>
      <c r="N1989" s="3" t="s">
        <v>379</v>
      </c>
      <c r="O1989" s="5">
        <v>1.0</v>
      </c>
      <c r="P1989" s="6" t="str">
        <f t="shared" si="2"/>
        <v>Non Banking Financial Company (NBFC)</v>
      </c>
    </row>
    <row r="1990" hidden="1">
      <c r="A1990" s="3" t="s">
        <v>8367</v>
      </c>
      <c r="B1990" s="4">
        <v>531287.0</v>
      </c>
      <c r="C1990" s="3" t="s">
        <v>8368</v>
      </c>
      <c r="D1990" s="3" t="s">
        <v>8369</v>
      </c>
      <c r="E1990" s="3" t="s">
        <v>8370</v>
      </c>
      <c r="F1990" s="3" t="s">
        <v>19</v>
      </c>
      <c r="G1990" s="3" t="s">
        <v>44</v>
      </c>
      <c r="H1990" s="3">
        <v>10.0</v>
      </c>
      <c r="I1990" s="3" t="s">
        <v>8367</v>
      </c>
      <c r="J1990" s="3" t="s">
        <v>22</v>
      </c>
      <c r="K1990" s="3" t="s">
        <v>97</v>
      </c>
      <c r="L1990" s="3" t="s">
        <v>98</v>
      </c>
      <c r="M1990" s="3" t="s">
        <v>100</v>
      </c>
      <c r="N1990" s="3" t="s">
        <v>580</v>
      </c>
      <c r="O1990" s="5">
        <v>247.6014643</v>
      </c>
      <c r="P1990" s="6" t="str">
        <f t="shared" si="2"/>
        <v>Industrial Products</v>
      </c>
    </row>
    <row r="1991" hidden="1">
      <c r="A1991" s="3" t="s">
        <v>8371</v>
      </c>
      <c r="B1991" s="4">
        <v>531288.0</v>
      </c>
      <c r="C1991" s="3" t="s">
        <v>8372</v>
      </c>
      <c r="D1991" s="3" t="s">
        <v>8373</v>
      </c>
      <c r="E1991" s="3" t="s">
        <v>8374</v>
      </c>
      <c r="F1991" s="3" t="s">
        <v>19</v>
      </c>
      <c r="G1991" s="3" t="s">
        <v>44</v>
      </c>
      <c r="H1991" s="3">
        <v>10.0</v>
      </c>
      <c r="I1991" s="3" t="s">
        <v>8371</v>
      </c>
      <c r="J1991" s="3" t="s">
        <v>22</v>
      </c>
      <c r="K1991" s="3" t="s">
        <v>204</v>
      </c>
      <c r="L1991" s="3" t="s">
        <v>204</v>
      </c>
      <c r="M1991" s="3" t="s">
        <v>378</v>
      </c>
      <c r="N1991" s="3" t="s">
        <v>379</v>
      </c>
      <c r="O1991" s="5">
        <v>5.8552077</v>
      </c>
      <c r="P1991" s="6" t="str">
        <f t="shared" si="2"/>
        <v>Non Banking Financial Company (NBFC)</v>
      </c>
    </row>
    <row r="1992" hidden="1">
      <c r="A1992" s="3" t="s">
        <v>8375</v>
      </c>
      <c r="B1992" s="4">
        <v>531289.0</v>
      </c>
      <c r="C1992" s="3" t="s">
        <v>8376</v>
      </c>
      <c r="D1992" s="3" t="s">
        <v>8377</v>
      </c>
      <c r="E1992" s="3" t="s">
        <v>8376</v>
      </c>
      <c r="F1992" s="3" t="s">
        <v>19</v>
      </c>
      <c r="G1992" s="3" t="s">
        <v>44</v>
      </c>
      <c r="H1992" s="3">
        <v>10.0</v>
      </c>
      <c r="I1992" s="3" t="s">
        <v>8375</v>
      </c>
      <c r="J1992" s="3" t="s">
        <v>22</v>
      </c>
      <c r="K1992" s="3" t="s">
        <v>97</v>
      </c>
      <c r="L1992" s="3" t="s">
        <v>98</v>
      </c>
      <c r="M1992" s="3" t="s">
        <v>100</v>
      </c>
      <c r="N1992" s="3" t="s">
        <v>612</v>
      </c>
      <c r="O1992" s="5">
        <v>127.8792882</v>
      </c>
      <c r="P1992" s="6" t="str">
        <f t="shared" si="2"/>
        <v>Industrial Products</v>
      </c>
    </row>
    <row r="1993" hidden="1">
      <c r="A1993" s="3" t="s">
        <v>6857</v>
      </c>
      <c r="B1993" s="4">
        <v>519483.0</v>
      </c>
      <c r="C1993" s="3" t="s">
        <v>8378</v>
      </c>
      <c r="D1993" s="3" t="s">
        <v>8379</v>
      </c>
      <c r="E1993" s="3" t="s">
        <v>8380</v>
      </c>
      <c r="F1993" s="3" t="s">
        <v>19</v>
      </c>
      <c r="G1993" s="3" t="s">
        <v>44</v>
      </c>
      <c r="H1993" s="3">
        <v>10.0</v>
      </c>
      <c r="I1993" s="3" t="s">
        <v>5127</v>
      </c>
      <c r="J1993" s="3" t="s">
        <v>22</v>
      </c>
      <c r="K1993" s="3" t="s">
        <v>1673</v>
      </c>
      <c r="L1993" s="3" t="s">
        <v>1673</v>
      </c>
      <c r="M1993" s="3" t="s">
        <v>1674</v>
      </c>
      <c r="N1993" s="3" t="s">
        <v>1915</v>
      </c>
      <c r="O1993" s="5">
        <v>25.5974737</v>
      </c>
      <c r="P1993" s="6" t="str">
        <f t="shared" si="2"/>
        <v>Commercial Services &amp; Supplies</v>
      </c>
    </row>
    <row r="1994" hidden="1">
      <c r="A1994" s="3" t="s">
        <v>8381</v>
      </c>
      <c r="B1994" s="4">
        <v>531300.0</v>
      </c>
      <c r="C1994" s="3" t="s">
        <v>8382</v>
      </c>
      <c r="D1994" s="3" t="s">
        <v>8383</v>
      </c>
      <c r="E1994" s="3" t="s">
        <v>8384</v>
      </c>
      <c r="F1994" s="3" t="s">
        <v>19</v>
      </c>
      <c r="G1994" s="3" t="s">
        <v>57</v>
      </c>
      <c r="H1994" s="3">
        <v>10.0</v>
      </c>
      <c r="I1994" s="3" t="s">
        <v>8381</v>
      </c>
      <c r="J1994" s="3" t="s">
        <v>22</v>
      </c>
      <c r="K1994" s="3" t="s">
        <v>58</v>
      </c>
      <c r="L1994" s="3" t="s">
        <v>80</v>
      </c>
      <c r="M1994" s="3" t="s">
        <v>81</v>
      </c>
      <c r="N1994" s="3" t="s">
        <v>82</v>
      </c>
      <c r="O1994" s="5">
        <v>1.0</v>
      </c>
      <c r="P1994" s="6" t="str">
        <f t="shared" si="2"/>
        <v>Textiles &amp; Apparels</v>
      </c>
    </row>
    <row r="1995" hidden="1">
      <c r="A1995" s="3" t="s">
        <v>8385</v>
      </c>
      <c r="B1995" s="4">
        <v>531304.0</v>
      </c>
      <c r="C1995" s="3" t="s">
        <v>8386</v>
      </c>
      <c r="D1995" s="3" t="s">
        <v>8387</v>
      </c>
      <c r="E1995" s="3" t="s">
        <v>8388</v>
      </c>
      <c r="F1995" s="3" t="s">
        <v>19</v>
      </c>
      <c r="G1995" s="3" t="s">
        <v>72</v>
      </c>
      <c r="H1995" s="3">
        <v>10.0</v>
      </c>
      <c r="I1995" s="3" t="s">
        <v>8385</v>
      </c>
      <c r="J1995" s="3" t="s">
        <v>22</v>
      </c>
      <c r="K1995" s="3" t="s">
        <v>58</v>
      </c>
      <c r="L1995" s="3" t="s">
        <v>80</v>
      </c>
      <c r="M1995" s="3" t="s">
        <v>81</v>
      </c>
      <c r="N1995" s="3" t="s">
        <v>82</v>
      </c>
      <c r="O1995" s="5">
        <v>1.0</v>
      </c>
      <c r="P1995" s="6" t="str">
        <f t="shared" si="2"/>
        <v>Textiles &amp; Apparels</v>
      </c>
    </row>
    <row r="1996" hidden="1">
      <c r="A1996" s="3" t="s">
        <v>8389</v>
      </c>
      <c r="B1996" s="4">
        <v>531306.0</v>
      </c>
      <c r="C1996" s="3" t="s">
        <v>8390</v>
      </c>
      <c r="D1996" s="3" t="s">
        <v>8391</v>
      </c>
      <c r="E1996" s="3" t="s">
        <v>8392</v>
      </c>
      <c r="F1996" s="3" t="s">
        <v>19</v>
      </c>
      <c r="G1996" s="3" t="s">
        <v>44</v>
      </c>
      <c r="H1996" s="3">
        <v>10.0</v>
      </c>
      <c r="I1996" s="3" t="s">
        <v>8389</v>
      </c>
      <c r="J1996" s="3" t="s">
        <v>22</v>
      </c>
      <c r="K1996" s="3" t="s">
        <v>410</v>
      </c>
      <c r="L1996" s="3" t="s">
        <v>411</v>
      </c>
      <c r="M1996" s="3" t="s">
        <v>412</v>
      </c>
      <c r="N1996" s="3" t="s">
        <v>821</v>
      </c>
      <c r="O1996" s="5">
        <v>218.235033</v>
      </c>
      <c r="P1996" s="6" t="str">
        <f t="shared" si="2"/>
        <v>Oil</v>
      </c>
    </row>
    <row r="1997" hidden="1">
      <c r="A1997" s="3" t="s">
        <v>8393</v>
      </c>
      <c r="B1997" s="4">
        <v>531307.0</v>
      </c>
      <c r="C1997" s="3" t="s">
        <v>8394</v>
      </c>
      <c r="D1997" s="3" t="s">
        <v>8395</v>
      </c>
      <c r="E1997" s="3" t="s">
        <v>8396</v>
      </c>
      <c r="F1997" s="3" t="s">
        <v>19</v>
      </c>
      <c r="G1997" s="3" t="s">
        <v>44</v>
      </c>
      <c r="H1997" s="3">
        <v>5.0</v>
      </c>
      <c r="I1997" s="3" t="s">
        <v>8393</v>
      </c>
      <c r="J1997" s="3" t="s">
        <v>22</v>
      </c>
      <c r="K1997" s="3" t="s">
        <v>58</v>
      </c>
      <c r="L1997" s="3" t="s">
        <v>80</v>
      </c>
      <c r="M1997" s="3" t="s">
        <v>81</v>
      </c>
      <c r="N1997" s="3" t="s">
        <v>82</v>
      </c>
      <c r="O1997" s="5">
        <v>284.8262018</v>
      </c>
      <c r="P1997" s="6" t="str">
        <f t="shared" si="2"/>
        <v>Textiles &amp; Apparels</v>
      </c>
    </row>
    <row r="1998" hidden="1">
      <c r="A1998" s="3" t="s">
        <v>8397</v>
      </c>
      <c r="B1998" s="4">
        <v>531310.0</v>
      </c>
      <c r="C1998" s="3" t="s">
        <v>8398</v>
      </c>
      <c r="D1998" s="3" t="s">
        <v>8399</v>
      </c>
      <c r="E1998" s="3" t="s">
        <v>8400</v>
      </c>
      <c r="F1998" s="3" t="s">
        <v>19</v>
      </c>
      <c r="G1998" s="3" t="s">
        <v>44</v>
      </c>
      <c r="H1998" s="3">
        <v>10.0</v>
      </c>
      <c r="I1998" s="3" t="s">
        <v>8397</v>
      </c>
      <c r="J1998" s="3" t="s">
        <v>22</v>
      </c>
      <c r="K1998" s="3" t="s">
        <v>204</v>
      </c>
      <c r="L1998" s="3" t="s">
        <v>204</v>
      </c>
      <c r="M1998" s="3" t="s">
        <v>378</v>
      </c>
      <c r="N1998" s="3" t="s">
        <v>379</v>
      </c>
      <c r="O1998" s="5">
        <v>281.3241783</v>
      </c>
      <c r="P1998" s="6" t="str">
        <f t="shared" si="2"/>
        <v>Non Banking Financial Company (NBFC)</v>
      </c>
    </row>
    <row r="1999" hidden="1">
      <c r="A1999" s="3" t="s">
        <v>8401</v>
      </c>
      <c r="B1999" s="4">
        <v>531314.0</v>
      </c>
      <c r="C1999" s="3" t="s">
        <v>8402</v>
      </c>
      <c r="D1999" s="3" t="s">
        <v>8403</v>
      </c>
      <c r="E1999" s="3" t="s">
        <v>8404</v>
      </c>
      <c r="F1999" s="3" t="s">
        <v>19</v>
      </c>
      <c r="G1999" s="3" t="s">
        <v>44</v>
      </c>
      <c r="H1999" s="3">
        <v>10.0</v>
      </c>
      <c r="I1999" s="3" t="s">
        <v>8401</v>
      </c>
      <c r="J1999" s="3" t="s">
        <v>22</v>
      </c>
      <c r="K1999" s="3" t="s">
        <v>204</v>
      </c>
      <c r="L1999" s="3" t="s">
        <v>204</v>
      </c>
      <c r="M1999" s="3" t="s">
        <v>378</v>
      </c>
      <c r="N1999" s="3" t="s">
        <v>379</v>
      </c>
      <c r="O1999" s="5">
        <v>1.0</v>
      </c>
      <c r="P1999" s="6" t="str">
        <f t="shared" si="2"/>
        <v>Non Banking Financial Company (NBFC)</v>
      </c>
    </row>
    <row r="2000" hidden="1">
      <c r="A2000" s="3" t="s">
        <v>8405</v>
      </c>
      <c r="B2000" s="4">
        <v>531322.0</v>
      </c>
      <c r="C2000" s="3" t="s">
        <v>8406</v>
      </c>
      <c r="D2000" s="3" t="s">
        <v>8407</v>
      </c>
      <c r="E2000" s="3" t="s">
        <v>8408</v>
      </c>
      <c r="F2000" s="3" t="s">
        <v>19</v>
      </c>
      <c r="G2000" s="3" t="s">
        <v>112</v>
      </c>
      <c r="H2000" s="3">
        <v>2.0</v>
      </c>
      <c r="I2000" s="3" t="s">
        <v>8405</v>
      </c>
      <c r="J2000" s="3" t="s">
        <v>22</v>
      </c>
      <c r="K2000" s="3" t="s">
        <v>58</v>
      </c>
      <c r="L2000" s="3" t="s">
        <v>73</v>
      </c>
      <c r="M2000" s="3" t="s">
        <v>74</v>
      </c>
      <c r="N2000" s="3" t="s">
        <v>75</v>
      </c>
      <c r="O2000" s="5">
        <v>39.2881565</v>
      </c>
      <c r="P2000" s="6" t="str">
        <f t="shared" si="2"/>
        <v>Leisure Services</v>
      </c>
    </row>
    <row r="2001" hidden="1">
      <c r="A2001" s="3" t="s">
        <v>8409</v>
      </c>
      <c r="B2001" s="4">
        <v>531323.0</v>
      </c>
      <c r="C2001" s="3" t="s">
        <v>8410</v>
      </c>
      <c r="D2001" s="3" t="s">
        <v>8411</v>
      </c>
      <c r="E2001" s="3" t="s">
        <v>8412</v>
      </c>
      <c r="F2001" s="3" t="s">
        <v>19</v>
      </c>
      <c r="G2001" s="3" t="s">
        <v>72</v>
      </c>
      <c r="H2001" s="3">
        <v>10.0</v>
      </c>
      <c r="I2001" s="3" t="s">
        <v>8409</v>
      </c>
      <c r="J2001" s="3" t="s">
        <v>22</v>
      </c>
      <c r="K2001" s="3" t="s">
        <v>58</v>
      </c>
      <c r="L2001" s="3" t="s">
        <v>80</v>
      </c>
      <c r="M2001" s="3" t="s">
        <v>81</v>
      </c>
      <c r="N2001" s="3" t="s">
        <v>82</v>
      </c>
      <c r="O2001" s="5">
        <v>1.0</v>
      </c>
      <c r="P2001" s="6" t="str">
        <f t="shared" si="2"/>
        <v>Textiles &amp; Apparels</v>
      </c>
    </row>
    <row r="2002" hidden="1">
      <c r="A2002" s="3" t="s">
        <v>8413</v>
      </c>
      <c r="B2002" s="4">
        <v>531324.0</v>
      </c>
      <c r="C2002" s="3" t="s">
        <v>8414</v>
      </c>
      <c r="D2002" s="3" t="s">
        <v>8415</v>
      </c>
      <c r="E2002" s="3" t="s">
        <v>8416</v>
      </c>
      <c r="F2002" s="3" t="s">
        <v>19</v>
      </c>
      <c r="G2002" s="3" t="s">
        <v>44</v>
      </c>
      <c r="H2002" s="3">
        <v>10.0</v>
      </c>
      <c r="I2002" s="3" t="s">
        <v>8413</v>
      </c>
      <c r="J2002" s="3" t="s">
        <v>22</v>
      </c>
      <c r="K2002" s="3" t="s">
        <v>204</v>
      </c>
      <c r="L2002" s="3" t="s">
        <v>204</v>
      </c>
      <c r="M2002" s="3" t="s">
        <v>378</v>
      </c>
      <c r="N2002" s="3" t="s">
        <v>468</v>
      </c>
      <c r="O2002" s="5">
        <v>31.4059872</v>
      </c>
      <c r="P2002" s="6" t="str">
        <f t="shared" si="2"/>
        <v>Finance</v>
      </c>
    </row>
    <row r="2003" hidden="1">
      <c r="A2003" s="3" t="s">
        <v>8417</v>
      </c>
      <c r="B2003" s="4">
        <v>531328.0</v>
      </c>
      <c r="C2003" s="3" t="s">
        <v>8418</v>
      </c>
      <c r="D2003" s="3" t="s">
        <v>8419</v>
      </c>
      <c r="E2003" s="3" t="s">
        <v>8420</v>
      </c>
      <c r="F2003" s="3" t="s">
        <v>19</v>
      </c>
      <c r="G2003" s="3" t="s">
        <v>72</v>
      </c>
      <c r="H2003" s="3">
        <v>1.0</v>
      </c>
      <c r="I2003" s="3" t="s">
        <v>8417</v>
      </c>
      <c r="J2003" s="3" t="s">
        <v>22</v>
      </c>
      <c r="K2003" s="3" t="s">
        <v>58</v>
      </c>
      <c r="L2003" s="3" t="s">
        <v>59</v>
      </c>
      <c r="M2003" s="3" t="s">
        <v>59</v>
      </c>
      <c r="N2003" s="3" t="s">
        <v>60</v>
      </c>
      <c r="O2003" s="5">
        <v>18.1030523</v>
      </c>
      <c r="P2003" s="6" t="str">
        <f t="shared" si="2"/>
        <v>Residential, Commercial Projects</v>
      </c>
    </row>
    <row r="2004" hidden="1">
      <c r="A2004" s="3" t="s">
        <v>8421</v>
      </c>
      <c r="B2004" s="4">
        <v>542145.0</v>
      </c>
      <c r="C2004" s="3" t="s">
        <v>8422</v>
      </c>
      <c r="D2004" s="3" t="s">
        <v>8423</v>
      </c>
      <c r="E2004" s="3" t="s">
        <v>8424</v>
      </c>
      <c r="F2004" s="3" t="s">
        <v>19</v>
      </c>
      <c r="G2004" s="3" t="s">
        <v>2428</v>
      </c>
      <c r="H2004" s="3">
        <v>10.0</v>
      </c>
      <c r="I2004" s="3" t="s">
        <v>8425</v>
      </c>
      <c r="J2004" s="3" t="s">
        <v>22</v>
      </c>
      <c r="K2004" s="3" t="s">
        <v>1673</v>
      </c>
      <c r="L2004" s="3" t="s">
        <v>1673</v>
      </c>
      <c r="M2004" s="3" t="s">
        <v>1674</v>
      </c>
      <c r="N2004" s="3" t="s">
        <v>1915</v>
      </c>
      <c r="O2004" s="5">
        <v>25.57213</v>
      </c>
      <c r="P2004" s="6" t="str">
        <f t="shared" si="2"/>
        <v>Commercial Services &amp; Supplies</v>
      </c>
    </row>
    <row r="2005">
      <c r="A2005" s="3" t="s">
        <v>8426</v>
      </c>
      <c r="B2005" s="4">
        <v>524226.0</v>
      </c>
      <c r="C2005" s="3" t="s">
        <v>8427</v>
      </c>
      <c r="D2005" s="3" t="s">
        <v>8428</v>
      </c>
      <c r="E2005" s="3" t="s">
        <v>8429</v>
      </c>
      <c r="F2005" s="3" t="s">
        <v>19</v>
      </c>
      <c r="G2005" s="3" t="s">
        <v>20</v>
      </c>
      <c r="H2005" s="3">
        <v>1.0</v>
      </c>
      <c r="I2005" s="3" t="s">
        <v>6186</v>
      </c>
      <c r="J2005" s="3" t="s">
        <v>22</v>
      </c>
      <c r="K2005" s="3" t="s">
        <v>145</v>
      </c>
      <c r="L2005" s="3" t="s">
        <v>145</v>
      </c>
      <c r="M2005" s="3" t="s">
        <v>146</v>
      </c>
      <c r="N2005" s="3" t="s">
        <v>2645</v>
      </c>
      <c r="O2005" s="5">
        <v>6210.9435231</v>
      </c>
      <c r="P2005" s="6" t="str">
        <f t="shared" si="2"/>
        <v>Agricultural Food &amp; other Products</v>
      </c>
    </row>
    <row r="2006" hidden="1">
      <c r="A2006" s="3" t="s">
        <v>8430</v>
      </c>
      <c r="B2006" s="4">
        <v>531337.0</v>
      </c>
      <c r="C2006" s="3" t="s">
        <v>8431</v>
      </c>
      <c r="D2006" s="3" t="s">
        <v>8432</v>
      </c>
      <c r="E2006" s="3" t="s">
        <v>8433</v>
      </c>
      <c r="F2006" s="3" t="s">
        <v>19</v>
      </c>
      <c r="G2006" s="3" t="s">
        <v>57</v>
      </c>
      <c r="H2006" s="3">
        <v>5.0</v>
      </c>
      <c r="I2006" s="3" t="s">
        <v>8430</v>
      </c>
      <c r="J2006" s="3" t="s">
        <v>22</v>
      </c>
      <c r="K2006" s="3" t="s">
        <v>58</v>
      </c>
      <c r="L2006" s="3" t="s">
        <v>182</v>
      </c>
      <c r="M2006" s="3" t="s">
        <v>183</v>
      </c>
      <c r="N2006" s="3" t="s">
        <v>6800</v>
      </c>
      <c r="O2006" s="5">
        <v>21.49185</v>
      </c>
      <c r="P2006" s="6" t="str">
        <f t="shared" si="2"/>
        <v>Media</v>
      </c>
    </row>
    <row r="2007" hidden="1">
      <c r="A2007" s="3" t="s">
        <v>8434</v>
      </c>
      <c r="B2007" s="4">
        <v>531338.0</v>
      </c>
      <c r="C2007" s="3" t="s">
        <v>8435</v>
      </c>
      <c r="D2007" s="3" t="s">
        <v>8436</v>
      </c>
      <c r="E2007" s="3" t="s">
        <v>8437</v>
      </c>
      <c r="F2007" s="3" t="s">
        <v>19</v>
      </c>
      <c r="G2007" s="3" t="s">
        <v>44</v>
      </c>
      <c r="H2007" s="3">
        <v>10.0</v>
      </c>
      <c r="I2007" s="3" t="s">
        <v>8434</v>
      </c>
      <c r="J2007" s="3" t="s">
        <v>22</v>
      </c>
      <c r="K2007" s="3" t="s">
        <v>23</v>
      </c>
      <c r="L2007" s="3" t="s">
        <v>162</v>
      </c>
      <c r="M2007" s="3" t="s">
        <v>1491</v>
      </c>
      <c r="N2007" s="3" t="s">
        <v>1491</v>
      </c>
      <c r="O2007" s="5">
        <v>16.7192399</v>
      </c>
      <c r="P2007" s="6" t="str">
        <f t="shared" si="2"/>
        <v>Other Construction Materials</v>
      </c>
    </row>
    <row r="2008" hidden="1">
      <c r="A2008" s="3" t="s">
        <v>8438</v>
      </c>
      <c r="B2008" s="4">
        <v>531340.0</v>
      </c>
      <c r="C2008" s="3" t="s">
        <v>8439</v>
      </c>
      <c r="D2008" s="3" t="s">
        <v>8440</v>
      </c>
      <c r="E2008" s="3" t="s">
        <v>8441</v>
      </c>
      <c r="F2008" s="3" t="s">
        <v>19</v>
      </c>
      <c r="G2008" s="3" t="s">
        <v>44</v>
      </c>
      <c r="H2008" s="3">
        <v>10.0</v>
      </c>
      <c r="I2008" s="3" t="s">
        <v>8438</v>
      </c>
      <c r="J2008" s="3" t="s">
        <v>22</v>
      </c>
      <c r="K2008" s="3" t="s">
        <v>204</v>
      </c>
      <c r="L2008" s="3" t="s">
        <v>204</v>
      </c>
      <c r="M2008" s="3" t="s">
        <v>378</v>
      </c>
      <c r="N2008" s="3" t="s">
        <v>468</v>
      </c>
      <c r="O2008" s="5">
        <v>24.1337436</v>
      </c>
      <c r="P2008" s="6" t="str">
        <f t="shared" si="2"/>
        <v>Finance</v>
      </c>
    </row>
    <row r="2009" hidden="1">
      <c r="A2009" s="3" t="s">
        <v>8442</v>
      </c>
      <c r="B2009" s="4">
        <v>531341.0</v>
      </c>
      <c r="C2009" s="3" t="s">
        <v>8443</v>
      </c>
      <c r="D2009" s="3" t="s">
        <v>8444</v>
      </c>
      <c r="E2009" s="3" t="s">
        <v>8445</v>
      </c>
      <c r="F2009" s="3" t="s">
        <v>19</v>
      </c>
      <c r="G2009" s="3" t="s">
        <v>44</v>
      </c>
      <c r="H2009" s="3">
        <v>10.0</v>
      </c>
      <c r="I2009" s="3" t="s">
        <v>8442</v>
      </c>
      <c r="J2009" s="3" t="s">
        <v>22</v>
      </c>
      <c r="K2009" s="3" t="s">
        <v>204</v>
      </c>
      <c r="L2009" s="3" t="s">
        <v>204</v>
      </c>
      <c r="M2009" s="3" t="s">
        <v>378</v>
      </c>
      <c r="N2009" s="3" t="s">
        <v>379</v>
      </c>
      <c r="O2009" s="5">
        <v>1.0</v>
      </c>
      <c r="P2009" s="6" t="str">
        <f t="shared" si="2"/>
        <v>Non Banking Financial Company (NBFC)</v>
      </c>
    </row>
    <row r="2010" hidden="1">
      <c r="A2010" s="3" t="s">
        <v>8446</v>
      </c>
      <c r="B2010" s="4">
        <v>526508.0</v>
      </c>
      <c r="C2010" s="3" t="s">
        <v>8447</v>
      </c>
      <c r="D2010" s="3" t="s">
        <v>8448</v>
      </c>
      <c r="E2010" s="3" t="s">
        <v>8449</v>
      </c>
      <c r="F2010" s="3" t="s">
        <v>19</v>
      </c>
      <c r="G2010" s="3" t="s">
        <v>72</v>
      </c>
      <c r="H2010" s="3">
        <v>10.0</v>
      </c>
      <c r="I2010" s="3" t="s">
        <v>6853</v>
      </c>
      <c r="J2010" s="3" t="s">
        <v>22</v>
      </c>
      <c r="K2010" s="3" t="s">
        <v>1673</v>
      </c>
      <c r="L2010" s="3" t="s">
        <v>1673</v>
      </c>
      <c r="M2010" s="3" t="s">
        <v>1689</v>
      </c>
      <c r="N2010" s="3" t="s">
        <v>2055</v>
      </c>
      <c r="O2010" s="5">
        <v>25.2984447</v>
      </c>
      <c r="P2010" s="6" t="str">
        <f t="shared" si="2"/>
        <v>Transport Services</v>
      </c>
    </row>
    <row r="2011" hidden="1">
      <c r="A2011" s="3" t="s">
        <v>8450</v>
      </c>
      <c r="B2011" s="4">
        <v>531346.0</v>
      </c>
      <c r="C2011" s="3" t="s">
        <v>8451</v>
      </c>
      <c r="D2011" s="3" t="s">
        <v>8452</v>
      </c>
      <c r="E2011" s="3" t="s">
        <v>8453</v>
      </c>
      <c r="F2011" s="3" t="s">
        <v>19</v>
      </c>
      <c r="G2011" s="3" t="s">
        <v>44</v>
      </c>
      <c r="H2011" s="3">
        <v>10.0</v>
      </c>
      <c r="I2011" s="3" t="s">
        <v>8450</v>
      </c>
      <c r="J2011" s="3" t="s">
        <v>22</v>
      </c>
      <c r="K2011" s="3" t="s">
        <v>58</v>
      </c>
      <c r="L2011" s="3" t="s">
        <v>133</v>
      </c>
      <c r="M2011" s="3" t="s">
        <v>134</v>
      </c>
      <c r="N2011" s="3" t="s">
        <v>449</v>
      </c>
      <c r="O2011" s="5">
        <v>20.36814</v>
      </c>
      <c r="P2011" s="6" t="str">
        <f t="shared" si="2"/>
        <v>Auto Components</v>
      </c>
    </row>
    <row r="2012" hidden="1">
      <c r="A2012" s="3" t="s">
        <v>8454</v>
      </c>
      <c r="B2012" s="4">
        <v>531349.0</v>
      </c>
      <c r="C2012" s="3" t="s">
        <v>8455</v>
      </c>
      <c r="D2012" s="3" t="s">
        <v>8456</v>
      </c>
      <c r="E2012" s="3" t="s">
        <v>8457</v>
      </c>
      <c r="F2012" s="3" t="s">
        <v>19</v>
      </c>
      <c r="G2012" s="3" t="s">
        <v>112</v>
      </c>
      <c r="H2012" s="3">
        <v>1.0</v>
      </c>
      <c r="I2012" s="3" t="s">
        <v>8454</v>
      </c>
      <c r="J2012" s="3" t="s">
        <v>22</v>
      </c>
      <c r="K2012" s="3" t="s">
        <v>45</v>
      </c>
      <c r="L2012" s="3" t="s">
        <v>45</v>
      </c>
      <c r="M2012" s="3" t="s">
        <v>46</v>
      </c>
      <c r="N2012" s="3" t="s">
        <v>47</v>
      </c>
      <c r="O2012" s="5">
        <v>820.6378016</v>
      </c>
      <c r="P2012" s="6" t="str">
        <f t="shared" si="2"/>
        <v>Pharmaceuticals</v>
      </c>
    </row>
    <row r="2013" hidden="1">
      <c r="A2013" s="3" t="s">
        <v>8458</v>
      </c>
      <c r="B2013" s="4">
        <v>531352.0</v>
      </c>
      <c r="C2013" s="3" t="s">
        <v>8459</v>
      </c>
      <c r="D2013" s="3" t="s">
        <v>8460</v>
      </c>
      <c r="E2013" s="3" t="s">
        <v>8461</v>
      </c>
      <c r="F2013" s="3" t="s">
        <v>19</v>
      </c>
      <c r="G2013" s="3" t="s">
        <v>44</v>
      </c>
      <c r="H2013" s="3">
        <v>10.0</v>
      </c>
      <c r="I2013" s="3" t="s">
        <v>8458</v>
      </c>
      <c r="J2013" s="3" t="s">
        <v>22</v>
      </c>
      <c r="K2013" s="3" t="s">
        <v>58</v>
      </c>
      <c r="L2013" s="3" t="s">
        <v>80</v>
      </c>
      <c r="M2013" s="3" t="s">
        <v>81</v>
      </c>
      <c r="N2013" s="3" t="s">
        <v>82</v>
      </c>
      <c r="O2013" s="5">
        <v>1.0</v>
      </c>
      <c r="P2013" s="6" t="str">
        <f t="shared" si="2"/>
        <v>Textiles &amp; Apparels</v>
      </c>
    </row>
    <row r="2014" hidden="1">
      <c r="A2014" s="3" t="s">
        <v>8462</v>
      </c>
      <c r="B2014" s="4">
        <v>531357.0</v>
      </c>
      <c r="C2014" s="3" t="s">
        <v>8463</v>
      </c>
      <c r="D2014" s="3" t="s">
        <v>8464</v>
      </c>
      <c r="E2014" s="3" t="s">
        <v>8465</v>
      </c>
      <c r="F2014" s="3" t="s">
        <v>19</v>
      </c>
      <c r="G2014" s="3" t="s">
        <v>112</v>
      </c>
      <c r="H2014" s="3">
        <v>1.0</v>
      </c>
      <c r="I2014" s="3" t="s">
        <v>8462</v>
      </c>
      <c r="J2014" s="3" t="s">
        <v>22</v>
      </c>
      <c r="K2014" s="3" t="s">
        <v>58</v>
      </c>
      <c r="L2014" s="3" t="s">
        <v>133</v>
      </c>
      <c r="M2014" s="3" t="s">
        <v>906</v>
      </c>
      <c r="N2014" s="3" t="s">
        <v>907</v>
      </c>
      <c r="O2014" s="5">
        <v>1245.98903</v>
      </c>
      <c r="P2014" s="6" t="str">
        <f t="shared" si="2"/>
        <v>Automobiles</v>
      </c>
    </row>
    <row r="2015">
      <c r="A2015" s="3" t="s">
        <v>8466</v>
      </c>
      <c r="B2015" s="4">
        <v>530305.0</v>
      </c>
      <c r="C2015" s="3" t="s">
        <v>8467</v>
      </c>
      <c r="D2015" s="3" t="s">
        <v>8468</v>
      </c>
      <c r="E2015" s="3" t="s">
        <v>8469</v>
      </c>
      <c r="F2015" s="3" t="s">
        <v>19</v>
      </c>
      <c r="G2015" s="3" t="s">
        <v>112</v>
      </c>
      <c r="H2015" s="3">
        <v>10.0</v>
      </c>
      <c r="I2015" s="3" t="s">
        <v>7526</v>
      </c>
      <c r="J2015" s="3" t="s">
        <v>22</v>
      </c>
      <c r="K2015" s="3" t="s">
        <v>145</v>
      </c>
      <c r="L2015" s="3" t="s">
        <v>145</v>
      </c>
      <c r="M2015" s="3" t="s">
        <v>146</v>
      </c>
      <c r="N2015" s="3" t="s">
        <v>147</v>
      </c>
      <c r="O2015" s="5">
        <v>7321.050025</v>
      </c>
      <c r="P2015" s="6" t="str">
        <f t="shared" si="2"/>
        <v>Agricultural Food &amp; other Products</v>
      </c>
    </row>
    <row r="2016" hidden="1">
      <c r="A2016" s="3" t="s">
        <v>8470</v>
      </c>
      <c r="B2016" s="4">
        <v>531359.0</v>
      </c>
      <c r="C2016" s="3" t="s">
        <v>8471</v>
      </c>
      <c r="D2016" s="3" t="s">
        <v>8472</v>
      </c>
      <c r="E2016" s="3" t="s">
        <v>8473</v>
      </c>
      <c r="F2016" s="3" t="s">
        <v>19</v>
      </c>
      <c r="G2016" s="3" t="s">
        <v>44</v>
      </c>
      <c r="H2016" s="3">
        <v>10.0</v>
      </c>
      <c r="I2016" s="3" t="s">
        <v>8470</v>
      </c>
      <c r="J2016" s="3" t="s">
        <v>22</v>
      </c>
      <c r="K2016" s="3" t="s">
        <v>204</v>
      </c>
      <c r="L2016" s="3" t="s">
        <v>204</v>
      </c>
      <c r="M2016" s="3" t="s">
        <v>205</v>
      </c>
      <c r="N2016" s="3" t="s">
        <v>3270</v>
      </c>
      <c r="O2016" s="5">
        <v>472.322458</v>
      </c>
      <c r="P2016" s="6" t="str">
        <f t="shared" si="2"/>
        <v>Capital Markets</v>
      </c>
    </row>
    <row r="2017" hidden="1">
      <c r="A2017" s="3" t="s">
        <v>8474</v>
      </c>
      <c r="B2017" s="4">
        <v>517360.0</v>
      </c>
      <c r="C2017" s="3" t="s">
        <v>8475</v>
      </c>
      <c r="D2017" s="3" t="s">
        <v>8476</v>
      </c>
      <c r="E2017" s="3" t="s">
        <v>8477</v>
      </c>
      <c r="F2017" s="3" t="s">
        <v>19</v>
      </c>
      <c r="G2017" s="3" t="s">
        <v>44</v>
      </c>
      <c r="H2017" s="3">
        <v>10.0</v>
      </c>
      <c r="I2017" s="3" t="s">
        <v>4811</v>
      </c>
      <c r="J2017" s="3" t="s">
        <v>22</v>
      </c>
      <c r="K2017" s="3" t="s">
        <v>1673</v>
      </c>
      <c r="L2017" s="3" t="s">
        <v>1673</v>
      </c>
      <c r="M2017" s="3" t="s">
        <v>1674</v>
      </c>
      <c r="N2017" s="3" t="s">
        <v>1915</v>
      </c>
      <c r="O2017" s="5">
        <v>25.2718706</v>
      </c>
      <c r="P2017" s="6" t="str">
        <f t="shared" si="2"/>
        <v>Commercial Services &amp; Supplies</v>
      </c>
    </row>
    <row r="2018" hidden="1">
      <c r="A2018" s="3" t="s">
        <v>5970</v>
      </c>
      <c r="B2018" s="4">
        <v>538568.0</v>
      </c>
      <c r="C2018" s="3" t="s">
        <v>8478</v>
      </c>
      <c r="D2018" s="3" t="s">
        <v>8479</v>
      </c>
      <c r="E2018" s="3" t="s">
        <v>8480</v>
      </c>
      <c r="F2018" s="3" t="s">
        <v>19</v>
      </c>
      <c r="G2018" s="3" t="s">
        <v>72</v>
      </c>
      <c r="H2018" s="3">
        <v>10.0</v>
      </c>
      <c r="I2018" s="3" t="s">
        <v>8481</v>
      </c>
      <c r="J2018" s="3" t="s">
        <v>22</v>
      </c>
      <c r="K2018" s="3" t="s">
        <v>1673</v>
      </c>
      <c r="L2018" s="3" t="s">
        <v>1673</v>
      </c>
      <c r="M2018" s="3" t="s">
        <v>1674</v>
      </c>
      <c r="N2018" s="3" t="s">
        <v>1915</v>
      </c>
      <c r="O2018" s="5">
        <v>24.7</v>
      </c>
      <c r="P2018" s="6" t="str">
        <f t="shared" si="2"/>
        <v>Commercial Services &amp; Supplies</v>
      </c>
    </row>
    <row r="2019" hidden="1">
      <c r="A2019" s="3" t="s">
        <v>8482</v>
      </c>
      <c r="B2019" s="4">
        <v>531370.0</v>
      </c>
      <c r="C2019" s="3" t="s">
        <v>8483</v>
      </c>
      <c r="D2019" s="3" t="s">
        <v>8484</v>
      </c>
      <c r="E2019" s="3" t="s">
        <v>8485</v>
      </c>
      <c r="F2019" s="3" t="s">
        <v>19</v>
      </c>
      <c r="G2019" s="3" t="s">
        <v>72</v>
      </c>
      <c r="H2019" s="3">
        <v>10.0</v>
      </c>
      <c r="I2019" s="3" t="s">
        <v>8482</v>
      </c>
      <c r="J2019" s="3" t="s">
        <v>22</v>
      </c>
      <c r="K2019" s="3" t="s">
        <v>473</v>
      </c>
      <c r="L2019" s="3" t="s">
        <v>473</v>
      </c>
      <c r="M2019" s="3" t="s">
        <v>1391</v>
      </c>
      <c r="N2019" s="3" t="s">
        <v>1840</v>
      </c>
      <c r="O2019" s="5">
        <v>40.1805236</v>
      </c>
      <c r="P2019" s="6" t="str">
        <f t="shared" si="2"/>
        <v>Computers - Software &amp; Consulting</v>
      </c>
    </row>
    <row r="2020" hidden="1">
      <c r="A2020" s="3" t="s">
        <v>8486</v>
      </c>
      <c r="B2020" s="4">
        <v>531373.0</v>
      </c>
      <c r="C2020" s="3" t="s">
        <v>8487</v>
      </c>
      <c r="D2020" s="3" t="s">
        <v>8488</v>
      </c>
      <c r="E2020" s="3" t="s">
        <v>8489</v>
      </c>
      <c r="F2020" s="3" t="s">
        <v>19</v>
      </c>
      <c r="G2020" s="3" t="s">
        <v>86</v>
      </c>
      <c r="H2020" s="3">
        <v>10.0</v>
      </c>
      <c r="I2020" s="3" t="s">
        <v>8486</v>
      </c>
      <c r="J2020" s="3" t="s">
        <v>22</v>
      </c>
      <c r="K2020" s="3" t="s">
        <v>58</v>
      </c>
      <c r="L2020" s="3" t="s">
        <v>73</v>
      </c>
      <c r="M2020" s="3" t="s">
        <v>74</v>
      </c>
      <c r="N2020" s="3" t="s">
        <v>75</v>
      </c>
      <c r="O2020" s="5">
        <v>387.189227</v>
      </c>
      <c r="P2020" s="6" t="str">
        <f t="shared" si="2"/>
        <v>Leisure Services</v>
      </c>
    </row>
    <row r="2021" hidden="1">
      <c r="A2021" s="3" t="s">
        <v>8490</v>
      </c>
      <c r="B2021" s="4">
        <v>531380.0</v>
      </c>
      <c r="C2021" s="3" t="s">
        <v>8491</v>
      </c>
      <c r="D2021" s="3" t="s">
        <v>8492</v>
      </c>
      <c r="E2021" s="3" t="s">
        <v>8493</v>
      </c>
      <c r="F2021" s="3" t="s">
        <v>19</v>
      </c>
      <c r="G2021" s="3" t="s">
        <v>72</v>
      </c>
      <c r="H2021" s="3">
        <v>10.0</v>
      </c>
      <c r="I2021" s="3" t="s">
        <v>8490</v>
      </c>
      <c r="J2021" s="3" t="s">
        <v>22</v>
      </c>
      <c r="K2021" s="3" t="s">
        <v>45</v>
      </c>
      <c r="L2021" s="3" t="s">
        <v>45</v>
      </c>
      <c r="M2021" s="3" t="s">
        <v>7249</v>
      </c>
      <c r="N2021" s="3" t="s">
        <v>7250</v>
      </c>
      <c r="O2021" s="5">
        <v>40.168167</v>
      </c>
      <c r="P2021" s="6" t="str">
        <f t="shared" si="2"/>
        <v>Healthcare Equipment &amp; Supplies</v>
      </c>
    </row>
    <row r="2022" hidden="1">
      <c r="A2022" s="3" t="s">
        <v>8494</v>
      </c>
      <c r="B2022" s="4">
        <v>531381.0</v>
      </c>
      <c r="C2022" s="3" t="s">
        <v>8495</v>
      </c>
      <c r="D2022" s="3" t="s">
        <v>8496</v>
      </c>
      <c r="E2022" s="3" t="s">
        <v>8497</v>
      </c>
      <c r="F2022" s="3" t="s">
        <v>19</v>
      </c>
      <c r="G2022" s="3" t="s">
        <v>72</v>
      </c>
      <c r="H2022" s="3">
        <v>10.0</v>
      </c>
      <c r="I2022" s="3" t="s">
        <v>8494</v>
      </c>
      <c r="J2022" s="3" t="s">
        <v>22</v>
      </c>
      <c r="K2022" s="3" t="s">
        <v>58</v>
      </c>
      <c r="L2022" s="3" t="s">
        <v>59</v>
      </c>
      <c r="M2022" s="3" t="s">
        <v>59</v>
      </c>
      <c r="N2022" s="3" t="s">
        <v>60</v>
      </c>
      <c r="O2022" s="5">
        <v>180.8915179</v>
      </c>
      <c r="P2022" s="6" t="str">
        <f t="shared" si="2"/>
        <v>Residential, Commercial Projects</v>
      </c>
    </row>
    <row r="2023" hidden="1">
      <c r="A2023" s="3" t="s">
        <v>8498</v>
      </c>
      <c r="B2023" s="4">
        <v>531387.0</v>
      </c>
      <c r="C2023" s="3" t="s">
        <v>8499</v>
      </c>
      <c r="D2023" s="3" t="s">
        <v>8500</v>
      </c>
      <c r="E2023" s="3" t="s">
        <v>8501</v>
      </c>
      <c r="F2023" s="3" t="s">
        <v>19</v>
      </c>
      <c r="G2023" s="3" t="s">
        <v>44</v>
      </c>
      <c r="H2023" s="3">
        <v>10.0</v>
      </c>
      <c r="I2023" s="3" t="s">
        <v>8498</v>
      </c>
      <c r="J2023" s="3" t="s">
        <v>22</v>
      </c>
      <c r="K2023" s="3" t="s">
        <v>204</v>
      </c>
      <c r="L2023" s="3" t="s">
        <v>204</v>
      </c>
      <c r="M2023" s="3" t="s">
        <v>378</v>
      </c>
      <c r="N2023" s="3" t="s">
        <v>379</v>
      </c>
      <c r="O2023" s="5">
        <v>8.986136</v>
      </c>
      <c r="P2023" s="6" t="str">
        <f t="shared" si="2"/>
        <v>Non Banking Financial Company (NBFC)</v>
      </c>
    </row>
    <row r="2024" hidden="1">
      <c r="A2024" s="3" t="s">
        <v>8502</v>
      </c>
      <c r="B2024" s="4">
        <v>531390.0</v>
      </c>
      <c r="C2024" s="3" t="s">
        <v>8503</v>
      </c>
      <c r="D2024" s="3" t="s">
        <v>8504</v>
      </c>
      <c r="E2024" s="3" t="s">
        <v>8505</v>
      </c>
      <c r="F2024" s="3" t="s">
        <v>19</v>
      </c>
      <c r="G2024" s="3" t="s">
        <v>72</v>
      </c>
      <c r="H2024" s="3">
        <v>10.0</v>
      </c>
      <c r="I2024" s="3" t="s">
        <v>8502</v>
      </c>
      <c r="J2024" s="3" t="s">
        <v>22</v>
      </c>
      <c r="K2024" s="3" t="s">
        <v>204</v>
      </c>
      <c r="L2024" s="3" t="s">
        <v>204</v>
      </c>
      <c r="M2024" s="3" t="s">
        <v>378</v>
      </c>
      <c r="N2024" s="3" t="s">
        <v>379</v>
      </c>
      <c r="O2024" s="5">
        <v>97.243141</v>
      </c>
      <c r="P2024" s="6" t="str">
        <f t="shared" si="2"/>
        <v>Non Banking Financial Company (NBFC)</v>
      </c>
    </row>
    <row r="2025" hidden="1">
      <c r="A2025" s="3" t="s">
        <v>8506</v>
      </c>
      <c r="B2025" s="4">
        <v>531395.0</v>
      </c>
      <c r="C2025" s="3" t="s">
        <v>8507</v>
      </c>
      <c r="D2025" s="3" t="s">
        <v>8508</v>
      </c>
      <c r="E2025" s="3" t="s">
        <v>8509</v>
      </c>
      <c r="F2025" s="3" t="s">
        <v>19</v>
      </c>
      <c r="G2025" s="3" t="s">
        <v>44</v>
      </c>
      <c r="H2025" s="3">
        <v>10.0</v>
      </c>
      <c r="I2025" s="3" t="s">
        <v>8506</v>
      </c>
      <c r="J2025" s="3" t="s">
        <v>22</v>
      </c>
      <c r="K2025" s="3" t="s">
        <v>58</v>
      </c>
      <c r="L2025" s="3" t="s">
        <v>80</v>
      </c>
      <c r="M2025" s="3" t="s">
        <v>81</v>
      </c>
      <c r="N2025" s="3" t="s">
        <v>82</v>
      </c>
      <c r="O2025" s="5">
        <v>14.9110461</v>
      </c>
      <c r="P2025" s="6" t="str">
        <f t="shared" si="2"/>
        <v>Textiles &amp; Apparels</v>
      </c>
    </row>
    <row r="2026" hidden="1">
      <c r="A2026" s="3" t="s">
        <v>8510</v>
      </c>
      <c r="B2026" s="4">
        <v>531396.0</v>
      </c>
      <c r="C2026" s="3" t="s">
        <v>8511</v>
      </c>
      <c r="D2026" s="3" t="s">
        <v>8512</v>
      </c>
      <c r="E2026" s="3" t="s">
        <v>8513</v>
      </c>
      <c r="F2026" s="3" t="s">
        <v>19</v>
      </c>
      <c r="G2026" s="3" t="s">
        <v>72</v>
      </c>
      <c r="H2026" s="3">
        <v>10.0</v>
      </c>
      <c r="I2026" s="3" t="s">
        <v>8510</v>
      </c>
      <c r="J2026" s="3" t="s">
        <v>22</v>
      </c>
      <c r="K2026" s="3" t="s">
        <v>473</v>
      </c>
      <c r="L2026" s="3" t="s">
        <v>473</v>
      </c>
      <c r="M2026" s="3" t="s">
        <v>1391</v>
      </c>
      <c r="N2026" s="3" t="s">
        <v>1392</v>
      </c>
      <c r="O2026" s="5">
        <v>3.7450648</v>
      </c>
      <c r="P2026" s="6" t="str">
        <f t="shared" si="2"/>
        <v>IT - Software</v>
      </c>
    </row>
    <row r="2027" hidden="1">
      <c r="A2027" s="3" t="s">
        <v>8514</v>
      </c>
      <c r="B2027" s="4">
        <v>531397.0</v>
      </c>
      <c r="C2027" s="3" t="s">
        <v>8515</v>
      </c>
      <c r="D2027" s="3" t="s">
        <v>8516</v>
      </c>
      <c r="E2027" s="3" t="s">
        <v>8517</v>
      </c>
      <c r="F2027" s="3" t="s">
        <v>19</v>
      </c>
      <c r="G2027" s="3" t="s">
        <v>44</v>
      </c>
      <c r="H2027" s="3">
        <v>10.0</v>
      </c>
      <c r="I2027" s="3" t="s">
        <v>8514</v>
      </c>
      <c r="J2027" s="3" t="s">
        <v>22</v>
      </c>
      <c r="K2027" s="3" t="s">
        <v>97</v>
      </c>
      <c r="L2027" s="3" t="s">
        <v>98</v>
      </c>
      <c r="M2027" s="3" t="s">
        <v>100</v>
      </c>
      <c r="N2027" s="3" t="s">
        <v>373</v>
      </c>
      <c r="O2027" s="5">
        <v>1.0</v>
      </c>
      <c r="P2027" s="6" t="str">
        <f t="shared" si="2"/>
        <v>Industrial Products</v>
      </c>
    </row>
    <row r="2028" hidden="1">
      <c r="A2028" s="3" t="s">
        <v>8518</v>
      </c>
      <c r="B2028" s="4">
        <v>531398.0</v>
      </c>
      <c r="C2028" s="3" t="s">
        <v>8519</v>
      </c>
      <c r="D2028" s="3" t="s">
        <v>8520</v>
      </c>
      <c r="E2028" s="3" t="s">
        <v>8521</v>
      </c>
      <c r="F2028" s="3" t="s">
        <v>19</v>
      </c>
      <c r="G2028" s="3" t="s">
        <v>44</v>
      </c>
      <c r="H2028" s="3">
        <v>10.0</v>
      </c>
      <c r="I2028" s="3" t="s">
        <v>8518</v>
      </c>
      <c r="J2028" s="3" t="s">
        <v>22</v>
      </c>
      <c r="K2028" s="3" t="s">
        <v>45</v>
      </c>
      <c r="L2028" s="3" t="s">
        <v>45</v>
      </c>
      <c r="M2028" s="3" t="s">
        <v>46</v>
      </c>
      <c r="N2028" s="3" t="s">
        <v>47</v>
      </c>
      <c r="O2028" s="5">
        <v>105.3332274</v>
      </c>
      <c r="P2028" s="6" t="str">
        <f t="shared" si="2"/>
        <v>Pharmaceuticals</v>
      </c>
    </row>
    <row r="2029" hidden="1">
      <c r="A2029" s="3" t="s">
        <v>8522</v>
      </c>
      <c r="B2029" s="4">
        <v>531399.0</v>
      </c>
      <c r="C2029" s="3" t="s">
        <v>8523</v>
      </c>
      <c r="D2029" s="3" t="s">
        <v>8524</v>
      </c>
      <c r="E2029" s="3" t="s">
        <v>8525</v>
      </c>
      <c r="F2029" s="3" t="s">
        <v>19</v>
      </c>
      <c r="G2029" s="3" t="s">
        <v>72</v>
      </c>
      <c r="H2029" s="3">
        <v>10.0</v>
      </c>
      <c r="I2029" s="3" t="s">
        <v>8522</v>
      </c>
      <c r="J2029" s="3" t="s">
        <v>22</v>
      </c>
      <c r="K2029" s="3" t="s">
        <v>58</v>
      </c>
      <c r="L2029" s="3" t="s">
        <v>133</v>
      </c>
      <c r="M2029" s="3" t="s">
        <v>134</v>
      </c>
      <c r="N2029" s="3" t="s">
        <v>135</v>
      </c>
      <c r="O2029" s="5">
        <v>1.0</v>
      </c>
      <c r="P2029" s="6" t="str">
        <f t="shared" si="2"/>
        <v>Auto Components &amp; Equipments</v>
      </c>
    </row>
    <row r="2030" hidden="1">
      <c r="A2030" s="3" t="s">
        <v>8526</v>
      </c>
      <c r="B2030" s="4">
        <v>531400.0</v>
      </c>
      <c r="C2030" s="3" t="s">
        <v>8527</v>
      </c>
      <c r="D2030" s="3" t="s">
        <v>8528</v>
      </c>
      <c r="E2030" s="3" t="s">
        <v>8529</v>
      </c>
      <c r="F2030" s="3" t="s">
        <v>19</v>
      </c>
      <c r="G2030" s="3" t="s">
        <v>112</v>
      </c>
      <c r="H2030" s="3">
        <v>6.0</v>
      </c>
      <c r="I2030" s="3" t="s">
        <v>8526</v>
      </c>
      <c r="J2030" s="3" t="s">
        <v>22</v>
      </c>
      <c r="K2030" s="3" t="s">
        <v>204</v>
      </c>
      <c r="L2030" s="3" t="s">
        <v>204</v>
      </c>
      <c r="M2030" s="3" t="s">
        <v>205</v>
      </c>
      <c r="N2030" s="3" t="s">
        <v>2109</v>
      </c>
      <c r="O2030" s="5">
        <v>386.684176</v>
      </c>
      <c r="P2030" s="6" t="str">
        <f t="shared" si="2"/>
        <v>Capital Markets</v>
      </c>
    </row>
    <row r="2031" hidden="1">
      <c r="A2031" s="3" t="s">
        <v>8530</v>
      </c>
      <c r="B2031" s="4">
        <v>543618.0</v>
      </c>
      <c r="C2031" s="3" t="s">
        <v>8531</v>
      </c>
      <c r="D2031" s="3" t="s">
        <v>8532</v>
      </c>
      <c r="E2031" s="3" t="s">
        <v>8533</v>
      </c>
      <c r="F2031" s="3" t="s">
        <v>19</v>
      </c>
      <c r="G2031" s="3" t="s">
        <v>2428</v>
      </c>
      <c r="H2031" s="3">
        <v>10.0</v>
      </c>
      <c r="I2031" s="3" t="s">
        <v>8534</v>
      </c>
      <c r="J2031" s="3" t="s">
        <v>22</v>
      </c>
      <c r="K2031" s="3" t="s">
        <v>1673</v>
      </c>
      <c r="L2031" s="3" t="s">
        <v>1673</v>
      </c>
      <c r="M2031" s="3" t="s">
        <v>1689</v>
      </c>
      <c r="N2031" s="3" t="s">
        <v>1690</v>
      </c>
      <c r="O2031" s="5">
        <v>24.276</v>
      </c>
      <c r="P2031" s="6" t="str">
        <f t="shared" si="2"/>
        <v>Transport Services</v>
      </c>
    </row>
    <row r="2032" hidden="1">
      <c r="A2032" s="3" t="s">
        <v>8535</v>
      </c>
      <c r="B2032" s="4">
        <v>531406.0</v>
      </c>
      <c r="C2032" s="3" t="s">
        <v>8536</v>
      </c>
      <c r="D2032" s="3" t="s">
        <v>8537</v>
      </c>
      <c r="E2032" s="3" t="s">
        <v>8538</v>
      </c>
      <c r="F2032" s="3" t="s">
        <v>19</v>
      </c>
      <c r="G2032" s="3" t="s">
        <v>44</v>
      </c>
      <c r="H2032" s="3">
        <v>10.0</v>
      </c>
      <c r="I2032" s="3" t="s">
        <v>8535</v>
      </c>
      <c r="J2032" s="3" t="s">
        <v>22</v>
      </c>
      <c r="K2032" s="3" t="s">
        <v>145</v>
      </c>
      <c r="L2032" s="3" t="s">
        <v>145</v>
      </c>
      <c r="M2032" s="3" t="s">
        <v>2558</v>
      </c>
      <c r="N2032" s="3" t="s">
        <v>2666</v>
      </c>
      <c r="O2032" s="5">
        <v>1.0</v>
      </c>
      <c r="P2032" s="6" t="str">
        <f t="shared" si="2"/>
        <v>Beverages</v>
      </c>
    </row>
    <row r="2033" hidden="1">
      <c r="A2033" s="3" t="s">
        <v>8539</v>
      </c>
      <c r="B2033" s="4">
        <v>531411.0</v>
      </c>
      <c r="C2033" s="3" t="s">
        <v>8540</v>
      </c>
      <c r="D2033" s="3" t="s">
        <v>8541</v>
      </c>
      <c r="E2033" s="3" t="s">
        <v>8542</v>
      </c>
      <c r="F2033" s="3" t="s">
        <v>19</v>
      </c>
      <c r="G2033" s="3" t="s">
        <v>44</v>
      </c>
      <c r="H2033" s="3">
        <v>1.0</v>
      </c>
      <c r="I2033" s="3" t="s">
        <v>8539</v>
      </c>
      <c r="J2033" s="3" t="s">
        <v>22</v>
      </c>
      <c r="K2033" s="3" t="s">
        <v>58</v>
      </c>
      <c r="L2033" s="3" t="s">
        <v>80</v>
      </c>
      <c r="M2033" s="3" t="s">
        <v>81</v>
      </c>
      <c r="N2033" s="3" t="s">
        <v>82</v>
      </c>
      <c r="O2033" s="5">
        <v>27.0351451</v>
      </c>
      <c r="P2033" s="6" t="str">
        <f t="shared" si="2"/>
        <v>Textiles &amp; Apparels</v>
      </c>
    </row>
    <row r="2034" hidden="1">
      <c r="A2034" s="3" t="s">
        <v>8543</v>
      </c>
      <c r="B2034" s="4">
        <v>531412.0</v>
      </c>
      <c r="C2034" s="3" t="s">
        <v>8544</v>
      </c>
      <c r="D2034" s="3" t="s">
        <v>8545</v>
      </c>
      <c r="E2034" s="3" t="s">
        <v>8544</v>
      </c>
      <c r="F2034" s="3" t="s">
        <v>19</v>
      </c>
      <c r="G2034" s="3" t="s">
        <v>72</v>
      </c>
      <c r="H2034" s="3">
        <v>10.0</v>
      </c>
      <c r="I2034" s="3" t="s">
        <v>8543</v>
      </c>
      <c r="J2034" s="3" t="s">
        <v>22</v>
      </c>
      <c r="K2034" s="3" t="s">
        <v>145</v>
      </c>
      <c r="L2034" s="3" t="s">
        <v>145</v>
      </c>
      <c r="M2034" s="3" t="s">
        <v>2790</v>
      </c>
      <c r="N2034" s="3" t="s">
        <v>2791</v>
      </c>
      <c r="O2034" s="5">
        <v>217.29768</v>
      </c>
      <c r="P2034" s="6" t="str">
        <f t="shared" si="2"/>
        <v>Personal Products</v>
      </c>
    </row>
    <row r="2035" hidden="1">
      <c r="A2035" s="3" t="s">
        <v>8546</v>
      </c>
      <c r="B2035" s="4">
        <v>531413.0</v>
      </c>
      <c r="C2035" s="3" t="s">
        <v>8547</v>
      </c>
      <c r="D2035" s="3" t="s">
        <v>8548</v>
      </c>
      <c r="E2035" s="3" t="s">
        <v>8549</v>
      </c>
      <c r="F2035" s="3" t="s">
        <v>19</v>
      </c>
      <c r="G2035" s="3" t="s">
        <v>72</v>
      </c>
      <c r="H2035" s="3">
        <v>10.0</v>
      </c>
      <c r="I2035" s="3" t="s">
        <v>8546</v>
      </c>
      <c r="J2035" s="3" t="s">
        <v>22</v>
      </c>
      <c r="K2035" s="3" t="s">
        <v>58</v>
      </c>
      <c r="L2035" s="3" t="s">
        <v>182</v>
      </c>
      <c r="M2035" s="3" t="s">
        <v>2898</v>
      </c>
      <c r="N2035" s="3" t="s">
        <v>2898</v>
      </c>
      <c r="O2035" s="5">
        <v>1.0</v>
      </c>
      <c r="P2035" s="6" t="str">
        <f t="shared" si="2"/>
        <v>Printing &amp; Publication</v>
      </c>
    </row>
    <row r="2036" hidden="1">
      <c r="A2036" s="3" t="s">
        <v>8550</v>
      </c>
      <c r="B2036" s="4">
        <v>531416.0</v>
      </c>
      <c r="C2036" s="3" t="s">
        <v>8551</v>
      </c>
      <c r="D2036" s="3" t="s">
        <v>8552</v>
      </c>
      <c r="E2036" s="3" t="s">
        <v>8553</v>
      </c>
      <c r="F2036" s="3" t="s">
        <v>19</v>
      </c>
      <c r="G2036" s="3" t="s">
        <v>44</v>
      </c>
      <c r="H2036" s="3">
        <v>10.0</v>
      </c>
      <c r="I2036" s="3" t="s">
        <v>8550</v>
      </c>
      <c r="J2036" s="3" t="s">
        <v>22</v>
      </c>
      <c r="K2036" s="3" t="s">
        <v>58</v>
      </c>
      <c r="L2036" s="3" t="s">
        <v>59</v>
      </c>
      <c r="M2036" s="3" t="s">
        <v>59</v>
      </c>
      <c r="N2036" s="3" t="s">
        <v>60</v>
      </c>
      <c r="O2036" s="5">
        <v>29.3854886</v>
      </c>
      <c r="P2036" s="6" t="str">
        <f t="shared" si="2"/>
        <v>Residential, Commercial Projects</v>
      </c>
    </row>
    <row r="2037" hidden="1">
      <c r="A2037" s="3" t="s">
        <v>8554</v>
      </c>
      <c r="B2037" s="4">
        <v>531417.0</v>
      </c>
      <c r="C2037" s="3" t="s">
        <v>8555</v>
      </c>
      <c r="D2037" s="3" t="s">
        <v>8556</v>
      </c>
      <c r="E2037" s="3" t="s">
        <v>8557</v>
      </c>
      <c r="F2037" s="3" t="s">
        <v>19</v>
      </c>
      <c r="G2037" s="3" t="s">
        <v>72</v>
      </c>
      <c r="H2037" s="3">
        <v>1.0</v>
      </c>
      <c r="I2037" s="3" t="s">
        <v>8554</v>
      </c>
      <c r="J2037" s="3" t="s">
        <v>22</v>
      </c>
      <c r="K2037" s="3" t="s">
        <v>204</v>
      </c>
      <c r="L2037" s="3" t="s">
        <v>204</v>
      </c>
      <c r="M2037" s="3" t="s">
        <v>378</v>
      </c>
      <c r="N2037" s="3" t="s">
        <v>379</v>
      </c>
      <c r="O2037" s="5">
        <v>29.6347511</v>
      </c>
      <c r="P2037" s="6" t="str">
        <f t="shared" si="2"/>
        <v>Non Banking Financial Company (NBFC)</v>
      </c>
    </row>
    <row r="2038" hidden="1">
      <c r="A2038" s="3" t="s">
        <v>8558</v>
      </c>
      <c r="B2038" s="4">
        <v>531426.0</v>
      </c>
      <c r="C2038" s="3" t="s">
        <v>8559</v>
      </c>
      <c r="D2038" s="3" t="s">
        <v>8560</v>
      </c>
      <c r="E2038" s="3" t="s">
        <v>8561</v>
      </c>
      <c r="F2038" s="3" t="s">
        <v>19</v>
      </c>
      <c r="G2038" s="3" t="s">
        <v>112</v>
      </c>
      <c r="H2038" s="3">
        <v>10.0</v>
      </c>
      <c r="I2038" s="3" t="s">
        <v>8558</v>
      </c>
      <c r="J2038" s="3" t="s">
        <v>22</v>
      </c>
      <c r="K2038" s="3" t="s">
        <v>23</v>
      </c>
      <c r="L2038" s="3" t="s">
        <v>32</v>
      </c>
      <c r="M2038" s="3" t="s">
        <v>33</v>
      </c>
      <c r="N2038" s="3" t="s">
        <v>34</v>
      </c>
      <c r="O2038" s="5">
        <v>2016.6095543</v>
      </c>
      <c r="P2038" s="6" t="str">
        <f t="shared" si="2"/>
        <v>Paper, Forest &amp; Jute Products</v>
      </c>
    </row>
    <row r="2039">
      <c r="A2039" s="3" t="s">
        <v>8562</v>
      </c>
      <c r="B2039" s="4">
        <v>530813.0</v>
      </c>
      <c r="C2039" s="3" t="s">
        <v>8563</v>
      </c>
      <c r="D2039" s="3" t="s">
        <v>8564</v>
      </c>
      <c r="E2039" s="3" t="s">
        <v>8565</v>
      </c>
      <c r="F2039" s="3" t="s">
        <v>19</v>
      </c>
      <c r="G2039" s="3" t="s">
        <v>20</v>
      </c>
      <c r="H2039" s="3">
        <v>1.0</v>
      </c>
      <c r="I2039" s="3" t="s">
        <v>7906</v>
      </c>
      <c r="J2039" s="3" t="s">
        <v>22</v>
      </c>
      <c r="K2039" s="3" t="s">
        <v>145</v>
      </c>
      <c r="L2039" s="3" t="s">
        <v>145</v>
      </c>
      <c r="M2039" s="3" t="s">
        <v>146</v>
      </c>
      <c r="N2039" s="3" t="s">
        <v>2645</v>
      </c>
      <c r="O2039" s="5">
        <v>6579.384292</v>
      </c>
      <c r="P2039" s="6" t="str">
        <f t="shared" si="2"/>
        <v>Agricultural Food &amp; other Products</v>
      </c>
    </row>
    <row r="2040" hidden="1">
      <c r="A2040" s="3" t="s">
        <v>8566</v>
      </c>
      <c r="B2040" s="4">
        <v>531432.0</v>
      </c>
      <c r="C2040" s="3" t="s">
        <v>8567</v>
      </c>
      <c r="D2040" s="3" t="s">
        <v>8568</v>
      </c>
      <c r="E2040" s="3" t="s">
        <v>8569</v>
      </c>
      <c r="F2040" s="3" t="s">
        <v>19</v>
      </c>
      <c r="G2040" s="3" t="s">
        <v>44</v>
      </c>
      <c r="H2040" s="3">
        <v>10.0</v>
      </c>
      <c r="I2040" s="3" t="s">
        <v>8566</v>
      </c>
      <c r="J2040" s="3" t="s">
        <v>22</v>
      </c>
      <c r="K2040" s="3" t="s">
        <v>204</v>
      </c>
      <c r="L2040" s="3" t="s">
        <v>204</v>
      </c>
      <c r="M2040" s="3" t="s">
        <v>378</v>
      </c>
      <c r="N2040" s="3" t="s">
        <v>379</v>
      </c>
      <c r="O2040" s="5">
        <v>3.8781568</v>
      </c>
      <c r="P2040" s="6" t="str">
        <f t="shared" si="2"/>
        <v>Non Banking Financial Company (NBFC)</v>
      </c>
    </row>
    <row r="2041" hidden="1">
      <c r="A2041" s="3" t="s">
        <v>8570</v>
      </c>
      <c r="B2041" s="4">
        <v>531433.0</v>
      </c>
      <c r="C2041" s="3" t="s">
        <v>8571</v>
      </c>
      <c r="D2041" s="3" t="s">
        <v>8572</v>
      </c>
      <c r="E2041" s="3" t="s">
        <v>8573</v>
      </c>
      <c r="F2041" s="3" t="s">
        <v>19</v>
      </c>
      <c r="G2041" s="3" t="s">
        <v>72</v>
      </c>
      <c r="H2041" s="3">
        <v>10.0</v>
      </c>
      <c r="I2041" s="3" t="s">
        <v>8570</v>
      </c>
      <c r="J2041" s="3" t="s">
        <v>22</v>
      </c>
      <c r="K2041" s="3" t="s">
        <v>204</v>
      </c>
      <c r="L2041" s="3" t="s">
        <v>204</v>
      </c>
      <c r="M2041" s="3" t="s">
        <v>378</v>
      </c>
      <c r="N2041" s="3" t="s">
        <v>379</v>
      </c>
      <c r="O2041" s="5">
        <v>1.0</v>
      </c>
      <c r="P2041" s="6" t="str">
        <f t="shared" si="2"/>
        <v>Non Banking Financial Company (NBFC)</v>
      </c>
    </row>
    <row r="2042" hidden="1">
      <c r="A2042" s="3" t="s">
        <v>8574</v>
      </c>
      <c r="B2042" s="4">
        <v>531436.0</v>
      </c>
      <c r="C2042" s="3" t="s">
        <v>8575</v>
      </c>
      <c r="D2042" s="3" t="s">
        <v>8576</v>
      </c>
      <c r="E2042" s="3" t="s">
        <v>8575</v>
      </c>
      <c r="F2042" s="3" t="s">
        <v>19</v>
      </c>
      <c r="G2042" s="3" t="s">
        <v>72</v>
      </c>
      <c r="H2042" s="3">
        <v>10.0</v>
      </c>
      <c r="I2042" s="3" t="s">
        <v>8574</v>
      </c>
      <c r="J2042" s="3" t="s">
        <v>22</v>
      </c>
      <c r="K2042" s="3" t="s">
        <v>23</v>
      </c>
      <c r="L2042" s="3" t="s">
        <v>32</v>
      </c>
      <c r="M2042" s="3" t="s">
        <v>33</v>
      </c>
      <c r="N2042" s="3" t="s">
        <v>34</v>
      </c>
      <c r="O2042" s="5">
        <v>5.7840853</v>
      </c>
      <c r="P2042" s="6" t="str">
        <f t="shared" si="2"/>
        <v>Paper, Forest &amp; Jute Products</v>
      </c>
    </row>
    <row r="2043" hidden="1">
      <c r="A2043" s="3" t="s">
        <v>8577</v>
      </c>
      <c r="B2043" s="4">
        <v>531437.0</v>
      </c>
      <c r="C2043" s="3" t="s">
        <v>8578</v>
      </c>
      <c r="D2043" s="3" t="s">
        <v>8579</v>
      </c>
      <c r="E2043" s="3" t="s">
        <v>8578</v>
      </c>
      <c r="F2043" s="3" t="s">
        <v>19</v>
      </c>
      <c r="G2043" s="3" t="s">
        <v>44</v>
      </c>
      <c r="H2043" s="3">
        <v>10.0</v>
      </c>
      <c r="I2043" s="3" t="s">
        <v>8577</v>
      </c>
      <c r="J2043" s="3" t="s">
        <v>22</v>
      </c>
      <c r="K2043" s="3" t="s">
        <v>58</v>
      </c>
      <c r="L2043" s="3" t="s">
        <v>80</v>
      </c>
      <c r="M2043" s="3" t="s">
        <v>81</v>
      </c>
      <c r="N2043" s="3" t="s">
        <v>82</v>
      </c>
      <c r="O2043" s="5">
        <v>37.0850263</v>
      </c>
      <c r="P2043" s="6" t="str">
        <f t="shared" si="2"/>
        <v>Textiles &amp; Apparels</v>
      </c>
    </row>
    <row r="2044" hidden="1">
      <c r="A2044" s="3" t="s">
        <v>8580</v>
      </c>
      <c r="B2044" s="4">
        <v>531439.0</v>
      </c>
      <c r="C2044" s="3" t="s">
        <v>8581</v>
      </c>
      <c r="D2044" s="3" t="s">
        <v>8582</v>
      </c>
      <c r="E2044" s="3" t="s">
        <v>8583</v>
      </c>
      <c r="F2044" s="3" t="s">
        <v>19</v>
      </c>
      <c r="G2044" s="3" t="s">
        <v>112</v>
      </c>
      <c r="H2044" s="3">
        <v>10.0</v>
      </c>
      <c r="I2044" s="3" t="s">
        <v>8580</v>
      </c>
      <c r="J2044" s="3" t="s">
        <v>22</v>
      </c>
      <c r="K2044" s="3" t="s">
        <v>473</v>
      </c>
      <c r="L2044" s="3" t="s">
        <v>473</v>
      </c>
      <c r="M2044" s="3" t="s">
        <v>1391</v>
      </c>
      <c r="N2044" s="3" t="s">
        <v>1840</v>
      </c>
      <c r="O2044" s="5">
        <v>468.3477769</v>
      </c>
      <c r="P2044" s="6" t="str">
        <f t="shared" si="2"/>
        <v>Computers - Software &amp; Consulting</v>
      </c>
    </row>
    <row r="2045" hidden="1">
      <c r="A2045" s="3" t="s">
        <v>8584</v>
      </c>
      <c r="B2045" s="4">
        <v>531444.0</v>
      </c>
      <c r="C2045" s="3" t="s">
        <v>8585</v>
      </c>
      <c r="D2045" s="3" t="s">
        <v>8586</v>
      </c>
      <c r="E2045" s="3" t="s">
        <v>8585</v>
      </c>
      <c r="F2045" s="3" t="s">
        <v>19</v>
      </c>
      <c r="G2045" s="3" t="s">
        <v>72</v>
      </c>
      <c r="H2045" s="3">
        <v>10.0</v>
      </c>
      <c r="I2045" s="3" t="s">
        <v>8584</v>
      </c>
      <c r="J2045" s="3" t="s">
        <v>22</v>
      </c>
      <c r="K2045" s="3" t="s">
        <v>23</v>
      </c>
      <c r="L2045" s="3" t="s">
        <v>162</v>
      </c>
      <c r="M2045" s="3" t="s">
        <v>163</v>
      </c>
      <c r="N2045" s="3" t="s">
        <v>163</v>
      </c>
      <c r="O2045" s="5">
        <v>6.4059421</v>
      </c>
      <c r="P2045" s="6" t="str">
        <f t="shared" si="2"/>
        <v>Cement &amp; Cement Products</v>
      </c>
    </row>
    <row r="2046" hidden="1">
      <c r="A2046" s="3" t="s">
        <v>8587</v>
      </c>
      <c r="B2046" s="4">
        <v>531449.0</v>
      </c>
      <c r="C2046" s="3" t="s">
        <v>8588</v>
      </c>
      <c r="D2046" s="3" t="s">
        <v>8589</v>
      </c>
      <c r="E2046" s="3" t="s">
        <v>8590</v>
      </c>
      <c r="F2046" s="3" t="s">
        <v>19</v>
      </c>
      <c r="G2046" s="3" t="s">
        <v>112</v>
      </c>
      <c r="H2046" s="3">
        <v>2.0</v>
      </c>
      <c r="I2046" s="3" t="s">
        <v>8587</v>
      </c>
      <c r="J2046" s="3" t="s">
        <v>22</v>
      </c>
      <c r="K2046" s="3" t="s">
        <v>145</v>
      </c>
      <c r="L2046" s="3" t="s">
        <v>145</v>
      </c>
      <c r="M2046" s="3" t="s">
        <v>146</v>
      </c>
      <c r="N2046" s="3" t="s">
        <v>2645</v>
      </c>
      <c r="O2046" s="5">
        <v>1112.2577245</v>
      </c>
      <c r="P2046" s="6" t="str">
        <f t="shared" si="2"/>
        <v>Agricultural Food &amp; other Products</v>
      </c>
    </row>
    <row r="2047" hidden="1">
      <c r="A2047" s="3" t="s">
        <v>8591</v>
      </c>
      <c r="B2047" s="4">
        <v>531453.0</v>
      </c>
      <c r="C2047" s="3" t="s">
        <v>8592</v>
      </c>
      <c r="D2047" s="3" t="s">
        <v>8593</v>
      </c>
      <c r="E2047" s="3" t="s">
        <v>8594</v>
      </c>
      <c r="F2047" s="3" t="s">
        <v>19</v>
      </c>
      <c r="G2047" s="3" t="s">
        <v>86</v>
      </c>
      <c r="H2047" s="3">
        <v>10.0</v>
      </c>
      <c r="I2047" s="3" t="s">
        <v>8591</v>
      </c>
      <c r="J2047" s="3" t="s">
        <v>22</v>
      </c>
      <c r="K2047" s="3" t="s">
        <v>58</v>
      </c>
      <c r="L2047" s="3" t="s">
        <v>80</v>
      </c>
      <c r="M2047" s="3" t="s">
        <v>81</v>
      </c>
      <c r="N2047" s="3" t="s">
        <v>82</v>
      </c>
      <c r="O2047" s="5">
        <v>41.6884355</v>
      </c>
      <c r="P2047" s="6" t="str">
        <f t="shared" si="2"/>
        <v>Textiles &amp; Apparels</v>
      </c>
    </row>
    <row r="2048" hidden="1">
      <c r="A2048" s="3" t="s">
        <v>8595</v>
      </c>
      <c r="B2048" s="4">
        <v>531454.0</v>
      </c>
      <c r="C2048" s="3" t="s">
        <v>8596</v>
      </c>
      <c r="D2048" s="3" t="s">
        <v>8597</v>
      </c>
      <c r="E2048" s="3" t="s">
        <v>8598</v>
      </c>
      <c r="F2048" s="3" t="s">
        <v>19</v>
      </c>
      <c r="G2048" s="3" t="s">
        <v>44</v>
      </c>
      <c r="H2048" s="3">
        <v>5.0</v>
      </c>
      <c r="I2048" s="3" t="s">
        <v>8595</v>
      </c>
      <c r="J2048" s="3" t="s">
        <v>22</v>
      </c>
      <c r="K2048" s="3" t="s">
        <v>23</v>
      </c>
      <c r="L2048" s="3" t="s">
        <v>24</v>
      </c>
      <c r="M2048" s="3" t="s">
        <v>25</v>
      </c>
      <c r="N2048" s="3" t="s">
        <v>241</v>
      </c>
      <c r="O2048" s="5">
        <v>61.7972422</v>
      </c>
      <c r="P2048" s="6" t="str">
        <f t="shared" si="2"/>
        <v>Chemicals &amp; Petrochemicals</v>
      </c>
    </row>
    <row r="2049" hidden="1">
      <c r="A2049" s="3" t="s">
        <v>8599</v>
      </c>
      <c r="B2049" s="4">
        <v>531456.0</v>
      </c>
      <c r="C2049" s="3" t="s">
        <v>8600</v>
      </c>
      <c r="D2049" s="3" t="s">
        <v>8601</v>
      </c>
      <c r="E2049" s="3" t="s">
        <v>8602</v>
      </c>
      <c r="F2049" s="3" t="s">
        <v>19</v>
      </c>
      <c r="G2049" s="3" t="s">
        <v>72</v>
      </c>
      <c r="H2049" s="3">
        <v>1.0</v>
      </c>
      <c r="I2049" s="3" t="s">
        <v>8599</v>
      </c>
      <c r="J2049" s="3" t="s">
        <v>22</v>
      </c>
      <c r="K2049" s="3" t="s">
        <v>58</v>
      </c>
      <c r="L2049" s="3" t="s">
        <v>80</v>
      </c>
      <c r="M2049" s="3" t="s">
        <v>81</v>
      </c>
      <c r="N2049" s="3" t="s">
        <v>82</v>
      </c>
      <c r="O2049" s="5">
        <v>20.26056</v>
      </c>
      <c r="P2049" s="6" t="str">
        <f t="shared" si="2"/>
        <v>Textiles &amp; Apparels</v>
      </c>
    </row>
    <row r="2050" hidden="1">
      <c r="A2050" s="3" t="s">
        <v>8603</v>
      </c>
      <c r="B2050" s="4">
        <v>531460.0</v>
      </c>
      <c r="C2050" s="3" t="s">
        <v>8604</v>
      </c>
      <c r="D2050" s="3" t="s">
        <v>8605</v>
      </c>
      <c r="E2050" s="3" t="s">
        <v>8606</v>
      </c>
      <c r="F2050" s="3" t="s">
        <v>19</v>
      </c>
      <c r="G2050" s="3" t="s">
        <v>72</v>
      </c>
      <c r="H2050" s="3">
        <v>10.0</v>
      </c>
      <c r="I2050" s="3" t="s">
        <v>8603</v>
      </c>
      <c r="J2050" s="3" t="s">
        <v>22</v>
      </c>
      <c r="K2050" s="3" t="s">
        <v>97</v>
      </c>
      <c r="L2050" s="3" t="s">
        <v>98</v>
      </c>
      <c r="M2050" s="3" t="s">
        <v>1747</v>
      </c>
      <c r="N2050" s="3" t="s">
        <v>1748</v>
      </c>
      <c r="O2050" s="5">
        <v>1.0</v>
      </c>
      <c r="P2050" s="6" t="str">
        <f t="shared" si="2"/>
        <v>Electrical Equipment</v>
      </c>
    </row>
    <row r="2051" hidden="1">
      <c r="A2051" s="3" t="s">
        <v>8607</v>
      </c>
      <c r="B2051" s="4">
        <v>511601.0</v>
      </c>
      <c r="C2051" s="3" t="s">
        <v>8608</v>
      </c>
      <c r="D2051" s="3" t="s">
        <v>8609</v>
      </c>
      <c r="E2051" s="3" t="s">
        <v>8610</v>
      </c>
      <c r="F2051" s="3" t="s">
        <v>19</v>
      </c>
      <c r="G2051" s="3" t="s">
        <v>44</v>
      </c>
      <c r="H2051" s="3">
        <v>10.0</v>
      </c>
      <c r="I2051" s="3" t="s">
        <v>3425</v>
      </c>
      <c r="J2051" s="3" t="s">
        <v>22</v>
      </c>
      <c r="K2051" s="3" t="s">
        <v>1673</v>
      </c>
      <c r="L2051" s="3" t="s">
        <v>1673</v>
      </c>
      <c r="M2051" s="3" t="s">
        <v>1674</v>
      </c>
      <c r="N2051" s="3" t="s">
        <v>1915</v>
      </c>
      <c r="O2051" s="5">
        <v>24.2079996</v>
      </c>
      <c r="P2051" s="6" t="str">
        <f t="shared" si="2"/>
        <v>Commercial Services &amp; Supplies</v>
      </c>
    </row>
    <row r="2052" hidden="1">
      <c r="A2052" s="3" t="s">
        <v>8611</v>
      </c>
      <c r="B2052" s="4">
        <v>531471.0</v>
      </c>
      <c r="C2052" s="3" t="s">
        <v>8612</v>
      </c>
      <c r="D2052" s="3" t="s">
        <v>8613</v>
      </c>
      <c r="E2052" s="3" t="s">
        <v>8614</v>
      </c>
      <c r="F2052" s="3" t="s">
        <v>19</v>
      </c>
      <c r="G2052" s="3" t="s">
        <v>72</v>
      </c>
      <c r="H2052" s="3">
        <v>10.0</v>
      </c>
      <c r="I2052" s="3" t="s">
        <v>8611</v>
      </c>
      <c r="J2052" s="3" t="s">
        <v>22</v>
      </c>
      <c r="K2052" s="3" t="s">
        <v>410</v>
      </c>
      <c r="L2052" s="3" t="s">
        <v>411</v>
      </c>
      <c r="M2052" s="3" t="s">
        <v>412</v>
      </c>
      <c r="N2052" s="3" t="s">
        <v>821</v>
      </c>
      <c r="O2052" s="5">
        <v>19.7880801</v>
      </c>
      <c r="P2052" s="6" t="str">
        <f t="shared" si="2"/>
        <v>Oil</v>
      </c>
    </row>
    <row r="2053" hidden="1">
      <c r="A2053" s="3" t="s">
        <v>8615</v>
      </c>
      <c r="B2053" s="4">
        <v>531472.0</v>
      </c>
      <c r="C2053" s="3" t="s">
        <v>8616</v>
      </c>
      <c r="D2053" s="3" t="s">
        <v>8617</v>
      </c>
      <c r="E2053" s="3" t="s">
        <v>8618</v>
      </c>
      <c r="F2053" s="3" t="s">
        <v>19</v>
      </c>
      <c r="G2053" s="3" t="s">
        <v>44</v>
      </c>
      <c r="H2053" s="3">
        <v>10.0</v>
      </c>
      <c r="I2053" s="3" t="s">
        <v>8615</v>
      </c>
      <c r="J2053" s="3" t="s">
        <v>22</v>
      </c>
      <c r="K2053" s="3" t="s">
        <v>97</v>
      </c>
      <c r="L2053" s="3" t="s">
        <v>98</v>
      </c>
      <c r="M2053" s="3" t="s">
        <v>1747</v>
      </c>
      <c r="N2053" s="3" t="s">
        <v>1748</v>
      </c>
      <c r="O2053" s="5">
        <v>42.675654</v>
      </c>
      <c r="P2053" s="6" t="str">
        <f t="shared" si="2"/>
        <v>Electrical Equipment</v>
      </c>
    </row>
    <row r="2054" hidden="1">
      <c r="A2054" s="3" t="s">
        <v>8619</v>
      </c>
      <c r="B2054" s="4">
        <v>531489.0</v>
      </c>
      <c r="C2054" s="3" t="s">
        <v>8620</v>
      </c>
      <c r="D2054" s="3" t="s">
        <v>8621</v>
      </c>
      <c r="E2054" s="3" t="s">
        <v>8622</v>
      </c>
      <c r="F2054" s="3" t="s">
        <v>19</v>
      </c>
      <c r="G2054" s="3" t="s">
        <v>44</v>
      </c>
      <c r="H2054" s="3">
        <v>10.0</v>
      </c>
      <c r="I2054" s="3" t="s">
        <v>8619</v>
      </c>
      <c r="J2054" s="3" t="s">
        <v>22</v>
      </c>
      <c r="K2054" s="3" t="s">
        <v>473</v>
      </c>
      <c r="L2054" s="3" t="s">
        <v>473</v>
      </c>
      <c r="M2054" s="3" t="s">
        <v>1391</v>
      </c>
      <c r="N2054" s="3" t="s">
        <v>1840</v>
      </c>
      <c r="O2054" s="5">
        <v>208.7110536</v>
      </c>
      <c r="P2054" s="6" t="str">
        <f t="shared" si="2"/>
        <v>Computers - Software &amp; Consulting</v>
      </c>
    </row>
    <row r="2055" hidden="1">
      <c r="A2055" s="3" t="s">
        <v>8623</v>
      </c>
      <c r="B2055" s="4">
        <v>531494.0</v>
      </c>
      <c r="C2055" s="3" t="s">
        <v>8624</v>
      </c>
      <c r="D2055" s="3" t="s">
        <v>8625</v>
      </c>
      <c r="E2055" s="3" t="s">
        <v>8626</v>
      </c>
      <c r="F2055" s="3" t="s">
        <v>19</v>
      </c>
      <c r="G2055" s="3" t="s">
        <v>72</v>
      </c>
      <c r="H2055" s="3">
        <v>2.0</v>
      </c>
      <c r="I2055" s="3" t="s">
        <v>8623</v>
      </c>
      <c r="J2055" s="3" t="s">
        <v>22</v>
      </c>
      <c r="K2055" s="3" t="s">
        <v>97</v>
      </c>
      <c r="L2055" s="3" t="s">
        <v>965</v>
      </c>
      <c r="M2055" s="3" t="s">
        <v>965</v>
      </c>
      <c r="N2055" s="3" t="s">
        <v>966</v>
      </c>
      <c r="O2055" s="5">
        <v>326.3052</v>
      </c>
      <c r="P2055" s="6" t="str">
        <f t="shared" si="2"/>
        <v>Civil Construction</v>
      </c>
    </row>
    <row r="2056" hidden="1">
      <c r="A2056" s="3" t="s">
        <v>8627</v>
      </c>
      <c r="B2056" s="4">
        <v>531497.0</v>
      </c>
      <c r="C2056" s="3" t="s">
        <v>8628</v>
      </c>
      <c r="D2056" s="3" t="s">
        <v>8629</v>
      </c>
      <c r="E2056" s="3" t="s">
        <v>8630</v>
      </c>
      <c r="F2056" s="3" t="s">
        <v>19</v>
      </c>
      <c r="G2056" s="3" t="s">
        <v>86</v>
      </c>
      <c r="H2056" s="3">
        <v>1.0</v>
      </c>
      <c r="I2056" s="3" t="s">
        <v>8627</v>
      </c>
      <c r="J2056" s="3" t="s">
        <v>22</v>
      </c>
      <c r="K2056" s="3" t="s">
        <v>97</v>
      </c>
      <c r="L2056" s="3" t="s">
        <v>965</v>
      </c>
      <c r="M2056" s="3" t="s">
        <v>965</v>
      </c>
      <c r="N2056" s="3" t="s">
        <v>966</v>
      </c>
      <c r="O2056" s="5">
        <v>95.4253505</v>
      </c>
      <c r="P2056" s="6" t="str">
        <f t="shared" si="2"/>
        <v>Civil Construction</v>
      </c>
    </row>
    <row r="2057" hidden="1">
      <c r="A2057" s="3" t="s">
        <v>8631</v>
      </c>
      <c r="B2057" s="4">
        <v>531499.0</v>
      </c>
      <c r="C2057" s="3" t="s">
        <v>8632</v>
      </c>
      <c r="D2057" s="3" t="s">
        <v>8633</v>
      </c>
      <c r="E2057" s="3" t="s">
        <v>8634</v>
      </c>
      <c r="F2057" s="3" t="s">
        <v>19</v>
      </c>
      <c r="G2057" s="3" t="s">
        <v>44</v>
      </c>
      <c r="H2057" s="3">
        <v>10.0</v>
      </c>
      <c r="I2057" s="3" t="s">
        <v>8631</v>
      </c>
      <c r="J2057" s="3" t="s">
        <v>22</v>
      </c>
      <c r="K2057" s="3" t="s">
        <v>58</v>
      </c>
      <c r="L2057" s="3" t="s">
        <v>80</v>
      </c>
      <c r="M2057" s="3" t="s">
        <v>81</v>
      </c>
      <c r="N2057" s="3" t="s">
        <v>82</v>
      </c>
      <c r="O2057" s="5">
        <v>6.4725834</v>
      </c>
      <c r="P2057" s="6" t="str">
        <f t="shared" si="2"/>
        <v>Textiles &amp; Apparels</v>
      </c>
    </row>
    <row r="2058">
      <c r="A2058" s="3" t="s">
        <v>1305</v>
      </c>
      <c r="B2058" s="4">
        <v>531162.0</v>
      </c>
      <c r="C2058" s="3" t="s">
        <v>8635</v>
      </c>
      <c r="D2058" s="3" t="s">
        <v>8636</v>
      </c>
      <c r="E2058" s="3" t="s">
        <v>8637</v>
      </c>
      <c r="F2058" s="3" t="s">
        <v>19</v>
      </c>
      <c r="G2058" s="3" t="s">
        <v>20</v>
      </c>
      <c r="H2058" s="3">
        <v>1.0</v>
      </c>
      <c r="I2058" s="3" t="s">
        <v>8180</v>
      </c>
      <c r="J2058" s="3" t="s">
        <v>22</v>
      </c>
      <c r="K2058" s="3" t="s">
        <v>145</v>
      </c>
      <c r="L2058" s="3" t="s">
        <v>145</v>
      </c>
      <c r="M2058" s="3" t="s">
        <v>2790</v>
      </c>
      <c r="N2058" s="3" t="s">
        <v>2791</v>
      </c>
      <c r="O2058" s="5">
        <v>30104.6076006</v>
      </c>
      <c r="P2058" s="6" t="str">
        <f t="shared" si="2"/>
        <v>Personal Products</v>
      </c>
    </row>
    <row r="2059" hidden="1">
      <c r="A2059" s="3" t="s">
        <v>8638</v>
      </c>
      <c r="B2059" s="4">
        <v>511557.0</v>
      </c>
      <c r="C2059" s="3" t="s">
        <v>8639</v>
      </c>
      <c r="D2059" s="3" t="s">
        <v>8640</v>
      </c>
      <c r="E2059" s="3" t="s">
        <v>8641</v>
      </c>
      <c r="F2059" s="3" t="s">
        <v>19</v>
      </c>
      <c r="G2059" s="3" t="s">
        <v>44</v>
      </c>
      <c r="H2059" s="3">
        <v>1.0</v>
      </c>
      <c r="I2059" s="3" t="s">
        <v>3395</v>
      </c>
      <c r="J2059" s="3" t="s">
        <v>22</v>
      </c>
      <c r="K2059" s="3" t="s">
        <v>1673</v>
      </c>
      <c r="L2059" s="3" t="s">
        <v>1673</v>
      </c>
      <c r="M2059" s="3" t="s">
        <v>1674</v>
      </c>
      <c r="N2059" s="3" t="s">
        <v>1675</v>
      </c>
      <c r="O2059" s="5">
        <v>22.5019809</v>
      </c>
      <c r="P2059" s="6" t="str">
        <f t="shared" si="2"/>
        <v>Commercial Services &amp; Supplies</v>
      </c>
    </row>
    <row r="2060" hidden="1">
      <c r="A2060" s="3" t="s">
        <v>8642</v>
      </c>
      <c r="B2060" s="4">
        <v>531503.0</v>
      </c>
      <c r="C2060" s="3" t="s">
        <v>8643</v>
      </c>
      <c r="D2060" s="3" t="s">
        <v>8644</v>
      </c>
      <c r="E2060" s="3" t="s">
        <v>8645</v>
      </c>
      <c r="F2060" s="3" t="s">
        <v>19</v>
      </c>
      <c r="G2060" s="3" t="s">
        <v>44</v>
      </c>
      <c r="H2060" s="3">
        <v>10.0</v>
      </c>
      <c r="I2060" s="3" t="s">
        <v>8642</v>
      </c>
      <c r="J2060" s="3" t="s">
        <v>22</v>
      </c>
      <c r="K2060" s="3" t="s">
        <v>58</v>
      </c>
      <c r="L2060" s="3" t="s">
        <v>80</v>
      </c>
      <c r="M2060" s="3" t="s">
        <v>81</v>
      </c>
      <c r="N2060" s="3" t="s">
        <v>82</v>
      </c>
      <c r="O2060" s="5">
        <v>29.9515125</v>
      </c>
      <c r="P2060" s="6" t="str">
        <f t="shared" si="2"/>
        <v>Textiles &amp; Apparels</v>
      </c>
    </row>
    <row r="2061" hidden="1">
      <c r="A2061" s="3" t="s">
        <v>8646</v>
      </c>
      <c r="B2061" s="4">
        <v>531505.0</v>
      </c>
      <c r="C2061" s="3" t="s">
        <v>8647</v>
      </c>
      <c r="D2061" s="3" t="s">
        <v>8648</v>
      </c>
      <c r="E2061" s="3" t="s">
        <v>8649</v>
      </c>
      <c r="F2061" s="3" t="s">
        <v>19</v>
      </c>
      <c r="G2061" s="3" t="s">
        <v>72</v>
      </c>
      <c r="H2061" s="3">
        <v>10.0</v>
      </c>
      <c r="I2061" s="3" t="s">
        <v>8646</v>
      </c>
      <c r="J2061" s="3" t="s">
        <v>22</v>
      </c>
      <c r="K2061" s="3" t="s">
        <v>204</v>
      </c>
      <c r="L2061" s="3" t="s">
        <v>204</v>
      </c>
      <c r="M2061" s="3" t="s">
        <v>378</v>
      </c>
      <c r="N2061" s="3" t="s">
        <v>379</v>
      </c>
      <c r="O2061" s="5">
        <v>1.0</v>
      </c>
      <c r="P2061" s="6" t="str">
        <f t="shared" si="2"/>
        <v>Non Banking Financial Company (NBFC)</v>
      </c>
    </row>
    <row r="2062" hidden="1">
      <c r="A2062" s="3" t="s">
        <v>8650</v>
      </c>
      <c r="B2062" s="4">
        <v>544011.0</v>
      </c>
      <c r="C2062" s="3" t="s">
        <v>8651</v>
      </c>
      <c r="D2062" s="3" t="s">
        <v>8652</v>
      </c>
      <c r="E2062" s="3" t="s">
        <v>8653</v>
      </c>
      <c r="F2062" s="3" t="s">
        <v>19</v>
      </c>
      <c r="G2062" s="3" t="s">
        <v>2428</v>
      </c>
      <c r="H2062" s="3">
        <v>10.0</v>
      </c>
      <c r="I2062" s="3" t="s">
        <v>8654</v>
      </c>
      <c r="J2062" s="3" t="s">
        <v>22</v>
      </c>
      <c r="K2062" s="3" t="s">
        <v>1673</v>
      </c>
      <c r="L2062" s="3" t="s">
        <v>1673</v>
      </c>
      <c r="M2062" s="3" t="s">
        <v>1674</v>
      </c>
      <c r="N2062" s="3" t="s">
        <v>1675</v>
      </c>
      <c r="O2062" s="5">
        <v>22.45078</v>
      </c>
      <c r="P2062" s="6" t="str">
        <f t="shared" si="2"/>
        <v>Commercial Services &amp; Supplies</v>
      </c>
    </row>
    <row r="2063" hidden="1">
      <c r="A2063" s="3" t="s">
        <v>8655</v>
      </c>
      <c r="B2063" s="4">
        <v>531508.0</v>
      </c>
      <c r="C2063" s="3" t="s">
        <v>8656</v>
      </c>
      <c r="D2063" s="3" t="s">
        <v>8657</v>
      </c>
      <c r="E2063" s="3" t="s">
        <v>8658</v>
      </c>
      <c r="F2063" s="3" t="s">
        <v>19</v>
      </c>
      <c r="G2063" s="3" t="s">
        <v>20</v>
      </c>
      <c r="H2063" s="3">
        <v>5.0</v>
      </c>
      <c r="I2063" s="3" t="s">
        <v>8655</v>
      </c>
      <c r="J2063" s="3" t="s">
        <v>22</v>
      </c>
      <c r="K2063" s="3" t="s">
        <v>145</v>
      </c>
      <c r="L2063" s="3" t="s">
        <v>145</v>
      </c>
      <c r="M2063" s="3" t="s">
        <v>1757</v>
      </c>
      <c r="N2063" s="3" t="s">
        <v>1757</v>
      </c>
      <c r="O2063" s="5">
        <v>2557.229073</v>
      </c>
      <c r="P2063" s="6" t="str">
        <f t="shared" si="2"/>
        <v>Household Products</v>
      </c>
    </row>
    <row r="2064" hidden="1">
      <c r="A2064" s="3" t="s">
        <v>8659</v>
      </c>
      <c r="B2064" s="4">
        <v>531509.0</v>
      </c>
      <c r="C2064" s="3" t="s">
        <v>8660</v>
      </c>
      <c r="D2064" s="3" t="s">
        <v>8661</v>
      </c>
      <c r="E2064" s="3" t="s">
        <v>8662</v>
      </c>
      <c r="F2064" s="3" t="s">
        <v>19</v>
      </c>
      <c r="G2064" s="3" t="s">
        <v>72</v>
      </c>
      <c r="H2064" s="3">
        <v>10.0</v>
      </c>
      <c r="I2064" s="3" t="s">
        <v>8659</v>
      </c>
      <c r="J2064" s="3" t="s">
        <v>22</v>
      </c>
      <c r="K2064" s="3" t="s">
        <v>204</v>
      </c>
      <c r="L2064" s="3" t="s">
        <v>204</v>
      </c>
      <c r="M2064" s="3" t="s">
        <v>378</v>
      </c>
      <c r="N2064" s="3" t="s">
        <v>468</v>
      </c>
      <c r="O2064" s="5">
        <v>1.0</v>
      </c>
      <c r="P2064" s="6" t="str">
        <f t="shared" si="2"/>
        <v>Finance</v>
      </c>
    </row>
    <row r="2065" hidden="1">
      <c r="A2065" s="3" t="s">
        <v>8663</v>
      </c>
      <c r="B2065" s="4">
        <v>531512.0</v>
      </c>
      <c r="C2065" s="3" t="s">
        <v>8664</v>
      </c>
      <c r="D2065" s="3" t="s">
        <v>8665</v>
      </c>
      <c r="E2065" s="3" t="s">
        <v>8666</v>
      </c>
      <c r="F2065" s="3" t="s">
        <v>19</v>
      </c>
      <c r="G2065" s="3" t="s">
        <v>72</v>
      </c>
      <c r="H2065" s="3">
        <v>10.0</v>
      </c>
      <c r="I2065" s="3" t="s">
        <v>8663</v>
      </c>
      <c r="J2065" s="3" t="s">
        <v>22</v>
      </c>
      <c r="K2065" s="3" t="s">
        <v>58</v>
      </c>
      <c r="L2065" s="3" t="s">
        <v>182</v>
      </c>
      <c r="M2065" s="3" t="s">
        <v>1168</v>
      </c>
      <c r="N2065" s="3" t="s">
        <v>1568</v>
      </c>
      <c r="O2065" s="5">
        <v>29.8532902</v>
      </c>
      <c r="P2065" s="6" t="str">
        <f t="shared" si="2"/>
        <v>Entertainment</v>
      </c>
    </row>
    <row r="2066" hidden="1">
      <c r="A2066" s="3" t="s">
        <v>8667</v>
      </c>
      <c r="B2066" s="4">
        <v>539116.0</v>
      </c>
      <c r="C2066" s="3" t="s">
        <v>8668</v>
      </c>
      <c r="D2066" s="3" t="s">
        <v>8669</v>
      </c>
      <c r="E2066" s="3" t="s">
        <v>8670</v>
      </c>
      <c r="F2066" s="3" t="s">
        <v>19</v>
      </c>
      <c r="G2066" s="3" t="s">
        <v>6293</v>
      </c>
      <c r="H2066" s="3">
        <v>10.0</v>
      </c>
      <c r="I2066" s="3" t="s">
        <v>8671</v>
      </c>
      <c r="J2066" s="3" t="s">
        <v>22</v>
      </c>
      <c r="K2066" s="3" t="s">
        <v>1673</v>
      </c>
      <c r="L2066" s="3" t="s">
        <v>1673</v>
      </c>
      <c r="M2066" s="3" t="s">
        <v>1674</v>
      </c>
      <c r="N2066" s="3" t="s">
        <v>1915</v>
      </c>
      <c r="O2066" s="5">
        <v>22.3584</v>
      </c>
      <c r="P2066" s="6" t="str">
        <f t="shared" si="2"/>
        <v>Commercial Services &amp; Supplies</v>
      </c>
    </row>
    <row r="2067" hidden="1">
      <c r="A2067" s="3" t="s">
        <v>8672</v>
      </c>
      <c r="B2067" s="4">
        <v>531518.0</v>
      </c>
      <c r="C2067" s="3" t="s">
        <v>8673</v>
      </c>
      <c r="D2067" s="3" t="s">
        <v>8674</v>
      </c>
      <c r="E2067" s="3" t="s">
        <v>8675</v>
      </c>
      <c r="F2067" s="3" t="s">
        <v>19</v>
      </c>
      <c r="G2067" s="3" t="s">
        <v>57</v>
      </c>
      <c r="H2067" s="3">
        <v>1.0</v>
      </c>
      <c r="I2067" s="3" t="s">
        <v>8672</v>
      </c>
      <c r="J2067" s="3" t="s">
        <v>22</v>
      </c>
      <c r="K2067" s="3" t="s">
        <v>145</v>
      </c>
      <c r="L2067" s="3" t="s">
        <v>145</v>
      </c>
      <c r="M2067" s="3" t="s">
        <v>146</v>
      </c>
      <c r="N2067" s="3" t="s">
        <v>2645</v>
      </c>
      <c r="O2067" s="5">
        <v>26.202565</v>
      </c>
      <c r="P2067" s="6" t="str">
        <f t="shared" si="2"/>
        <v>Agricultural Food &amp; other Products</v>
      </c>
    </row>
    <row r="2068" hidden="1">
      <c r="A2068" s="3" t="s">
        <v>8676</v>
      </c>
      <c r="B2068" s="4">
        <v>531521.0</v>
      </c>
      <c r="C2068" s="3" t="s">
        <v>8677</v>
      </c>
      <c r="D2068" s="3" t="s">
        <v>8678</v>
      </c>
      <c r="E2068" s="3" t="s">
        <v>8679</v>
      </c>
      <c r="F2068" s="3" t="s">
        <v>19</v>
      </c>
      <c r="G2068" s="3" t="s">
        <v>1858</v>
      </c>
      <c r="H2068" s="3">
        <v>10.0</v>
      </c>
      <c r="I2068" s="3" t="s">
        <v>8676</v>
      </c>
      <c r="J2068" s="3" t="s">
        <v>22</v>
      </c>
      <c r="K2068" s="3" t="s">
        <v>45</v>
      </c>
      <c r="L2068" s="3" t="s">
        <v>45</v>
      </c>
      <c r="M2068" s="3" t="s">
        <v>46</v>
      </c>
      <c r="N2068" s="3" t="s">
        <v>47</v>
      </c>
      <c r="O2068" s="5">
        <v>1.0</v>
      </c>
      <c r="P2068" s="6" t="str">
        <f t="shared" si="2"/>
        <v>Pharmaceuticals</v>
      </c>
    </row>
    <row r="2069" hidden="1">
      <c r="A2069" s="3" t="s">
        <v>8680</v>
      </c>
      <c r="B2069" s="4">
        <v>531525.0</v>
      </c>
      <c r="C2069" s="3" t="s">
        <v>8681</v>
      </c>
      <c r="D2069" s="3" t="s">
        <v>8682</v>
      </c>
      <c r="E2069" s="3" t="s">
        <v>8683</v>
      </c>
      <c r="F2069" s="3" t="s">
        <v>19</v>
      </c>
      <c r="G2069" s="3" t="s">
        <v>72</v>
      </c>
      <c r="H2069" s="3">
        <v>10.0</v>
      </c>
      <c r="I2069" s="3" t="s">
        <v>8680</v>
      </c>
      <c r="J2069" s="3" t="s">
        <v>22</v>
      </c>
      <c r="K2069" s="3" t="s">
        <v>473</v>
      </c>
      <c r="L2069" s="3" t="s">
        <v>473</v>
      </c>
      <c r="M2069" s="3" t="s">
        <v>1391</v>
      </c>
      <c r="N2069" s="3" t="s">
        <v>1392</v>
      </c>
      <c r="O2069" s="5">
        <v>158.9842733</v>
      </c>
      <c r="P2069" s="6" t="str">
        <f t="shared" si="2"/>
        <v>IT - Software</v>
      </c>
    </row>
    <row r="2070" hidden="1">
      <c r="A2070" s="3" t="s">
        <v>8684</v>
      </c>
      <c r="B2070" s="4">
        <v>531529.0</v>
      </c>
      <c r="C2070" s="3" t="s">
        <v>8685</v>
      </c>
      <c r="D2070" s="3" t="s">
        <v>8686</v>
      </c>
      <c r="E2070" s="3" t="s">
        <v>8687</v>
      </c>
      <c r="F2070" s="3" t="s">
        <v>19</v>
      </c>
      <c r="G2070" s="3" t="s">
        <v>72</v>
      </c>
      <c r="H2070" s="3">
        <v>10.0</v>
      </c>
      <c r="I2070" s="3" t="s">
        <v>8684</v>
      </c>
      <c r="J2070" s="3" t="s">
        <v>22</v>
      </c>
      <c r="K2070" s="3" t="s">
        <v>204</v>
      </c>
      <c r="L2070" s="3" t="s">
        <v>204</v>
      </c>
      <c r="M2070" s="3" t="s">
        <v>378</v>
      </c>
      <c r="N2070" s="3" t="s">
        <v>379</v>
      </c>
      <c r="O2070" s="5">
        <v>65.4079911</v>
      </c>
      <c r="P2070" s="6" t="str">
        <f t="shared" si="2"/>
        <v>Non Banking Financial Company (NBFC)</v>
      </c>
    </row>
    <row r="2071">
      <c r="A2071" s="3" t="s">
        <v>8688</v>
      </c>
      <c r="B2071" s="4">
        <v>531335.0</v>
      </c>
      <c r="C2071" s="3" t="s">
        <v>8689</v>
      </c>
      <c r="D2071" s="3" t="s">
        <v>8690</v>
      </c>
      <c r="E2071" s="3" t="s">
        <v>8691</v>
      </c>
      <c r="F2071" s="3" t="s">
        <v>19</v>
      </c>
      <c r="G2071" s="3" t="s">
        <v>20</v>
      </c>
      <c r="H2071" s="3">
        <v>10.0</v>
      </c>
      <c r="I2071" s="3" t="s">
        <v>8426</v>
      </c>
      <c r="J2071" s="3" t="s">
        <v>22</v>
      </c>
      <c r="K2071" s="3" t="s">
        <v>145</v>
      </c>
      <c r="L2071" s="3" t="s">
        <v>145</v>
      </c>
      <c r="M2071" s="3" t="s">
        <v>597</v>
      </c>
      <c r="N2071" s="3" t="s">
        <v>2344</v>
      </c>
      <c r="O2071" s="5">
        <v>11994.4307484</v>
      </c>
      <c r="P2071" s="6" t="str">
        <f t="shared" si="2"/>
        <v>Food Products</v>
      </c>
    </row>
    <row r="2072" hidden="1">
      <c r="A2072" s="3" t="s">
        <v>8692</v>
      </c>
      <c r="B2072" s="4">
        <v>531533.0</v>
      </c>
      <c r="C2072" s="3" t="s">
        <v>8693</v>
      </c>
      <c r="D2072" s="3" t="s">
        <v>8694</v>
      </c>
      <c r="E2072" s="3" t="s">
        <v>8695</v>
      </c>
      <c r="F2072" s="3" t="s">
        <v>19</v>
      </c>
      <c r="G2072" s="3" t="s">
        <v>72</v>
      </c>
      <c r="H2072" s="3">
        <v>10.0</v>
      </c>
      <c r="I2072" s="3" t="s">
        <v>8692</v>
      </c>
      <c r="J2072" s="3" t="s">
        <v>22</v>
      </c>
      <c r="K2072" s="3" t="s">
        <v>473</v>
      </c>
      <c r="L2072" s="3" t="s">
        <v>473</v>
      </c>
      <c r="M2072" s="3" t="s">
        <v>1391</v>
      </c>
      <c r="N2072" s="3" t="s">
        <v>1840</v>
      </c>
      <c r="O2072" s="5">
        <v>38.3320471</v>
      </c>
      <c r="P2072" s="6" t="str">
        <f t="shared" si="2"/>
        <v>Computers - Software &amp; Consulting</v>
      </c>
    </row>
    <row r="2073" hidden="1">
      <c r="A2073" s="3" t="s">
        <v>8696</v>
      </c>
      <c r="B2073" s="4">
        <v>531930.0</v>
      </c>
      <c r="C2073" s="3" t="s">
        <v>8697</v>
      </c>
      <c r="D2073" s="3" t="s">
        <v>8698</v>
      </c>
      <c r="E2073" s="3" t="s">
        <v>8699</v>
      </c>
      <c r="F2073" s="3" t="s">
        <v>19</v>
      </c>
      <c r="G2073" s="3" t="s">
        <v>44</v>
      </c>
      <c r="H2073" s="3">
        <v>10.0</v>
      </c>
      <c r="I2073" s="3" t="s">
        <v>8700</v>
      </c>
      <c r="J2073" s="3" t="s">
        <v>22</v>
      </c>
      <c r="K2073" s="3" t="s">
        <v>1673</v>
      </c>
      <c r="L2073" s="3" t="s">
        <v>1673</v>
      </c>
      <c r="M2073" s="3" t="s">
        <v>1674</v>
      </c>
      <c r="N2073" s="3" t="s">
        <v>1915</v>
      </c>
      <c r="O2073" s="5">
        <v>22.2897843</v>
      </c>
      <c r="P2073" s="6" t="str">
        <f t="shared" si="2"/>
        <v>Commercial Services &amp; Supplies</v>
      </c>
    </row>
    <row r="2074" hidden="1">
      <c r="A2074" s="3" t="s">
        <v>8701</v>
      </c>
      <c r="B2074" s="4">
        <v>531539.0</v>
      </c>
      <c r="C2074" s="3" t="s">
        <v>8702</v>
      </c>
      <c r="D2074" s="3" t="s">
        <v>8703</v>
      </c>
      <c r="E2074" s="3" t="s">
        <v>8704</v>
      </c>
      <c r="F2074" s="3" t="s">
        <v>19</v>
      </c>
      <c r="G2074" s="3" t="s">
        <v>72</v>
      </c>
      <c r="H2074" s="3">
        <v>10.0</v>
      </c>
      <c r="I2074" s="3" t="s">
        <v>8701</v>
      </c>
      <c r="J2074" s="3" t="s">
        <v>22</v>
      </c>
      <c r="K2074" s="3" t="s">
        <v>97</v>
      </c>
      <c r="L2074" s="3" t="s">
        <v>98</v>
      </c>
      <c r="M2074" s="3" t="s">
        <v>100</v>
      </c>
      <c r="N2074" s="3" t="s">
        <v>612</v>
      </c>
      <c r="O2074" s="5">
        <v>18.2806839</v>
      </c>
      <c r="P2074" s="6" t="str">
        <f t="shared" si="2"/>
        <v>Industrial Products</v>
      </c>
    </row>
    <row r="2075" hidden="1">
      <c r="A2075" s="3" t="s">
        <v>8705</v>
      </c>
      <c r="B2075" s="4">
        <v>531540.0</v>
      </c>
      <c r="C2075" s="3" t="s">
        <v>8706</v>
      </c>
      <c r="D2075" s="3" t="s">
        <v>8707</v>
      </c>
      <c r="E2075" s="3" t="s">
        <v>8708</v>
      </c>
      <c r="F2075" s="3" t="s">
        <v>19</v>
      </c>
      <c r="G2075" s="3" t="s">
        <v>72</v>
      </c>
      <c r="H2075" s="3">
        <v>10.0</v>
      </c>
      <c r="I2075" s="3" t="s">
        <v>8705</v>
      </c>
      <c r="J2075" s="3" t="s">
        <v>22</v>
      </c>
      <c r="K2075" s="3" t="s">
        <v>97</v>
      </c>
      <c r="L2075" s="3" t="s">
        <v>965</v>
      </c>
      <c r="M2075" s="3" t="s">
        <v>965</v>
      </c>
      <c r="N2075" s="3" t="s">
        <v>966</v>
      </c>
      <c r="O2075" s="5">
        <v>278.4431516</v>
      </c>
      <c r="P2075" s="6" t="str">
        <f t="shared" si="2"/>
        <v>Civil Construction</v>
      </c>
    </row>
    <row r="2076" hidden="1">
      <c r="A2076" s="3" t="s">
        <v>8709</v>
      </c>
      <c r="B2076" s="4">
        <v>531541.0</v>
      </c>
      <c r="C2076" s="3" t="s">
        <v>8710</v>
      </c>
      <c r="D2076" s="3" t="s">
        <v>8711</v>
      </c>
      <c r="E2076" s="3" t="s">
        <v>8712</v>
      </c>
      <c r="F2076" s="3" t="s">
        <v>19</v>
      </c>
      <c r="G2076" s="3" t="s">
        <v>57</v>
      </c>
      <c r="H2076" s="3">
        <v>10.0</v>
      </c>
      <c r="I2076" s="3" t="s">
        <v>8709</v>
      </c>
      <c r="J2076" s="3" t="s">
        <v>22</v>
      </c>
      <c r="K2076" s="3" t="s">
        <v>23</v>
      </c>
      <c r="L2076" s="3" t="s">
        <v>24</v>
      </c>
      <c r="M2076" s="3" t="s">
        <v>25</v>
      </c>
      <c r="N2076" s="3" t="s">
        <v>52</v>
      </c>
      <c r="O2076" s="5">
        <v>9.0535</v>
      </c>
      <c r="P2076" s="6" t="str">
        <f t="shared" si="2"/>
        <v>Chemicals &amp; Petrochemicals</v>
      </c>
    </row>
    <row r="2077">
      <c r="A2077" s="3" t="s">
        <v>1314</v>
      </c>
      <c r="B2077" s="4">
        <v>531531.0</v>
      </c>
      <c r="C2077" s="3" t="s">
        <v>8713</v>
      </c>
      <c r="D2077" s="3" t="s">
        <v>8714</v>
      </c>
      <c r="E2077" s="3" t="s">
        <v>8715</v>
      </c>
      <c r="F2077" s="3" t="s">
        <v>19</v>
      </c>
      <c r="G2077" s="3" t="s">
        <v>20</v>
      </c>
      <c r="H2077" s="3">
        <v>1.0</v>
      </c>
      <c r="I2077" s="3" t="s">
        <v>8688</v>
      </c>
      <c r="J2077" s="3" t="s">
        <v>22</v>
      </c>
      <c r="K2077" s="3" t="s">
        <v>145</v>
      </c>
      <c r="L2077" s="3" t="s">
        <v>145</v>
      </c>
      <c r="M2077" s="3" t="s">
        <v>597</v>
      </c>
      <c r="N2077" s="3" t="s">
        <v>598</v>
      </c>
      <c r="O2077" s="5">
        <v>23928.80596</v>
      </c>
      <c r="P2077" s="6" t="str">
        <f t="shared" si="2"/>
        <v>Food Products</v>
      </c>
    </row>
    <row r="2078" hidden="1">
      <c r="A2078" s="3" t="s">
        <v>8716</v>
      </c>
      <c r="B2078" s="4">
        <v>531548.0</v>
      </c>
      <c r="C2078" s="3" t="s">
        <v>8717</v>
      </c>
      <c r="D2078" s="3" t="s">
        <v>8718</v>
      </c>
      <c r="E2078" s="3" t="s">
        <v>8719</v>
      </c>
      <c r="F2078" s="3" t="s">
        <v>19</v>
      </c>
      <c r="G2078" s="3" t="s">
        <v>20</v>
      </c>
      <c r="H2078" s="3">
        <v>2.0</v>
      </c>
      <c r="I2078" s="3" t="s">
        <v>8716</v>
      </c>
      <c r="J2078" s="3" t="s">
        <v>22</v>
      </c>
      <c r="K2078" s="3" t="s">
        <v>58</v>
      </c>
      <c r="L2078" s="3" t="s">
        <v>211</v>
      </c>
      <c r="M2078" s="3" t="s">
        <v>211</v>
      </c>
      <c r="N2078" s="3" t="s">
        <v>971</v>
      </c>
      <c r="O2078" s="5">
        <v>3401.1985521</v>
      </c>
      <c r="P2078" s="6" t="str">
        <f t="shared" si="2"/>
        <v>Consumer Durables</v>
      </c>
    </row>
    <row r="2079" hidden="1">
      <c r="A2079" s="3" t="s">
        <v>8720</v>
      </c>
      <c r="B2079" s="4">
        <v>531550.0</v>
      </c>
      <c r="C2079" s="3" t="s">
        <v>8721</v>
      </c>
      <c r="D2079" s="3" t="s">
        <v>8722</v>
      </c>
      <c r="E2079" s="3" t="s">
        <v>8723</v>
      </c>
      <c r="F2079" s="3" t="s">
        <v>19</v>
      </c>
      <c r="G2079" s="3" t="s">
        <v>72</v>
      </c>
      <c r="H2079" s="3">
        <v>10.0</v>
      </c>
      <c r="I2079" s="3" t="s">
        <v>8720</v>
      </c>
      <c r="J2079" s="3" t="s">
        <v>22</v>
      </c>
      <c r="K2079" s="3" t="s">
        <v>204</v>
      </c>
      <c r="L2079" s="3" t="s">
        <v>204</v>
      </c>
      <c r="M2079" s="3" t="s">
        <v>378</v>
      </c>
      <c r="N2079" s="3" t="s">
        <v>468</v>
      </c>
      <c r="O2079" s="5">
        <v>343.0142225</v>
      </c>
      <c r="P2079" s="6" t="str">
        <f t="shared" si="2"/>
        <v>Finance</v>
      </c>
    </row>
    <row r="2080" hidden="1">
      <c r="A2080" s="3" t="s">
        <v>8724</v>
      </c>
      <c r="B2080" s="4">
        <v>531552.0</v>
      </c>
      <c r="C2080" s="3" t="s">
        <v>8725</v>
      </c>
      <c r="D2080" s="3" t="s">
        <v>8726</v>
      </c>
      <c r="E2080" s="3" t="s">
        <v>8727</v>
      </c>
      <c r="F2080" s="3" t="s">
        <v>19</v>
      </c>
      <c r="G2080" s="3" t="s">
        <v>44</v>
      </c>
      <c r="H2080" s="3">
        <v>10.0</v>
      </c>
      <c r="I2080" s="3" t="s">
        <v>8724</v>
      </c>
      <c r="J2080" s="3" t="s">
        <v>22</v>
      </c>
      <c r="K2080" s="3" t="s">
        <v>58</v>
      </c>
      <c r="L2080" s="3" t="s">
        <v>59</v>
      </c>
      <c r="M2080" s="3" t="s">
        <v>59</v>
      </c>
      <c r="N2080" s="3" t="s">
        <v>60</v>
      </c>
      <c r="O2080" s="5">
        <v>20.8823252</v>
      </c>
      <c r="P2080" s="6" t="str">
        <f t="shared" si="2"/>
        <v>Residential, Commercial Projects</v>
      </c>
    </row>
    <row r="2081" hidden="1">
      <c r="A2081" s="3" t="s">
        <v>8728</v>
      </c>
      <c r="B2081" s="4">
        <v>530809.0</v>
      </c>
      <c r="C2081" s="3" t="s">
        <v>8729</v>
      </c>
      <c r="D2081" s="3" t="s">
        <v>8730</v>
      </c>
      <c r="E2081" s="3" t="s">
        <v>8731</v>
      </c>
      <c r="F2081" s="3" t="s">
        <v>19</v>
      </c>
      <c r="G2081" s="3" t="s">
        <v>44</v>
      </c>
      <c r="H2081" s="3">
        <v>10.0</v>
      </c>
      <c r="I2081" s="3" t="s">
        <v>7902</v>
      </c>
      <c r="J2081" s="3" t="s">
        <v>22</v>
      </c>
      <c r="K2081" s="3" t="s">
        <v>1673</v>
      </c>
      <c r="L2081" s="3" t="s">
        <v>1673</v>
      </c>
      <c r="M2081" s="3" t="s">
        <v>1674</v>
      </c>
      <c r="N2081" s="3" t="s">
        <v>1705</v>
      </c>
      <c r="O2081" s="5">
        <v>21.9883087</v>
      </c>
      <c r="P2081" s="6" t="str">
        <f t="shared" si="2"/>
        <v>Commercial Services &amp; Supplies</v>
      </c>
    </row>
    <row r="2082" hidden="1">
      <c r="A2082" s="3" t="s">
        <v>3857</v>
      </c>
      <c r="B2082" s="4">
        <v>541444.0</v>
      </c>
      <c r="C2082" s="3" t="s">
        <v>8732</v>
      </c>
      <c r="D2082" s="3" t="s">
        <v>8733</v>
      </c>
      <c r="E2082" s="3" t="s">
        <v>8734</v>
      </c>
      <c r="F2082" s="3" t="s">
        <v>19</v>
      </c>
      <c r="G2082" s="3" t="s">
        <v>112</v>
      </c>
      <c r="H2082" s="3">
        <v>10.0</v>
      </c>
      <c r="I2082" s="3" t="s">
        <v>8735</v>
      </c>
      <c r="J2082" s="3" t="s">
        <v>22</v>
      </c>
      <c r="K2082" s="3" t="s">
        <v>1673</v>
      </c>
      <c r="L2082" s="3" t="s">
        <v>1673</v>
      </c>
      <c r="M2082" s="3" t="s">
        <v>1674</v>
      </c>
      <c r="N2082" s="3" t="s">
        <v>1915</v>
      </c>
      <c r="O2082" s="5">
        <v>21.3270994</v>
      </c>
      <c r="P2082" s="6" t="str">
        <f t="shared" si="2"/>
        <v>Commercial Services &amp; Supplies</v>
      </c>
    </row>
    <row r="2083" hidden="1">
      <c r="A2083" s="3" t="s">
        <v>8736</v>
      </c>
      <c r="B2083" s="4">
        <v>531568.0</v>
      </c>
      <c r="C2083" s="3" t="s">
        <v>8737</v>
      </c>
      <c r="D2083" s="3" t="s">
        <v>8738</v>
      </c>
      <c r="E2083" s="3" t="s">
        <v>8739</v>
      </c>
      <c r="F2083" s="3" t="s">
        <v>19</v>
      </c>
      <c r="G2083" s="3" t="s">
        <v>72</v>
      </c>
      <c r="H2083" s="3">
        <v>10.0</v>
      </c>
      <c r="I2083" s="3" t="s">
        <v>8736</v>
      </c>
      <c r="J2083" s="3" t="s">
        <v>22</v>
      </c>
      <c r="K2083" s="3" t="s">
        <v>23</v>
      </c>
      <c r="L2083" s="3" t="s">
        <v>32</v>
      </c>
      <c r="M2083" s="3" t="s">
        <v>33</v>
      </c>
      <c r="N2083" s="3" t="s">
        <v>34</v>
      </c>
      <c r="O2083" s="5">
        <v>1.0</v>
      </c>
      <c r="P2083" s="6" t="str">
        <f t="shared" si="2"/>
        <v>Paper, Forest &amp; Jute Products</v>
      </c>
    </row>
    <row r="2084" hidden="1">
      <c r="A2084" s="3" t="s">
        <v>8740</v>
      </c>
      <c r="B2084" s="4">
        <v>531569.0</v>
      </c>
      <c r="C2084" s="3" t="s">
        <v>8741</v>
      </c>
      <c r="D2084" s="3" t="s">
        <v>8742</v>
      </c>
      <c r="E2084" s="3" t="s">
        <v>8743</v>
      </c>
      <c r="F2084" s="3" t="s">
        <v>19</v>
      </c>
      <c r="G2084" s="3" t="s">
        <v>72</v>
      </c>
      <c r="H2084" s="3">
        <v>10.0</v>
      </c>
      <c r="I2084" s="3" t="s">
        <v>8740</v>
      </c>
      <c r="J2084" s="3" t="s">
        <v>22</v>
      </c>
      <c r="K2084" s="3" t="s">
        <v>45</v>
      </c>
      <c r="L2084" s="3" t="s">
        <v>45</v>
      </c>
      <c r="M2084" s="3" t="s">
        <v>46</v>
      </c>
      <c r="N2084" s="3" t="s">
        <v>47</v>
      </c>
      <c r="O2084" s="5">
        <v>253.990676</v>
      </c>
      <c r="P2084" s="6" t="str">
        <f t="shared" si="2"/>
        <v>Pharmaceuticals</v>
      </c>
    </row>
    <row r="2085" hidden="1">
      <c r="A2085" s="3" t="s">
        <v>8744</v>
      </c>
      <c r="B2085" s="4">
        <v>531574.0</v>
      </c>
      <c r="C2085" s="3" t="s">
        <v>8745</v>
      </c>
      <c r="D2085" s="3" t="s">
        <v>8746</v>
      </c>
      <c r="E2085" s="3" t="s">
        <v>8747</v>
      </c>
      <c r="F2085" s="3" t="s">
        <v>19</v>
      </c>
      <c r="G2085" s="3" t="s">
        <v>72</v>
      </c>
      <c r="H2085" s="3">
        <v>10.0</v>
      </c>
      <c r="I2085" s="3" t="s">
        <v>8744</v>
      </c>
      <c r="J2085" s="3" t="s">
        <v>22</v>
      </c>
      <c r="K2085" s="3" t="s">
        <v>58</v>
      </c>
      <c r="L2085" s="3" t="s">
        <v>59</v>
      </c>
      <c r="M2085" s="3" t="s">
        <v>59</v>
      </c>
      <c r="N2085" s="3" t="s">
        <v>60</v>
      </c>
      <c r="O2085" s="5">
        <v>5.2269252</v>
      </c>
      <c r="P2085" s="6" t="str">
        <f t="shared" si="2"/>
        <v>Residential, Commercial Projects</v>
      </c>
    </row>
    <row r="2086" hidden="1">
      <c r="A2086" s="3" t="s">
        <v>8748</v>
      </c>
      <c r="B2086" s="4">
        <v>531578.0</v>
      </c>
      <c r="C2086" s="3" t="s">
        <v>8749</v>
      </c>
      <c r="D2086" s="3" t="s">
        <v>8750</v>
      </c>
      <c r="E2086" s="3" t="s">
        <v>8751</v>
      </c>
      <c r="F2086" s="3" t="s">
        <v>19</v>
      </c>
      <c r="G2086" s="3" t="s">
        <v>72</v>
      </c>
      <c r="H2086" s="3">
        <v>5.0</v>
      </c>
      <c r="I2086" s="3" t="s">
        <v>8748</v>
      </c>
      <c r="J2086" s="3" t="s">
        <v>22</v>
      </c>
      <c r="K2086" s="3" t="s">
        <v>58</v>
      </c>
      <c r="L2086" s="3" t="s">
        <v>59</v>
      </c>
      <c r="M2086" s="3" t="s">
        <v>59</v>
      </c>
      <c r="N2086" s="3" t="s">
        <v>60</v>
      </c>
      <c r="O2086" s="5">
        <v>1.0</v>
      </c>
      <c r="P2086" s="6" t="str">
        <f t="shared" si="2"/>
        <v>Residential, Commercial Projects</v>
      </c>
    </row>
    <row r="2087" hidden="1">
      <c r="A2087" s="3" t="s">
        <v>8752</v>
      </c>
      <c r="B2087" s="4">
        <v>531582.0</v>
      </c>
      <c r="C2087" s="3" t="s">
        <v>8753</v>
      </c>
      <c r="D2087" s="3" t="s">
        <v>8754</v>
      </c>
      <c r="E2087" s="3" t="s">
        <v>8755</v>
      </c>
      <c r="F2087" s="3" t="s">
        <v>19</v>
      </c>
      <c r="G2087" s="3" t="s">
        <v>44</v>
      </c>
      <c r="H2087" s="3">
        <v>10.0</v>
      </c>
      <c r="I2087" s="3" t="s">
        <v>8752</v>
      </c>
      <c r="J2087" s="3" t="s">
        <v>22</v>
      </c>
      <c r="K2087" s="3" t="s">
        <v>204</v>
      </c>
      <c r="L2087" s="3" t="s">
        <v>204</v>
      </c>
      <c r="M2087" s="3" t="s">
        <v>378</v>
      </c>
      <c r="N2087" s="3" t="s">
        <v>379</v>
      </c>
      <c r="O2087" s="5">
        <v>1.0</v>
      </c>
      <c r="P2087" s="6" t="str">
        <f t="shared" si="2"/>
        <v>Non Banking Financial Company (NBFC)</v>
      </c>
    </row>
    <row r="2088" hidden="1">
      <c r="A2088" s="3" t="s">
        <v>8756</v>
      </c>
      <c r="B2088" s="4">
        <v>531583.0</v>
      </c>
      <c r="C2088" s="3" t="s">
        <v>8757</v>
      </c>
      <c r="D2088" s="3" t="s">
        <v>8758</v>
      </c>
      <c r="E2088" s="3" t="s">
        <v>8759</v>
      </c>
      <c r="F2088" s="3" t="s">
        <v>19</v>
      </c>
      <c r="G2088" s="3" t="s">
        <v>72</v>
      </c>
      <c r="H2088" s="3">
        <v>10.0</v>
      </c>
      <c r="I2088" s="3" t="s">
        <v>8756</v>
      </c>
      <c r="J2088" s="3" t="s">
        <v>22</v>
      </c>
      <c r="K2088" s="3" t="s">
        <v>58</v>
      </c>
      <c r="L2088" s="3" t="s">
        <v>59</v>
      </c>
      <c r="M2088" s="3" t="s">
        <v>59</v>
      </c>
      <c r="N2088" s="3" t="s">
        <v>3578</v>
      </c>
      <c r="O2088" s="5">
        <v>13.4574023</v>
      </c>
      <c r="P2088" s="6" t="str">
        <f t="shared" si="2"/>
        <v>Realty</v>
      </c>
    </row>
    <row r="2089" hidden="1">
      <c r="A2089" s="3" t="s">
        <v>8760</v>
      </c>
      <c r="B2089" s="4">
        <v>540613.0</v>
      </c>
      <c r="C2089" s="3" t="s">
        <v>8761</v>
      </c>
      <c r="D2089" s="3" t="s">
        <v>8762</v>
      </c>
      <c r="E2089" s="3" t="s">
        <v>8763</v>
      </c>
      <c r="F2089" s="3" t="s">
        <v>19</v>
      </c>
      <c r="G2089" s="3" t="s">
        <v>6293</v>
      </c>
      <c r="H2089" s="3">
        <v>10.0</v>
      </c>
      <c r="I2089" s="3" t="s">
        <v>8764</v>
      </c>
      <c r="J2089" s="3" t="s">
        <v>22</v>
      </c>
      <c r="K2089" s="3" t="s">
        <v>1673</v>
      </c>
      <c r="L2089" s="3" t="s">
        <v>1673</v>
      </c>
      <c r="M2089" s="3" t="s">
        <v>1674</v>
      </c>
      <c r="N2089" s="3" t="s">
        <v>1915</v>
      </c>
      <c r="O2089" s="5">
        <v>21.17571</v>
      </c>
      <c r="P2089" s="6" t="str">
        <f t="shared" si="2"/>
        <v>Commercial Services &amp; Supplies</v>
      </c>
    </row>
    <row r="2090" hidden="1">
      <c r="A2090" s="3" t="s">
        <v>8765</v>
      </c>
      <c r="B2090" s="4">
        <v>531591.0</v>
      </c>
      <c r="C2090" s="3" t="s">
        <v>8766</v>
      </c>
      <c r="D2090" s="3" t="s">
        <v>8767</v>
      </c>
      <c r="E2090" s="3" t="s">
        <v>8768</v>
      </c>
      <c r="F2090" s="3" t="s">
        <v>19</v>
      </c>
      <c r="G2090" s="3" t="s">
        <v>44</v>
      </c>
      <c r="H2090" s="3">
        <v>10.0</v>
      </c>
      <c r="I2090" s="3" t="s">
        <v>8765</v>
      </c>
      <c r="J2090" s="3" t="s">
        <v>22</v>
      </c>
      <c r="K2090" s="3" t="s">
        <v>204</v>
      </c>
      <c r="L2090" s="3" t="s">
        <v>204</v>
      </c>
      <c r="M2090" s="3" t="s">
        <v>378</v>
      </c>
      <c r="N2090" s="3" t="s">
        <v>379</v>
      </c>
      <c r="O2090" s="5">
        <v>29.646347</v>
      </c>
      <c r="P2090" s="6" t="str">
        <f t="shared" si="2"/>
        <v>Non Banking Financial Company (NBFC)</v>
      </c>
    </row>
    <row r="2091" hidden="1">
      <c r="A2091" s="3" t="s">
        <v>4702</v>
      </c>
      <c r="B2091" s="4">
        <v>539409.0</v>
      </c>
      <c r="C2091" s="3" t="s">
        <v>8769</v>
      </c>
      <c r="D2091" s="3" t="s">
        <v>8770</v>
      </c>
      <c r="E2091" s="3" t="s">
        <v>8771</v>
      </c>
      <c r="F2091" s="3" t="s">
        <v>19</v>
      </c>
      <c r="G2091" s="3" t="s">
        <v>44</v>
      </c>
      <c r="H2091" s="3">
        <v>10.0</v>
      </c>
      <c r="I2091" s="3" t="s">
        <v>8772</v>
      </c>
      <c r="J2091" s="3" t="s">
        <v>22</v>
      </c>
      <c r="K2091" s="3" t="s">
        <v>1673</v>
      </c>
      <c r="L2091" s="3" t="s">
        <v>1673</v>
      </c>
      <c r="M2091" s="3" t="s">
        <v>1674</v>
      </c>
      <c r="N2091" s="3" t="s">
        <v>1915</v>
      </c>
      <c r="O2091" s="5">
        <v>21.171415</v>
      </c>
      <c r="P2091" s="6" t="str">
        <f t="shared" si="2"/>
        <v>Commercial Services &amp; Supplies</v>
      </c>
    </row>
    <row r="2092" hidden="1">
      <c r="A2092" s="3" t="s">
        <v>8773</v>
      </c>
      <c r="B2092" s="4">
        <v>531594.0</v>
      </c>
      <c r="C2092" s="3" t="s">
        <v>8774</v>
      </c>
      <c r="D2092" s="3" t="s">
        <v>8775</v>
      </c>
      <c r="E2092" s="3" t="s">
        <v>8776</v>
      </c>
      <c r="F2092" s="3" t="s">
        <v>19</v>
      </c>
      <c r="G2092" s="3" t="s">
        <v>72</v>
      </c>
      <c r="H2092" s="3">
        <v>10.0</v>
      </c>
      <c r="I2092" s="3" t="s">
        <v>8773</v>
      </c>
      <c r="J2092" s="3" t="s">
        <v>22</v>
      </c>
      <c r="K2092" s="3" t="s">
        <v>97</v>
      </c>
      <c r="L2092" s="3" t="s">
        <v>98</v>
      </c>
      <c r="M2092" s="3" t="s">
        <v>99</v>
      </c>
      <c r="N2092" s="3" t="s">
        <v>100</v>
      </c>
      <c r="O2092" s="5">
        <v>1.0</v>
      </c>
      <c r="P2092" s="6" t="str">
        <f t="shared" si="2"/>
        <v>Industrial Products</v>
      </c>
    </row>
    <row r="2093">
      <c r="A2093" s="3" t="s">
        <v>8777</v>
      </c>
      <c r="B2093" s="4">
        <v>531642.0</v>
      </c>
      <c r="C2093" s="3" t="s">
        <v>8778</v>
      </c>
      <c r="D2093" s="3" t="s">
        <v>8779</v>
      </c>
      <c r="E2093" s="3" t="s">
        <v>8780</v>
      </c>
      <c r="F2093" s="3" t="s">
        <v>19</v>
      </c>
      <c r="G2093" s="3" t="s">
        <v>20</v>
      </c>
      <c r="H2093" s="3">
        <v>1.0</v>
      </c>
      <c r="I2093" s="3" t="s">
        <v>8781</v>
      </c>
      <c r="J2093" s="3" t="s">
        <v>22</v>
      </c>
      <c r="K2093" s="3" t="s">
        <v>145</v>
      </c>
      <c r="L2093" s="3" t="s">
        <v>145</v>
      </c>
      <c r="M2093" s="3" t="s">
        <v>146</v>
      </c>
      <c r="N2093" s="3" t="s">
        <v>575</v>
      </c>
      <c r="O2093" s="5">
        <v>77512.9449687</v>
      </c>
      <c r="P2093" s="6" t="str">
        <f t="shared" si="2"/>
        <v>Agricultural Food &amp; other Products</v>
      </c>
    </row>
    <row r="2094">
      <c r="A2094" s="3" t="s">
        <v>8782</v>
      </c>
      <c r="B2094" s="4">
        <v>532356.0</v>
      </c>
      <c r="C2094" s="3" t="s">
        <v>8783</v>
      </c>
      <c r="D2094" s="3" t="s">
        <v>8784</v>
      </c>
      <c r="E2094" s="3" t="s">
        <v>8785</v>
      </c>
      <c r="F2094" s="3" t="s">
        <v>19</v>
      </c>
      <c r="G2094" s="3" t="s">
        <v>20</v>
      </c>
      <c r="H2094" s="3">
        <v>1.0</v>
      </c>
      <c r="I2094" s="3" t="s">
        <v>8786</v>
      </c>
      <c r="J2094" s="3" t="s">
        <v>22</v>
      </c>
      <c r="K2094" s="3" t="s">
        <v>145</v>
      </c>
      <c r="L2094" s="3" t="s">
        <v>145</v>
      </c>
      <c r="M2094" s="3" t="s">
        <v>146</v>
      </c>
      <c r="N2094" s="3" t="s">
        <v>147</v>
      </c>
      <c r="O2094" s="5">
        <v>8613.844</v>
      </c>
      <c r="P2094" s="6" t="str">
        <f t="shared" si="2"/>
        <v>Agricultural Food &amp; other Products</v>
      </c>
    </row>
    <row r="2095" hidden="1">
      <c r="A2095" s="3" t="s">
        <v>8787</v>
      </c>
      <c r="B2095" s="4">
        <v>531600.0</v>
      </c>
      <c r="C2095" s="3" t="s">
        <v>8788</v>
      </c>
      <c r="D2095" s="3" t="s">
        <v>8789</v>
      </c>
      <c r="E2095" s="3" t="s">
        <v>8788</v>
      </c>
      <c r="F2095" s="3" t="s">
        <v>19</v>
      </c>
      <c r="G2095" s="3" t="s">
        <v>72</v>
      </c>
      <c r="H2095" s="3">
        <v>10.0</v>
      </c>
      <c r="I2095" s="3" t="s">
        <v>8787</v>
      </c>
      <c r="J2095" s="3" t="s">
        <v>22</v>
      </c>
      <c r="K2095" s="3" t="s">
        <v>204</v>
      </c>
      <c r="L2095" s="3" t="s">
        <v>204</v>
      </c>
      <c r="M2095" s="3" t="s">
        <v>205</v>
      </c>
      <c r="N2095" s="3" t="s">
        <v>2109</v>
      </c>
      <c r="O2095" s="5">
        <v>48.6725162</v>
      </c>
      <c r="P2095" s="6" t="str">
        <f t="shared" si="2"/>
        <v>Capital Markets</v>
      </c>
    </row>
    <row r="2096" hidden="1">
      <c r="A2096" s="3" t="s">
        <v>8790</v>
      </c>
      <c r="B2096" s="4">
        <v>531608.0</v>
      </c>
      <c r="C2096" s="3" t="s">
        <v>8791</v>
      </c>
      <c r="D2096" s="3" t="s">
        <v>8792</v>
      </c>
      <c r="E2096" s="3" t="s">
        <v>8793</v>
      </c>
      <c r="F2096" s="3" t="s">
        <v>19</v>
      </c>
      <c r="G2096" s="3" t="s">
        <v>44</v>
      </c>
      <c r="H2096" s="3">
        <v>10.0</v>
      </c>
      <c r="I2096" s="3" t="s">
        <v>8790</v>
      </c>
      <c r="J2096" s="3" t="s">
        <v>22</v>
      </c>
      <c r="K2096" s="3" t="s">
        <v>58</v>
      </c>
      <c r="L2096" s="3" t="s">
        <v>211</v>
      </c>
      <c r="M2096" s="3" t="s">
        <v>211</v>
      </c>
      <c r="N2096" s="3" t="s">
        <v>2812</v>
      </c>
      <c r="O2096" s="5">
        <v>59.7405653</v>
      </c>
      <c r="P2096" s="6" t="str">
        <f t="shared" si="2"/>
        <v>Consumer Durables</v>
      </c>
    </row>
    <row r="2097" hidden="1">
      <c r="A2097" s="3" t="s">
        <v>8794</v>
      </c>
      <c r="B2097" s="4">
        <v>531609.0</v>
      </c>
      <c r="C2097" s="3" t="s">
        <v>8795</v>
      </c>
      <c r="D2097" s="3" t="s">
        <v>8796</v>
      </c>
      <c r="E2097" s="3" t="s">
        <v>8797</v>
      </c>
      <c r="F2097" s="3" t="s">
        <v>19</v>
      </c>
      <c r="G2097" s="3" t="s">
        <v>44</v>
      </c>
      <c r="H2097" s="3">
        <v>10.0</v>
      </c>
      <c r="I2097" s="3" t="s">
        <v>8794</v>
      </c>
      <c r="J2097" s="3" t="s">
        <v>22</v>
      </c>
      <c r="K2097" s="3" t="s">
        <v>58</v>
      </c>
      <c r="L2097" s="3" t="s">
        <v>80</v>
      </c>
      <c r="M2097" s="3" t="s">
        <v>81</v>
      </c>
      <c r="N2097" s="3" t="s">
        <v>82</v>
      </c>
      <c r="O2097" s="5">
        <v>124.9906889</v>
      </c>
      <c r="P2097" s="6" t="str">
        <f t="shared" si="2"/>
        <v>Textiles &amp; Apparels</v>
      </c>
    </row>
    <row r="2098" hidden="1">
      <c r="A2098" s="3" t="s">
        <v>8798</v>
      </c>
      <c r="B2098" s="4">
        <v>531624.0</v>
      </c>
      <c r="C2098" s="3" t="s">
        <v>8799</v>
      </c>
      <c r="D2098" s="3" t="s">
        <v>8800</v>
      </c>
      <c r="E2098" s="3" t="s">
        <v>8801</v>
      </c>
      <c r="F2098" s="3" t="s">
        <v>19</v>
      </c>
      <c r="G2098" s="3" t="s">
        <v>112</v>
      </c>
      <c r="H2098" s="3">
        <v>1.0</v>
      </c>
      <c r="I2098" s="3" t="s">
        <v>8798</v>
      </c>
      <c r="J2098" s="3" t="s">
        <v>22</v>
      </c>
      <c r="K2098" s="3" t="s">
        <v>58</v>
      </c>
      <c r="L2098" s="3" t="s">
        <v>59</v>
      </c>
      <c r="M2098" s="3" t="s">
        <v>59</v>
      </c>
      <c r="N2098" s="3" t="s">
        <v>60</v>
      </c>
      <c r="O2098" s="5">
        <v>47.489675</v>
      </c>
      <c r="P2098" s="6" t="str">
        <f t="shared" si="2"/>
        <v>Residential, Commercial Projects</v>
      </c>
    </row>
    <row r="2099" hidden="1">
      <c r="A2099" s="3" t="s">
        <v>8802</v>
      </c>
      <c r="B2099" s="4">
        <v>531626.0</v>
      </c>
      <c r="C2099" s="3" t="s">
        <v>8803</v>
      </c>
      <c r="D2099" s="3" t="s">
        <v>8804</v>
      </c>
      <c r="E2099" s="3" t="s">
        <v>8805</v>
      </c>
      <c r="F2099" s="3" t="s">
        <v>19</v>
      </c>
      <c r="G2099" s="3" t="s">
        <v>44</v>
      </c>
      <c r="H2099" s="3">
        <v>1.0</v>
      </c>
      <c r="I2099" s="3" t="s">
        <v>8802</v>
      </c>
      <c r="J2099" s="3" t="s">
        <v>22</v>
      </c>
      <c r="K2099" s="3" t="s">
        <v>58</v>
      </c>
      <c r="L2099" s="3" t="s">
        <v>211</v>
      </c>
      <c r="M2099" s="3" t="s">
        <v>211</v>
      </c>
      <c r="N2099" s="3" t="s">
        <v>947</v>
      </c>
      <c r="O2099" s="5">
        <v>16.017936</v>
      </c>
      <c r="P2099" s="6" t="str">
        <f t="shared" si="2"/>
        <v>Consumer Durables</v>
      </c>
    </row>
    <row r="2100" hidden="1">
      <c r="A2100" s="3" t="s">
        <v>8806</v>
      </c>
      <c r="B2100" s="4">
        <v>531628.0</v>
      </c>
      <c r="C2100" s="3" t="s">
        <v>8807</v>
      </c>
      <c r="D2100" s="3" t="s">
        <v>8808</v>
      </c>
      <c r="E2100" s="3" t="s">
        <v>8809</v>
      </c>
      <c r="F2100" s="3" t="s">
        <v>19</v>
      </c>
      <c r="G2100" s="3" t="s">
        <v>72</v>
      </c>
      <c r="H2100" s="3">
        <v>10.0</v>
      </c>
      <c r="I2100" s="3" t="s">
        <v>8806</v>
      </c>
      <c r="J2100" s="3" t="s">
        <v>22</v>
      </c>
      <c r="K2100" s="3" t="s">
        <v>58</v>
      </c>
      <c r="L2100" s="3" t="s">
        <v>80</v>
      </c>
      <c r="M2100" s="3" t="s">
        <v>81</v>
      </c>
      <c r="N2100" s="3" t="s">
        <v>82</v>
      </c>
      <c r="O2100" s="5">
        <v>38.52469</v>
      </c>
      <c r="P2100" s="6" t="str">
        <f t="shared" si="2"/>
        <v>Textiles &amp; Apparels</v>
      </c>
    </row>
    <row r="2101" hidden="1">
      <c r="A2101" s="3" t="s">
        <v>8810</v>
      </c>
      <c r="B2101" s="4">
        <v>531633.0</v>
      </c>
      <c r="C2101" s="3" t="s">
        <v>8811</v>
      </c>
      <c r="D2101" s="3" t="s">
        <v>8812</v>
      </c>
      <c r="E2101" s="3" t="s">
        <v>8813</v>
      </c>
      <c r="F2101" s="3" t="s">
        <v>19</v>
      </c>
      <c r="G2101" s="3" t="s">
        <v>112</v>
      </c>
      <c r="H2101" s="3">
        <v>10.0</v>
      </c>
      <c r="I2101" s="3" t="s">
        <v>8810</v>
      </c>
      <c r="J2101" s="3" t="s">
        <v>22</v>
      </c>
      <c r="K2101" s="3" t="s">
        <v>45</v>
      </c>
      <c r="L2101" s="3" t="s">
        <v>45</v>
      </c>
      <c r="M2101" s="3" t="s">
        <v>46</v>
      </c>
      <c r="N2101" s="3" t="s">
        <v>47</v>
      </c>
      <c r="O2101" s="5">
        <v>1280.4339143</v>
      </c>
      <c r="P2101" s="6" t="str">
        <f t="shared" si="2"/>
        <v>Pharmaceuticals</v>
      </c>
    </row>
    <row r="2102" hidden="1">
      <c r="A2102" s="3" t="s">
        <v>8814</v>
      </c>
      <c r="B2102" s="4">
        <v>531637.0</v>
      </c>
      <c r="C2102" s="3" t="s">
        <v>8815</v>
      </c>
      <c r="D2102" s="3" t="s">
        <v>8816</v>
      </c>
      <c r="E2102" s="3" t="s">
        <v>8817</v>
      </c>
      <c r="F2102" s="3" t="s">
        <v>19</v>
      </c>
      <c r="G2102" s="3" t="s">
        <v>112</v>
      </c>
      <c r="H2102" s="3">
        <v>10.0</v>
      </c>
      <c r="I2102" s="3" t="s">
        <v>8814</v>
      </c>
      <c r="J2102" s="3" t="s">
        <v>22</v>
      </c>
      <c r="K2102" s="3" t="s">
        <v>58</v>
      </c>
      <c r="L2102" s="3" t="s">
        <v>182</v>
      </c>
      <c r="M2102" s="3" t="s">
        <v>183</v>
      </c>
      <c r="N2102" s="3" t="s">
        <v>6800</v>
      </c>
      <c r="O2102" s="5">
        <v>2129.6054171</v>
      </c>
      <c r="P2102" s="6" t="str">
        <f t="shared" si="2"/>
        <v>Media</v>
      </c>
    </row>
    <row r="2103" hidden="1">
      <c r="A2103" s="3" t="s">
        <v>8818</v>
      </c>
      <c r="B2103" s="4">
        <v>531638.0</v>
      </c>
      <c r="C2103" s="3" t="s">
        <v>8819</v>
      </c>
      <c r="D2103" s="3" t="s">
        <v>8820</v>
      </c>
      <c r="E2103" s="3" t="s">
        <v>8821</v>
      </c>
      <c r="F2103" s="3" t="s">
        <v>19</v>
      </c>
      <c r="G2103" s="3" t="s">
        <v>44</v>
      </c>
      <c r="H2103" s="3">
        <v>10.0</v>
      </c>
      <c r="I2103" s="3" t="s">
        <v>8818</v>
      </c>
      <c r="J2103" s="3" t="s">
        <v>22</v>
      </c>
      <c r="K2103" s="3" t="s">
        <v>97</v>
      </c>
      <c r="L2103" s="3" t="s">
        <v>98</v>
      </c>
      <c r="M2103" s="3" t="s">
        <v>100</v>
      </c>
      <c r="N2103" s="3" t="s">
        <v>612</v>
      </c>
      <c r="O2103" s="5">
        <v>449.576396</v>
      </c>
      <c r="P2103" s="6" t="str">
        <f t="shared" si="2"/>
        <v>Industrial Products</v>
      </c>
    </row>
    <row r="2104" hidden="1">
      <c r="A2104" s="3" t="s">
        <v>8822</v>
      </c>
      <c r="B2104" s="4">
        <v>531640.0</v>
      </c>
      <c r="C2104" s="3" t="s">
        <v>8823</v>
      </c>
      <c r="D2104" s="3" t="s">
        <v>8824</v>
      </c>
      <c r="E2104" s="3" t="s">
        <v>8823</v>
      </c>
      <c r="F2104" s="3" t="s">
        <v>19</v>
      </c>
      <c r="G2104" s="3" t="s">
        <v>1858</v>
      </c>
      <c r="H2104" s="3">
        <v>10.0</v>
      </c>
      <c r="I2104" s="3" t="s">
        <v>8822</v>
      </c>
      <c r="J2104" s="3" t="s">
        <v>22</v>
      </c>
      <c r="K2104" s="3" t="s">
        <v>58</v>
      </c>
      <c r="L2104" s="3" t="s">
        <v>59</v>
      </c>
      <c r="M2104" s="3" t="s">
        <v>59</v>
      </c>
      <c r="N2104" s="3" t="s">
        <v>60</v>
      </c>
      <c r="O2104" s="5">
        <v>1.0</v>
      </c>
      <c r="P2104" s="6" t="str">
        <f t="shared" si="2"/>
        <v>Residential, Commercial Projects</v>
      </c>
    </row>
    <row r="2105">
      <c r="A2105" s="3" t="s">
        <v>8781</v>
      </c>
      <c r="B2105" s="4">
        <v>532424.0</v>
      </c>
      <c r="C2105" s="3" t="s">
        <v>8825</v>
      </c>
      <c r="D2105" s="3" t="s">
        <v>8826</v>
      </c>
      <c r="E2105" s="3" t="s">
        <v>8827</v>
      </c>
      <c r="F2105" s="3" t="s">
        <v>19</v>
      </c>
      <c r="G2105" s="3" t="s">
        <v>20</v>
      </c>
      <c r="H2105" s="3">
        <v>1.0</v>
      </c>
      <c r="I2105" s="3" t="s">
        <v>8828</v>
      </c>
      <c r="J2105" s="3" t="s">
        <v>22</v>
      </c>
      <c r="K2105" s="3" t="s">
        <v>145</v>
      </c>
      <c r="L2105" s="3" t="s">
        <v>145</v>
      </c>
      <c r="M2105" s="3" t="s">
        <v>2790</v>
      </c>
      <c r="N2105" s="3" t="s">
        <v>2791</v>
      </c>
      <c r="O2105" s="5">
        <v>137825.69265</v>
      </c>
      <c r="P2105" s="6" t="str">
        <f t="shared" si="2"/>
        <v>Personal Products</v>
      </c>
    </row>
    <row r="2106" hidden="1">
      <c r="A2106" s="3" t="s">
        <v>8829</v>
      </c>
      <c r="B2106" s="4">
        <v>531644.0</v>
      </c>
      <c r="C2106" s="3" t="s">
        <v>8830</v>
      </c>
      <c r="D2106" s="3" t="s">
        <v>8831</v>
      </c>
      <c r="E2106" s="3" t="s">
        <v>8832</v>
      </c>
      <c r="F2106" s="3" t="s">
        <v>19</v>
      </c>
      <c r="G2106" s="3" t="s">
        <v>44</v>
      </c>
      <c r="H2106" s="3">
        <v>10.0</v>
      </c>
      <c r="I2106" s="3" t="s">
        <v>8829</v>
      </c>
      <c r="J2106" s="3" t="s">
        <v>22</v>
      </c>
      <c r="K2106" s="3" t="s">
        <v>204</v>
      </c>
      <c r="L2106" s="3" t="s">
        <v>204</v>
      </c>
      <c r="M2106" s="3" t="s">
        <v>378</v>
      </c>
      <c r="N2106" s="3" t="s">
        <v>379</v>
      </c>
      <c r="O2106" s="5">
        <v>1.0</v>
      </c>
      <c r="P2106" s="6" t="str">
        <f t="shared" si="2"/>
        <v>Non Banking Financial Company (NBFC)</v>
      </c>
    </row>
    <row r="2107" hidden="1">
      <c r="A2107" s="3" t="s">
        <v>8833</v>
      </c>
      <c r="B2107" s="4">
        <v>531647.0</v>
      </c>
      <c r="C2107" s="3" t="s">
        <v>8834</v>
      </c>
      <c r="D2107" s="3" t="s">
        <v>8835</v>
      </c>
      <c r="E2107" s="3" t="s">
        <v>8836</v>
      </c>
      <c r="F2107" s="3" t="s">
        <v>19</v>
      </c>
      <c r="G2107" s="3" t="s">
        <v>72</v>
      </c>
      <c r="H2107" s="3">
        <v>1.0</v>
      </c>
      <c r="I2107" s="3" t="s">
        <v>8833</v>
      </c>
      <c r="J2107" s="3" t="s">
        <v>22</v>
      </c>
      <c r="K2107" s="3" t="s">
        <v>23</v>
      </c>
      <c r="L2107" s="3" t="s">
        <v>32</v>
      </c>
      <c r="M2107" s="3" t="s">
        <v>33</v>
      </c>
      <c r="N2107" s="3" t="s">
        <v>34</v>
      </c>
      <c r="O2107" s="5">
        <v>1.0</v>
      </c>
      <c r="P2107" s="6" t="str">
        <f t="shared" si="2"/>
        <v>Paper, Forest &amp; Jute Products</v>
      </c>
    </row>
    <row r="2108" hidden="1">
      <c r="A2108" s="3" t="s">
        <v>8837</v>
      </c>
      <c r="B2108" s="4">
        <v>531651.0</v>
      </c>
      <c r="C2108" s="3" t="s">
        <v>8838</v>
      </c>
      <c r="D2108" s="3" t="s">
        <v>8839</v>
      </c>
      <c r="E2108" s="3" t="s">
        <v>8840</v>
      </c>
      <c r="F2108" s="3" t="s">
        <v>19</v>
      </c>
      <c r="G2108" s="3" t="s">
        <v>44</v>
      </c>
      <c r="H2108" s="3">
        <v>10.0</v>
      </c>
      <c r="I2108" s="3" t="s">
        <v>8837</v>
      </c>
      <c r="J2108" s="3" t="s">
        <v>22</v>
      </c>
      <c r="K2108" s="3" t="s">
        <v>97</v>
      </c>
      <c r="L2108" s="3" t="s">
        <v>98</v>
      </c>
      <c r="M2108" s="3" t="s">
        <v>100</v>
      </c>
      <c r="N2108" s="3" t="s">
        <v>612</v>
      </c>
      <c r="O2108" s="5">
        <v>42.6476517</v>
      </c>
      <c r="P2108" s="6" t="str">
        <f t="shared" si="2"/>
        <v>Industrial Products</v>
      </c>
    </row>
    <row r="2109" hidden="1">
      <c r="A2109" s="3" t="s">
        <v>8841</v>
      </c>
      <c r="B2109" s="4">
        <v>531652.0</v>
      </c>
      <c r="C2109" s="3" t="s">
        <v>8842</v>
      </c>
      <c r="D2109" s="3" t="s">
        <v>8843</v>
      </c>
      <c r="E2109" s="3" t="s">
        <v>8844</v>
      </c>
      <c r="F2109" s="3" t="s">
        <v>19</v>
      </c>
      <c r="G2109" s="3" t="s">
        <v>72</v>
      </c>
      <c r="H2109" s="3">
        <v>10.0</v>
      </c>
      <c r="I2109" s="3" t="s">
        <v>8841</v>
      </c>
      <c r="J2109" s="3" t="s">
        <v>22</v>
      </c>
      <c r="K2109" s="3" t="s">
        <v>204</v>
      </c>
      <c r="L2109" s="3" t="s">
        <v>204</v>
      </c>
      <c r="M2109" s="3" t="s">
        <v>378</v>
      </c>
      <c r="N2109" s="3" t="s">
        <v>379</v>
      </c>
      <c r="O2109" s="5">
        <v>1.0</v>
      </c>
      <c r="P2109" s="6" t="str">
        <f t="shared" si="2"/>
        <v>Non Banking Financial Company (NBFC)</v>
      </c>
    </row>
    <row r="2110" hidden="1">
      <c r="A2110" s="3" t="s">
        <v>8845</v>
      </c>
      <c r="B2110" s="4">
        <v>531661.0</v>
      </c>
      <c r="C2110" s="3" t="s">
        <v>8846</v>
      </c>
      <c r="D2110" s="3" t="s">
        <v>8847</v>
      </c>
      <c r="E2110" s="3" t="s">
        <v>8848</v>
      </c>
      <c r="F2110" s="3" t="s">
        <v>19</v>
      </c>
      <c r="G2110" s="3" t="s">
        <v>44</v>
      </c>
      <c r="H2110" s="3">
        <v>10.0</v>
      </c>
      <c r="I2110" s="3" t="s">
        <v>8845</v>
      </c>
      <c r="J2110" s="3" t="s">
        <v>22</v>
      </c>
      <c r="K2110" s="3" t="s">
        <v>97</v>
      </c>
      <c r="L2110" s="3" t="s">
        <v>98</v>
      </c>
      <c r="M2110" s="3" t="s">
        <v>99</v>
      </c>
      <c r="N2110" s="3" t="s">
        <v>100</v>
      </c>
      <c r="O2110" s="5">
        <v>1.0</v>
      </c>
      <c r="P2110" s="6" t="str">
        <f t="shared" si="2"/>
        <v>Industrial Products</v>
      </c>
    </row>
    <row r="2111" hidden="1">
      <c r="A2111" s="3" t="s">
        <v>8849</v>
      </c>
      <c r="B2111" s="4">
        <v>531667.0</v>
      </c>
      <c r="C2111" s="3" t="s">
        <v>8850</v>
      </c>
      <c r="D2111" s="3" t="s">
        <v>8851</v>
      </c>
      <c r="E2111" s="3" t="s">
        <v>8852</v>
      </c>
      <c r="F2111" s="3" t="s">
        <v>19</v>
      </c>
      <c r="G2111" s="3" t="s">
        <v>72</v>
      </c>
      <c r="H2111" s="3">
        <v>10.0</v>
      </c>
      <c r="I2111" s="3" t="s">
        <v>8849</v>
      </c>
      <c r="J2111" s="3" t="s">
        <v>22</v>
      </c>
      <c r="K2111" s="3" t="s">
        <v>23</v>
      </c>
      <c r="L2111" s="3" t="s">
        <v>65</v>
      </c>
      <c r="M2111" s="3" t="s">
        <v>438</v>
      </c>
      <c r="N2111" s="3" t="s">
        <v>2155</v>
      </c>
      <c r="O2111" s="5">
        <v>43.6970897</v>
      </c>
      <c r="P2111" s="6" t="str">
        <f t="shared" si="2"/>
        <v>Metals &amp; Minerals Trading</v>
      </c>
    </row>
    <row r="2112" hidden="1">
      <c r="A2112" s="3" t="s">
        <v>8853</v>
      </c>
      <c r="B2112" s="4">
        <v>531668.0</v>
      </c>
      <c r="C2112" s="3" t="s">
        <v>8854</v>
      </c>
      <c r="D2112" s="3" t="s">
        <v>8855</v>
      </c>
      <c r="E2112" s="3" t="s">
        <v>8856</v>
      </c>
      <c r="F2112" s="3" t="s">
        <v>19</v>
      </c>
      <c r="G2112" s="3" t="s">
        <v>44</v>
      </c>
      <c r="H2112" s="3">
        <v>10.0</v>
      </c>
      <c r="I2112" s="3" t="s">
        <v>8853</v>
      </c>
      <c r="J2112" s="3" t="s">
        <v>22</v>
      </c>
      <c r="K2112" s="3" t="s">
        <v>58</v>
      </c>
      <c r="L2112" s="3" t="s">
        <v>182</v>
      </c>
      <c r="M2112" s="3" t="s">
        <v>1168</v>
      </c>
      <c r="N2112" s="3" t="s">
        <v>1568</v>
      </c>
      <c r="O2112" s="5">
        <v>1.0</v>
      </c>
      <c r="P2112" s="6" t="str">
        <f t="shared" si="2"/>
        <v>Entertainment</v>
      </c>
    </row>
    <row r="2113" hidden="1">
      <c r="A2113" s="3" t="s">
        <v>8857</v>
      </c>
      <c r="B2113" s="4">
        <v>531671.0</v>
      </c>
      <c r="C2113" s="3" t="s">
        <v>8858</v>
      </c>
      <c r="D2113" s="3" t="s">
        <v>8859</v>
      </c>
      <c r="E2113" s="3" t="s">
        <v>8858</v>
      </c>
      <c r="F2113" s="3" t="s">
        <v>19</v>
      </c>
      <c r="G2113" s="3" t="s">
        <v>72</v>
      </c>
      <c r="H2113" s="3">
        <v>1.0</v>
      </c>
      <c r="I2113" s="3" t="s">
        <v>8857</v>
      </c>
      <c r="J2113" s="3" t="s">
        <v>22</v>
      </c>
      <c r="K2113" s="3" t="s">
        <v>97</v>
      </c>
      <c r="L2113" s="3" t="s">
        <v>98</v>
      </c>
      <c r="M2113" s="3" t="s">
        <v>100</v>
      </c>
      <c r="N2113" s="3" t="s">
        <v>373</v>
      </c>
      <c r="O2113" s="5">
        <v>1.0</v>
      </c>
      <c r="P2113" s="6" t="str">
        <f t="shared" si="2"/>
        <v>Industrial Products</v>
      </c>
    </row>
    <row r="2114" hidden="1">
      <c r="A2114" s="3" t="s">
        <v>8860</v>
      </c>
      <c r="B2114" s="4">
        <v>531672.0</v>
      </c>
      <c r="C2114" s="3" t="s">
        <v>8861</v>
      </c>
      <c r="D2114" s="3" t="s">
        <v>8862</v>
      </c>
      <c r="E2114" s="3" t="s">
        <v>8863</v>
      </c>
      <c r="F2114" s="3" t="s">
        <v>19</v>
      </c>
      <c r="G2114" s="3" t="s">
        <v>44</v>
      </c>
      <c r="H2114" s="3">
        <v>10.0</v>
      </c>
      <c r="I2114" s="3" t="s">
        <v>8860</v>
      </c>
      <c r="J2114" s="3" t="s">
        <v>22</v>
      </c>
      <c r="K2114" s="3" t="s">
        <v>204</v>
      </c>
      <c r="L2114" s="3" t="s">
        <v>204</v>
      </c>
      <c r="M2114" s="3" t="s">
        <v>378</v>
      </c>
      <c r="N2114" s="3" t="s">
        <v>468</v>
      </c>
      <c r="O2114" s="5">
        <v>1.0</v>
      </c>
      <c r="P2114" s="6" t="str">
        <f t="shared" si="2"/>
        <v>Finance</v>
      </c>
    </row>
    <row r="2115" hidden="1">
      <c r="A2115" s="3" t="s">
        <v>8864</v>
      </c>
      <c r="B2115" s="4">
        <v>531673.0</v>
      </c>
      <c r="C2115" s="3" t="s">
        <v>8865</v>
      </c>
      <c r="D2115" s="3" t="s">
        <v>8866</v>
      </c>
      <c r="E2115" s="3" t="s">
        <v>8867</v>
      </c>
      <c r="F2115" s="3" t="s">
        <v>19</v>
      </c>
      <c r="G2115" s="3" t="s">
        <v>72</v>
      </c>
      <c r="H2115" s="3">
        <v>10.0</v>
      </c>
      <c r="I2115" s="3" t="s">
        <v>8864</v>
      </c>
      <c r="J2115" s="3" t="s">
        <v>22</v>
      </c>
      <c r="K2115" s="3" t="s">
        <v>58</v>
      </c>
      <c r="L2115" s="3" t="s">
        <v>211</v>
      </c>
      <c r="M2115" s="3" t="s">
        <v>211</v>
      </c>
      <c r="N2115" s="3" t="s">
        <v>3963</v>
      </c>
      <c r="O2115" s="5">
        <v>1.0</v>
      </c>
      <c r="P2115" s="6" t="str">
        <f t="shared" si="2"/>
        <v>Consumer Durables</v>
      </c>
    </row>
    <row r="2116" hidden="1">
      <c r="A2116" s="3" t="s">
        <v>8868</v>
      </c>
      <c r="B2116" s="4">
        <v>531681.0</v>
      </c>
      <c r="C2116" s="3" t="s">
        <v>8869</v>
      </c>
      <c r="D2116" s="3" t="s">
        <v>8870</v>
      </c>
      <c r="E2116" s="3" t="s">
        <v>8871</v>
      </c>
      <c r="F2116" s="3" t="s">
        <v>19</v>
      </c>
      <c r="G2116" s="3" t="s">
        <v>44</v>
      </c>
      <c r="H2116" s="3">
        <v>1.0</v>
      </c>
      <c r="I2116" s="3" t="s">
        <v>8868</v>
      </c>
      <c r="J2116" s="3" t="s">
        <v>22</v>
      </c>
      <c r="K2116" s="3" t="s">
        <v>97</v>
      </c>
      <c r="L2116" s="3" t="s">
        <v>98</v>
      </c>
      <c r="M2116" s="3" t="s">
        <v>100</v>
      </c>
      <c r="N2116" s="3" t="s">
        <v>580</v>
      </c>
      <c r="O2116" s="5">
        <v>4.294485</v>
      </c>
      <c r="P2116" s="6" t="str">
        <f t="shared" si="2"/>
        <v>Industrial Products</v>
      </c>
    </row>
    <row r="2117" hidden="1">
      <c r="A2117" s="3" t="s">
        <v>8872</v>
      </c>
      <c r="B2117" s="4">
        <v>531688.0</v>
      </c>
      <c r="C2117" s="3" t="s">
        <v>8873</v>
      </c>
      <c r="D2117" s="3" t="s">
        <v>8874</v>
      </c>
      <c r="E2117" s="3" t="s">
        <v>8875</v>
      </c>
      <c r="F2117" s="3" t="s">
        <v>19</v>
      </c>
      <c r="G2117" s="3" t="s">
        <v>44</v>
      </c>
      <c r="H2117" s="3">
        <v>10.0</v>
      </c>
      <c r="I2117" s="3" t="s">
        <v>8872</v>
      </c>
      <c r="J2117" s="3" t="s">
        <v>22</v>
      </c>
      <c r="K2117" s="3" t="s">
        <v>204</v>
      </c>
      <c r="L2117" s="3" t="s">
        <v>204</v>
      </c>
      <c r="M2117" s="3" t="s">
        <v>378</v>
      </c>
      <c r="N2117" s="3" t="s">
        <v>468</v>
      </c>
      <c r="O2117" s="5">
        <v>271.3320874</v>
      </c>
      <c r="P2117" s="6" t="str">
        <f t="shared" si="2"/>
        <v>Finance</v>
      </c>
    </row>
    <row r="2118" hidden="1">
      <c r="A2118" s="3" t="s">
        <v>8876</v>
      </c>
      <c r="B2118" s="4">
        <v>531692.0</v>
      </c>
      <c r="C2118" s="3" t="s">
        <v>8877</v>
      </c>
      <c r="D2118" s="3" t="s">
        <v>8878</v>
      </c>
      <c r="E2118" s="3" t="s">
        <v>8879</v>
      </c>
      <c r="F2118" s="3" t="s">
        <v>19</v>
      </c>
      <c r="G2118" s="3" t="s">
        <v>72</v>
      </c>
      <c r="H2118" s="3">
        <v>10.0</v>
      </c>
      <c r="I2118" s="3" t="s">
        <v>8876</v>
      </c>
      <c r="J2118" s="3" t="s">
        <v>22</v>
      </c>
      <c r="K2118" s="3" t="s">
        <v>58</v>
      </c>
      <c r="L2118" s="3" t="s">
        <v>73</v>
      </c>
      <c r="M2118" s="3" t="s">
        <v>74</v>
      </c>
      <c r="N2118" s="3" t="s">
        <v>75</v>
      </c>
      <c r="O2118" s="5">
        <v>1.0</v>
      </c>
      <c r="P2118" s="6" t="str">
        <f t="shared" si="2"/>
        <v>Leisure Services</v>
      </c>
    </row>
    <row r="2119" hidden="1">
      <c r="A2119" s="3" t="s">
        <v>8880</v>
      </c>
      <c r="B2119" s="4">
        <v>531694.0</v>
      </c>
      <c r="C2119" s="3" t="s">
        <v>8881</v>
      </c>
      <c r="D2119" s="3" t="s">
        <v>8882</v>
      </c>
      <c r="E2119" s="3" t="s">
        <v>8883</v>
      </c>
      <c r="F2119" s="3" t="s">
        <v>19</v>
      </c>
      <c r="G2119" s="3" t="s">
        <v>44</v>
      </c>
      <c r="H2119" s="3">
        <v>10.0</v>
      </c>
      <c r="I2119" s="3" t="s">
        <v>8880</v>
      </c>
      <c r="J2119" s="3" t="s">
        <v>22</v>
      </c>
      <c r="K2119" s="3" t="s">
        <v>58</v>
      </c>
      <c r="L2119" s="3" t="s">
        <v>59</v>
      </c>
      <c r="M2119" s="3" t="s">
        <v>59</v>
      </c>
      <c r="N2119" s="3" t="s">
        <v>60</v>
      </c>
      <c r="O2119" s="5">
        <v>89.8183102</v>
      </c>
      <c r="P2119" s="6" t="str">
        <f t="shared" si="2"/>
        <v>Residential, Commercial Projects</v>
      </c>
    </row>
    <row r="2120" hidden="1">
      <c r="A2120" s="3" t="s">
        <v>8884</v>
      </c>
      <c r="B2120" s="4">
        <v>504378.0</v>
      </c>
      <c r="C2120" s="3" t="s">
        <v>8885</v>
      </c>
      <c r="D2120" s="3" t="s">
        <v>8886</v>
      </c>
      <c r="E2120" s="3" t="s">
        <v>8885</v>
      </c>
      <c r="F2120" s="3" t="s">
        <v>19</v>
      </c>
      <c r="G2120" s="3" t="s">
        <v>44</v>
      </c>
      <c r="H2120" s="3">
        <v>1.0</v>
      </c>
      <c r="I2120" s="3" t="s">
        <v>1859</v>
      </c>
      <c r="J2120" s="3" t="s">
        <v>22</v>
      </c>
      <c r="K2120" s="3" t="s">
        <v>1673</v>
      </c>
      <c r="L2120" s="3" t="s">
        <v>1673</v>
      </c>
      <c r="M2120" s="3" t="s">
        <v>1674</v>
      </c>
      <c r="N2120" s="3" t="s">
        <v>1915</v>
      </c>
      <c r="O2120" s="5">
        <v>20.5185821</v>
      </c>
      <c r="P2120" s="6" t="str">
        <f t="shared" si="2"/>
        <v>Commercial Services &amp; Supplies</v>
      </c>
    </row>
    <row r="2121" hidden="1">
      <c r="A2121" s="3" t="s">
        <v>8887</v>
      </c>
      <c r="B2121" s="4">
        <v>531716.0</v>
      </c>
      <c r="C2121" s="3" t="s">
        <v>8888</v>
      </c>
      <c r="D2121" s="3" t="s">
        <v>8889</v>
      </c>
      <c r="E2121" s="3" t="s">
        <v>8888</v>
      </c>
      <c r="F2121" s="3" t="s">
        <v>19</v>
      </c>
      <c r="G2121" s="3" t="s">
        <v>72</v>
      </c>
      <c r="H2121" s="3">
        <v>10.0</v>
      </c>
      <c r="I2121" s="3" t="s">
        <v>8887</v>
      </c>
      <c r="J2121" s="3" t="s">
        <v>22</v>
      </c>
      <c r="K2121" s="3" t="s">
        <v>145</v>
      </c>
      <c r="L2121" s="3" t="s">
        <v>145</v>
      </c>
      <c r="M2121" s="3" t="s">
        <v>597</v>
      </c>
      <c r="N2121" s="3" t="s">
        <v>1065</v>
      </c>
      <c r="O2121" s="5">
        <v>1.0</v>
      </c>
      <c r="P2121" s="6" t="str">
        <f t="shared" si="2"/>
        <v>Food Products</v>
      </c>
    </row>
    <row r="2122" hidden="1">
      <c r="A2122" s="3" t="s">
        <v>8890</v>
      </c>
      <c r="B2122" s="4">
        <v>531717.0</v>
      </c>
      <c r="C2122" s="3" t="s">
        <v>8891</v>
      </c>
      <c r="D2122" s="3" t="s">
        <v>8892</v>
      </c>
      <c r="E2122" s="3" t="s">
        <v>8893</v>
      </c>
      <c r="F2122" s="3" t="s">
        <v>19</v>
      </c>
      <c r="G2122" s="3" t="s">
        <v>112</v>
      </c>
      <c r="H2122" s="3">
        <v>1.0</v>
      </c>
      <c r="I2122" s="3" t="s">
        <v>8890</v>
      </c>
      <c r="J2122" s="3" t="s">
        <v>22</v>
      </c>
      <c r="K2122" s="3" t="s">
        <v>23</v>
      </c>
      <c r="L2122" s="3" t="s">
        <v>24</v>
      </c>
      <c r="M2122" s="3" t="s">
        <v>25</v>
      </c>
      <c r="N2122" s="3" t="s">
        <v>26</v>
      </c>
      <c r="O2122" s="5">
        <v>2161.4566559</v>
      </c>
      <c r="P2122" s="6" t="str">
        <f t="shared" si="2"/>
        <v>Specialty Chemicals</v>
      </c>
    </row>
    <row r="2123" hidden="1">
      <c r="A2123" s="3" t="s">
        <v>8894</v>
      </c>
      <c r="B2123" s="4">
        <v>531719.0</v>
      </c>
      <c r="C2123" s="3" t="s">
        <v>8895</v>
      </c>
      <c r="D2123" s="3" t="s">
        <v>8896</v>
      </c>
      <c r="E2123" s="3" t="s">
        <v>8897</v>
      </c>
      <c r="F2123" s="3" t="s">
        <v>19</v>
      </c>
      <c r="G2123" s="3" t="s">
        <v>112</v>
      </c>
      <c r="H2123" s="3">
        <v>1.0</v>
      </c>
      <c r="I2123" s="3" t="s">
        <v>8894</v>
      </c>
      <c r="J2123" s="3" t="s">
        <v>22</v>
      </c>
      <c r="K2123" s="3" t="s">
        <v>23</v>
      </c>
      <c r="L2123" s="3" t="s">
        <v>24</v>
      </c>
      <c r="M2123" s="3" t="s">
        <v>91</v>
      </c>
      <c r="N2123" s="3" t="s">
        <v>252</v>
      </c>
      <c r="O2123" s="5">
        <v>3040.19925</v>
      </c>
      <c r="P2123" s="6" t="str">
        <f t="shared" si="2"/>
        <v>Fertilizers &amp; Agrochemicals</v>
      </c>
    </row>
    <row r="2124" hidden="1">
      <c r="A2124" s="3" t="s">
        <v>8898</v>
      </c>
      <c r="B2124" s="4">
        <v>531723.0</v>
      </c>
      <c r="C2124" s="3" t="s">
        <v>8899</v>
      </c>
      <c r="D2124" s="3" t="s">
        <v>8900</v>
      </c>
      <c r="E2124" s="3" t="s">
        <v>8901</v>
      </c>
      <c r="F2124" s="3" t="s">
        <v>19</v>
      </c>
      <c r="G2124" s="3" t="s">
        <v>86</v>
      </c>
      <c r="H2124" s="3">
        <v>1.0</v>
      </c>
      <c r="I2124" s="3" t="s">
        <v>8898</v>
      </c>
      <c r="J2124" s="3" t="s">
        <v>22</v>
      </c>
      <c r="K2124" s="3" t="s">
        <v>204</v>
      </c>
      <c r="L2124" s="3" t="s">
        <v>204</v>
      </c>
      <c r="M2124" s="3" t="s">
        <v>378</v>
      </c>
      <c r="N2124" s="3" t="s">
        <v>468</v>
      </c>
      <c r="O2124" s="5">
        <v>41.8380095</v>
      </c>
      <c r="P2124" s="6" t="str">
        <f t="shared" si="2"/>
        <v>Finance</v>
      </c>
    </row>
    <row r="2125" hidden="1">
      <c r="A2125" s="3" t="s">
        <v>8902</v>
      </c>
      <c r="B2125" s="4">
        <v>531726.0</v>
      </c>
      <c r="C2125" s="3" t="s">
        <v>8903</v>
      </c>
      <c r="D2125" s="3" t="s">
        <v>8904</v>
      </c>
      <c r="E2125" s="3" t="s">
        <v>8905</v>
      </c>
      <c r="F2125" s="3" t="s">
        <v>19</v>
      </c>
      <c r="G2125" s="3" t="s">
        <v>44</v>
      </c>
      <c r="H2125" s="3">
        <v>10.0</v>
      </c>
      <c r="I2125" s="3" t="s">
        <v>8902</v>
      </c>
      <c r="J2125" s="3" t="s">
        <v>22</v>
      </c>
      <c r="K2125" s="3" t="s">
        <v>45</v>
      </c>
      <c r="L2125" s="3" t="s">
        <v>45</v>
      </c>
      <c r="M2125" s="3" t="s">
        <v>46</v>
      </c>
      <c r="N2125" s="3" t="s">
        <v>47</v>
      </c>
      <c r="O2125" s="5">
        <v>216.9608307</v>
      </c>
      <c r="P2125" s="6" t="str">
        <f t="shared" si="2"/>
        <v>Pharmaceuticals</v>
      </c>
    </row>
    <row r="2126" hidden="1">
      <c r="A2126" s="3" t="s">
        <v>8906</v>
      </c>
      <c r="B2126" s="4">
        <v>531727.0</v>
      </c>
      <c r="C2126" s="3" t="s">
        <v>8907</v>
      </c>
      <c r="D2126" s="3" t="s">
        <v>8908</v>
      </c>
      <c r="E2126" s="3" t="s">
        <v>8909</v>
      </c>
      <c r="F2126" s="3" t="s">
        <v>19</v>
      </c>
      <c r="G2126" s="3" t="s">
        <v>44</v>
      </c>
      <c r="H2126" s="3">
        <v>1.0</v>
      </c>
      <c r="I2126" s="3" t="s">
        <v>8906</v>
      </c>
      <c r="J2126" s="3" t="s">
        <v>22</v>
      </c>
      <c r="K2126" s="3" t="s">
        <v>58</v>
      </c>
      <c r="L2126" s="3" t="s">
        <v>133</v>
      </c>
      <c r="M2126" s="3" t="s">
        <v>134</v>
      </c>
      <c r="N2126" s="3" t="s">
        <v>135</v>
      </c>
      <c r="O2126" s="5">
        <v>446.66739</v>
      </c>
      <c r="P2126" s="6" t="str">
        <f t="shared" si="2"/>
        <v>Auto Components &amp; Equipments</v>
      </c>
    </row>
    <row r="2127" hidden="1">
      <c r="A2127" s="3" t="s">
        <v>8910</v>
      </c>
      <c r="B2127" s="4">
        <v>531735.0</v>
      </c>
      <c r="C2127" s="3" t="s">
        <v>8911</v>
      </c>
      <c r="D2127" s="3" t="s">
        <v>8912</v>
      </c>
      <c r="E2127" s="3" t="s">
        <v>8913</v>
      </c>
      <c r="F2127" s="3" t="s">
        <v>19</v>
      </c>
      <c r="G2127" s="3" t="s">
        <v>1858</v>
      </c>
      <c r="H2127" s="3">
        <v>10.0</v>
      </c>
      <c r="I2127" s="3" t="s">
        <v>8910</v>
      </c>
      <c r="J2127" s="3" t="s">
        <v>22</v>
      </c>
      <c r="K2127" s="3" t="s">
        <v>204</v>
      </c>
      <c r="L2127" s="3" t="s">
        <v>204</v>
      </c>
      <c r="M2127" s="3" t="s">
        <v>378</v>
      </c>
      <c r="N2127" s="3" t="s">
        <v>379</v>
      </c>
      <c r="O2127" s="5">
        <v>1.0</v>
      </c>
      <c r="P2127" s="6" t="str">
        <f t="shared" si="2"/>
        <v>Non Banking Financial Company (NBFC)</v>
      </c>
    </row>
    <row r="2128" hidden="1">
      <c r="A2128" s="3" t="s">
        <v>7802</v>
      </c>
      <c r="B2128" s="4">
        <v>532042.0</v>
      </c>
      <c r="C2128" s="3" t="s">
        <v>8914</v>
      </c>
      <c r="D2128" s="3" t="s">
        <v>8915</v>
      </c>
      <c r="E2128" s="3" t="s">
        <v>8916</v>
      </c>
      <c r="F2128" s="3" t="s">
        <v>19</v>
      </c>
      <c r="G2128" s="3" t="s">
        <v>44</v>
      </c>
      <c r="H2128" s="3">
        <v>10.0</v>
      </c>
      <c r="I2128" s="3" t="s">
        <v>8917</v>
      </c>
      <c r="J2128" s="3" t="s">
        <v>22</v>
      </c>
      <c r="K2128" s="3" t="s">
        <v>1673</v>
      </c>
      <c r="L2128" s="3" t="s">
        <v>1673</v>
      </c>
      <c r="M2128" s="3" t="s">
        <v>1689</v>
      </c>
      <c r="N2128" s="3" t="s">
        <v>6382</v>
      </c>
      <c r="O2128" s="5">
        <v>19.7033323</v>
      </c>
      <c r="P2128" s="6" t="str">
        <f t="shared" si="2"/>
        <v>Transport Services</v>
      </c>
    </row>
    <row r="2129" hidden="1">
      <c r="A2129" s="3" t="s">
        <v>8918</v>
      </c>
      <c r="B2129" s="4">
        <v>531739.0</v>
      </c>
      <c r="C2129" s="3" t="s">
        <v>8919</v>
      </c>
      <c r="D2129" s="3" t="s">
        <v>8920</v>
      </c>
      <c r="E2129" s="3" t="s">
        <v>8921</v>
      </c>
      <c r="F2129" s="3" t="s">
        <v>19</v>
      </c>
      <c r="G2129" s="3" t="s">
        <v>72</v>
      </c>
      <c r="H2129" s="3">
        <v>1.0</v>
      </c>
      <c r="I2129" s="3" t="s">
        <v>8918</v>
      </c>
      <c r="J2129" s="3" t="s">
        <v>22</v>
      </c>
      <c r="K2129" s="3" t="s">
        <v>45</v>
      </c>
      <c r="L2129" s="3" t="s">
        <v>45</v>
      </c>
      <c r="M2129" s="3" t="s">
        <v>46</v>
      </c>
      <c r="N2129" s="3" t="s">
        <v>47</v>
      </c>
      <c r="O2129" s="5">
        <v>353.892745</v>
      </c>
      <c r="P2129" s="6" t="str">
        <f t="shared" si="2"/>
        <v>Pharmaceuticals</v>
      </c>
    </row>
    <row r="2130" hidden="1">
      <c r="A2130" s="3" t="s">
        <v>8922</v>
      </c>
      <c r="B2130" s="4">
        <v>540903.0</v>
      </c>
      <c r="C2130" s="3" t="s">
        <v>8923</v>
      </c>
      <c r="D2130" s="3" t="s">
        <v>8924</v>
      </c>
      <c r="E2130" s="3" t="s">
        <v>8925</v>
      </c>
      <c r="F2130" s="3" t="s">
        <v>19</v>
      </c>
      <c r="G2130" s="3" t="s">
        <v>2428</v>
      </c>
      <c r="H2130" s="3">
        <v>10.0</v>
      </c>
      <c r="I2130" s="3" t="s">
        <v>8926</v>
      </c>
      <c r="J2130" s="3" t="s">
        <v>22</v>
      </c>
      <c r="K2130" s="3" t="s">
        <v>1673</v>
      </c>
      <c r="L2130" s="3" t="s">
        <v>1673</v>
      </c>
      <c r="M2130" s="3" t="s">
        <v>1674</v>
      </c>
      <c r="N2130" s="3" t="s">
        <v>3189</v>
      </c>
      <c r="O2130" s="5">
        <v>18.9318247</v>
      </c>
      <c r="P2130" s="6" t="str">
        <f t="shared" si="2"/>
        <v>Commercial Services &amp; Supplies</v>
      </c>
    </row>
    <row r="2131" hidden="1">
      <c r="A2131" s="3" t="s">
        <v>5931</v>
      </c>
      <c r="B2131" s="4">
        <v>523782.0</v>
      </c>
      <c r="C2131" s="3" t="s">
        <v>8927</v>
      </c>
      <c r="D2131" s="3" t="s">
        <v>8928</v>
      </c>
      <c r="E2131" s="3" t="s">
        <v>8929</v>
      </c>
      <c r="F2131" s="3" t="s">
        <v>19</v>
      </c>
      <c r="G2131" s="3" t="s">
        <v>72</v>
      </c>
      <c r="H2131" s="3">
        <v>10.0</v>
      </c>
      <c r="I2131" s="3" t="s">
        <v>6034</v>
      </c>
      <c r="J2131" s="3" t="s">
        <v>22</v>
      </c>
      <c r="K2131" s="3" t="s">
        <v>1673</v>
      </c>
      <c r="L2131" s="3" t="s">
        <v>1673</v>
      </c>
      <c r="M2131" s="3" t="s">
        <v>1674</v>
      </c>
      <c r="N2131" s="3" t="s">
        <v>1915</v>
      </c>
      <c r="O2131" s="5">
        <v>18.8884306</v>
      </c>
      <c r="P2131" s="6" t="str">
        <f t="shared" si="2"/>
        <v>Commercial Services &amp; Supplies</v>
      </c>
    </row>
    <row r="2132" hidden="1">
      <c r="A2132" s="3" t="s">
        <v>8930</v>
      </c>
      <c r="B2132" s="4">
        <v>531746.0</v>
      </c>
      <c r="C2132" s="3" t="s">
        <v>8931</v>
      </c>
      <c r="D2132" s="3" t="s">
        <v>8932</v>
      </c>
      <c r="E2132" s="3" t="s">
        <v>8933</v>
      </c>
      <c r="F2132" s="3" t="s">
        <v>19</v>
      </c>
      <c r="G2132" s="3" t="s">
        <v>112</v>
      </c>
      <c r="H2132" s="3">
        <v>10.0</v>
      </c>
      <c r="I2132" s="3" t="s">
        <v>8930</v>
      </c>
      <c r="J2132" s="3" t="s">
        <v>22</v>
      </c>
      <c r="K2132" s="3" t="s">
        <v>58</v>
      </c>
      <c r="L2132" s="3" t="s">
        <v>59</v>
      </c>
      <c r="M2132" s="3" t="s">
        <v>59</v>
      </c>
      <c r="N2132" s="3" t="s">
        <v>60</v>
      </c>
      <c r="O2132" s="5">
        <v>213.9081442</v>
      </c>
      <c r="P2132" s="6" t="str">
        <f t="shared" si="2"/>
        <v>Residential, Commercial Projects</v>
      </c>
    </row>
    <row r="2133" hidden="1">
      <c r="A2133" s="3" t="s">
        <v>8934</v>
      </c>
      <c r="B2133" s="4">
        <v>531752.0</v>
      </c>
      <c r="C2133" s="3" t="s">
        <v>8935</v>
      </c>
      <c r="D2133" s="3" t="s">
        <v>8936</v>
      </c>
      <c r="E2133" s="3" t="s">
        <v>8937</v>
      </c>
      <c r="F2133" s="3" t="s">
        <v>19</v>
      </c>
      <c r="G2133" s="3" t="s">
        <v>44</v>
      </c>
      <c r="H2133" s="3">
        <v>1.0</v>
      </c>
      <c r="I2133" s="3" t="s">
        <v>8934</v>
      </c>
      <c r="J2133" s="3" t="s">
        <v>22</v>
      </c>
      <c r="K2133" s="3" t="s">
        <v>204</v>
      </c>
      <c r="L2133" s="3" t="s">
        <v>204</v>
      </c>
      <c r="M2133" s="3" t="s">
        <v>378</v>
      </c>
      <c r="N2133" s="3" t="s">
        <v>468</v>
      </c>
      <c r="O2133" s="5">
        <v>73.7441273</v>
      </c>
      <c r="P2133" s="6" t="str">
        <f t="shared" si="2"/>
        <v>Finance</v>
      </c>
    </row>
    <row r="2134" hidden="1">
      <c r="A2134" s="3" t="s">
        <v>8938</v>
      </c>
      <c r="B2134" s="4">
        <v>531758.0</v>
      </c>
      <c r="C2134" s="3" t="s">
        <v>8939</v>
      </c>
      <c r="D2134" s="3" t="s">
        <v>8940</v>
      </c>
      <c r="E2134" s="3" t="s">
        <v>8941</v>
      </c>
      <c r="F2134" s="3" t="s">
        <v>19</v>
      </c>
      <c r="G2134" s="3" t="s">
        <v>72</v>
      </c>
      <c r="H2134" s="3">
        <v>10.0</v>
      </c>
      <c r="I2134" s="3" t="s">
        <v>8938</v>
      </c>
      <c r="J2134" s="3" t="s">
        <v>22</v>
      </c>
      <c r="K2134" s="3" t="s">
        <v>204</v>
      </c>
      <c r="L2134" s="3" t="s">
        <v>204</v>
      </c>
      <c r="M2134" s="3" t="s">
        <v>378</v>
      </c>
      <c r="N2134" s="3" t="s">
        <v>379</v>
      </c>
      <c r="O2134" s="5">
        <v>1.0</v>
      </c>
      <c r="P2134" s="6" t="str">
        <f t="shared" si="2"/>
        <v>Non Banking Financial Company (NBFC)</v>
      </c>
    </row>
    <row r="2135" hidden="1">
      <c r="A2135" s="3" t="s">
        <v>8942</v>
      </c>
      <c r="B2135" s="4">
        <v>531761.0</v>
      </c>
      <c r="C2135" s="3" t="s">
        <v>8943</v>
      </c>
      <c r="D2135" s="3" t="s">
        <v>8944</v>
      </c>
      <c r="E2135" s="3" t="s">
        <v>8945</v>
      </c>
      <c r="F2135" s="3" t="s">
        <v>19</v>
      </c>
      <c r="G2135" s="3" t="s">
        <v>20</v>
      </c>
      <c r="H2135" s="3">
        <v>10.0</v>
      </c>
      <c r="I2135" s="3" t="s">
        <v>8942</v>
      </c>
      <c r="J2135" s="3" t="s">
        <v>22</v>
      </c>
      <c r="K2135" s="3" t="s">
        <v>97</v>
      </c>
      <c r="L2135" s="3" t="s">
        <v>98</v>
      </c>
      <c r="M2135" s="3" t="s">
        <v>100</v>
      </c>
      <c r="N2135" s="3" t="s">
        <v>580</v>
      </c>
      <c r="O2135" s="5">
        <v>2620.0700565</v>
      </c>
      <c r="P2135" s="6" t="str">
        <f t="shared" si="2"/>
        <v>Industrial Products</v>
      </c>
    </row>
    <row r="2136" hidden="1">
      <c r="A2136" s="3" t="s">
        <v>8946</v>
      </c>
      <c r="B2136" s="4">
        <v>531762.0</v>
      </c>
      <c r="C2136" s="3" t="s">
        <v>8947</v>
      </c>
      <c r="D2136" s="3" t="s">
        <v>8948</v>
      </c>
      <c r="E2136" s="3" t="s">
        <v>8949</v>
      </c>
      <c r="F2136" s="3" t="s">
        <v>19</v>
      </c>
      <c r="G2136" s="3" t="s">
        <v>72</v>
      </c>
      <c r="H2136" s="3">
        <v>10.0</v>
      </c>
      <c r="I2136" s="3" t="s">
        <v>8946</v>
      </c>
      <c r="J2136" s="3" t="s">
        <v>22</v>
      </c>
      <c r="K2136" s="3" t="s">
        <v>45</v>
      </c>
      <c r="L2136" s="3" t="s">
        <v>45</v>
      </c>
      <c r="M2136" s="3" t="s">
        <v>46</v>
      </c>
      <c r="N2136" s="3" t="s">
        <v>47</v>
      </c>
      <c r="O2136" s="5">
        <v>1.0</v>
      </c>
      <c r="P2136" s="6" t="str">
        <f t="shared" si="2"/>
        <v>Pharmaceuticals</v>
      </c>
    </row>
    <row r="2137">
      <c r="A2137" s="3" t="s">
        <v>8950</v>
      </c>
      <c r="B2137" s="4">
        <v>532432.0</v>
      </c>
      <c r="C2137" s="3" t="s">
        <v>8951</v>
      </c>
      <c r="D2137" s="3" t="s">
        <v>8952</v>
      </c>
      <c r="E2137" s="3" t="s">
        <v>8953</v>
      </c>
      <c r="F2137" s="3" t="s">
        <v>19</v>
      </c>
      <c r="G2137" s="3" t="s">
        <v>20</v>
      </c>
      <c r="H2137" s="3">
        <v>2.0</v>
      </c>
      <c r="I2137" s="3" t="s">
        <v>8954</v>
      </c>
      <c r="J2137" s="3" t="s">
        <v>22</v>
      </c>
      <c r="K2137" s="3" t="s">
        <v>145</v>
      </c>
      <c r="L2137" s="3" t="s">
        <v>145</v>
      </c>
      <c r="M2137" s="3" t="s">
        <v>2558</v>
      </c>
      <c r="N2137" s="3" t="s">
        <v>2559</v>
      </c>
      <c r="O2137" s="5">
        <v>93953.83053</v>
      </c>
      <c r="P2137" s="6" t="str">
        <f t="shared" si="2"/>
        <v>Beverages</v>
      </c>
    </row>
    <row r="2138" hidden="1">
      <c r="A2138" s="3" t="s">
        <v>8955</v>
      </c>
      <c r="B2138" s="4">
        <v>531771.0</v>
      </c>
      <c r="C2138" s="3" t="s">
        <v>8956</v>
      </c>
      <c r="D2138" s="3" t="s">
        <v>8957</v>
      </c>
      <c r="E2138" s="3" t="s">
        <v>8958</v>
      </c>
      <c r="F2138" s="3" t="s">
        <v>19</v>
      </c>
      <c r="G2138" s="3" t="s">
        <v>72</v>
      </c>
      <c r="H2138" s="3">
        <v>10.0</v>
      </c>
      <c r="I2138" s="3" t="s">
        <v>8955</v>
      </c>
      <c r="J2138" s="3" t="s">
        <v>22</v>
      </c>
      <c r="K2138" s="3" t="s">
        <v>58</v>
      </c>
      <c r="L2138" s="3" t="s">
        <v>59</v>
      </c>
      <c r="M2138" s="3" t="s">
        <v>59</v>
      </c>
      <c r="N2138" s="3" t="s">
        <v>60</v>
      </c>
      <c r="O2138" s="5">
        <v>235.05183</v>
      </c>
      <c r="P2138" s="6" t="str">
        <f t="shared" si="2"/>
        <v>Residential, Commercial Projects</v>
      </c>
    </row>
    <row r="2139" hidden="1">
      <c r="A2139" s="3" t="s">
        <v>8959</v>
      </c>
      <c r="B2139" s="4">
        <v>531778.0</v>
      </c>
      <c r="C2139" s="3" t="s">
        <v>8960</v>
      </c>
      <c r="D2139" s="3" t="s">
        <v>8961</v>
      </c>
      <c r="E2139" s="3" t="s">
        <v>8962</v>
      </c>
      <c r="F2139" s="3" t="s">
        <v>19</v>
      </c>
      <c r="G2139" s="3" t="s">
        <v>44</v>
      </c>
      <c r="H2139" s="3">
        <v>10.0</v>
      </c>
      <c r="I2139" s="3" t="s">
        <v>8959</v>
      </c>
      <c r="J2139" s="3" t="s">
        <v>22</v>
      </c>
      <c r="K2139" s="3" t="s">
        <v>23</v>
      </c>
      <c r="L2139" s="3" t="s">
        <v>65</v>
      </c>
      <c r="M2139" s="3" t="s">
        <v>522</v>
      </c>
      <c r="N2139" s="3" t="s">
        <v>523</v>
      </c>
      <c r="O2139" s="5">
        <v>15.9195202</v>
      </c>
      <c r="P2139" s="6" t="str">
        <f t="shared" si="2"/>
        <v>Minerals &amp; Mining</v>
      </c>
    </row>
    <row r="2140" hidden="1">
      <c r="A2140" s="3" t="s">
        <v>8963</v>
      </c>
      <c r="B2140" s="4">
        <v>531779.0</v>
      </c>
      <c r="C2140" s="3" t="s">
        <v>8964</v>
      </c>
      <c r="D2140" s="3" t="s">
        <v>8965</v>
      </c>
      <c r="E2140" s="3" t="s">
        <v>8966</v>
      </c>
      <c r="F2140" s="3" t="s">
        <v>19</v>
      </c>
      <c r="G2140" s="3" t="s">
        <v>72</v>
      </c>
      <c r="H2140" s="3">
        <v>10.0</v>
      </c>
      <c r="I2140" s="3" t="s">
        <v>8963</v>
      </c>
      <c r="J2140" s="3" t="s">
        <v>22</v>
      </c>
      <c r="K2140" s="3" t="s">
        <v>97</v>
      </c>
      <c r="L2140" s="3" t="s">
        <v>98</v>
      </c>
      <c r="M2140" s="3" t="s">
        <v>100</v>
      </c>
      <c r="N2140" s="3" t="s">
        <v>580</v>
      </c>
      <c r="O2140" s="5">
        <v>14.561843</v>
      </c>
      <c r="P2140" s="6" t="str">
        <f t="shared" si="2"/>
        <v>Industrial Products</v>
      </c>
    </row>
    <row r="2141" hidden="1">
      <c r="A2141" s="3" t="s">
        <v>6872</v>
      </c>
      <c r="B2141" s="4">
        <v>530025.0</v>
      </c>
      <c r="C2141" s="3" t="s">
        <v>8967</v>
      </c>
      <c r="D2141" s="3" t="s">
        <v>8968</v>
      </c>
      <c r="E2141" s="3" t="s">
        <v>8969</v>
      </c>
      <c r="F2141" s="3" t="s">
        <v>19</v>
      </c>
      <c r="G2141" s="3" t="s">
        <v>44</v>
      </c>
      <c r="H2141" s="3">
        <v>10.0</v>
      </c>
      <c r="I2141" s="3" t="s">
        <v>7277</v>
      </c>
      <c r="J2141" s="3" t="s">
        <v>22</v>
      </c>
      <c r="K2141" s="3" t="s">
        <v>1673</v>
      </c>
      <c r="L2141" s="3" t="s">
        <v>1673</v>
      </c>
      <c r="M2141" s="3" t="s">
        <v>1674</v>
      </c>
      <c r="N2141" s="3" t="s">
        <v>1675</v>
      </c>
      <c r="O2141" s="5">
        <v>18.8733024</v>
      </c>
      <c r="P2141" s="6" t="str">
        <f t="shared" si="2"/>
        <v>Commercial Services &amp; Supplies</v>
      </c>
    </row>
    <row r="2142" hidden="1">
      <c r="A2142" s="3" t="s">
        <v>8970</v>
      </c>
      <c r="B2142" s="4">
        <v>531784.0</v>
      </c>
      <c r="C2142" s="3" t="s">
        <v>8971</v>
      </c>
      <c r="D2142" s="3" t="s">
        <v>8972</v>
      </c>
      <c r="E2142" s="3" t="s">
        <v>8973</v>
      </c>
      <c r="F2142" s="3" t="s">
        <v>19</v>
      </c>
      <c r="G2142" s="3" t="s">
        <v>44</v>
      </c>
      <c r="H2142" s="3">
        <v>2.0</v>
      </c>
      <c r="I2142" s="3" t="s">
        <v>8970</v>
      </c>
      <c r="J2142" s="3" t="s">
        <v>22</v>
      </c>
      <c r="K2142" s="3" t="s">
        <v>97</v>
      </c>
      <c r="L2142" s="3" t="s">
        <v>965</v>
      </c>
      <c r="M2142" s="3" t="s">
        <v>965</v>
      </c>
      <c r="N2142" s="3" t="s">
        <v>966</v>
      </c>
      <c r="O2142" s="5">
        <v>37.8651133</v>
      </c>
      <c r="P2142" s="6" t="str">
        <f t="shared" si="2"/>
        <v>Civil Construction</v>
      </c>
    </row>
    <row r="2143" hidden="1">
      <c r="A2143" s="3" t="s">
        <v>8974</v>
      </c>
      <c r="B2143" s="4">
        <v>531795.0</v>
      </c>
      <c r="C2143" s="3" t="s">
        <v>8975</v>
      </c>
      <c r="D2143" s="3" t="s">
        <v>8976</v>
      </c>
      <c r="E2143" s="3" t="s">
        <v>8977</v>
      </c>
      <c r="F2143" s="3" t="s">
        <v>19</v>
      </c>
      <c r="G2143" s="3" t="s">
        <v>112</v>
      </c>
      <c r="H2143" s="3">
        <v>5.0</v>
      </c>
      <c r="I2143" s="3" t="s">
        <v>8974</v>
      </c>
      <c r="J2143" s="3" t="s">
        <v>22</v>
      </c>
      <c r="K2143" s="3" t="s">
        <v>97</v>
      </c>
      <c r="L2143" s="3" t="s">
        <v>98</v>
      </c>
      <c r="M2143" s="3" t="s">
        <v>1993</v>
      </c>
      <c r="N2143" s="3" t="s">
        <v>1994</v>
      </c>
      <c r="O2143" s="5">
        <v>1792.4573317</v>
      </c>
      <c r="P2143" s="6" t="str">
        <f t="shared" si="2"/>
        <v>Agricultural, Commercial &amp; Construction Vehicles</v>
      </c>
    </row>
    <row r="2144" hidden="1">
      <c r="A2144" s="3" t="s">
        <v>8978</v>
      </c>
      <c r="B2144" s="4">
        <v>531797.0</v>
      </c>
      <c r="C2144" s="3" t="s">
        <v>8979</v>
      </c>
      <c r="D2144" s="3" t="s">
        <v>8980</v>
      </c>
      <c r="E2144" s="3" t="s">
        <v>8981</v>
      </c>
      <c r="F2144" s="3" t="s">
        <v>19</v>
      </c>
      <c r="G2144" s="3" t="s">
        <v>72</v>
      </c>
      <c r="H2144" s="3">
        <v>10.0</v>
      </c>
      <c r="I2144" s="3" t="s">
        <v>8978</v>
      </c>
      <c r="J2144" s="3" t="s">
        <v>22</v>
      </c>
      <c r="K2144" s="3" t="s">
        <v>23</v>
      </c>
      <c r="L2144" s="3" t="s">
        <v>162</v>
      </c>
      <c r="M2144" s="3" t="s">
        <v>163</v>
      </c>
      <c r="N2144" s="3" t="s">
        <v>163</v>
      </c>
      <c r="O2144" s="5">
        <v>1.0</v>
      </c>
      <c r="P2144" s="6" t="str">
        <f t="shared" si="2"/>
        <v>Cement &amp; Cement Products</v>
      </c>
    </row>
    <row r="2145" hidden="1">
      <c r="A2145" s="3" t="s">
        <v>8982</v>
      </c>
      <c r="B2145" s="4">
        <v>531802.0</v>
      </c>
      <c r="C2145" s="3" t="s">
        <v>8983</v>
      </c>
      <c r="D2145" s="3" t="s">
        <v>8984</v>
      </c>
      <c r="E2145" s="3" t="s">
        <v>8985</v>
      </c>
      <c r="F2145" s="3" t="s">
        <v>19</v>
      </c>
      <c r="G2145" s="3" t="s">
        <v>44</v>
      </c>
      <c r="H2145" s="3">
        <v>10.0</v>
      </c>
      <c r="I2145" s="3" t="s">
        <v>8982</v>
      </c>
      <c r="J2145" s="3" t="s">
        <v>22</v>
      </c>
      <c r="K2145" s="3" t="s">
        <v>58</v>
      </c>
      <c r="L2145" s="3" t="s">
        <v>59</v>
      </c>
      <c r="M2145" s="3" t="s">
        <v>59</v>
      </c>
      <c r="N2145" s="3" t="s">
        <v>60</v>
      </c>
      <c r="O2145" s="5">
        <v>132.3041722</v>
      </c>
      <c r="P2145" s="6" t="str">
        <f t="shared" si="2"/>
        <v>Residential, Commercial Projects</v>
      </c>
    </row>
    <row r="2146" hidden="1">
      <c r="A2146" s="3" t="s">
        <v>8986</v>
      </c>
      <c r="B2146" s="4">
        <v>531810.0</v>
      </c>
      <c r="C2146" s="3" t="s">
        <v>8987</v>
      </c>
      <c r="D2146" s="3" t="s">
        <v>8988</v>
      </c>
      <c r="E2146" s="3" t="s">
        <v>8989</v>
      </c>
      <c r="F2146" s="3" t="s">
        <v>19</v>
      </c>
      <c r="G2146" s="3" t="s">
        <v>44</v>
      </c>
      <c r="H2146" s="3">
        <v>10.0</v>
      </c>
      <c r="I2146" s="3" t="s">
        <v>8986</v>
      </c>
      <c r="J2146" s="3" t="s">
        <v>22</v>
      </c>
      <c r="K2146" s="3" t="s">
        <v>97</v>
      </c>
      <c r="L2146" s="3" t="s">
        <v>98</v>
      </c>
      <c r="M2146" s="3" t="s">
        <v>100</v>
      </c>
      <c r="N2146" s="3" t="s">
        <v>612</v>
      </c>
      <c r="O2146" s="5">
        <v>62.2229254</v>
      </c>
      <c r="P2146" s="6" t="str">
        <f t="shared" si="2"/>
        <v>Industrial Products</v>
      </c>
    </row>
    <row r="2147" hidden="1">
      <c r="A2147" s="3" t="s">
        <v>8990</v>
      </c>
      <c r="B2147" s="4">
        <v>531812.0</v>
      </c>
      <c r="C2147" s="3" t="s">
        <v>8991</v>
      </c>
      <c r="D2147" s="3" t="s">
        <v>8992</v>
      </c>
      <c r="E2147" s="3" t="s">
        <v>8993</v>
      </c>
      <c r="F2147" s="3" t="s">
        <v>19</v>
      </c>
      <c r="G2147" s="3" t="s">
        <v>72</v>
      </c>
      <c r="H2147" s="3">
        <v>1.0</v>
      </c>
      <c r="I2147" s="3" t="s">
        <v>8990</v>
      </c>
      <c r="J2147" s="3" t="s">
        <v>22</v>
      </c>
      <c r="K2147" s="3" t="s">
        <v>97</v>
      </c>
      <c r="L2147" s="3" t="s">
        <v>98</v>
      </c>
      <c r="M2147" s="3" t="s">
        <v>1747</v>
      </c>
      <c r="N2147" s="3" t="s">
        <v>1748</v>
      </c>
      <c r="O2147" s="5">
        <v>1.0</v>
      </c>
      <c r="P2147" s="6" t="str">
        <f t="shared" si="2"/>
        <v>Electrical Equipment</v>
      </c>
    </row>
    <row r="2148" hidden="1">
      <c r="A2148" s="3" t="s">
        <v>8994</v>
      </c>
      <c r="B2148" s="4">
        <v>531813.0</v>
      </c>
      <c r="C2148" s="3" t="s">
        <v>8995</v>
      </c>
      <c r="D2148" s="3" t="s">
        <v>8996</v>
      </c>
      <c r="E2148" s="3" t="s">
        <v>8997</v>
      </c>
      <c r="F2148" s="3" t="s">
        <v>19</v>
      </c>
      <c r="G2148" s="3" t="s">
        <v>44</v>
      </c>
      <c r="H2148" s="3">
        <v>10.0</v>
      </c>
      <c r="I2148" s="3" t="s">
        <v>8994</v>
      </c>
      <c r="J2148" s="3" t="s">
        <v>22</v>
      </c>
      <c r="K2148" s="3" t="s">
        <v>23</v>
      </c>
      <c r="L2148" s="3" t="s">
        <v>32</v>
      </c>
      <c r="M2148" s="3" t="s">
        <v>33</v>
      </c>
      <c r="N2148" s="3" t="s">
        <v>34</v>
      </c>
      <c r="O2148" s="5">
        <v>121.5448662</v>
      </c>
      <c r="P2148" s="6" t="str">
        <f t="shared" si="2"/>
        <v>Paper, Forest &amp; Jute Products</v>
      </c>
    </row>
    <row r="2149" hidden="1">
      <c r="A2149" s="3" t="s">
        <v>8998</v>
      </c>
      <c r="B2149" s="4">
        <v>531814.0</v>
      </c>
      <c r="C2149" s="3" t="s">
        <v>8999</v>
      </c>
      <c r="D2149" s="3" t="s">
        <v>9000</v>
      </c>
      <c r="E2149" s="3" t="s">
        <v>9001</v>
      </c>
      <c r="F2149" s="3" t="s">
        <v>19</v>
      </c>
      <c r="G2149" s="3" t="s">
        <v>44</v>
      </c>
      <c r="H2149" s="3">
        <v>5.0</v>
      </c>
      <c r="I2149" s="3" t="s">
        <v>8998</v>
      </c>
      <c r="J2149" s="3" t="s">
        <v>22</v>
      </c>
      <c r="K2149" s="3" t="s">
        <v>58</v>
      </c>
      <c r="L2149" s="3" t="s">
        <v>59</v>
      </c>
      <c r="M2149" s="3" t="s">
        <v>59</v>
      </c>
      <c r="N2149" s="3" t="s">
        <v>60</v>
      </c>
      <c r="O2149" s="5">
        <v>49.6405699</v>
      </c>
      <c r="P2149" s="6" t="str">
        <f t="shared" si="2"/>
        <v>Residential, Commercial Projects</v>
      </c>
    </row>
    <row r="2150" hidden="1">
      <c r="A2150" s="3" t="s">
        <v>9002</v>
      </c>
      <c r="B2150" s="4">
        <v>531821.0</v>
      </c>
      <c r="C2150" s="3" t="s">
        <v>9003</v>
      </c>
      <c r="D2150" s="3" t="s">
        <v>9004</v>
      </c>
      <c r="E2150" s="3" t="s">
        <v>9005</v>
      </c>
      <c r="F2150" s="3" t="s">
        <v>19</v>
      </c>
      <c r="G2150" s="3" t="s">
        <v>44</v>
      </c>
      <c r="H2150" s="3">
        <v>10.0</v>
      </c>
      <c r="I2150" s="3" t="s">
        <v>9002</v>
      </c>
      <c r="J2150" s="3" t="s">
        <v>22</v>
      </c>
      <c r="K2150" s="3" t="s">
        <v>204</v>
      </c>
      <c r="L2150" s="3" t="s">
        <v>204</v>
      </c>
      <c r="M2150" s="3" t="s">
        <v>378</v>
      </c>
      <c r="N2150" s="3" t="s">
        <v>468</v>
      </c>
      <c r="O2150" s="5">
        <v>30.9950895</v>
      </c>
      <c r="P2150" s="6" t="str">
        <f t="shared" si="2"/>
        <v>Finance</v>
      </c>
    </row>
    <row r="2151" hidden="1">
      <c r="A2151" s="3" t="s">
        <v>9006</v>
      </c>
      <c r="B2151" s="4">
        <v>531822.0</v>
      </c>
      <c r="C2151" s="3" t="s">
        <v>9007</v>
      </c>
      <c r="D2151" s="3" t="s">
        <v>9008</v>
      </c>
      <c r="E2151" s="3" t="s">
        <v>9007</v>
      </c>
      <c r="F2151" s="3" t="s">
        <v>19</v>
      </c>
      <c r="G2151" s="3" t="s">
        <v>72</v>
      </c>
      <c r="H2151" s="3">
        <v>10.0</v>
      </c>
      <c r="I2151" s="3" t="s">
        <v>9006</v>
      </c>
      <c r="J2151" s="3" t="s">
        <v>22</v>
      </c>
      <c r="K2151" s="3" t="s">
        <v>58</v>
      </c>
      <c r="L2151" s="3" t="s">
        <v>59</v>
      </c>
      <c r="M2151" s="3" t="s">
        <v>59</v>
      </c>
      <c r="N2151" s="3" t="s">
        <v>60</v>
      </c>
      <c r="O2151" s="5">
        <v>25.5119314</v>
      </c>
      <c r="P2151" s="6" t="str">
        <f t="shared" si="2"/>
        <v>Residential, Commercial Projects</v>
      </c>
    </row>
    <row r="2152" hidden="1">
      <c r="A2152" s="3" t="s">
        <v>9009</v>
      </c>
      <c r="B2152" s="4">
        <v>531832.0</v>
      </c>
      <c r="C2152" s="3" t="s">
        <v>9010</v>
      </c>
      <c r="D2152" s="3" t="s">
        <v>9011</v>
      </c>
      <c r="E2152" s="3" t="s">
        <v>9012</v>
      </c>
      <c r="F2152" s="3" t="s">
        <v>19</v>
      </c>
      <c r="G2152" s="3" t="s">
        <v>72</v>
      </c>
      <c r="H2152" s="3">
        <v>10.0</v>
      </c>
      <c r="I2152" s="3" t="s">
        <v>9009</v>
      </c>
      <c r="J2152" s="3" t="s">
        <v>22</v>
      </c>
      <c r="K2152" s="3" t="s">
        <v>145</v>
      </c>
      <c r="L2152" s="3" t="s">
        <v>145</v>
      </c>
      <c r="M2152" s="3" t="s">
        <v>146</v>
      </c>
      <c r="N2152" s="3" t="s">
        <v>2645</v>
      </c>
      <c r="O2152" s="5">
        <v>1.0</v>
      </c>
      <c r="P2152" s="6" t="str">
        <f t="shared" si="2"/>
        <v>Agricultural Food &amp; other Products</v>
      </c>
    </row>
    <row r="2153" hidden="1">
      <c r="A2153" s="3" t="s">
        <v>9013</v>
      </c>
      <c r="B2153" s="4">
        <v>531834.0</v>
      </c>
      <c r="C2153" s="3" t="s">
        <v>9014</v>
      </c>
      <c r="D2153" s="3" t="s">
        <v>9015</v>
      </c>
      <c r="E2153" s="3" t="s">
        <v>9016</v>
      </c>
      <c r="F2153" s="3" t="s">
        <v>19</v>
      </c>
      <c r="G2153" s="3" t="s">
        <v>44</v>
      </c>
      <c r="H2153" s="3">
        <v>10.0</v>
      </c>
      <c r="I2153" s="3" t="s">
        <v>9013</v>
      </c>
      <c r="J2153" s="3" t="s">
        <v>22</v>
      </c>
      <c r="K2153" s="3" t="s">
        <v>145</v>
      </c>
      <c r="L2153" s="3" t="s">
        <v>145</v>
      </c>
      <c r="M2153" s="3" t="s">
        <v>146</v>
      </c>
      <c r="N2153" s="3" t="s">
        <v>2645</v>
      </c>
      <c r="O2153" s="5">
        <v>1.0</v>
      </c>
      <c r="P2153" s="6" t="str">
        <f t="shared" si="2"/>
        <v>Agricultural Food &amp; other Products</v>
      </c>
    </row>
    <row r="2154" hidden="1">
      <c r="A2154" s="3" t="s">
        <v>9017</v>
      </c>
      <c r="B2154" s="4">
        <v>531840.0</v>
      </c>
      <c r="C2154" s="3" t="s">
        <v>9018</v>
      </c>
      <c r="D2154" s="3" t="s">
        <v>9019</v>
      </c>
      <c r="E2154" s="3" t="s">
        <v>9020</v>
      </c>
      <c r="F2154" s="3" t="s">
        <v>19</v>
      </c>
      <c r="G2154" s="3" t="s">
        <v>72</v>
      </c>
      <c r="H2154" s="3">
        <v>10.0</v>
      </c>
      <c r="I2154" s="3" t="s">
        <v>9017</v>
      </c>
      <c r="J2154" s="3" t="s">
        <v>22</v>
      </c>
      <c r="K2154" s="3" t="s">
        <v>473</v>
      </c>
      <c r="L2154" s="3" t="s">
        <v>473</v>
      </c>
      <c r="M2154" s="3" t="s">
        <v>1391</v>
      </c>
      <c r="N2154" s="3" t="s">
        <v>1392</v>
      </c>
      <c r="O2154" s="5">
        <v>1.0</v>
      </c>
      <c r="P2154" s="6" t="str">
        <f t="shared" si="2"/>
        <v>IT - Software</v>
      </c>
    </row>
    <row r="2155" hidden="1">
      <c r="A2155" s="3" t="s">
        <v>9021</v>
      </c>
      <c r="B2155" s="4">
        <v>531841.0</v>
      </c>
      <c r="C2155" s="3" t="s">
        <v>9022</v>
      </c>
      <c r="D2155" s="3" t="s">
        <v>9023</v>
      </c>
      <c r="E2155" s="3" t="s">
        <v>9024</v>
      </c>
      <c r="F2155" s="3" t="s">
        <v>19</v>
      </c>
      <c r="G2155" s="3" t="s">
        <v>72</v>
      </c>
      <c r="H2155" s="3">
        <v>10.0</v>
      </c>
      <c r="I2155" s="3" t="s">
        <v>9021</v>
      </c>
      <c r="J2155" s="3" t="s">
        <v>22</v>
      </c>
      <c r="K2155" s="3" t="s">
        <v>204</v>
      </c>
      <c r="L2155" s="3" t="s">
        <v>204</v>
      </c>
      <c r="M2155" s="3" t="s">
        <v>378</v>
      </c>
      <c r="N2155" s="3" t="s">
        <v>379</v>
      </c>
      <c r="O2155" s="5">
        <v>22.4740224</v>
      </c>
      <c r="P2155" s="6" t="str">
        <f t="shared" si="2"/>
        <v>Non Banking Financial Company (NBFC)</v>
      </c>
    </row>
    <row r="2156" hidden="1">
      <c r="A2156" s="3" t="s">
        <v>3958</v>
      </c>
      <c r="B2156" s="4">
        <v>531360.0</v>
      </c>
      <c r="C2156" s="3" t="s">
        <v>9025</v>
      </c>
      <c r="D2156" s="3" t="s">
        <v>9026</v>
      </c>
      <c r="E2156" s="3" t="s">
        <v>9027</v>
      </c>
      <c r="F2156" s="3" t="s">
        <v>19</v>
      </c>
      <c r="G2156" s="3" t="s">
        <v>72</v>
      </c>
      <c r="H2156" s="3">
        <v>10.0</v>
      </c>
      <c r="I2156" s="3" t="s">
        <v>8474</v>
      </c>
      <c r="J2156" s="3" t="s">
        <v>22</v>
      </c>
      <c r="K2156" s="3" t="s">
        <v>1673</v>
      </c>
      <c r="L2156" s="3" t="s">
        <v>1673</v>
      </c>
      <c r="M2156" s="3" t="s">
        <v>1674</v>
      </c>
      <c r="N2156" s="3" t="s">
        <v>1675</v>
      </c>
      <c r="O2156" s="5">
        <v>18.3323784</v>
      </c>
      <c r="P2156" s="6" t="str">
        <f t="shared" si="2"/>
        <v>Commercial Services &amp; Supplies</v>
      </c>
    </row>
    <row r="2157" hidden="1">
      <c r="A2157" s="3" t="s">
        <v>9028</v>
      </c>
      <c r="B2157" s="4">
        <v>531845.0</v>
      </c>
      <c r="C2157" s="3" t="s">
        <v>9029</v>
      </c>
      <c r="D2157" s="3" t="s">
        <v>9030</v>
      </c>
      <c r="E2157" s="3" t="s">
        <v>9031</v>
      </c>
      <c r="F2157" s="3" t="s">
        <v>19</v>
      </c>
      <c r="G2157" s="3" t="s">
        <v>112</v>
      </c>
      <c r="H2157" s="3">
        <v>10.0</v>
      </c>
      <c r="I2157" s="3" t="s">
        <v>9028</v>
      </c>
      <c r="J2157" s="3" t="s">
        <v>22</v>
      </c>
      <c r="K2157" s="3" t="s">
        <v>97</v>
      </c>
      <c r="L2157" s="3" t="s">
        <v>98</v>
      </c>
      <c r="M2157" s="3" t="s">
        <v>100</v>
      </c>
      <c r="N2157" s="3" t="s">
        <v>612</v>
      </c>
      <c r="O2157" s="5">
        <v>172.5862</v>
      </c>
      <c r="P2157" s="6" t="str">
        <f t="shared" si="2"/>
        <v>Industrial Products</v>
      </c>
    </row>
    <row r="2158" hidden="1">
      <c r="A2158" s="3" t="s">
        <v>9032</v>
      </c>
      <c r="B2158" s="4">
        <v>531846.0</v>
      </c>
      <c r="C2158" s="3" t="s">
        <v>9033</v>
      </c>
      <c r="D2158" s="3" t="s">
        <v>9034</v>
      </c>
      <c r="E2158" s="3" t="s">
        <v>9035</v>
      </c>
      <c r="F2158" s="3" t="s">
        <v>19</v>
      </c>
      <c r="G2158" s="3" t="s">
        <v>44</v>
      </c>
      <c r="H2158" s="3">
        <v>10.0</v>
      </c>
      <c r="I2158" s="3" t="s">
        <v>9032</v>
      </c>
      <c r="J2158" s="3" t="s">
        <v>22</v>
      </c>
      <c r="K2158" s="3" t="s">
        <v>204</v>
      </c>
      <c r="L2158" s="3" t="s">
        <v>204</v>
      </c>
      <c r="M2158" s="3" t="s">
        <v>378</v>
      </c>
      <c r="N2158" s="3" t="s">
        <v>468</v>
      </c>
      <c r="O2158" s="5">
        <v>14.7467249</v>
      </c>
      <c r="P2158" s="6" t="str">
        <f t="shared" si="2"/>
        <v>Finance</v>
      </c>
    </row>
    <row r="2159" hidden="1">
      <c r="A2159" s="3" t="s">
        <v>9036</v>
      </c>
      <c r="B2159" s="4">
        <v>531847.0</v>
      </c>
      <c r="C2159" s="3" t="s">
        <v>9037</v>
      </c>
      <c r="D2159" s="3" t="s">
        <v>9038</v>
      </c>
      <c r="E2159" s="3" t="s">
        <v>9039</v>
      </c>
      <c r="F2159" s="3" t="s">
        <v>19</v>
      </c>
      <c r="G2159" s="3" t="s">
        <v>112</v>
      </c>
      <c r="H2159" s="3">
        <v>10.0</v>
      </c>
      <c r="I2159" s="3" t="s">
        <v>9036</v>
      </c>
      <c r="J2159" s="3" t="s">
        <v>22</v>
      </c>
      <c r="K2159" s="3" t="s">
        <v>58</v>
      </c>
      <c r="L2159" s="3" t="s">
        <v>211</v>
      </c>
      <c r="M2159" s="3" t="s">
        <v>211</v>
      </c>
      <c r="N2159" s="3" t="s">
        <v>947</v>
      </c>
      <c r="O2159" s="5">
        <v>1296.397755</v>
      </c>
      <c r="P2159" s="6" t="str">
        <f t="shared" si="2"/>
        <v>Consumer Durables</v>
      </c>
    </row>
    <row r="2160" hidden="1">
      <c r="A2160" s="3" t="s">
        <v>9040</v>
      </c>
      <c r="B2160" s="4">
        <v>531859.0</v>
      </c>
      <c r="C2160" s="3" t="s">
        <v>9041</v>
      </c>
      <c r="D2160" s="3" t="s">
        <v>9042</v>
      </c>
      <c r="E2160" s="3" t="s">
        <v>9043</v>
      </c>
      <c r="F2160" s="3" t="s">
        <v>19</v>
      </c>
      <c r="G2160" s="3" t="s">
        <v>86</v>
      </c>
      <c r="H2160" s="3">
        <v>1.0</v>
      </c>
      <c r="I2160" s="3" t="s">
        <v>9040</v>
      </c>
      <c r="J2160" s="3" t="s">
        <v>22</v>
      </c>
      <c r="K2160" s="3" t="s">
        <v>97</v>
      </c>
      <c r="L2160" s="3" t="s">
        <v>98</v>
      </c>
      <c r="M2160" s="3" t="s">
        <v>100</v>
      </c>
      <c r="N2160" s="3" t="s">
        <v>1386</v>
      </c>
      <c r="O2160" s="5">
        <v>1660.7288054</v>
      </c>
      <c r="P2160" s="6" t="str">
        <f t="shared" si="2"/>
        <v>Industrial Products</v>
      </c>
    </row>
    <row r="2161" hidden="1">
      <c r="A2161" s="3" t="s">
        <v>9044</v>
      </c>
      <c r="B2161" s="4">
        <v>531861.0</v>
      </c>
      <c r="C2161" s="3" t="s">
        <v>9045</v>
      </c>
      <c r="D2161" s="3" t="s">
        <v>9046</v>
      </c>
      <c r="E2161" s="3" t="s">
        <v>9047</v>
      </c>
      <c r="F2161" s="3" t="s">
        <v>19</v>
      </c>
      <c r="G2161" s="3" t="s">
        <v>72</v>
      </c>
      <c r="H2161" s="3">
        <v>10.0</v>
      </c>
      <c r="I2161" s="3" t="s">
        <v>9044</v>
      </c>
      <c r="J2161" s="3" t="s">
        <v>22</v>
      </c>
      <c r="K2161" s="3" t="s">
        <v>204</v>
      </c>
      <c r="L2161" s="3" t="s">
        <v>204</v>
      </c>
      <c r="M2161" s="3" t="s">
        <v>205</v>
      </c>
      <c r="N2161" s="3" t="s">
        <v>2109</v>
      </c>
      <c r="O2161" s="5">
        <v>71.8274702</v>
      </c>
      <c r="P2161" s="6" t="str">
        <f t="shared" si="2"/>
        <v>Capital Markets</v>
      </c>
    </row>
    <row r="2162" hidden="1">
      <c r="A2162" s="3" t="s">
        <v>9048</v>
      </c>
      <c r="B2162" s="4">
        <v>531862.0</v>
      </c>
      <c r="C2162" s="3" t="s">
        <v>9049</v>
      </c>
      <c r="D2162" s="3" t="s">
        <v>9050</v>
      </c>
      <c r="E2162" s="3" t="s">
        <v>9051</v>
      </c>
      <c r="F2162" s="3" t="s">
        <v>19</v>
      </c>
      <c r="G2162" s="3" t="s">
        <v>44</v>
      </c>
      <c r="H2162" s="3">
        <v>1.0</v>
      </c>
      <c r="I2162" s="3" t="s">
        <v>9048</v>
      </c>
      <c r="J2162" s="3" t="s">
        <v>22</v>
      </c>
      <c r="K2162" s="3" t="s">
        <v>23</v>
      </c>
      <c r="L2162" s="3" t="s">
        <v>24</v>
      </c>
      <c r="M2162" s="3" t="s">
        <v>91</v>
      </c>
      <c r="N2162" s="3" t="s">
        <v>92</v>
      </c>
      <c r="O2162" s="5">
        <v>515.1175105</v>
      </c>
      <c r="P2162" s="6" t="str">
        <f t="shared" si="2"/>
        <v>Fertilizers &amp; Agrochemicals</v>
      </c>
    </row>
    <row r="2163" hidden="1">
      <c r="A2163" s="3" t="s">
        <v>9052</v>
      </c>
      <c r="B2163" s="4">
        <v>531867.0</v>
      </c>
      <c r="C2163" s="3" t="s">
        <v>9053</v>
      </c>
      <c r="D2163" s="3" t="s">
        <v>9054</v>
      </c>
      <c r="E2163" s="3" t="s">
        <v>9055</v>
      </c>
      <c r="F2163" s="3" t="s">
        <v>19</v>
      </c>
      <c r="G2163" s="3" t="s">
        <v>44</v>
      </c>
      <c r="H2163" s="3">
        <v>10.0</v>
      </c>
      <c r="I2163" s="3" t="s">
        <v>9052</v>
      </c>
      <c r="J2163" s="3" t="s">
        <v>22</v>
      </c>
      <c r="K2163" s="3" t="s">
        <v>23</v>
      </c>
      <c r="L2163" s="3" t="s">
        <v>24</v>
      </c>
      <c r="M2163" s="3" t="s">
        <v>25</v>
      </c>
      <c r="N2163" s="3" t="s">
        <v>26</v>
      </c>
      <c r="O2163" s="5">
        <v>1.0</v>
      </c>
      <c r="P2163" s="6" t="str">
        <f t="shared" si="2"/>
        <v>Specialty Chemicals</v>
      </c>
    </row>
    <row r="2164" hidden="1">
      <c r="A2164" s="3" t="s">
        <v>9056</v>
      </c>
      <c r="B2164" s="4">
        <v>531869.0</v>
      </c>
      <c r="C2164" s="3" t="s">
        <v>9057</v>
      </c>
      <c r="D2164" s="3" t="s">
        <v>9058</v>
      </c>
      <c r="E2164" s="3" t="s">
        <v>9059</v>
      </c>
      <c r="F2164" s="3" t="s">
        <v>19</v>
      </c>
      <c r="G2164" s="3" t="s">
        <v>44</v>
      </c>
      <c r="H2164" s="3">
        <v>10.0</v>
      </c>
      <c r="I2164" s="3" t="s">
        <v>9056</v>
      </c>
      <c r="J2164" s="3" t="s">
        <v>22</v>
      </c>
      <c r="K2164" s="3" t="s">
        <v>23</v>
      </c>
      <c r="L2164" s="3" t="s">
        <v>65</v>
      </c>
      <c r="M2164" s="3" t="s">
        <v>66</v>
      </c>
      <c r="N2164" s="3" t="s">
        <v>286</v>
      </c>
      <c r="O2164" s="5">
        <v>52.374399</v>
      </c>
      <c r="P2164" s="6" t="str">
        <f t="shared" si="2"/>
        <v>Non - Ferrous Metals</v>
      </c>
    </row>
    <row r="2165" hidden="1">
      <c r="A2165" s="3" t="s">
        <v>9060</v>
      </c>
      <c r="B2165" s="4">
        <v>531870.0</v>
      </c>
      <c r="C2165" s="3" t="s">
        <v>9061</v>
      </c>
      <c r="D2165" s="3" t="s">
        <v>9062</v>
      </c>
      <c r="E2165" s="3" t="s">
        <v>9063</v>
      </c>
      <c r="F2165" s="3" t="s">
        <v>19</v>
      </c>
      <c r="G2165" s="3" t="s">
        <v>44</v>
      </c>
      <c r="H2165" s="3">
        <v>10.0</v>
      </c>
      <c r="I2165" s="3" t="s">
        <v>9060</v>
      </c>
      <c r="J2165" s="3" t="s">
        <v>22</v>
      </c>
      <c r="K2165" s="3" t="s">
        <v>97</v>
      </c>
      <c r="L2165" s="3" t="s">
        <v>965</v>
      </c>
      <c r="M2165" s="3" t="s">
        <v>965</v>
      </c>
      <c r="N2165" s="3" t="s">
        <v>966</v>
      </c>
      <c r="O2165" s="5">
        <v>22.680325</v>
      </c>
      <c r="P2165" s="6" t="str">
        <f t="shared" si="2"/>
        <v>Civil Construction</v>
      </c>
    </row>
    <row r="2166" hidden="1">
      <c r="A2166" s="3" t="s">
        <v>9064</v>
      </c>
      <c r="B2166" s="4">
        <v>531878.0</v>
      </c>
      <c r="C2166" s="3" t="s">
        <v>9065</v>
      </c>
      <c r="D2166" s="3" t="s">
        <v>9066</v>
      </c>
      <c r="E2166" s="3" t="s">
        <v>9067</v>
      </c>
      <c r="F2166" s="3" t="s">
        <v>19</v>
      </c>
      <c r="G2166" s="3" t="s">
        <v>44</v>
      </c>
      <c r="H2166" s="3">
        <v>10.0</v>
      </c>
      <c r="I2166" s="3" t="s">
        <v>9064</v>
      </c>
      <c r="J2166" s="3" t="s">
        <v>22</v>
      </c>
      <c r="K2166" s="3" t="s">
        <v>204</v>
      </c>
      <c r="L2166" s="3" t="s">
        <v>204</v>
      </c>
      <c r="M2166" s="3" t="s">
        <v>378</v>
      </c>
      <c r="N2166" s="3" t="s">
        <v>379</v>
      </c>
      <c r="O2166" s="5">
        <v>13.3483159</v>
      </c>
      <c r="P2166" s="6" t="str">
        <f t="shared" si="2"/>
        <v>Non Banking Financial Company (NBFC)</v>
      </c>
    </row>
    <row r="2167" hidden="1">
      <c r="A2167" s="3" t="s">
        <v>9068</v>
      </c>
      <c r="B2167" s="4">
        <v>501477.0</v>
      </c>
      <c r="C2167" s="3" t="s">
        <v>9069</v>
      </c>
      <c r="D2167" s="3" t="s">
        <v>9070</v>
      </c>
      <c r="E2167" s="3" t="s">
        <v>9071</v>
      </c>
      <c r="F2167" s="3" t="s">
        <v>19</v>
      </c>
      <c r="G2167" s="3" t="s">
        <v>44</v>
      </c>
      <c r="H2167" s="3">
        <v>10.0</v>
      </c>
      <c r="I2167" s="3" t="s">
        <v>1412</v>
      </c>
      <c r="J2167" s="3" t="s">
        <v>22</v>
      </c>
      <c r="K2167" s="3" t="s">
        <v>1673</v>
      </c>
      <c r="L2167" s="3" t="s">
        <v>1673</v>
      </c>
      <c r="M2167" s="3" t="s">
        <v>1674</v>
      </c>
      <c r="N2167" s="3" t="s">
        <v>1915</v>
      </c>
      <c r="O2167" s="5">
        <v>18.1722524</v>
      </c>
      <c r="P2167" s="6" t="str">
        <f t="shared" si="2"/>
        <v>Commercial Services &amp; Supplies</v>
      </c>
    </row>
    <row r="2168" hidden="1">
      <c r="A2168" s="3" t="s">
        <v>9072</v>
      </c>
      <c r="B2168" s="4">
        <v>531887.0</v>
      </c>
      <c r="C2168" s="3" t="s">
        <v>9073</v>
      </c>
      <c r="D2168" s="3" t="s">
        <v>9074</v>
      </c>
      <c r="E2168" s="3" t="s">
        <v>9075</v>
      </c>
      <c r="F2168" s="3" t="s">
        <v>19</v>
      </c>
      <c r="G2168" s="3" t="s">
        <v>44</v>
      </c>
      <c r="H2168" s="3">
        <v>10.0</v>
      </c>
      <c r="I2168" s="3" t="s">
        <v>9072</v>
      </c>
      <c r="J2168" s="3" t="s">
        <v>22</v>
      </c>
      <c r="K2168" s="3" t="s">
        <v>58</v>
      </c>
      <c r="L2168" s="3" t="s">
        <v>211</v>
      </c>
      <c r="M2168" s="3" t="s">
        <v>211</v>
      </c>
      <c r="N2168" s="3" t="s">
        <v>947</v>
      </c>
      <c r="O2168" s="5">
        <v>1.0</v>
      </c>
      <c r="P2168" s="6" t="str">
        <f t="shared" si="2"/>
        <v>Consumer Durables</v>
      </c>
    </row>
    <row r="2169" hidden="1">
      <c r="A2169" s="3" t="s">
        <v>9076</v>
      </c>
      <c r="B2169" s="4">
        <v>531888.0</v>
      </c>
      <c r="C2169" s="3" t="s">
        <v>9077</v>
      </c>
      <c r="D2169" s="3" t="s">
        <v>9078</v>
      </c>
      <c r="E2169" s="3" t="s">
        <v>9079</v>
      </c>
      <c r="F2169" s="3" t="s">
        <v>19</v>
      </c>
      <c r="G2169" s="3" t="s">
        <v>44</v>
      </c>
      <c r="H2169" s="3">
        <v>10.0</v>
      </c>
      <c r="I2169" s="3" t="s">
        <v>9076</v>
      </c>
      <c r="J2169" s="3" t="s">
        <v>22</v>
      </c>
      <c r="K2169" s="3" t="s">
        <v>97</v>
      </c>
      <c r="L2169" s="3" t="s">
        <v>98</v>
      </c>
      <c r="M2169" s="3" t="s">
        <v>99</v>
      </c>
      <c r="N2169" s="3" t="s">
        <v>100</v>
      </c>
      <c r="O2169" s="5">
        <v>154.7324452</v>
      </c>
      <c r="P2169" s="6" t="str">
        <f t="shared" si="2"/>
        <v>Industrial Products</v>
      </c>
    </row>
    <row r="2170" hidden="1">
      <c r="A2170" s="3" t="s">
        <v>9080</v>
      </c>
      <c r="B2170" s="4">
        <v>531889.0</v>
      </c>
      <c r="C2170" s="3" t="s">
        <v>9081</v>
      </c>
      <c r="D2170" s="3" t="s">
        <v>9082</v>
      </c>
      <c r="E2170" s="3" t="s">
        <v>9083</v>
      </c>
      <c r="F2170" s="3" t="s">
        <v>19</v>
      </c>
      <c r="G2170" s="3" t="s">
        <v>72</v>
      </c>
      <c r="H2170" s="3">
        <v>10.0</v>
      </c>
      <c r="I2170" s="3" t="s">
        <v>9080</v>
      </c>
      <c r="J2170" s="3" t="s">
        <v>22</v>
      </c>
      <c r="K2170" s="3" t="s">
        <v>145</v>
      </c>
      <c r="L2170" s="3" t="s">
        <v>145</v>
      </c>
      <c r="M2170" s="3" t="s">
        <v>597</v>
      </c>
      <c r="N2170" s="3" t="s">
        <v>2344</v>
      </c>
      <c r="O2170" s="5">
        <v>430.6200008</v>
      </c>
      <c r="P2170" s="6" t="str">
        <f t="shared" si="2"/>
        <v>Food Products</v>
      </c>
    </row>
    <row r="2171" hidden="1">
      <c r="A2171" s="3" t="s">
        <v>9084</v>
      </c>
      <c r="B2171" s="4">
        <v>531892.0</v>
      </c>
      <c r="C2171" s="3" t="s">
        <v>9085</v>
      </c>
      <c r="D2171" s="3" t="s">
        <v>9086</v>
      </c>
      <c r="E2171" s="3" t="s">
        <v>9087</v>
      </c>
      <c r="F2171" s="3" t="s">
        <v>19</v>
      </c>
      <c r="G2171" s="3" t="s">
        <v>112</v>
      </c>
      <c r="H2171" s="3">
        <v>10.0</v>
      </c>
      <c r="I2171" s="3" t="s">
        <v>9084</v>
      </c>
      <c r="J2171" s="3" t="s">
        <v>22</v>
      </c>
      <c r="K2171" s="3" t="s">
        <v>204</v>
      </c>
      <c r="L2171" s="3" t="s">
        <v>204</v>
      </c>
      <c r="M2171" s="3" t="s">
        <v>205</v>
      </c>
      <c r="N2171" s="3" t="s">
        <v>2109</v>
      </c>
      <c r="O2171" s="5">
        <v>42.5178003</v>
      </c>
      <c r="P2171" s="6" t="str">
        <f t="shared" si="2"/>
        <v>Capital Markets</v>
      </c>
    </row>
    <row r="2172" hidden="1">
      <c r="A2172" s="3" t="s">
        <v>7310</v>
      </c>
      <c r="B2172" s="4">
        <v>542667.0</v>
      </c>
      <c r="C2172" s="3" t="s">
        <v>9088</v>
      </c>
      <c r="D2172" s="3" t="s">
        <v>9089</v>
      </c>
      <c r="E2172" s="3" t="s">
        <v>9090</v>
      </c>
      <c r="F2172" s="3" t="s">
        <v>19</v>
      </c>
      <c r="G2172" s="3" t="s">
        <v>112</v>
      </c>
      <c r="H2172" s="3">
        <v>10.0</v>
      </c>
      <c r="I2172" s="3" t="s">
        <v>9091</v>
      </c>
      <c r="J2172" s="3" t="s">
        <v>22</v>
      </c>
      <c r="K2172" s="3" t="s">
        <v>1673</v>
      </c>
      <c r="L2172" s="3" t="s">
        <v>1673</v>
      </c>
      <c r="M2172" s="3" t="s">
        <v>1674</v>
      </c>
      <c r="N2172" s="3" t="s">
        <v>1915</v>
      </c>
      <c r="O2172" s="5">
        <v>18.0636479</v>
      </c>
      <c r="P2172" s="6" t="str">
        <f t="shared" si="2"/>
        <v>Commercial Services &amp; Supplies</v>
      </c>
    </row>
    <row r="2173" hidden="1">
      <c r="A2173" s="3" t="s">
        <v>9092</v>
      </c>
      <c r="B2173" s="4">
        <v>531900.0</v>
      </c>
      <c r="C2173" s="3" t="s">
        <v>9093</v>
      </c>
      <c r="D2173" s="3" t="s">
        <v>9094</v>
      </c>
      <c r="E2173" s="3" t="s">
        <v>9095</v>
      </c>
      <c r="F2173" s="3" t="s">
        <v>19</v>
      </c>
      <c r="G2173" s="3" t="s">
        <v>72</v>
      </c>
      <c r="H2173" s="3">
        <v>10.0</v>
      </c>
      <c r="I2173" s="3" t="s">
        <v>9092</v>
      </c>
      <c r="J2173" s="3" t="s">
        <v>22</v>
      </c>
      <c r="K2173" s="3" t="s">
        <v>97</v>
      </c>
      <c r="L2173" s="3" t="s">
        <v>965</v>
      </c>
      <c r="M2173" s="3" t="s">
        <v>965</v>
      </c>
      <c r="N2173" s="3" t="s">
        <v>966</v>
      </c>
      <c r="O2173" s="5">
        <v>53.7971282</v>
      </c>
      <c r="P2173" s="6" t="str">
        <f t="shared" si="2"/>
        <v>Civil Construction</v>
      </c>
    </row>
    <row r="2174" hidden="1">
      <c r="A2174" s="3" t="s">
        <v>9096</v>
      </c>
      <c r="B2174" s="4">
        <v>531902.0</v>
      </c>
      <c r="C2174" s="3" t="s">
        <v>9097</v>
      </c>
      <c r="D2174" s="3" t="s">
        <v>9098</v>
      </c>
      <c r="E2174" s="3" t="s">
        <v>9099</v>
      </c>
      <c r="F2174" s="3" t="s">
        <v>19</v>
      </c>
      <c r="G2174" s="3" t="s">
        <v>44</v>
      </c>
      <c r="H2174" s="3">
        <v>10.0</v>
      </c>
      <c r="I2174" s="3" t="s">
        <v>9096</v>
      </c>
      <c r="J2174" s="3" t="s">
        <v>22</v>
      </c>
      <c r="K2174" s="3" t="s">
        <v>58</v>
      </c>
      <c r="L2174" s="3" t="s">
        <v>59</v>
      </c>
      <c r="M2174" s="3" t="s">
        <v>59</v>
      </c>
      <c r="N2174" s="3" t="s">
        <v>60</v>
      </c>
      <c r="O2174" s="5">
        <v>1.0</v>
      </c>
      <c r="P2174" s="6" t="str">
        <f t="shared" si="2"/>
        <v>Residential, Commercial Projects</v>
      </c>
    </row>
    <row r="2175" hidden="1">
      <c r="A2175" s="3" t="s">
        <v>9100</v>
      </c>
      <c r="B2175" s="4">
        <v>531909.0</v>
      </c>
      <c r="C2175" s="3" t="s">
        <v>9101</v>
      </c>
      <c r="D2175" s="3" t="s">
        <v>9102</v>
      </c>
      <c r="E2175" s="3" t="s">
        <v>9103</v>
      </c>
      <c r="F2175" s="3" t="s">
        <v>19</v>
      </c>
      <c r="G2175" s="3" t="s">
        <v>44</v>
      </c>
      <c r="H2175" s="3">
        <v>1.0</v>
      </c>
      <c r="I2175" s="3" t="s">
        <v>9100</v>
      </c>
      <c r="J2175" s="3" t="s">
        <v>22</v>
      </c>
      <c r="K2175" s="3" t="s">
        <v>58</v>
      </c>
      <c r="L2175" s="3" t="s">
        <v>59</v>
      </c>
      <c r="M2175" s="3" t="s">
        <v>59</v>
      </c>
      <c r="N2175" s="3" t="s">
        <v>60</v>
      </c>
      <c r="O2175" s="5">
        <v>29.0596923</v>
      </c>
      <c r="P2175" s="6" t="str">
        <f t="shared" si="2"/>
        <v>Residential, Commercial Projects</v>
      </c>
    </row>
    <row r="2176" hidden="1">
      <c r="A2176" s="3" t="s">
        <v>9104</v>
      </c>
      <c r="B2176" s="4">
        <v>531910.0</v>
      </c>
      <c r="C2176" s="3" t="s">
        <v>9105</v>
      </c>
      <c r="D2176" s="3" t="s">
        <v>9106</v>
      </c>
      <c r="E2176" s="3" t="s">
        <v>9107</v>
      </c>
      <c r="F2176" s="3" t="s">
        <v>19</v>
      </c>
      <c r="G2176" s="3" t="s">
        <v>72</v>
      </c>
      <c r="H2176" s="3">
        <v>10.0</v>
      </c>
      <c r="I2176" s="3" t="s">
        <v>9104</v>
      </c>
      <c r="J2176" s="3" t="s">
        <v>22</v>
      </c>
      <c r="K2176" s="3" t="s">
        <v>58</v>
      </c>
      <c r="L2176" s="3" t="s">
        <v>182</v>
      </c>
      <c r="M2176" s="3" t="s">
        <v>1168</v>
      </c>
      <c r="N2176" s="3" t="s">
        <v>1568</v>
      </c>
      <c r="O2176" s="5">
        <v>308.0466462</v>
      </c>
      <c r="P2176" s="6" t="str">
        <f t="shared" si="2"/>
        <v>Entertainment</v>
      </c>
    </row>
    <row r="2177" hidden="1">
      <c r="A2177" s="3" t="s">
        <v>9108</v>
      </c>
      <c r="B2177" s="4">
        <v>531911.0</v>
      </c>
      <c r="C2177" s="3" t="s">
        <v>9109</v>
      </c>
      <c r="D2177" s="3" t="s">
        <v>9110</v>
      </c>
      <c r="E2177" s="3" t="s">
        <v>9111</v>
      </c>
      <c r="F2177" s="3" t="s">
        <v>19</v>
      </c>
      <c r="G2177" s="3" t="s">
        <v>44</v>
      </c>
      <c r="H2177" s="3">
        <v>10.0</v>
      </c>
      <c r="I2177" s="3" t="s">
        <v>9108</v>
      </c>
      <c r="J2177" s="3" t="s">
        <v>22</v>
      </c>
      <c r="K2177" s="3" t="s">
        <v>97</v>
      </c>
      <c r="L2177" s="3" t="s">
        <v>98</v>
      </c>
      <c r="M2177" s="3" t="s">
        <v>99</v>
      </c>
      <c r="N2177" s="3" t="s">
        <v>100</v>
      </c>
      <c r="O2177" s="5">
        <v>1.0</v>
      </c>
      <c r="P2177" s="6" t="str">
        <f t="shared" si="2"/>
        <v>Industrial Products</v>
      </c>
    </row>
    <row r="2178" hidden="1">
      <c r="A2178" s="3" t="s">
        <v>9112</v>
      </c>
      <c r="B2178" s="4">
        <v>531913.0</v>
      </c>
      <c r="C2178" s="3" t="s">
        <v>9113</v>
      </c>
      <c r="D2178" s="3" t="s">
        <v>9114</v>
      </c>
      <c r="E2178" s="3" t="s">
        <v>9115</v>
      </c>
      <c r="F2178" s="3" t="s">
        <v>19</v>
      </c>
      <c r="G2178" s="3" t="s">
        <v>44</v>
      </c>
      <c r="H2178" s="3">
        <v>10.0</v>
      </c>
      <c r="I2178" s="3" t="s">
        <v>9112</v>
      </c>
      <c r="J2178" s="3" t="s">
        <v>22</v>
      </c>
      <c r="K2178" s="3" t="s">
        <v>97</v>
      </c>
      <c r="L2178" s="3" t="s">
        <v>98</v>
      </c>
      <c r="M2178" s="3" t="s">
        <v>100</v>
      </c>
      <c r="N2178" s="3" t="s">
        <v>612</v>
      </c>
      <c r="O2178" s="5">
        <v>1.0</v>
      </c>
      <c r="P2178" s="6" t="str">
        <f t="shared" si="2"/>
        <v>Industrial Products</v>
      </c>
    </row>
    <row r="2179" hidden="1">
      <c r="A2179" s="3" t="s">
        <v>9116</v>
      </c>
      <c r="B2179" s="4">
        <v>530805.0</v>
      </c>
      <c r="C2179" s="3" t="s">
        <v>9117</v>
      </c>
      <c r="D2179" s="3" t="s">
        <v>9118</v>
      </c>
      <c r="E2179" s="3" t="s">
        <v>9119</v>
      </c>
      <c r="F2179" s="3" t="s">
        <v>19</v>
      </c>
      <c r="G2179" s="3" t="s">
        <v>44</v>
      </c>
      <c r="H2179" s="3">
        <v>10.0</v>
      </c>
      <c r="I2179" s="3" t="s">
        <v>7897</v>
      </c>
      <c r="J2179" s="3" t="s">
        <v>22</v>
      </c>
      <c r="K2179" s="3" t="s">
        <v>1673</v>
      </c>
      <c r="L2179" s="3" t="s">
        <v>1673</v>
      </c>
      <c r="M2179" s="3" t="s">
        <v>1674</v>
      </c>
      <c r="N2179" s="3" t="s">
        <v>3189</v>
      </c>
      <c r="O2179" s="5">
        <v>17.9915686</v>
      </c>
      <c r="P2179" s="6" t="str">
        <f t="shared" si="2"/>
        <v>Commercial Services &amp; Supplies</v>
      </c>
    </row>
    <row r="2180" hidden="1">
      <c r="A2180" s="3" t="s">
        <v>9120</v>
      </c>
      <c r="B2180" s="4">
        <v>531921.0</v>
      </c>
      <c r="C2180" s="3" t="s">
        <v>9121</v>
      </c>
      <c r="D2180" s="3" t="s">
        <v>9122</v>
      </c>
      <c r="E2180" s="3" t="s">
        <v>9123</v>
      </c>
      <c r="F2180" s="3" t="s">
        <v>19</v>
      </c>
      <c r="G2180" s="3" t="s">
        <v>112</v>
      </c>
      <c r="H2180" s="3">
        <v>10.0</v>
      </c>
      <c r="I2180" s="3" t="s">
        <v>9120</v>
      </c>
      <c r="J2180" s="3" t="s">
        <v>22</v>
      </c>
      <c r="K2180" s="3" t="s">
        <v>23</v>
      </c>
      <c r="L2180" s="3" t="s">
        <v>24</v>
      </c>
      <c r="M2180" s="3" t="s">
        <v>25</v>
      </c>
      <c r="N2180" s="3" t="s">
        <v>241</v>
      </c>
      <c r="O2180" s="5">
        <v>1885.674</v>
      </c>
      <c r="P2180" s="6" t="str">
        <f t="shared" si="2"/>
        <v>Chemicals &amp; Petrochemicals</v>
      </c>
    </row>
    <row r="2181" hidden="1">
      <c r="A2181" s="3" t="s">
        <v>9124</v>
      </c>
      <c r="B2181" s="4">
        <v>531923.0</v>
      </c>
      <c r="C2181" s="3" t="s">
        <v>9125</v>
      </c>
      <c r="D2181" s="3" t="s">
        <v>9126</v>
      </c>
      <c r="E2181" s="3" t="s">
        <v>9127</v>
      </c>
      <c r="F2181" s="3" t="s">
        <v>19</v>
      </c>
      <c r="G2181" s="3" t="s">
        <v>44</v>
      </c>
      <c r="H2181" s="3">
        <v>10.0</v>
      </c>
      <c r="I2181" s="3" t="s">
        <v>9124</v>
      </c>
      <c r="J2181" s="3" t="s">
        <v>22</v>
      </c>
      <c r="K2181" s="3" t="s">
        <v>145</v>
      </c>
      <c r="L2181" s="3" t="s">
        <v>145</v>
      </c>
      <c r="M2181" s="3" t="s">
        <v>146</v>
      </c>
      <c r="N2181" s="3" t="s">
        <v>147</v>
      </c>
      <c r="O2181" s="5">
        <v>74.26148</v>
      </c>
      <c r="P2181" s="6" t="str">
        <f t="shared" si="2"/>
        <v>Agricultural Food &amp; other Products</v>
      </c>
    </row>
    <row r="2182" hidden="1">
      <c r="A2182" s="3" t="s">
        <v>9128</v>
      </c>
      <c r="B2182" s="4">
        <v>531925.0</v>
      </c>
      <c r="C2182" s="3" t="s">
        <v>9129</v>
      </c>
      <c r="D2182" s="3" t="s">
        <v>9130</v>
      </c>
      <c r="E2182" s="3" t="s">
        <v>9131</v>
      </c>
      <c r="F2182" s="3" t="s">
        <v>19</v>
      </c>
      <c r="G2182" s="3" t="s">
        <v>44</v>
      </c>
      <c r="H2182" s="3">
        <v>10.0</v>
      </c>
      <c r="I2182" s="3" t="s">
        <v>9128</v>
      </c>
      <c r="J2182" s="3" t="s">
        <v>22</v>
      </c>
      <c r="K2182" s="3" t="s">
        <v>145</v>
      </c>
      <c r="L2182" s="3" t="s">
        <v>145</v>
      </c>
      <c r="M2182" s="3" t="s">
        <v>597</v>
      </c>
      <c r="N2182" s="3" t="s">
        <v>2344</v>
      </c>
      <c r="O2182" s="5">
        <v>5.8511705</v>
      </c>
      <c r="P2182" s="6" t="str">
        <f t="shared" si="2"/>
        <v>Food Products</v>
      </c>
    </row>
    <row r="2183" hidden="1">
      <c r="A2183" s="3" t="s">
        <v>9132</v>
      </c>
      <c r="B2183" s="4">
        <v>531929.0</v>
      </c>
      <c r="C2183" s="3" t="s">
        <v>9133</v>
      </c>
      <c r="D2183" s="3" t="s">
        <v>9134</v>
      </c>
      <c r="E2183" s="3" t="s">
        <v>9135</v>
      </c>
      <c r="F2183" s="3" t="s">
        <v>19</v>
      </c>
      <c r="G2183" s="3" t="s">
        <v>44</v>
      </c>
      <c r="H2183" s="3">
        <v>10.0</v>
      </c>
      <c r="I2183" s="3" t="s">
        <v>9132</v>
      </c>
      <c r="J2183" s="3" t="s">
        <v>22</v>
      </c>
      <c r="K2183" s="3" t="s">
        <v>97</v>
      </c>
      <c r="L2183" s="3" t="s">
        <v>98</v>
      </c>
      <c r="M2183" s="3" t="s">
        <v>100</v>
      </c>
      <c r="N2183" s="3" t="s">
        <v>580</v>
      </c>
      <c r="O2183" s="5">
        <v>4.9160152</v>
      </c>
      <c r="P2183" s="6" t="str">
        <f t="shared" si="2"/>
        <v>Industrial Products</v>
      </c>
    </row>
    <row r="2184" hidden="1">
      <c r="A2184" s="3" t="s">
        <v>8700</v>
      </c>
      <c r="B2184" s="4">
        <v>531743.0</v>
      </c>
      <c r="C2184" s="3" t="s">
        <v>9136</v>
      </c>
      <c r="D2184" s="3" t="s">
        <v>9137</v>
      </c>
      <c r="E2184" s="3" t="s">
        <v>9138</v>
      </c>
      <c r="F2184" s="3" t="s">
        <v>19</v>
      </c>
      <c r="G2184" s="3" t="s">
        <v>1858</v>
      </c>
      <c r="H2184" s="3">
        <v>10.0</v>
      </c>
      <c r="I2184" s="3" t="s">
        <v>8922</v>
      </c>
      <c r="J2184" s="3" t="s">
        <v>22</v>
      </c>
      <c r="K2184" s="3" t="s">
        <v>1673</v>
      </c>
      <c r="L2184" s="3" t="s">
        <v>1673</v>
      </c>
      <c r="M2184" s="3" t="s">
        <v>1674</v>
      </c>
      <c r="N2184" s="3" t="s">
        <v>1915</v>
      </c>
      <c r="O2184" s="5">
        <v>17.78722</v>
      </c>
      <c r="P2184" s="6" t="str">
        <f t="shared" si="2"/>
        <v>Commercial Services &amp; Supplies</v>
      </c>
    </row>
    <row r="2185" hidden="1">
      <c r="A2185" s="3" t="s">
        <v>7077</v>
      </c>
      <c r="B2185" s="4">
        <v>512097.0</v>
      </c>
      <c r="C2185" s="3" t="s">
        <v>9139</v>
      </c>
      <c r="D2185" s="3" t="s">
        <v>9140</v>
      </c>
      <c r="E2185" s="3" t="s">
        <v>9139</v>
      </c>
      <c r="F2185" s="3" t="s">
        <v>19</v>
      </c>
      <c r="G2185" s="3" t="s">
        <v>44</v>
      </c>
      <c r="H2185" s="3">
        <v>1.0</v>
      </c>
      <c r="I2185" s="3" t="s">
        <v>3659</v>
      </c>
      <c r="J2185" s="3" t="s">
        <v>22</v>
      </c>
      <c r="K2185" s="3" t="s">
        <v>1673</v>
      </c>
      <c r="L2185" s="3" t="s">
        <v>1673</v>
      </c>
      <c r="M2185" s="3" t="s">
        <v>1674</v>
      </c>
      <c r="N2185" s="3" t="s">
        <v>1915</v>
      </c>
      <c r="O2185" s="5">
        <v>17.6768429</v>
      </c>
      <c r="P2185" s="6" t="str">
        <f t="shared" si="2"/>
        <v>Commercial Services &amp; Supplies</v>
      </c>
    </row>
    <row r="2186" hidden="1">
      <c r="A2186" s="3" t="s">
        <v>9141</v>
      </c>
      <c r="B2186" s="4">
        <v>531936.0</v>
      </c>
      <c r="C2186" s="3" t="s">
        <v>9142</v>
      </c>
      <c r="D2186" s="3" t="s">
        <v>9143</v>
      </c>
      <c r="E2186" s="3" t="s">
        <v>9144</v>
      </c>
      <c r="F2186" s="3" t="s">
        <v>19</v>
      </c>
      <c r="G2186" s="3" t="s">
        <v>86</v>
      </c>
      <c r="H2186" s="3">
        <v>2.0</v>
      </c>
      <c r="I2186" s="3" t="s">
        <v>9141</v>
      </c>
      <c r="J2186" s="3" t="s">
        <v>22</v>
      </c>
      <c r="K2186" s="3" t="s">
        <v>204</v>
      </c>
      <c r="L2186" s="3" t="s">
        <v>204</v>
      </c>
      <c r="M2186" s="3" t="s">
        <v>378</v>
      </c>
      <c r="N2186" s="3" t="s">
        <v>384</v>
      </c>
      <c r="O2186" s="5">
        <v>1.0</v>
      </c>
      <c r="P2186" s="6" t="str">
        <f t="shared" si="2"/>
        <v>Finance</v>
      </c>
    </row>
    <row r="2187" hidden="1">
      <c r="A2187" s="3" t="s">
        <v>9145</v>
      </c>
      <c r="B2187" s="4">
        <v>531944.0</v>
      </c>
      <c r="C2187" s="3" t="s">
        <v>9146</v>
      </c>
      <c r="D2187" s="3" t="s">
        <v>9147</v>
      </c>
      <c r="E2187" s="3" t="s">
        <v>9148</v>
      </c>
      <c r="F2187" s="3" t="s">
        <v>19</v>
      </c>
      <c r="G2187" s="3" t="s">
        <v>72</v>
      </c>
      <c r="H2187" s="3">
        <v>10.0</v>
      </c>
      <c r="I2187" s="3" t="s">
        <v>9145</v>
      </c>
      <c r="J2187" s="3" t="s">
        <v>22</v>
      </c>
      <c r="K2187" s="3" t="s">
        <v>97</v>
      </c>
      <c r="L2187" s="3" t="s">
        <v>98</v>
      </c>
      <c r="M2187" s="3" t="s">
        <v>99</v>
      </c>
      <c r="N2187" s="3" t="s">
        <v>100</v>
      </c>
      <c r="O2187" s="5">
        <v>1.0</v>
      </c>
      <c r="P2187" s="6" t="str">
        <f t="shared" si="2"/>
        <v>Industrial Products</v>
      </c>
    </row>
    <row r="2188" hidden="1">
      <c r="A2188" s="3" t="s">
        <v>9149</v>
      </c>
      <c r="B2188" s="4">
        <v>531946.0</v>
      </c>
      <c r="C2188" s="3" t="s">
        <v>9150</v>
      </c>
      <c r="D2188" s="3" t="s">
        <v>9151</v>
      </c>
      <c r="E2188" s="3" t="s">
        <v>9152</v>
      </c>
      <c r="F2188" s="3" t="s">
        <v>19</v>
      </c>
      <c r="G2188" s="3" t="s">
        <v>44</v>
      </c>
      <c r="H2188" s="3">
        <v>10.0</v>
      </c>
      <c r="I2188" s="3" t="s">
        <v>9149</v>
      </c>
      <c r="J2188" s="3" t="s">
        <v>22</v>
      </c>
      <c r="K2188" s="3" t="s">
        <v>23</v>
      </c>
      <c r="L2188" s="3" t="s">
        <v>32</v>
      </c>
      <c r="M2188" s="3" t="s">
        <v>33</v>
      </c>
      <c r="N2188" s="3" t="s">
        <v>34</v>
      </c>
      <c r="O2188" s="5">
        <v>1.0</v>
      </c>
      <c r="P2188" s="6" t="str">
        <f t="shared" si="2"/>
        <v>Paper, Forest &amp; Jute Products</v>
      </c>
    </row>
    <row r="2189" hidden="1">
      <c r="A2189" s="3" t="s">
        <v>9153</v>
      </c>
      <c r="B2189" s="4">
        <v>531950.0</v>
      </c>
      <c r="C2189" s="3" t="s">
        <v>9154</v>
      </c>
      <c r="D2189" s="3" t="s">
        <v>9155</v>
      </c>
      <c r="E2189" s="3" t="s">
        <v>9156</v>
      </c>
      <c r="F2189" s="3" t="s">
        <v>19</v>
      </c>
      <c r="G2189" s="3" t="s">
        <v>72</v>
      </c>
      <c r="H2189" s="3">
        <v>2.0</v>
      </c>
      <c r="I2189" s="3" t="s">
        <v>9153</v>
      </c>
      <c r="J2189" s="3" t="s">
        <v>22</v>
      </c>
      <c r="K2189" s="3" t="s">
        <v>204</v>
      </c>
      <c r="L2189" s="3" t="s">
        <v>204</v>
      </c>
      <c r="M2189" s="3" t="s">
        <v>378</v>
      </c>
      <c r="N2189" s="3" t="s">
        <v>468</v>
      </c>
      <c r="O2189" s="5">
        <v>45.0734248</v>
      </c>
      <c r="P2189" s="6" t="str">
        <f t="shared" si="2"/>
        <v>Finance</v>
      </c>
    </row>
    <row r="2190" hidden="1">
      <c r="A2190" s="3" t="s">
        <v>9157</v>
      </c>
      <c r="B2190" s="4">
        <v>531952.0</v>
      </c>
      <c r="C2190" s="3" t="s">
        <v>9158</v>
      </c>
      <c r="D2190" s="3" t="s">
        <v>9159</v>
      </c>
      <c r="E2190" s="3" t="s">
        <v>9160</v>
      </c>
      <c r="F2190" s="3" t="s">
        <v>19</v>
      </c>
      <c r="G2190" s="3" t="s">
        <v>44</v>
      </c>
      <c r="H2190" s="3">
        <v>10.0</v>
      </c>
      <c r="I2190" s="3" t="s">
        <v>9157</v>
      </c>
      <c r="J2190" s="3" t="s">
        <v>22</v>
      </c>
      <c r="K2190" s="3" t="s">
        <v>58</v>
      </c>
      <c r="L2190" s="3" t="s">
        <v>80</v>
      </c>
      <c r="M2190" s="3" t="s">
        <v>81</v>
      </c>
      <c r="N2190" s="3" t="s">
        <v>82</v>
      </c>
      <c r="O2190" s="5">
        <v>84.5296917</v>
      </c>
      <c r="P2190" s="6" t="str">
        <f t="shared" si="2"/>
        <v>Textiles &amp; Apparels</v>
      </c>
    </row>
    <row r="2191" hidden="1">
      <c r="A2191" s="3" t="s">
        <v>3251</v>
      </c>
      <c r="B2191" s="4">
        <v>517411.0</v>
      </c>
      <c r="C2191" s="3" t="s">
        <v>9161</v>
      </c>
      <c r="D2191" s="3" t="s">
        <v>9162</v>
      </c>
      <c r="E2191" s="3" t="s">
        <v>9163</v>
      </c>
      <c r="F2191" s="3" t="s">
        <v>19</v>
      </c>
      <c r="G2191" s="3" t="s">
        <v>86</v>
      </c>
      <c r="H2191" s="3">
        <v>10.0</v>
      </c>
      <c r="I2191" s="3" t="s">
        <v>4843</v>
      </c>
      <c r="J2191" s="3" t="s">
        <v>22</v>
      </c>
      <c r="K2191" s="3" t="s">
        <v>1673</v>
      </c>
      <c r="L2191" s="3" t="s">
        <v>1673</v>
      </c>
      <c r="M2191" s="3" t="s">
        <v>1674</v>
      </c>
      <c r="N2191" s="3" t="s">
        <v>1915</v>
      </c>
      <c r="O2191" s="5">
        <v>17.4004215</v>
      </c>
      <c r="P2191" s="6" t="str">
        <f t="shared" si="2"/>
        <v>Commercial Services &amp; Supplies</v>
      </c>
    </row>
    <row r="2192" hidden="1">
      <c r="A2192" s="3" t="s">
        <v>9164</v>
      </c>
      <c r="B2192" s="4">
        <v>531960.0</v>
      </c>
      <c r="C2192" s="3" t="s">
        <v>9165</v>
      </c>
      <c r="D2192" s="3" t="s">
        <v>9166</v>
      </c>
      <c r="E2192" s="3" t="s">
        <v>9167</v>
      </c>
      <c r="F2192" s="3" t="s">
        <v>19</v>
      </c>
      <c r="G2192" s="3" t="s">
        <v>44</v>
      </c>
      <c r="H2192" s="3">
        <v>1.0</v>
      </c>
      <c r="I2192" s="3" t="s">
        <v>9164</v>
      </c>
      <c r="J2192" s="3" t="s">
        <v>22</v>
      </c>
      <c r="K2192" s="3" t="s">
        <v>473</v>
      </c>
      <c r="L2192" s="3" t="s">
        <v>473</v>
      </c>
      <c r="M2192" s="3" t="s">
        <v>1538</v>
      </c>
      <c r="N2192" s="3" t="s">
        <v>1539</v>
      </c>
      <c r="O2192" s="5">
        <v>1.0</v>
      </c>
      <c r="P2192" s="6" t="str">
        <f t="shared" si="2"/>
        <v>IT - Services</v>
      </c>
    </row>
    <row r="2193" hidden="1">
      <c r="A2193" s="3" t="s">
        <v>9168</v>
      </c>
      <c r="B2193" s="4">
        <v>531962.0</v>
      </c>
      <c r="C2193" s="3" t="s">
        <v>9169</v>
      </c>
      <c r="D2193" s="3" t="s">
        <v>9170</v>
      </c>
      <c r="E2193" s="3" t="s">
        <v>9171</v>
      </c>
      <c r="F2193" s="3" t="s">
        <v>19</v>
      </c>
      <c r="G2193" s="3" t="s">
        <v>72</v>
      </c>
      <c r="H2193" s="3">
        <v>10.0</v>
      </c>
      <c r="I2193" s="3" t="s">
        <v>9168</v>
      </c>
      <c r="J2193" s="3" t="s">
        <v>22</v>
      </c>
      <c r="K2193" s="3" t="s">
        <v>204</v>
      </c>
      <c r="L2193" s="3" t="s">
        <v>204</v>
      </c>
      <c r="M2193" s="3" t="s">
        <v>378</v>
      </c>
      <c r="N2193" s="3" t="s">
        <v>379</v>
      </c>
      <c r="O2193" s="5">
        <v>20.0880775</v>
      </c>
      <c r="P2193" s="6" t="str">
        <f t="shared" si="2"/>
        <v>Non Banking Financial Company (NBFC)</v>
      </c>
    </row>
    <row r="2194" hidden="1">
      <c r="A2194" s="3" t="s">
        <v>9172</v>
      </c>
      <c r="B2194" s="4">
        <v>531968.0</v>
      </c>
      <c r="C2194" s="3" t="s">
        <v>9173</v>
      </c>
      <c r="D2194" s="3" t="s">
        <v>9174</v>
      </c>
      <c r="E2194" s="3" t="s">
        <v>9173</v>
      </c>
      <c r="F2194" s="3" t="s">
        <v>19</v>
      </c>
      <c r="G2194" s="3" t="s">
        <v>72</v>
      </c>
      <c r="H2194" s="3">
        <v>10.0</v>
      </c>
      <c r="I2194" s="3" t="s">
        <v>9172</v>
      </c>
      <c r="J2194" s="3" t="s">
        <v>22</v>
      </c>
      <c r="K2194" s="3" t="s">
        <v>58</v>
      </c>
      <c r="L2194" s="3" t="s">
        <v>59</v>
      </c>
      <c r="M2194" s="3" t="s">
        <v>59</v>
      </c>
      <c r="N2194" s="3" t="s">
        <v>60</v>
      </c>
      <c r="O2194" s="5">
        <v>23.7257991</v>
      </c>
      <c r="P2194" s="6" t="str">
        <f t="shared" si="2"/>
        <v>Residential, Commercial Projects</v>
      </c>
    </row>
    <row r="2195" hidden="1">
      <c r="A2195" s="3" t="s">
        <v>9175</v>
      </c>
      <c r="B2195" s="4">
        <v>531971.0</v>
      </c>
      <c r="C2195" s="3" t="s">
        <v>9176</v>
      </c>
      <c r="D2195" s="3" t="s">
        <v>9177</v>
      </c>
      <c r="E2195" s="3" t="s">
        <v>9178</v>
      </c>
      <c r="F2195" s="3" t="s">
        <v>19</v>
      </c>
      <c r="G2195" s="3" t="s">
        <v>1858</v>
      </c>
      <c r="H2195" s="3">
        <v>10.0</v>
      </c>
      <c r="I2195" s="3" t="s">
        <v>9175</v>
      </c>
      <c r="J2195" s="3" t="s">
        <v>22</v>
      </c>
      <c r="K2195" s="3" t="s">
        <v>58</v>
      </c>
      <c r="L2195" s="3" t="s">
        <v>80</v>
      </c>
      <c r="M2195" s="3" t="s">
        <v>81</v>
      </c>
      <c r="N2195" s="3" t="s">
        <v>82</v>
      </c>
      <c r="O2195" s="5">
        <v>1.0</v>
      </c>
      <c r="P2195" s="6" t="str">
        <f t="shared" si="2"/>
        <v>Textiles &amp; Apparels</v>
      </c>
    </row>
    <row r="2196" hidden="1">
      <c r="A2196" s="3" t="s">
        <v>4847</v>
      </c>
      <c r="B2196" s="4">
        <v>531158.0</v>
      </c>
      <c r="C2196" s="3" t="s">
        <v>9179</v>
      </c>
      <c r="D2196" s="3" t="s">
        <v>9180</v>
      </c>
      <c r="E2196" s="3" t="s">
        <v>9179</v>
      </c>
      <c r="F2196" s="3" t="s">
        <v>19</v>
      </c>
      <c r="G2196" s="3" t="s">
        <v>72</v>
      </c>
      <c r="H2196" s="3">
        <v>10.0</v>
      </c>
      <c r="I2196" s="3" t="s">
        <v>8171</v>
      </c>
      <c r="J2196" s="3" t="s">
        <v>22</v>
      </c>
      <c r="K2196" s="3" t="s">
        <v>1673</v>
      </c>
      <c r="L2196" s="3" t="s">
        <v>1673</v>
      </c>
      <c r="M2196" s="3" t="s">
        <v>1674</v>
      </c>
      <c r="N2196" s="3" t="s">
        <v>1915</v>
      </c>
      <c r="O2196" s="5">
        <v>17.243003</v>
      </c>
      <c r="P2196" s="6" t="str">
        <f t="shared" si="2"/>
        <v>Commercial Services &amp; Supplies</v>
      </c>
    </row>
    <row r="2197" hidden="1">
      <c r="A2197" s="3" t="s">
        <v>9181</v>
      </c>
      <c r="B2197" s="4">
        <v>531978.0</v>
      </c>
      <c r="C2197" s="3" t="s">
        <v>9182</v>
      </c>
      <c r="D2197" s="3" t="s">
        <v>9183</v>
      </c>
      <c r="E2197" s="3" t="s">
        <v>9184</v>
      </c>
      <c r="F2197" s="3" t="s">
        <v>19</v>
      </c>
      <c r="G2197" s="3" t="s">
        <v>112</v>
      </c>
      <c r="H2197" s="3">
        <v>10.0</v>
      </c>
      <c r="I2197" s="3" t="s">
        <v>9181</v>
      </c>
      <c r="J2197" s="3" t="s">
        <v>22</v>
      </c>
      <c r="K2197" s="3" t="s">
        <v>58</v>
      </c>
      <c r="L2197" s="3" t="s">
        <v>80</v>
      </c>
      <c r="M2197" s="3" t="s">
        <v>81</v>
      </c>
      <c r="N2197" s="3" t="s">
        <v>82</v>
      </c>
      <c r="O2197" s="5">
        <v>900.2920387</v>
      </c>
      <c r="P2197" s="6" t="str">
        <f t="shared" si="2"/>
        <v>Textiles &amp; Apparels</v>
      </c>
    </row>
    <row r="2198" hidden="1">
      <c r="A2198" s="3" t="s">
        <v>9185</v>
      </c>
      <c r="B2198" s="4">
        <v>531979.0</v>
      </c>
      <c r="C2198" s="3" t="s">
        <v>9186</v>
      </c>
      <c r="D2198" s="3" t="s">
        <v>9187</v>
      </c>
      <c r="E2198" s="3" t="s">
        <v>9188</v>
      </c>
      <c r="F2198" s="3" t="s">
        <v>19</v>
      </c>
      <c r="G2198" s="3" t="s">
        <v>44</v>
      </c>
      <c r="H2198" s="3">
        <v>10.0</v>
      </c>
      <c r="I2198" s="3" t="s">
        <v>9185</v>
      </c>
      <c r="J2198" s="3" t="s">
        <v>22</v>
      </c>
      <c r="K2198" s="3" t="s">
        <v>23</v>
      </c>
      <c r="L2198" s="3" t="s">
        <v>65</v>
      </c>
      <c r="M2198" s="3" t="s">
        <v>66</v>
      </c>
      <c r="N2198" s="3" t="s">
        <v>286</v>
      </c>
      <c r="O2198" s="5">
        <v>37.4491395</v>
      </c>
      <c r="P2198" s="6" t="str">
        <f t="shared" si="2"/>
        <v>Non - Ferrous Metals</v>
      </c>
    </row>
    <row r="2199" hidden="1">
      <c r="A2199" s="3" t="s">
        <v>9189</v>
      </c>
      <c r="B2199" s="4">
        <v>531980.0</v>
      </c>
      <c r="C2199" s="3" t="s">
        <v>9190</v>
      </c>
      <c r="D2199" s="3" t="s">
        <v>9191</v>
      </c>
      <c r="E2199" s="3" t="s">
        <v>9192</v>
      </c>
      <c r="F2199" s="3" t="s">
        <v>19</v>
      </c>
      <c r="G2199" s="3" t="s">
        <v>72</v>
      </c>
      <c r="H2199" s="3">
        <v>10.0</v>
      </c>
      <c r="I2199" s="3" t="s">
        <v>9189</v>
      </c>
      <c r="J2199" s="3" t="s">
        <v>22</v>
      </c>
      <c r="K2199" s="3" t="s">
        <v>473</v>
      </c>
      <c r="L2199" s="3" t="s">
        <v>473</v>
      </c>
      <c r="M2199" s="3" t="s">
        <v>1391</v>
      </c>
      <c r="N2199" s="3" t="s">
        <v>1840</v>
      </c>
      <c r="O2199" s="5">
        <v>1.0</v>
      </c>
      <c r="P2199" s="6" t="str">
        <f t="shared" si="2"/>
        <v>Computers - Software &amp; Consulting</v>
      </c>
    </row>
    <row r="2200" hidden="1">
      <c r="A2200" s="3" t="s">
        <v>9193</v>
      </c>
      <c r="B2200" s="4">
        <v>531982.0</v>
      </c>
      <c r="C2200" s="3" t="s">
        <v>9194</v>
      </c>
      <c r="D2200" s="3" t="s">
        <v>9195</v>
      </c>
      <c r="E2200" s="3" t="s">
        <v>9196</v>
      </c>
      <c r="F2200" s="3" t="s">
        <v>19</v>
      </c>
      <c r="G2200" s="3" t="s">
        <v>72</v>
      </c>
      <c r="H2200" s="3">
        <v>10.0</v>
      </c>
      <c r="I2200" s="3" t="s">
        <v>9193</v>
      </c>
      <c r="J2200" s="3" t="s">
        <v>22</v>
      </c>
      <c r="K2200" s="3" t="s">
        <v>145</v>
      </c>
      <c r="L2200" s="3" t="s">
        <v>145</v>
      </c>
      <c r="M2200" s="3" t="s">
        <v>597</v>
      </c>
      <c r="N2200" s="3" t="s">
        <v>1065</v>
      </c>
      <c r="O2200" s="5">
        <v>89.8528143</v>
      </c>
      <c r="P2200" s="6" t="str">
        <f t="shared" si="2"/>
        <v>Food Products</v>
      </c>
    </row>
    <row r="2201" hidden="1">
      <c r="A2201" s="3" t="s">
        <v>9197</v>
      </c>
      <c r="B2201" s="4">
        <v>531991.0</v>
      </c>
      <c r="C2201" s="3" t="s">
        <v>9198</v>
      </c>
      <c r="D2201" s="3" t="s">
        <v>9199</v>
      </c>
      <c r="E2201" s="3" t="s">
        <v>9200</v>
      </c>
      <c r="F2201" s="3" t="s">
        <v>19</v>
      </c>
      <c r="G2201" s="3" t="s">
        <v>44</v>
      </c>
      <c r="H2201" s="3">
        <v>1.0</v>
      </c>
      <c r="I2201" s="3" t="s">
        <v>9197</v>
      </c>
      <c r="J2201" s="3" t="s">
        <v>22</v>
      </c>
      <c r="K2201" s="3" t="s">
        <v>58</v>
      </c>
      <c r="L2201" s="3" t="s">
        <v>80</v>
      </c>
      <c r="M2201" s="3" t="s">
        <v>81</v>
      </c>
      <c r="N2201" s="3" t="s">
        <v>82</v>
      </c>
      <c r="O2201" s="5">
        <v>1.0</v>
      </c>
      <c r="P2201" s="6" t="str">
        <f t="shared" si="2"/>
        <v>Textiles &amp; Apparels</v>
      </c>
    </row>
    <row r="2202" hidden="1">
      <c r="A2202" s="3" t="s">
        <v>9201</v>
      </c>
      <c r="B2202" s="4">
        <v>531996.0</v>
      </c>
      <c r="C2202" s="3" t="s">
        <v>9202</v>
      </c>
      <c r="D2202" s="3" t="s">
        <v>9203</v>
      </c>
      <c r="E2202" s="3" t="s">
        <v>9204</v>
      </c>
      <c r="F2202" s="3" t="s">
        <v>19</v>
      </c>
      <c r="G2202" s="3" t="s">
        <v>72</v>
      </c>
      <c r="H2202" s="3">
        <v>5.0</v>
      </c>
      <c r="I2202" s="3" t="s">
        <v>9201</v>
      </c>
      <c r="J2202" s="3" t="s">
        <v>22</v>
      </c>
      <c r="K2202" s="3" t="s">
        <v>204</v>
      </c>
      <c r="L2202" s="3" t="s">
        <v>204</v>
      </c>
      <c r="M2202" s="3" t="s">
        <v>378</v>
      </c>
      <c r="N2202" s="3" t="s">
        <v>379</v>
      </c>
      <c r="O2202" s="5">
        <v>43.4124102</v>
      </c>
      <c r="P2202" s="6" t="str">
        <f t="shared" si="2"/>
        <v>Non Banking Financial Company (NBFC)</v>
      </c>
    </row>
    <row r="2203" hidden="1">
      <c r="A2203" s="3" t="s">
        <v>9205</v>
      </c>
      <c r="B2203" s="4">
        <v>531997.0</v>
      </c>
      <c r="C2203" s="3" t="s">
        <v>9206</v>
      </c>
      <c r="D2203" s="3" t="s">
        <v>9207</v>
      </c>
      <c r="E2203" s="3" t="s">
        <v>9208</v>
      </c>
      <c r="F2203" s="3" t="s">
        <v>19</v>
      </c>
      <c r="G2203" s="3" t="s">
        <v>72</v>
      </c>
      <c r="H2203" s="3">
        <v>10.0</v>
      </c>
      <c r="I2203" s="3" t="s">
        <v>9205</v>
      </c>
      <c r="J2203" s="3" t="s">
        <v>22</v>
      </c>
      <c r="K2203" s="3" t="s">
        <v>97</v>
      </c>
      <c r="L2203" s="3" t="s">
        <v>98</v>
      </c>
      <c r="M2203" s="3" t="s">
        <v>99</v>
      </c>
      <c r="N2203" s="3" t="s">
        <v>100</v>
      </c>
      <c r="O2203" s="5">
        <v>1.0</v>
      </c>
      <c r="P2203" s="6" t="str">
        <f t="shared" si="2"/>
        <v>Industrial Products</v>
      </c>
    </row>
    <row r="2204" hidden="1">
      <c r="A2204" s="3" t="s">
        <v>9209</v>
      </c>
      <c r="B2204" s="4">
        <v>532001.0</v>
      </c>
      <c r="C2204" s="3" t="s">
        <v>9210</v>
      </c>
      <c r="D2204" s="3" t="s">
        <v>9211</v>
      </c>
      <c r="E2204" s="3" t="s">
        <v>9212</v>
      </c>
      <c r="F2204" s="3" t="s">
        <v>19</v>
      </c>
      <c r="G2204" s="3" t="s">
        <v>44</v>
      </c>
      <c r="H2204" s="3">
        <v>10.0</v>
      </c>
      <c r="I2204" s="3" t="s">
        <v>9209</v>
      </c>
      <c r="J2204" s="3" t="s">
        <v>22</v>
      </c>
      <c r="K2204" s="3" t="s">
        <v>97</v>
      </c>
      <c r="L2204" s="3" t="s">
        <v>98</v>
      </c>
      <c r="M2204" s="3" t="s">
        <v>100</v>
      </c>
      <c r="N2204" s="3" t="s">
        <v>612</v>
      </c>
      <c r="O2204" s="5">
        <v>1.0</v>
      </c>
      <c r="P2204" s="6" t="str">
        <f t="shared" si="2"/>
        <v>Industrial Products</v>
      </c>
    </row>
    <row r="2205" hidden="1">
      <c r="A2205" s="3" t="s">
        <v>9213</v>
      </c>
      <c r="B2205" s="4">
        <v>532005.0</v>
      </c>
      <c r="C2205" s="3" t="s">
        <v>9214</v>
      </c>
      <c r="D2205" s="3" t="s">
        <v>9215</v>
      </c>
      <c r="E2205" s="3" t="s">
        <v>9216</v>
      </c>
      <c r="F2205" s="3" t="s">
        <v>19</v>
      </c>
      <c r="G2205" s="3" t="s">
        <v>72</v>
      </c>
      <c r="H2205" s="3">
        <v>10.0</v>
      </c>
      <c r="I2205" s="3" t="s">
        <v>9213</v>
      </c>
      <c r="J2205" s="3" t="s">
        <v>22</v>
      </c>
      <c r="K2205" s="3" t="s">
        <v>58</v>
      </c>
      <c r="L2205" s="3" t="s">
        <v>59</v>
      </c>
      <c r="M2205" s="3" t="s">
        <v>59</v>
      </c>
      <c r="N2205" s="3" t="s">
        <v>60</v>
      </c>
      <c r="O2205" s="5">
        <v>85.454698</v>
      </c>
      <c r="P2205" s="6" t="str">
        <f t="shared" si="2"/>
        <v>Residential, Commercial Projects</v>
      </c>
    </row>
    <row r="2206" hidden="1">
      <c r="A2206" s="3" t="s">
        <v>9217</v>
      </c>
      <c r="B2206" s="4">
        <v>512565.0</v>
      </c>
      <c r="C2206" s="3" t="s">
        <v>9218</v>
      </c>
      <c r="D2206" s="3" t="s">
        <v>9219</v>
      </c>
      <c r="E2206" s="3" t="s">
        <v>9220</v>
      </c>
      <c r="F2206" s="3" t="s">
        <v>19</v>
      </c>
      <c r="G2206" s="3" t="s">
        <v>44</v>
      </c>
      <c r="H2206" s="3">
        <v>10.0</v>
      </c>
      <c r="I2206" s="3" t="s">
        <v>3968</v>
      </c>
      <c r="J2206" s="3" t="s">
        <v>22</v>
      </c>
      <c r="K2206" s="3" t="s">
        <v>1673</v>
      </c>
      <c r="L2206" s="3" t="s">
        <v>1673</v>
      </c>
      <c r="M2206" s="3" t="s">
        <v>1674</v>
      </c>
      <c r="N2206" s="3" t="s">
        <v>1915</v>
      </c>
      <c r="O2206" s="5">
        <v>17.1308696</v>
      </c>
      <c r="P2206" s="6" t="str">
        <f t="shared" si="2"/>
        <v>Commercial Services &amp; Supplies</v>
      </c>
    </row>
    <row r="2207" hidden="1">
      <c r="A2207" s="3" t="s">
        <v>9221</v>
      </c>
      <c r="B2207" s="4">
        <v>532011.0</v>
      </c>
      <c r="C2207" s="3" t="s">
        <v>9222</v>
      </c>
      <c r="D2207" s="3" t="s">
        <v>9223</v>
      </c>
      <c r="E2207" s="3" t="s">
        <v>9224</v>
      </c>
      <c r="F2207" s="3" t="s">
        <v>19</v>
      </c>
      <c r="G2207" s="3" t="s">
        <v>72</v>
      </c>
      <c r="H2207" s="3">
        <v>10.0</v>
      </c>
      <c r="I2207" s="3" t="s">
        <v>9221</v>
      </c>
      <c r="J2207" s="3" t="s">
        <v>22</v>
      </c>
      <c r="K2207" s="3" t="s">
        <v>58</v>
      </c>
      <c r="L2207" s="3" t="s">
        <v>182</v>
      </c>
      <c r="M2207" s="3" t="s">
        <v>1168</v>
      </c>
      <c r="N2207" s="3" t="s">
        <v>1568</v>
      </c>
      <c r="O2207" s="5">
        <v>1572.7437198</v>
      </c>
      <c r="P2207" s="6" t="str">
        <f t="shared" si="2"/>
        <v>Entertainment</v>
      </c>
    </row>
    <row r="2208" hidden="1">
      <c r="A2208" s="3" t="s">
        <v>9225</v>
      </c>
      <c r="B2208" s="4">
        <v>532015.0</v>
      </c>
      <c r="C2208" s="3" t="s">
        <v>9226</v>
      </c>
      <c r="D2208" s="3" t="s">
        <v>9227</v>
      </c>
      <c r="E2208" s="3" t="s">
        <v>9228</v>
      </c>
      <c r="F2208" s="3" t="s">
        <v>19</v>
      </c>
      <c r="G2208" s="3" t="s">
        <v>44</v>
      </c>
      <c r="H2208" s="3">
        <v>10.0</v>
      </c>
      <c r="I2208" s="3" t="s">
        <v>9225</v>
      </c>
      <c r="J2208" s="3" t="s">
        <v>22</v>
      </c>
      <c r="K2208" s="3" t="s">
        <v>58</v>
      </c>
      <c r="L2208" s="3" t="s">
        <v>80</v>
      </c>
      <c r="M2208" s="3" t="s">
        <v>81</v>
      </c>
      <c r="N2208" s="3" t="s">
        <v>82</v>
      </c>
      <c r="O2208" s="5">
        <v>1.0</v>
      </c>
      <c r="P2208" s="6" t="str">
        <f t="shared" si="2"/>
        <v>Textiles &amp; Apparels</v>
      </c>
    </row>
    <row r="2209" hidden="1">
      <c r="A2209" s="3" t="s">
        <v>9229</v>
      </c>
      <c r="B2209" s="4">
        <v>532016.0</v>
      </c>
      <c r="C2209" s="3" t="s">
        <v>9230</v>
      </c>
      <c r="D2209" s="3" t="s">
        <v>9231</v>
      </c>
      <c r="E2209" s="3" t="s">
        <v>9232</v>
      </c>
      <c r="F2209" s="3" t="s">
        <v>19</v>
      </c>
      <c r="G2209" s="3" t="s">
        <v>57</v>
      </c>
      <c r="H2209" s="3">
        <v>10.0</v>
      </c>
      <c r="I2209" s="3" t="s">
        <v>9229</v>
      </c>
      <c r="J2209" s="3" t="s">
        <v>22</v>
      </c>
      <c r="K2209" s="3" t="s">
        <v>58</v>
      </c>
      <c r="L2209" s="3" t="s">
        <v>73</v>
      </c>
      <c r="M2209" s="3" t="s">
        <v>74</v>
      </c>
      <c r="N2209" s="3" t="s">
        <v>75</v>
      </c>
      <c r="O2209" s="5">
        <v>128.3915701</v>
      </c>
      <c r="P2209" s="6" t="str">
        <f t="shared" si="2"/>
        <v>Leisure Services</v>
      </c>
    </row>
    <row r="2210" hidden="1">
      <c r="A2210" s="3" t="s">
        <v>9233</v>
      </c>
      <c r="B2210" s="4">
        <v>532019.0</v>
      </c>
      <c r="C2210" s="3" t="s">
        <v>9234</v>
      </c>
      <c r="D2210" s="3" t="s">
        <v>9235</v>
      </c>
      <c r="E2210" s="3" t="s">
        <v>9236</v>
      </c>
      <c r="F2210" s="3" t="s">
        <v>19</v>
      </c>
      <c r="G2210" s="3" t="s">
        <v>86</v>
      </c>
      <c r="H2210" s="3">
        <v>2.0</v>
      </c>
      <c r="I2210" s="3" t="s">
        <v>9233</v>
      </c>
      <c r="J2210" s="3" t="s">
        <v>22</v>
      </c>
      <c r="K2210" s="3" t="s">
        <v>58</v>
      </c>
      <c r="L2210" s="3" t="s">
        <v>73</v>
      </c>
      <c r="M2210" s="3" t="s">
        <v>800</v>
      </c>
      <c r="N2210" s="3" t="s">
        <v>801</v>
      </c>
      <c r="O2210" s="5">
        <v>51.2145901</v>
      </c>
      <c r="P2210" s="6" t="str">
        <f t="shared" si="2"/>
        <v>Other Consumer Services</v>
      </c>
    </row>
    <row r="2211" hidden="1">
      <c r="A2211" s="3" t="s">
        <v>9237</v>
      </c>
      <c r="B2211" s="4">
        <v>532022.0</v>
      </c>
      <c r="C2211" s="3" t="s">
        <v>9238</v>
      </c>
      <c r="D2211" s="3" t="s">
        <v>9239</v>
      </c>
      <c r="E2211" s="3" t="s">
        <v>9240</v>
      </c>
      <c r="F2211" s="3" t="s">
        <v>19</v>
      </c>
      <c r="G2211" s="3" t="s">
        <v>112</v>
      </c>
      <c r="H2211" s="3">
        <v>5.0</v>
      </c>
      <c r="I2211" s="3" t="s">
        <v>9237</v>
      </c>
      <c r="J2211" s="3" t="s">
        <v>22</v>
      </c>
      <c r="K2211" s="3" t="s">
        <v>58</v>
      </c>
      <c r="L2211" s="3" t="s">
        <v>80</v>
      </c>
      <c r="M2211" s="3" t="s">
        <v>81</v>
      </c>
      <c r="N2211" s="3" t="s">
        <v>82</v>
      </c>
      <c r="O2211" s="5">
        <v>1358.0424582</v>
      </c>
      <c r="P2211" s="6" t="str">
        <f t="shared" si="2"/>
        <v>Textiles &amp; Apparels</v>
      </c>
    </row>
    <row r="2212" hidden="1">
      <c r="A2212" s="3" t="s">
        <v>9241</v>
      </c>
      <c r="B2212" s="4">
        <v>532024.0</v>
      </c>
      <c r="C2212" s="3" t="s">
        <v>9242</v>
      </c>
      <c r="D2212" s="3" t="s">
        <v>9243</v>
      </c>
      <c r="E2212" s="3" t="s">
        <v>9244</v>
      </c>
      <c r="F2212" s="3" t="s">
        <v>19</v>
      </c>
      <c r="G2212" s="3" t="s">
        <v>1858</v>
      </c>
      <c r="H2212" s="3">
        <v>10.0</v>
      </c>
      <c r="I2212" s="3" t="s">
        <v>9241</v>
      </c>
      <c r="J2212" s="3" t="s">
        <v>22</v>
      </c>
      <c r="K2212" s="3" t="s">
        <v>204</v>
      </c>
      <c r="L2212" s="3" t="s">
        <v>204</v>
      </c>
      <c r="M2212" s="3" t="s">
        <v>378</v>
      </c>
      <c r="N2212" s="3" t="s">
        <v>468</v>
      </c>
      <c r="O2212" s="5">
        <v>1.0</v>
      </c>
      <c r="P2212" s="6" t="str">
        <f t="shared" si="2"/>
        <v>Finance</v>
      </c>
    </row>
    <row r="2213" hidden="1">
      <c r="A2213" s="3" t="s">
        <v>9245</v>
      </c>
      <c r="B2213" s="4">
        <v>532029.0</v>
      </c>
      <c r="C2213" s="3" t="s">
        <v>9246</v>
      </c>
      <c r="D2213" s="3" t="s">
        <v>9247</v>
      </c>
      <c r="E2213" s="3" t="s">
        <v>9246</v>
      </c>
      <c r="F2213" s="3" t="s">
        <v>19</v>
      </c>
      <c r="G2213" s="3" t="s">
        <v>112</v>
      </c>
      <c r="H2213" s="3">
        <v>1.0</v>
      </c>
      <c r="I2213" s="3" t="s">
        <v>9245</v>
      </c>
      <c r="J2213" s="3" t="s">
        <v>22</v>
      </c>
      <c r="K2213" s="3" t="s">
        <v>2675</v>
      </c>
      <c r="L2213" s="3" t="s">
        <v>2675</v>
      </c>
      <c r="M2213" s="3" t="s">
        <v>2675</v>
      </c>
      <c r="N2213" s="3" t="s">
        <v>2675</v>
      </c>
      <c r="O2213" s="5">
        <v>3231.7512789</v>
      </c>
      <c r="P2213" s="6" t="str">
        <f t="shared" si="2"/>
        <v>Diversified</v>
      </c>
    </row>
    <row r="2214" hidden="1">
      <c r="A2214" s="3" t="s">
        <v>9248</v>
      </c>
      <c r="B2214" s="4">
        <v>532035.0</v>
      </c>
      <c r="C2214" s="3" t="s">
        <v>9249</v>
      </c>
      <c r="D2214" s="3" t="s">
        <v>9250</v>
      </c>
      <c r="E2214" s="3" t="s">
        <v>9251</v>
      </c>
      <c r="F2214" s="3" t="s">
        <v>19</v>
      </c>
      <c r="G2214" s="3" t="s">
        <v>72</v>
      </c>
      <c r="H2214" s="3">
        <v>10.0</v>
      </c>
      <c r="I2214" s="3" t="s">
        <v>9248</v>
      </c>
      <c r="J2214" s="3" t="s">
        <v>22</v>
      </c>
      <c r="K2214" s="3" t="s">
        <v>58</v>
      </c>
      <c r="L2214" s="3" t="s">
        <v>182</v>
      </c>
      <c r="M2214" s="3" t="s">
        <v>1168</v>
      </c>
      <c r="N2214" s="3" t="s">
        <v>1336</v>
      </c>
      <c r="O2214" s="5">
        <v>15.2124527</v>
      </c>
      <c r="P2214" s="6" t="str">
        <f t="shared" si="2"/>
        <v>Entertainment</v>
      </c>
    </row>
    <row r="2215" hidden="1">
      <c r="A2215" s="3" t="s">
        <v>9252</v>
      </c>
      <c r="B2215" s="4">
        <v>532039.0</v>
      </c>
      <c r="C2215" s="3" t="s">
        <v>9253</v>
      </c>
      <c r="D2215" s="3" t="s">
        <v>9254</v>
      </c>
      <c r="E2215" s="3" t="s">
        <v>9255</v>
      </c>
      <c r="F2215" s="3" t="s">
        <v>19</v>
      </c>
      <c r="G2215" s="3" t="s">
        <v>44</v>
      </c>
      <c r="H2215" s="3">
        <v>10.0</v>
      </c>
      <c r="I2215" s="3" t="s">
        <v>9252</v>
      </c>
      <c r="J2215" s="3" t="s">
        <v>22</v>
      </c>
      <c r="K2215" s="3" t="s">
        <v>45</v>
      </c>
      <c r="L2215" s="3" t="s">
        <v>45</v>
      </c>
      <c r="M2215" s="3" t="s">
        <v>46</v>
      </c>
      <c r="N2215" s="3" t="s">
        <v>47</v>
      </c>
      <c r="O2215" s="5">
        <v>379.5490442</v>
      </c>
      <c r="P2215" s="6" t="str">
        <f t="shared" si="2"/>
        <v>Pharmaceuticals</v>
      </c>
    </row>
    <row r="2216" hidden="1">
      <c r="A2216" s="3" t="s">
        <v>9256</v>
      </c>
      <c r="B2216" s="4">
        <v>532041.0</v>
      </c>
      <c r="C2216" s="3" t="s">
        <v>9257</v>
      </c>
      <c r="D2216" s="3" t="s">
        <v>9258</v>
      </c>
      <c r="E2216" s="3" t="s">
        <v>9259</v>
      </c>
      <c r="F2216" s="3" t="s">
        <v>19</v>
      </c>
      <c r="G2216" s="3" t="s">
        <v>44</v>
      </c>
      <c r="H2216" s="3">
        <v>2.0</v>
      </c>
      <c r="I2216" s="3" t="s">
        <v>9256</v>
      </c>
      <c r="J2216" s="3" t="s">
        <v>22</v>
      </c>
      <c r="K2216" s="3" t="s">
        <v>473</v>
      </c>
      <c r="L2216" s="3" t="s">
        <v>473</v>
      </c>
      <c r="M2216" s="3" t="s">
        <v>1391</v>
      </c>
      <c r="N2216" s="3" t="s">
        <v>1392</v>
      </c>
      <c r="O2216" s="5">
        <v>1.0</v>
      </c>
      <c r="P2216" s="6" t="str">
        <f t="shared" si="2"/>
        <v>IT - Software</v>
      </c>
    </row>
    <row r="2217" hidden="1">
      <c r="A2217" s="3" t="s">
        <v>8917</v>
      </c>
      <c r="B2217" s="4">
        <v>526675.0</v>
      </c>
      <c r="C2217" s="3" t="s">
        <v>9260</v>
      </c>
      <c r="D2217" s="3" t="s">
        <v>9261</v>
      </c>
      <c r="E2217" s="3" t="s">
        <v>9262</v>
      </c>
      <c r="F2217" s="3" t="s">
        <v>19</v>
      </c>
      <c r="G2217" s="3" t="s">
        <v>72</v>
      </c>
      <c r="H2217" s="3">
        <v>10.0</v>
      </c>
      <c r="I2217" s="3" t="s">
        <v>6977</v>
      </c>
      <c r="J2217" s="3" t="s">
        <v>22</v>
      </c>
      <c r="K2217" s="3" t="s">
        <v>1673</v>
      </c>
      <c r="L2217" s="3" t="s">
        <v>1673</v>
      </c>
      <c r="M2217" s="3" t="s">
        <v>1674</v>
      </c>
      <c r="N2217" s="3" t="s">
        <v>1915</v>
      </c>
      <c r="O2217" s="5">
        <v>16.934837</v>
      </c>
      <c r="P2217" s="6" t="str">
        <f t="shared" si="2"/>
        <v>Commercial Services &amp; Supplies</v>
      </c>
    </row>
    <row r="2218" hidden="1">
      <c r="A2218" s="3" t="s">
        <v>9263</v>
      </c>
      <c r="B2218" s="4">
        <v>532051.0</v>
      </c>
      <c r="C2218" s="3" t="s">
        <v>9264</v>
      </c>
      <c r="D2218" s="3" t="s">
        <v>9265</v>
      </c>
      <c r="E2218" s="3" t="s">
        <v>9266</v>
      </c>
      <c r="F2218" s="3" t="s">
        <v>19</v>
      </c>
      <c r="G2218" s="3" t="s">
        <v>112</v>
      </c>
      <c r="H2218" s="3">
        <v>10.0</v>
      </c>
      <c r="I2218" s="3" t="s">
        <v>9263</v>
      </c>
      <c r="J2218" s="3" t="s">
        <v>22</v>
      </c>
      <c r="K2218" s="3" t="s">
        <v>97</v>
      </c>
      <c r="L2218" s="3" t="s">
        <v>98</v>
      </c>
      <c r="M2218" s="3" t="s">
        <v>1747</v>
      </c>
      <c r="N2218" s="3" t="s">
        <v>1767</v>
      </c>
      <c r="O2218" s="5">
        <v>1951.874605</v>
      </c>
      <c r="P2218" s="6" t="str">
        <f t="shared" si="2"/>
        <v>Heavy Electrical Equipment</v>
      </c>
    </row>
    <row r="2219" hidden="1">
      <c r="A2219" s="3" t="s">
        <v>9267</v>
      </c>
      <c r="B2219" s="4">
        <v>532053.0</v>
      </c>
      <c r="C2219" s="3" t="s">
        <v>9268</v>
      </c>
      <c r="D2219" s="3" t="s">
        <v>9269</v>
      </c>
      <c r="E2219" s="3" t="s">
        <v>9270</v>
      </c>
      <c r="F2219" s="3" t="s">
        <v>19</v>
      </c>
      <c r="G2219" s="3" t="s">
        <v>44</v>
      </c>
      <c r="H2219" s="3">
        <v>10.0</v>
      </c>
      <c r="I2219" s="3" t="s">
        <v>9267</v>
      </c>
      <c r="J2219" s="3" t="s">
        <v>22</v>
      </c>
      <c r="K2219" s="3" t="s">
        <v>204</v>
      </c>
      <c r="L2219" s="3" t="s">
        <v>204</v>
      </c>
      <c r="M2219" s="3" t="s">
        <v>205</v>
      </c>
      <c r="N2219" s="3" t="s">
        <v>2109</v>
      </c>
      <c r="O2219" s="5">
        <v>113.3402517</v>
      </c>
      <c r="P2219" s="6" t="str">
        <f t="shared" si="2"/>
        <v>Capital Markets</v>
      </c>
    </row>
    <row r="2220" hidden="1">
      <c r="A2220" s="3" t="s">
        <v>9271</v>
      </c>
      <c r="B2220" s="4">
        <v>532054.0</v>
      </c>
      <c r="C2220" s="3" t="s">
        <v>9272</v>
      </c>
      <c r="D2220" s="3" t="s">
        <v>9273</v>
      </c>
      <c r="E2220" s="3" t="s">
        <v>9274</v>
      </c>
      <c r="F2220" s="3" t="s">
        <v>19</v>
      </c>
      <c r="G2220" s="3" t="s">
        <v>112</v>
      </c>
      <c r="H2220" s="3">
        <v>10.0</v>
      </c>
      <c r="I2220" s="3" t="s">
        <v>9271</v>
      </c>
      <c r="J2220" s="3" t="s">
        <v>22</v>
      </c>
      <c r="K2220" s="3" t="s">
        <v>58</v>
      </c>
      <c r="L2220" s="3" t="s">
        <v>211</v>
      </c>
      <c r="M2220" s="3" t="s">
        <v>211</v>
      </c>
      <c r="N2220" s="3" t="s">
        <v>947</v>
      </c>
      <c r="O2220" s="5">
        <v>4051.308876</v>
      </c>
      <c r="P2220" s="6" t="str">
        <f t="shared" si="2"/>
        <v>Consumer Durables</v>
      </c>
    </row>
    <row r="2221" hidden="1">
      <c r="A2221" s="3" t="s">
        <v>9275</v>
      </c>
      <c r="B2221" s="4">
        <v>532056.0</v>
      </c>
      <c r="C2221" s="3" t="s">
        <v>9276</v>
      </c>
      <c r="D2221" s="3" t="s">
        <v>9277</v>
      </c>
      <c r="E2221" s="3" t="s">
        <v>9278</v>
      </c>
      <c r="F2221" s="3" t="s">
        <v>19</v>
      </c>
      <c r="G2221" s="3" t="s">
        <v>44</v>
      </c>
      <c r="H2221" s="3">
        <v>10.0</v>
      </c>
      <c r="I2221" s="3" t="s">
        <v>9275</v>
      </c>
      <c r="J2221" s="3" t="s">
        <v>22</v>
      </c>
      <c r="K2221" s="3" t="s">
        <v>204</v>
      </c>
      <c r="L2221" s="3" t="s">
        <v>204</v>
      </c>
      <c r="M2221" s="3" t="s">
        <v>378</v>
      </c>
      <c r="N2221" s="3" t="s">
        <v>384</v>
      </c>
      <c r="O2221" s="5">
        <v>10.9442984</v>
      </c>
      <c r="P2221" s="6" t="str">
        <f t="shared" si="2"/>
        <v>Finance</v>
      </c>
    </row>
    <row r="2222" hidden="1">
      <c r="A2222" s="3" t="s">
        <v>9279</v>
      </c>
      <c r="B2222" s="4">
        <v>532057.0</v>
      </c>
      <c r="C2222" s="3" t="s">
        <v>9280</v>
      </c>
      <c r="D2222" s="3" t="s">
        <v>9281</v>
      </c>
      <c r="E2222" s="3" t="s">
        <v>9282</v>
      </c>
      <c r="F2222" s="3" t="s">
        <v>19</v>
      </c>
      <c r="G2222" s="3" t="s">
        <v>44</v>
      </c>
      <c r="H2222" s="3">
        <v>10.0</v>
      </c>
      <c r="I2222" s="3" t="s">
        <v>9279</v>
      </c>
      <c r="J2222" s="3" t="s">
        <v>22</v>
      </c>
      <c r="K2222" s="3" t="s">
        <v>204</v>
      </c>
      <c r="L2222" s="3" t="s">
        <v>204</v>
      </c>
      <c r="M2222" s="3" t="s">
        <v>378</v>
      </c>
      <c r="N2222" s="3" t="s">
        <v>379</v>
      </c>
      <c r="O2222" s="5">
        <v>149.7905305</v>
      </c>
      <c r="P2222" s="6" t="str">
        <f t="shared" si="2"/>
        <v>Non Banking Financial Company (NBFC)</v>
      </c>
    </row>
    <row r="2223" hidden="1">
      <c r="A2223" s="3" t="s">
        <v>9283</v>
      </c>
      <c r="B2223" s="4">
        <v>532067.0</v>
      </c>
      <c r="C2223" s="3" t="s">
        <v>9284</v>
      </c>
      <c r="D2223" s="3" t="s">
        <v>9285</v>
      </c>
      <c r="E2223" s="3" t="s">
        <v>9286</v>
      </c>
      <c r="F2223" s="3" t="s">
        <v>19</v>
      </c>
      <c r="G2223" s="3" t="s">
        <v>44</v>
      </c>
      <c r="H2223" s="3">
        <v>10.0</v>
      </c>
      <c r="I2223" s="3" t="s">
        <v>9283</v>
      </c>
      <c r="J2223" s="3" t="s">
        <v>22</v>
      </c>
      <c r="K2223" s="3" t="s">
        <v>45</v>
      </c>
      <c r="L2223" s="3" t="s">
        <v>45</v>
      </c>
      <c r="M2223" s="3" t="s">
        <v>4488</v>
      </c>
      <c r="N2223" s="3" t="s">
        <v>4489</v>
      </c>
      <c r="O2223" s="5">
        <v>954.1350582</v>
      </c>
      <c r="P2223" s="6" t="str">
        <f t="shared" si="2"/>
        <v>Healthcare Services</v>
      </c>
    </row>
    <row r="2224" hidden="1">
      <c r="A2224" s="3" t="s">
        <v>9287</v>
      </c>
      <c r="B2224" s="4">
        <v>532070.0</v>
      </c>
      <c r="C2224" s="3" t="s">
        <v>9288</v>
      </c>
      <c r="D2224" s="3" t="s">
        <v>9289</v>
      </c>
      <c r="E2224" s="3" t="s">
        <v>9290</v>
      </c>
      <c r="F2224" s="3" t="s">
        <v>19</v>
      </c>
      <c r="G2224" s="3" t="s">
        <v>44</v>
      </c>
      <c r="H2224" s="3">
        <v>10.0</v>
      </c>
      <c r="I2224" s="3" t="s">
        <v>9287</v>
      </c>
      <c r="J2224" s="3" t="s">
        <v>22</v>
      </c>
      <c r="K2224" s="3" t="s">
        <v>145</v>
      </c>
      <c r="L2224" s="3" t="s">
        <v>145</v>
      </c>
      <c r="M2224" s="3" t="s">
        <v>597</v>
      </c>
      <c r="N2224" s="3" t="s">
        <v>2344</v>
      </c>
      <c r="O2224" s="5">
        <v>149.2665369</v>
      </c>
      <c r="P2224" s="6" t="str">
        <f t="shared" si="2"/>
        <v>Food Products</v>
      </c>
    </row>
    <row r="2225" hidden="1">
      <c r="A2225" s="3" t="s">
        <v>9291</v>
      </c>
      <c r="B2225" s="4">
        <v>532078.0</v>
      </c>
      <c r="C2225" s="3" t="s">
        <v>9292</v>
      </c>
      <c r="D2225" s="3" t="s">
        <v>9293</v>
      </c>
      <c r="E2225" s="3" t="s">
        <v>9294</v>
      </c>
      <c r="F2225" s="3" t="s">
        <v>19</v>
      </c>
      <c r="G2225" s="3" t="s">
        <v>72</v>
      </c>
      <c r="H2225" s="3">
        <v>10.0</v>
      </c>
      <c r="I2225" s="3" t="s">
        <v>9291</v>
      </c>
      <c r="J2225" s="3" t="s">
        <v>22</v>
      </c>
      <c r="K2225" s="3" t="s">
        <v>97</v>
      </c>
      <c r="L2225" s="3" t="s">
        <v>98</v>
      </c>
      <c r="M2225" s="3" t="s">
        <v>100</v>
      </c>
      <c r="N2225" s="3" t="s">
        <v>612</v>
      </c>
      <c r="O2225" s="5">
        <v>1.0</v>
      </c>
      <c r="P2225" s="6" t="str">
        <f t="shared" si="2"/>
        <v>Industrial Products</v>
      </c>
    </row>
    <row r="2226" hidden="1">
      <c r="A2226" s="3" t="s">
        <v>9295</v>
      </c>
      <c r="B2226" s="4">
        <v>512441.0</v>
      </c>
      <c r="C2226" s="3" t="s">
        <v>9296</v>
      </c>
      <c r="D2226" s="3" t="s">
        <v>9297</v>
      </c>
      <c r="E2226" s="3" t="s">
        <v>9298</v>
      </c>
      <c r="F2226" s="3" t="s">
        <v>19</v>
      </c>
      <c r="G2226" s="3" t="s">
        <v>72</v>
      </c>
      <c r="H2226" s="3">
        <v>10.0</v>
      </c>
      <c r="I2226" s="3" t="s">
        <v>3875</v>
      </c>
      <c r="J2226" s="3" t="s">
        <v>22</v>
      </c>
      <c r="K2226" s="3" t="s">
        <v>1673</v>
      </c>
      <c r="L2226" s="3" t="s">
        <v>1673</v>
      </c>
      <c r="M2226" s="3" t="s">
        <v>1674</v>
      </c>
      <c r="N2226" s="3" t="s">
        <v>1675</v>
      </c>
      <c r="O2226" s="5">
        <v>16.7856772</v>
      </c>
      <c r="P2226" s="6" t="str">
        <f t="shared" si="2"/>
        <v>Commercial Services &amp; Supplies</v>
      </c>
    </row>
    <row r="2227" hidden="1">
      <c r="A2227" s="3" t="s">
        <v>9299</v>
      </c>
      <c r="B2227" s="4">
        <v>532090.0</v>
      </c>
      <c r="C2227" s="3" t="s">
        <v>9300</v>
      </c>
      <c r="D2227" s="3" t="s">
        <v>9301</v>
      </c>
      <c r="E2227" s="3" t="s">
        <v>9302</v>
      </c>
      <c r="F2227" s="3" t="s">
        <v>19</v>
      </c>
      <c r="G2227" s="3" t="s">
        <v>72</v>
      </c>
      <c r="H2227" s="3">
        <v>1.0</v>
      </c>
      <c r="I2227" s="3" t="s">
        <v>9299</v>
      </c>
      <c r="J2227" s="3" t="s">
        <v>22</v>
      </c>
      <c r="K2227" s="3" t="s">
        <v>58</v>
      </c>
      <c r="L2227" s="3" t="s">
        <v>80</v>
      </c>
      <c r="M2227" s="3" t="s">
        <v>81</v>
      </c>
      <c r="N2227" s="3" t="s">
        <v>82</v>
      </c>
      <c r="O2227" s="5">
        <v>1.0</v>
      </c>
      <c r="P2227" s="6" t="str">
        <f t="shared" si="2"/>
        <v>Textiles &amp; Apparels</v>
      </c>
    </row>
    <row r="2228" hidden="1">
      <c r="A2228" s="3" t="s">
        <v>9303</v>
      </c>
      <c r="B2228" s="4">
        <v>532092.0</v>
      </c>
      <c r="C2228" s="3" t="s">
        <v>9304</v>
      </c>
      <c r="D2228" s="3" t="s">
        <v>9305</v>
      </c>
      <c r="E2228" s="3" t="s">
        <v>9306</v>
      </c>
      <c r="F2228" s="3" t="s">
        <v>19</v>
      </c>
      <c r="G2228" s="3" t="s">
        <v>44</v>
      </c>
      <c r="H2228" s="3">
        <v>1.0</v>
      </c>
      <c r="I2228" s="3" t="s">
        <v>9303</v>
      </c>
      <c r="J2228" s="3" t="s">
        <v>22</v>
      </c>
      <c r="K2228" s="3" t="s">
        <v>204</v>
      </c>
      <c r="L2228" s="3" t="s">
        <v>204</v>
      </c>
      <c r="M2228" s="3" t="s">
        <v>378</v>
      </c>
      <c r="N2228" s="3" t="s">
        <v>379</v>
      </c>
      <c r="O2228" s="5">
        <v>39.31847</v>
      </c>
      <c r="P2228" s="6" t="str">
        <f t="shared" si="2"/>
        <v>Non Banking Financial Company (NBFC)</v>
      </c>
    </row>
    <row r="2229" hidden="1">
      <c r="A2229" s="3" t="s">
        <v>9307</v>
      </c>
      <c r="B2229" s="4">
        <v>532100.0</v>
      </c>
      <c r="C2229" s="3" t="s">
        <v>9308</v>
      </c>
      <c r="D2229" s="3" t="s">
        <v>9309</v>
      </c>
      <c r="E2229" s="3" t="s">
        <v>9310</v>
      </c>
      <c r="F2229" s="3" t="s">
        <v>19</v>
      </c>
      <c r="G2229" s="3" t="s">
        <v>44</v>
      </c>
      <c r="H2229" s="3">
        <v>10.0</v>
      </c>
      <c r="I2229" s="3" t="s">
        <v>9307</v>
      </c>
      <c r="J2229" s="3" t="s">
        <v>22</v>
      </c>
      <c r="K2229" s="3" t="s">
        <v>473</v>
      </c>
      <c r="L2229" s="3" t="s">
        <v>473</v>
      </c>
      <c r="M2229" s="3" t="s">
        <v>1391</v>
      </c>
      <c r="N2229" s="3" t="s">
        <v>1392</v>
      </c>
      <c r="O2229" s="5">
        <v>14.22162</v>
      </c>
      <c r="P2229" s="6" t="str">
        <f t="shared" si="2"/>
        <v>IT - Software</v>
      </c>
    </row>
    <row r="2230" hidden="1">
      <c r="A2230" s="3" t="s">
        <v>9311</v>
      </c>
      <c r="B2230" s="4">
        <v>532102.0</v>
      </c>
      <c r="C2230" s="3" t="s">
        <v>9312</v>
      </c>
      <c r="D2230" s="3" t="s">
        <v>9313</v>
      </c>
      <c r="E2230" s="3" t="s">
        <v>9314</v>
      </c>
      <c r="F2230" s="3" t="s">
        <v>19</v>
      </c>
      <c r="G2230" s="3" t="s">
        <v>44</v>
      </c>
      <c r="H2230" s="3">
        <v>10.0</v>
      </c>
      <c r="I2230" s="3" t="s">
        <v>9311</v>
      </c>
      <c r="J2230" s="3" t="s">
        <v>22</v>
      </c>
      <c r="K2230" s="3" t="s">
        <v>145</v>
      </c>
      <c r="L2230" s="3" t="s">
        <v>145</v>
      </c>
      <c r="M2230" s="3" t="s">
        <v>146</v>
      </c>
      <c r="N2230" s="3" t="s">
        <v>147</v>
      </c>
      <c r="O2230" s="5">
        <v>263.014785</v>
      </c>
      <c r="P2230" s="6" t="str">
        <f t="shared" si="2"/>
        <v>Agricultural Food &amp; other Products</v>
      </c>
    </row>
    <row r="2231" hidden="1">
      <c r="A2231" s="3" t="s">
        <v>9315</v>
      </c>
      <c r="B2231" s="4">
        <v>532113.0</v>
      </c>
      <c r="C2231" s="3" t="s">
        <v>9316</v>
      </c>
      <c r="D2231" s="3" t="s">
        <v>9317</v>
      </c>
      <c r="E2231" s="3" t="s">
        <v>9318</v>
      </c>
      <c r="F2231" s="3" t="s">
        <v>19</v>
      </c>
      <c r="G2231" s="3" t="s">
        <v>44</v>
      </c>
      <c r="H2231" s="3">
        <v>10.0</v>
      </c>
      <c r="I2231" s="3" t="s">
        <v>9315</v>
      </c>
      <c r="J2231" s="3" t="s">
        <v>22</v>
      </c>
      <c r="K2231" s="3" t="s">
        <v>204</v>
      </c>
      <c r="L2231" s="3" t="s">
        <v>204</v>
      </c>
      <c r="M2231" s="3" t="s">
        <v>378</v>
      </c>
      <c r="N2231" s="3" t="s">
        <v>379</v>
      </c>
      <c r="O2231" s="5">
        <v>1.0</v>
      </c>
      <c r="P2231" s="6" t="str">
        <f t="shared" si="2"/>
        <v>Non Banking Financial Company (NBFC)</v>
      </c>
    </row>
    <row r="2232" hidden="1">
      <c r="A2232" s="3" t="s">
        <v>9319</v>
      </c>
      <c r="B2232" s="4">
        <v>532123.0</v>
      </c>
      <c r="C2232" s="3" t="s">
        <v>9320</v>
      </c>
      <c r="D2232" s="3" t="s">
        <v>9321</v>
      </c>
      <c r="E2232" s="3" t="s">
        <v>9322</v>
      </c>
      <c r="F2232" s="3" t="s">
        <v>19</v>
      </c>
      <c r="G2232" s="3" t="s">
        <v>72</v>
      </c>
      <c r="H2232" s="3">
        <v>10.0</v>
      </c>
      <c r="I2232" s="3" t="s">
        <v>9319</v>
      </c>
      <c r="J2232" s="3" t="s">
        <v>22</v>
      </c>
      <c r="K2232" s="3" t="s">
        <v>58</v>
      </c>
      <c r="L2232" s="3" t="s">
        <v>59</v>
      </c>
      <c r="M2232" s="3" t="s">
        <v>59</v>
      </c>
      <c r="N2232" s="3" t="s">
        <v>60</v>
      </c>
      <c r="O2232" s="5">
        <v>102.0555754</v>
      </c>
      <c r="P2232" s="6" t="str">
        <f t="shared" si="2"/>
        <v>Residential, Commercial Projects</v>
      </c>
    </row>
    <row r="2233" hidden="1">
      <c r="A2233" s="3" t="s">
        <v>9323</v>
      </c>
      <c r="B2233" s="4">
        <v>532124.0</v>
      </c>
      <c r="C2233" s="3" t="s">
        <v>9324</v>
      </c>
      <c r="D2233" s="3" t="s">
        <v>9325</v>
      </c>
      <c r="E2233" s="3" t="s">
        <v>9326</v>
      </c>
      <c r="F2233" s="3" t="s">
        <v>19</v>
      </c>
      <c r="G2233" s="3" t="s">
        <v>44</v>
      </c>
      <c r="H2233" s="3">
        <v>10.0</v>
      </c>
      <c r="I2233" s="3" t="s">
        <v>9323</v>
      </c>
      <c r="J2233" s="3" t="s">
        <v>22</v>
      </c>
      <c r="K2233" s="3" t="s">
        <v>58</v>
      </c>
      <c r="L2233" s="3" t="s">
        <v>73</v>
      </c>
      <c r="M2233" s="3" t="s">
        <v>74</v>
      </c>
      <c r="N2233" s="3" t="s">
        <v>75</v>
      </c>
      <c r="O2233" s="5">
        <v>23.438171</v>
      </c>
      <c r="P2233" s="6" t="str">
        <f t="shared" si="2"/>
        <v>Leisure Services</v>
      </c>
    </row>
    <row r="2234">
      <c r="A2234" s="3" t="s">
        <v>9327</v>
      </c>
      <c r="B2234" s="4">
        <v>532478.0</v>
      </c>
      <c r="C2234" s="3" t="s">
        <v>9328</v>
      </c>
      <c r="D2234" s="3" t="s">
        <v>9329</v>
      </c>
      <c r="E2234" s="3" t="s">
        <v>9330</v>
      </c>
      <c r="F2234" s="3" t="s">
        <v>19</v>
      </c>
      <c r="G2234" s="3" t="s">
        <v>20</v>
      </c>
      <c r="H2234" s="3">
        <v>1.0</v>
      </c>
      <c r="I2234" s="3" t="s">
        <v>9331</v>
      </c>
      <c r="J2234" s="3" t="s">
        <v>22</v>
      </c>
      <c r="K2234" s="3" t="s">
        <v>145</v>
      </c>
      <c r="L2234" s="3" t="s">
        <v>145</v>
      </c>
      <c r="M2234" s="3" t="s">
        <v>2558</v>
      </c>
      <c r="N2234" s="3" t="s">
        <v>2559</v>
      </c>
      <c r="O2234" s="5">
        <v>53254.28508</v>
      </c>
      <c r="P2234" s="6" t="str">
        <f t="shared" si="2"/>
        <v>Beverages</v>
      </c>
    </row>
    <row r="2235" hidden="1">
      <c r="A2235" s="3" t="s">
        <v>9332</v>
      </c>
      <c r="B2235" s="4">
        <v>532138.0</v>
      </c>
      <c r="C2235" s="3" t="s">
        <v>9333</v>
      </c>
      <c r="D2235" s="3" t="s">
        <v>9334</v>
      </c>
      <c r="E2235" s="3" t="s">
        <v>9335</v>
      </c>
      <c r="F2235" s="3" t="s">
        <v>19</v>
      </c>
      <c r="G2235" s="3" t="s">
        <v>44</v>
      </c>
      <c r="H2235" s="3">
        <v>10.0</v>
      </c>
      <c r="I2235" s="3" t="s">
        <v>9332</v>
      </c>
      <c r="J2235" s="3" t="s">
        <v>22</v>
      </c>
      <c r="K2235" s="3" t="s">
        <v>204</v>
      </c>
      <c r="L2235" s="3" t="s">
        <v>204</v>
      </c>
      <c r="M2235" s="3" t="s">
        <v>378</v>
      </c>
      <c r="N2235" s="3" t="s">
        <v>379</v>
      </c>
      <c r="O2235" s="5">
        <v>1.0</v>
      </c>
      <c r="P2235" s="6" t="str">
        <f t="shared" si="2"/>
        <v>Non Banking Financial Company (NBFC)</v>
      </c>
    </row>
    <row r="2236" hidden="1">
      <c r="A2236" s="3" t="s">
        <v>9336</v>
      </c>
      <c r="B2236" s="4">
        <v>532140.0</v>
      </c>
      <c r="C2236" s="3" t="s">
        <v>9337</v>
      </c>
      <c r="D2236" s="3" t="s">
        <v>9338</v>
      </c>
      <c r="E2236" s="3" t="s">
        <v>9339</v>
      </c>
      <c r="F2236" s="3" t="s">
        <v>19</v>
      </c>
      <c r="G2236" s="3" t="s">
        <v>72</v>
      </c>
      <c r="H2236" s="3">
        <v>10.0</v>
      </c>
      <c r="I2236" s="3" t="s">
        <v>9336</v>
      </c>
      <c r="J2236" s="3" t="s">
        <v>22</v>
      </c>
      <c r="K2236" s="3" t="s">
        <v>58</v>
      </c>
      <c r="L2236" s="3" t="s">
        <v>80</v>
      </c>
      <c r="M2236" s="3" t="s">
        <v>81</v>
      </c>
      <c r="N2236" s="3" t="s">
        <v>82</v>
      </c>
      <c r="O2236" s="5">
        <v>113.531936</v>
      </c>
      <c r="P2236" s="6" t="str">
        <f t="shared" si="2"/>
        <v>Textiles &amp; Apparels</v>
      </c>
    </row>
    <row r="2237" hidden="1">
      <c r="A2237" s="3" t="s">
        <v>9340</v>
      </c>
      <c r="B2237" s="4">
        <v>532141.0</v>
      </c>
      <c r="C2237" s="3" t="s">
        <v>9341</v>
      </c>
      <c r="D2237" s="3" t="s">
        <v>9342</v>
      </c>
      <c r="E2237" s="3" t="s">
        <v>9343</v>
      </c>
      <c r="F2237" s="3" t="s">
        <v>19</v>
      </c>
      <c r="G2237" s="3" t="s">
        <v>112</v>
      </c>
      <c r="H2237" s="3">
        <v>10.0</v>
      </c>
      <c r="I2237" s="3" t="s">
        <v>9340</v>
      </c>
      <c r="J2237" s="3" t="s">
        <v>22</v>
      </c>
      <c r="K2237" s="3" t="s">
        <v>23</v>
      </c>
      <c r="L2237" s="3" t="s">
        <v>162</v>
      </c>
      <c r="M2237" s="3" t="s">
        <v>163</v>
      </c>
      <c r="N2237" s="3" t="s">
        <v>163</v>
      </c>
      <c r="O2237" s="5">
        <v>907.05091</v>
      </c>
      <c r="P2237" s="6" t="str">
        <f t="shared" si="2"/>
        <v>Cement &amp; Cement Products</v>
      </c>
    </row>
    <row r="2238" hidden="1">
      <c r="A2238" s="3" t="s">
        <v>9344</v>
      </c>
      <c r="B2238" s="4">
        <v>532143.0</v>
      </c>
      <c r="C2238" s="3" t="s">
        <v>9345</v>
      </c>
      <c r="D2238" s="3" t="s">
        <v>9346</v>
      </c>
      <c r="E2238" s="3" t="s">
        <v>9347</v>
      </c>
      <c r="F2238" s="3" t="s">
        <v>19</v>
      </c>
      <c r="G2238" s="3" t="s">
        <v>112</v>
      </c>
      <c r="H2238" s="3">
        <v>10.0</v>
      </c>
      <c r="I2238" s="3" t="s">
        <v>9344</v>
      </c>
      <c r="J2238" s="3" t="s">
        <v>22</v>
      </c>
      <c r="K2238" s="3" t="s">
        <v>145</v>
      </c>
      <c r="L2238" s="3" t="s">
        <v>145</v>
      </c>
      <c r="M2238" s="3" t="s">
        <v>597</v>
      </c>
      <c r="N2238" s="3" t="s">
        <v>5161</v>
      </c>
      <c r="O2238" s="5">
        <v>706.039383</v>
      </c>
      <c r="P2238" s="6" t="str">
        <f t="shared" si="2"/>
        <v>Food Products</v>
      </c>
    </row>
    <row r="2239">
      <c r="A2239" s="3" t="s">
        <v>9348</v>
      </c>
      <c r="B2239" s="4">
        <v>532497.0</v>
      </c>
      <c r="C2239" s="3" t="s">
        <v>9349</v>
      </c>
      <c r="D2239" s="3" t="s">
        <v>9350</v>
      </c>
      <c r="E2239" s="3" t="s">
        <v>9351</v>
      </c>
      <c r="F2239" s="3" t="s">
        <v>19</v>
      </c>
      <c r="G2239" s="3" t="s">
        <v>20</v>
      </c>
      <c r="H2239" s="3">
        <v>2.0</v>
      </c>
      <c r="I2239" s="3" t="s">
        <v>9352</v>
      </c>
      <c r="J2239" s="3" t="s">
        <v>22</v>
      </c>
      <c r="K2239" s="3" t="s">
        <v>145</v>
      </c>
      <c r="L2239" s="3" t="s">
        <v>145</v>
      </c>
      <c r="M2239" s="3" t="s">
        <v>2558</v>
      </c>
      <c r="N2239" s="3" t="s">
        <v>2559</v>
      </c>
      <c r="O2239" s="5">
        <v>23318.5856441</v>
      </c>
      <c r="P2239" s="6" t="str">
        <f t="shared" si="2"/>
        <v>Beverages</v>
      </c>
    </row>
    <row r="2240" hidden="1">
      <c r="A2240" s="3" t="s">
        <v>9353</v>
      </c>
      <c r="B2240" s="4">
        <v>532145.0</v>
      </c>
      <c r="C2240" s="3" t="s">
        <v>9354</v>
      </c>
      <c r="D2240" s="3" t="s">
        <v>9355</v>
      </c>
      <c r="E2240" s="3" t="s">
        <v>9356</v>
      </c>
      <c r="F2240" s="3" t="s">
        <v>19</v>
      </c>
      <c r="G2240" s="3" t="s">
        <v>44</v>
      </c>
      <c r="H2240" s="3">
        <v>10.0</v>
      </c>
      <c r="I2240" s="3" t="s">
        <v>9353</v>
      </c>
      <c r="J2240" s="3" t="s">
        <v>22</v>
      </c>
      <c r="K2240" s="3" t="s">
        <v>58</v>
      </c>
      <c r="L2240" s="3" t="s">
        <v>73</v>
      </c>
      <c r="M2240" s="3" t="s">
        <v>74</v>
      </c>
      <c r="N2240" s="3" t="s">
        <v>75</v>
      </c>
      <c r="O2240" s="5">
        <v>27.567804</v>
      </c>
      <c r="P2240" s="6" t="str">
        <f t="shared" si="2"/>
        <v>Leisure Services</v>
      </c>
    </row>
    <row r="2241">
      <c r="A2241" s="3" t="s">
        <v>9357</v>
      </c>
      <c r="B2241" s="4">
        <v>532670.0</v>
      </c>
      <c r="C2241" s="3" t="s">
        <v>9358</v>
      </c>
      <c r="D2241" s="3" t="s">
        <v>9359</v>
      </c>
      <c r="E2241" s="3" t="s">
        <v>9360</v>
      </c>
      <c r="F2241" s="3" t="s">
        <v>19</v>
      </c>
      <c r="G2241" s="3" t="s">
        <v>20</v>
      </c>
      <c r="H2241" s="3">
        <v>1.0</v>
      </c>
      <c r="I2241" s="3" t="s">
        <v>9361</v>
      </c>
      <c r="J2241" s="3" t="s">
        <v>22</v>
      </c>
      <c r="K2241" s="3" t="s">
        <v>145</v>
      </c>
      <c r="L2241" s="3" t="s">
        <v>145</v>
      </c>
      <c r="M2241" s="3" t="s">
        <v>146</v>
      </c>
      <c r="N2241" s="3" t="s">
        <v>147</v>
      </c>
      <c r="O2241" s="5">
        <v>10550.7345542</v>
      </c>
      <c r="P2241" s="6" t="str">
        <f t="shared" si="2"/>
        <v>Agricultural Food &amp; other Products</v>
      </c>
    </row>
    <row r="2242" hidden="1">
      <c r="A2242" s="3" t="s">
        <v>9362</v>
      </c>
      <c r="B2242" s="4">
        <v>532150.0</v>
      </c>
      <c r="C2242" s="3" t="s">
        <v>9363</v>
      </c>
      <c r="D2242" s="3" t="s">
        <v>9364</v>
      </c>
      <c r="E2242" s="3" t="s">
        <v>9365</v>
      </c>
      <c r="F2242" s="3" t="s">
        <v>19</v>
      </c>
      <c r="G2242" s="3" t="s">
        <v>112</v>
      </c>
      <c r="H2242" s="3">
        <v>10.0</v>
      </c>
      <c r="I2242" s="3" t="s">
        <v>9362</v>
      </c>
      <c r="J2242" s="3" t="s">
        <v>22</v>
      </c>
      <c r="K2242" s="3" t="s">
        <v>45</v>
      </c>
      <c r="L2242" s="3" t="s">
        <v>45</v>
      </c>
      <c r="M2242" s="3" t="s">
        <v>4488</v>
      </c>
      <c r="N2242" s="3" t="s">
        <v>5801</v>
      </c>
      <c r="O2242" s="5">
        <v>2182.490763</v>
      </c>
      <c r="P2242" s="6" t="str">
        <f t="shared" si="2"/>
        <v>Healthcare Services</v>
      </c>
    </row>
    <row r="2243" hidden="1">
      <c r="A2243" s="3" t="s">
        <v>6481</v>
      </c>
      <c r="B2243" s="4">
        <v>532911.0</v>
      </c>
      <c r="C2243" s="3" t="s">
        <v>9366</v>
      </c>
      <c r="D2243" s="3" t="s">
        <v>9367</v>
      </c>
      <c r="E2243" s="3" t="s">
        <v>9368</v>
      </c>
      <c r="F2243" s="3" t="s">
        <v>19</v>
      </c>
      <c r="G2243" s="3" t="s">
        <v>72</v>
      </c>
      <c r="H2243" s="3">
        <v>10.0</v>
      </c>
      <c r="I2243" s="3" t="s">
        <v>9369</v>
      </c>
      <c r="J2243" s="3" t="s">
        <v>22</v>
      </c>
      <c r="K2243" s="3" t="s">
        <v>1673</v>
      </c>
      <c r="L2243" s="3" t="s">
        <v>1673</v>
      </c>
      <c r="M2243" s="3" t="s">
        <v>1674</v>
      </c>
      <c r="N2243" s="3" t="s">
        <v>1675</v>
      </c>
      <c r="O2243" s="5">
        <v>16.687585</v>
      </c>
      <c r="P2243" s="6" t="str">
        <f t="shared" si="2"/>
        <v>Commercial Services &amp; Supplies</v>
      </c>
    </row>
    <row r="2244">
      <c r="A2244" s="3" t="s">
        <v>6172</v>
      </c>
      <c r="B2244" s="4">
        <v>532783.0</v>
      </c>
      <c r="C2244" s="3" t="s">
        <v>9370</v>
      </c>
      <c r="D2244" s="3" t="s">
        <v>9371</v>
      </c>
      <c r="E2244" s="3" t="s">
        <v>9372</v>
      </c>
      <c r="F2244" s="3" t="s">
        <v>19</v>
      </c>
      <c r="G2244" s="3" t="s">
        <v>20</v>
      </c>
      <c r="H2244" s="3">
        <v>1.0</v>
      </c>
      <c r="I2244" s="3" t="s">
        <v>9373</v>
      </c>
      <c r="J2244" s="3" t="s">
        <v>22</v>
      </c>
      <c r="K2244" s="3" t="s">
        <v>145</v>
      </c>
      <c r="L2244" s="3" t="s">
        <v>145</v>
      </c>
      <c r="M2244" s="3" t="s">
        <v>146</v>
      </c>
      <c r="N2244" s="3" t="s">
        <v>2645</v>
      </c>
      <c r="O2244" s="5">
        <v>8898.009</v>
      </c>
      <c r="P2244" s="6" t="str">
        <f t="shared" si="2"/>
        <v>Agricultural Food &amp; other Products</v>
      </c>
    </row>
    <row r="2245">
      <c r="A2245" s="3" t="s">
        <v>1318</v>
      </c>
      <c r="B2245" s="4">
        <v>532926.0</v>
      </c>
      <c r="C2245" s="3" t="s">
        <v>9374</v>
      </c>
      <c r="D2245" s="3" t="s">
        <v>9375</v>
      </c>
      <c r="E2245" s="3" t="s">
        <v>9376</v>
      </c>
      <c r="F2245" s="3" t="s">
        <v>19</v>
      </c>
      <c r="G2245" s="3" t="s">
        <v>20</v>
      </c>
      <c r="H2245" s="3">
        <v>1.0</v>
      </c>
      <c r="I2245" s="3" t="s">
        <v>9377</v>
      </c>
      <c r="J2245" s="3" t="s">
        <v>22</v>
      </c>
      <c r="K2245" s="3" t="s">
        <v>145</v>
      </c>
      <c r="L2245" s="3" t="s">
        <v>145</v>
      </c>
      <c r="M2245" s="3" t="s">
        <v>1757</v>
      </c>
      <c r="N2245" s="3" t="s">
        <v>1757</v>
      </c>
      <c r="O2245" s="5">
        <v>16974.0072805</v>
      </c>
      <c r="P2245" s="6" t="str">
        <f t="shared" si="2"/>
        <v>Household Products</v>
      </c>
    </row>
    <row r="2246" hidden="1">
      <c r="A2246" s="3" t="s">
        <v>9378</v>
      </c>
      <c r="B2246" s="4">
        <v>532159.0</v>
      </c>
      <c r="C2246" s="3" t="s">
        <v>9379</v>
      </c>
      <c r="D2246" s="3" t="s">
        <v>9380</v>
      </c>
      <c r="E2246" s="3" t="s">
        <v>9381</v>
      </c>
      <c r="F2246" s="3" t="s">
        <v>19</v>
      </c>
      <c r="G2246" s="3" t="s">
        <v>44</v>
      </c>
      <c r="H2246" s="3">
        <v>10.0</v>
      </c>
      <c r="I2246" s="3" t="s">
        <v>9378</v>
      </c>
      <c r="J2246" s="3" t="s">
        <v>22</v>
      </c>
      <c r="K2246" s="3" t="s">
        <v>58</v>
      </c>
      <c r="L2246" s="3" t="s">
        <v>59</v>
      </c>
      <c r="M2246" s="3" t="s">
        <v>59</v>
      </c>
      <c r="N2246" s="3" t="s">
        <v>60</v>
      </c>
      <c r="O2246" s="5">
        <v>120.1358</v>
      </c>
      <c r="P2246" s="6" t="str">
        <f t="shared" si="2"/>
        <v>Residential, Commercial Projects</v>
      </c>
    </row>
    <row r="2247" hidden="1">
      <c r="A2247" s="3" t="s">
        <v>9382</v>
      </c>
      <c r="B2247" s="4">
        <v>532160.0</v>
      </c>
      <c r="C2247" s="3" t="s">
        <v>9383</v>
      </c>
      <c r="D2247" s="3" t="s">
        <v>9384</v>
      </c>
      <c r="E2247" s="3" t="s">
        <v>9385</v>
      </c>
      <c r="F2247" s="3" t="s">
        <v>19</v>
      </c>
      <c r="G2247" s="3" t="s">
        <v>86</v>
      </c>
      <c r="H2247" s="3">
        <v>10.0</v>
      </c>
      <c r="I2247" s="3" t="s">
        <v>9382</v>
      </c>
      <c r="J2247" s="3" t="s">
        <v>22</v>
      </c>
      <c r="K2247" s="3" t="s">
        <v>204</v>
      </c>
      <c r="L2247" s="3" t="s">
        <v>204</v>
      </c>
      <c r="M2247" s="3" t="s">
        <v>378</v>
      </c>
      <c r="N2247" s="3" t="s">
        <v>6960</v>
      </c>
      <c r="O2247" s="5">
        <v>217.1349891</v>
      </c>
      <c r="P2247" s="6" t="str">
        <f t="shared" si="2"/>
        <v>Finance</v>
      </c>
    </row>
    <row r="2248">
      <c r="A2248" s="3" t="s">
        <v>603</v>
      </c>
      <c r="B2248" s="4">
        <v>540180.0</v>
      </c>
      <c r="C2248" s="3" t="s">
        <v>9386</v>
      </c>
      <c r="D2248" s="3" t="s">
        <v>9387</v>
      </c>
      <c r="E2248" s="3" t="s">
        <v>9388</v>
      </c>
      <c r="F2248" s="3" t="s">
        <v>19</v>
      </c>
      <c r="G2248" s="3" t="s">
        <v>20</v>
      </c>
      <c r="H2248" s="3">
        <v>5.0</v>
      </c>
      <c r="I2248" s="3" t="s">
        <v>9389</v>
      </c>
      <c r="J2248" s="3" t="s">
        <v>22</v>
      </c>
      <c r="K2248" s="3" t="s">
        <v>145</v>
      </c>
      <c r="L2248" s="3" t="s">
        <v>145</v>
      </c>
      <c r="M2248" s="3" t="s">
        <v>2558</v>
      </c>
      <c r="N2248" s="3" t="s">
        <v>2666</v>
      </c>
      <c r="O2248" s="5">
        <v>208964.978475</v>
      </c>
      <c r="P2248" s="6" t="str">
        <f t="shared" si="2"/>
        <v>Beverages</v>
      </c>
    </row>
    <row r="2249">
      <c r="A2249" s="3" t="s">
        <v>1335</v>
      </c>
      <c r="B2249" s="4">
        <v>540743.0</v>
      </c>
      <c r="C2249" s="3" t="s">
        <v>9390</v>
      </c>
      <c r="D2249" s="3" t="s">
        <v>9391</v>
      </c>
      <c r="E2249" s="3" t="s">
        <v>9392</v>
      </c>
      <c r="F2249" s="3" t="s">
        <v>19</v>
      </c>
      <c r="G2249" s="3" t="s">
        <v>20</v>
      </c>
      <c r="H2249" s="3">
        <v>10.0</v>
      </c>
      <c r="I2249" s="3" t="s">
        <v>9393</v>
      </c>
      <c r="J2249" s="3" t="s">
        <v>22</v>
      </c>
      <c r="K2249" s="3" t="s">
        <v>145</v>
      </c>
      <c r="L2249" s="3" t="s">
        <v>145</v>
      </c>
      <c r="M2249" s="3" t="s">
        <v>597</v>
      </c>
      <c r="N2249" s="3" t="s">
        <v>5098</v>
      </c>
      <c r="O2249" s="5">
        <v>13924.1437497</v>
      </c>
      <c r="P2249" s="6" t="str">
        <f t="shared" si="2"/>
        <v>Food Products</v>
      </c>
    </row>
    <row r="2250" hidden="1">
      <c r="A2250" s="3" t="s">
        <v>9394</v>
      </c>
      <c r="B2250" s="4">
        <v>532164.0</v>
      </c>
      <c r="C2250" s="3" t="s">
        <v>9395</v>
      </c>
      <c r="D2250" s="3" t="s">
        <v>9396</v>
      </c>
      <c r="E2250" s="3" t="s">
        <v>9397</v>
      </c>
      <c r="F2250" s="3" t="s">
        <v>19</v>
      </c>
      <c r="G2250" s="3" t="s">
        <v>57</v>
      </c>
      <c r="H2250" s="3">
        <v>10.0</v>
      </c>
      <c r="I2250" s="3" t="s">
        <v>9394</v>
      </c>
      <c r="J2250" s="3" t="s">
        <v>22</v>
      </c>
      <c r="K2250" s="3" t="s">
        <v>204</v>
      </c>
      <c r="L2250" s="3" t="s">
        <v>204</v>
      </c>
      <c r="M2250" s="3" t="s">
        <v>378</v>
      </c>
      <c r="N2250" s="3" t="s">
        <v>379</v>
      </c>
      <c r="O2250" s="5">
        <v>1.0</v>
      </c>
      <c r="P2250" s="6" t="str">
        <f t="shared" si="2"/>
        <v>Non Banking Financial Company (NBFC)</v>
      </c>
    </row>
    <row r="2251" hidden="1">
      <c r="A2251" s="3" t="s">
        <v>9398</v>
      </c>
      <c r="B2251" s="4">
        <v>532167.0</v>
      </c>
      <c r="C2251" s="3" t="s">
        <v>9399</v>
      </c>
      <c r="D2251" s="3" t="s">
        <v>9400</v>
      </c>
      <c r="E2251" s="3" t="s">
        <v>9401</v>
      </c>
      <c r="F2251" s="3" t="s">
        <v>19</v>
      </c>
      <c r="G2251" s="3" t="s">
        <v>44</v>
      </c>
      <c r="H2251" s="3">
        <v>10.0</v>
      </c>
      <c r="I2251" s="3" t="s">
        <v>9398</v>
      </c>
      <c r="J2251" s="3" t="s">
        <v>22</v>
      </c>
      <c r="K2251" s="3" t="s">
        <v>23</v>
      </c>
      <c r="L2251" s="3" t="s">
        <v>24</v>
      </c>
      <c r="M2251" s="3" t="s">
        <v>25</v>
      </c>
      <c r="N2251" s="3" t="s">
        <v>52</v>
      </c>
      <c r="O2251" s="5">
        <v>24.20352</v>
      </c>
      <c r="P2251" s="6" t="str">
        <f t="shared" si="2"/>
        <v>Chemicals &amp; Petrochemicals</v>
      </c>
    </row>
    <row r="2252" hidden="1">
      <c r="A2252" s="3" t="s">
        <v>9402</v>
      </c>
      <c r="B2252" s="4">
        <v>532172.0</v>
      </c>
      <c r="C2252" s="3" t="s">
        <v>9403</v>
      </c>
      <c r="D2252" s="3" t="s">
        <v>9404</v>
      </c>
      <c r="E2252" s="3" t="s">
        <v>9405</v>
      </c>
      <c r="F2252" s="3" t="s">
        <v>19</v>
      </c>
      <c r="G2252" s="3" t="s">
        <v>112</v>
      </c>
      <c r="H2252" s="3">
        <v>10.0</v>
      </c>
      <c r="I2252" s="3" t="s">
        <v>9402</v>
      </c>
      <c r="J2252" s="3" t="s">
        <v>22</v>
      </c>
      <c r="K2252" s="3" t="s">
        <v>473</v>
      </c>
      <c r="L2252" s="3" t="s">
        <v>473</v>
      </c>
      <c r="M2252" s="3" t="s">
        <v>1538</v>
      </c>
      <c r="N2252" s="3" t="s">
        <v>1539</v>
      </c>
      <c r="O2252" s="5">
        <v>51.9239858</v>
      </c>
      <c r="P2252" s="6" t="str">
        <f t="shared" si="2"/>
        <v>IT - Services</v>
      </c>
    </row>
    <row r="2253" hidden="1">
      <c r="A2253" s="3" t="s">
        <v>9406</v>
      </c>
      <c r="B2253" s="4">
        <v>532173.0</v>
      </c>
      <c r="C2253" s="3" t="s">
        <v>9407</v>
      </c>
      <c r="D2253" s="3" t="s">
        <v>9408</v>
      </c>
      <c r="E2253" s="3" t="s">
        <v>9409</v>
      </c>
      <c r="F2253" s="3" t="s">
        <v>19</v>
      </c>
      <c r="G2253" s="3" t="s">
        <v>112</v>
      </c>
      <c r="H2253" s="3">
        <v>10.0</v>
      </c>
      <c r="I2253" s="3" t="s">
        <v>9406</v>
      </c>
      <c r="J2253" s="3" t="s">
        <v>22</v>
      </c>
      <c r="K2253" s="3" t="s">
        <v>473</v>
      </c>
      <c r="L2253" s="3" t="s">
        <v>473</v>
      </c>
      <c r="M2253" s="3" t="s">
        <v>1391</v>
      </c>
      <c r="N2253" s="3" t="s">
        <v>1840</v>
      </c>
      <c r="O2253" s="5">
        <v>548.2662553</v>
      </c>
      <c r="P2253" s="6" t="str">
        <f t="shared" si="2"/>
        <v>Computers - Software &amp; Consulting</v>
      </c>
    </row>
    <row r="2254">
      <c r="A2254" s="3" t="s">
        <v>9410</v>
      </c>
      <c r="B2254" s="4">
        <v>543253.0</v>
      </c>
      <c r="C2254" s="3" t="s">
        <v>9411</v>
      </c>
      <c r="D2254" s="3" t="s">
        <v>9412</v>
      </c>
      <c r="E2254" s="3" t="s">
        <v>9413</v>
      </c>
      <c r="F2254" s="3" t="s">
        <v>19</v>
      </c>
      <c r="G2254" s="3" t="s">
        <v>20</v>
      </c>
      <c r="H2254" s="3">
        <v>10.0</v>
      </c>
      <c r="I2254" s="3" t="s">
        <v>9414</v>
      </c>
      <c r="J2254" s="3" t="s">
        <v>22</v>
      </c>
      <c r="K2254" s="3" t="s">
        <v>145</v>
      </c>
      <c r="L2254" s="3" t="s">
        <v>145</v>
      </c>
      <c r="M2254" s="3" t="s">
        <v>597</v>
      </c>
      <c r="N2254" s="3" t="s">
        <v>2344</v>
      </c>
      <c r="O2254" s="5">
        <v>8291.3863235</v>
      </c>
      <c r="P2254" s="6" t="str">
        <f t="shared" si="2"/>
        <v>Food Products</v>
      </c>
    </row>
    <row r="2255">
      <c r="A2255" s="3" t="s">
        <v>9415</v>
      </c>
      <c r="B2255" s="4">
        <v>543306.0</v>
      </c>
      <c r="C2255" s="3" t="s">
        <v>9416</v>
      </c>
      <c r="D2255" s="3" t="s">
        <v>9417</v>
      </c>
      <c r="E2255" s="3" t="s">
        <v>9418</v>
      </c>
      <c r="F2255" s="3" t="s">
        <v>19</v>
      </c>
      <c r="G2255" s="3" t="s">
        <v>112</v>
      </c>
      <c r="H2255" s="3">
        <v>10.0</v>
      </c>
      <c r="I2255" s="3" t="s">
        <v>9419</v>
      </c>
      <c r="J2255" s="3" t="s">
        <v>22</v>
      </c>
      <c r="K2255" s="3" t="s">
        <v>145</v>
      </c>
      <c r="L2255" s="3" t="s">
        <v>145</v>
      </c>
      <c r="M2255" s="3" t="s">
        <v>597</v>
      </c>
      <c r="N2255" s="3" t="s">
        <v>598</v>
      </c>
      <c r="O2255" s="5">
        <v>5923.1400073</v>
      </c>
      <c r="P2255" s="6" t="str">
        <f t="shared" si="2"/>
        <v>Food Products</v>
      </c>
    </row>
    <row r="2256">
      <c r="A2256" s="3" t="s">
        <v>9420</v>
      </c>
      <c r="B2256" s="4">
        <v>543458.0</v>
      </c>
      <c r="C2256" s="3" t="s">
        <v>9421</v>
      </c>
      <c r="D2256" s="3" t="s">
        <v>9422</v>
      </c>
      <c r="E2256" s="3" t="s">
        <v>9423</v>
      </c>
      <c r="F2256" s="3" t="s">
        <v>19</v>
      </c>
      <c r="G2256" s="3" t="s">
        <v>20</v>
      </c>
      <c r="H2256" s="3">
        <v>1.0</v>
      </c>
      <c r="I2256" s="3" t="s">
        <v>9424</v>
      </c>
      <c r="J2256" s="3" t="s">
        <v>22</v>
      </c>
      <c r="K2256" s="3" t="s">
        <v>145</v>
      </c>
      <c r="L2256" s="3" t="s">
        <v>145</v>
      </c>
      <c r="M2256" s="3" t="s">
        <v>146</v>
      </c>
      <c r="N2256" s="3" t="s">
        <v>575</v>
      </c>
      <c r="O2256" s="5">
        <v>43707.3427358</v>
      </c>
      <c r="P2256" s="6" t="str">
        <f t="shared" si="2"/>
        <v>Agricultural Food &amp; other Products</v>
      </c>
    </row>
    <row r="2257" hidden="1">
      <c r="A2257" s="3" t="s">
        <v>9425</v>
      </c>
      <c r="B2257" s="4">
        <v>532180.0</v>
      </c>
      <c r="C2257" s="3" t="s">
        <v>9426</v>
      </c>
      <c r="D2257" s="3" t="s">
        <v>9427</v>
      </c>
      <c r="E2257" s="3" t="s">
        <v>9426</v>
      </c>
      <c r="F2257" s="3" t="s">
        <v>19</v>
      </c>
      <c r="G2257" s="3" t="s">
        <v>112</v>
      </c>
      <c r="H2257" s="3">
        <v>10.0</v>
      </c>
      <c r="I2257" s="3" t="s">
        <v>9425</v>
      </c>
      <c r="J2257" s="3" t="s">
        <v>22</v>
      </c>
      <c r="K2257" s="3" t="s">
        <v>204</v>
      </c>
      <c r="L2257" s="3" t="s">
        <v>204</v>
      </c>
      <c r="M2257" s="3" t="s">
        <v>9428</v>
      </c>
      <c r="N2257" s="3" t="s">
        <v>9429</v>
      </c>
      <c r="O2257" s="5">
        <v>1074.2207508</v>
      </c>
      <c r="P2257" s="6" t="str">
        <f t="shared" si="2"/>
        <v>Private Sector Bank</v>
      </c>
    </row>
    <row r="2258">
      <c r="A2258" s="3" t="s">
        <v>617</v>
      </c>
      <c r="B2258" s="4">
        <v>543653.0</v>
      </c>
      <c r="C2258" s="3" t="s">
        <v>9430</v>
      </c>
      <c r="D2258" s="3" t="s">
        <v>9431</v>
      </c>
      <c r="E2258" s="3" t="s">
        <v>9432</v>
      </c>
      <c r="F2258" s="3" t="s">
        <v>19</v>
      </c>
      <c r="G2258" s="3" t="s">
        <v>20</v>
      </c>
      <c r="H2258" s="3">
        <v>1.0</v>
      </c>
      <c r="I2258" s="3" t="s">
        <v>9433</v>
      </c>
      <c r="J2258" s="3" t="s">
        <v>22</v>
      </c>
      <c r="K2258" s="3" t="s">
        <v>145</v>
      </c>
      <c r="L2258" s="3" t="s">
        <v>145</v>
      </c>
      <c r="M2258" s="3" t="s">
        <v>597</v>
      </c>
      <c r="N2258" s="3" t="s">
        <v>2344</v>
      </c>
      <c r="O2258" s="5">
        <v>18156.9631676</v>
      </c>
      <c r="P2258" s="6" t="str">
        <f t="shared" si="2"/>
        <v>Food Products</v>
      </c>
    </row>
    <row r="2259" hidden="1">
      <c r="A2259" s="3" t="s">
        <v>9434</v>
      </c>
      <c r="B2259" s="4">
        <v>532183.0</v>
      </c>
      <c r="C2259" s="3" t="s">
        <v>9435</v>
      </c>
      <c r="D2259" s="3" t="s">
        <v>9436</v>
      </c>
      <c r="E2259" s="3" t="s">
        <v>9437</v>
      </c>
      <c r="F2259" s="3" t="s">
        <v>19</v>
      </c>
      <c r="G2259" s="3" t="s">
        <v>44</v>
      </c>
      <c r="H2259" s="3">
        <v>10.0</v>
      </c>
      <c r="I2259" s="3" t="s">
        <v>9434</v>
      </c>
      <c r="J2259" s="3" t="s">
        <v>22</v>
      </c>
      <c r="K2259" s="3" t="s">
        <v>145</v>
      </c>
      <c r="L2259" s="3" t="s">
        <v>145</v>
      </c>
      <c r="M2259" s="3" t="s">
        <v>146</v>
      </c>
      <c r="N2259" s="3" t="s">
        <v>147</v>
      </c>
      <c r="O2259" s="5">
        <v>151.5201382</v>
      </c>
      <c r="P2259" s="6" t="str">
        <f t="shared" si="2"/>
        <v>Agricultural Food &amp; other Products</v>
      </c>
    </row>
    <row r="2260">
      <c r="A2260" s="3" t="s">
        <v>9438</v>
      </c>
      <c r="B2260" s="4">
        <v>544014.0</v>
      </c>
      <c r="C2260" s="3" t="s">
        <v>9439</v>
      </c>
      <c r="D2260" s="3" t="s">
        <v>9440</v>
      </c>
      <c r="E2260" s="3" t="s">
        <v>9441</v>
      </c>
      <c r="F2260" s="3" t="s">
        <v>19</v>
      </c>
      <c r="G2260" s="3" t="s">
        <v>112</v>
      </c>
      <c r="H2260" s="3">
        <v>10.0</v>
      </c>
      <c r="I2260" s="3" t="s">
        <v>9442</v>
      </c>
      <c r="J2260" s="3" t="s">
        <v>22</v>
      </c>
      <c r="K2260" s="3" t="s">
        <v>145</v>
      </c>
      <c r="L2260" s="3" t="s">
        <v>145</v>
      </c>
      <c r="M2260" s="3" t="s">
        <v>2790</v>
      </c>
      <c r="N2260" s="3" t="s">
        <v>2791</v>
      </c>
      <c r="O2260" s="5">
        <v>13885.39674</v>
      </c>
      <c r="P2260" s="6" t="str">
        <f t="shared" si="2"/>
        <v>Personal Products</v>
      </c>
    </row>
    <row r="2261">
      <c r="A2261" s="3" t="s">
        <v>1353</v>
      </c>
      <c r="B2261" s="4">
        <v>544045.0</v>
      </c>
      <c r="C2261" s="3" t="s">
        <v>9443</v>
      </c>
      <c r="D2261" s="3" t="s">
        <v>9444</v>
      </c>
      <c r="E2261" s="3" t="s">
        <v>9445</v>
      </c>
      <c r="F2261" s="3" t="s">
        <v>19</v>
      </c>
      <c r="G2261" s="3" t="s">
        <v>112</v>
      </c>
      <c r="H2261" s="3">
        <v>10.0</v>
      </c>
      <c r="I2261" s="3" t="s">
        <v>9446</v>
      </c>
      <c r="J2261" s="3" t="s">
        <v>22</v>
      </c>
      <c r="K2261" s="3" t="s">
        <v>145</v>
      </c>
      <c r="L2261" s="3" t="s">
        <v>145</v>
      </c>
      <c r="M2261" s="3" t="s">
        <v>1757</v>
      </c>
      <c r="N2261" s="3" t="s">
        <v>5735</v>
      </c>
      <c r="O2261" s="5">
        <v>12693.4945203</v>
      </c>
      <c r="P2261" s="6" t="str">
        <f t="shared" si="2"/>
        <v>Household Products</v>
      </c>
    </row>
    <row r="2262">
      <c r="A2262" s="3" t="s">
        <v>9447</v>
      </c>
      <c r="B2262" s="4">
        <v>500034.0</v>
      </c>
      <c r="C2262" s="3" t="s">
        <v>9448</v>
      </c>
      <c r="D2262" s="3" t="s">
        <v>9449</v>
      </c>
      <c r="E2262" s="3" t="s">
        <v>9448</v>
      </c>
      <c r="F2262" s="3" t="s">
        <v>19</v>
      </c>
      <c r="G2262" s="3" t="s">
        <v>20</v>
      </c>
      <c r="H2262" s="3">
        <v>2.0</v>
      </c>
      <c r="I2262" s="3" t="s">
        <v>119</v>
      </c>
      <c r="J2262" s="3" t="s">
        <v>22</v>
      </c>
      <c r="K2262" s="3" t="s">
        <v>204</v>
      </c>
      <c r="L2262" s="3" t="s">
        <v>204</v>
      </c>
      <c r="M2262" s="3" t="s">
        <v>378</v>
      </c>
      <c r="N2262" s="3" t="s">
        <v>379</v>
      </c>
      <c r="O2262" s="5">
        <v>434800.3202244</v>
      </c>
      <c r="P2262" s="6" t="str">
        <f t="shared" si="2"/>
        <v>Non Banking Financial Company (NBFC)</v>
      </c>
    </row>
    <row r="2263">
      <c r="A2263" s="3" t="s">
        <v>9450</v>
      </c>
      <c r="B2263" s="4">
        <v>500092.0</v>
      </c>
      <c r="C2263" s="3" t="s">
        <v>9451</v>
      </c>
      <c r="D2263" s="3" t="s">
        <v>9452</v>
      </c>
      <c r="E2263" s="3" t="s">
        <v>9453</v>
      </c>
      <c r="F2263" s="3" t="s">
        <v>19</v>
      </c>
      <c r="G2263" s="3" t="s">
        <v>20</v>
      </c>
      <c r="H2263" s="3">
        <v>1.0</v>
      </c>
      <c r="I2263" s="3" t="s">
        <v>247</v>
      </c>
      <c r="J2263" s="3" t="s">
        <v>22</v>
      </c>
      <c r="K2263" s="3" t="s">
        <v>204</v>
      </c>
      <c r="L2263" s="3" t="s">
        <v>204</v>
      </c>
      <c r="M2263" s="3" t="s">
        <v>378</v>
      </c>
      <c r="N2263" s="3" t="s">
        <v>468</v>
      </c>
      <c r="O2263" s="5">
        <v>30062.107356</v>
      </c>
      <c r="P2263" s="6" t="str">
        <f t="shared" si="2"/>
        <v>Finance</v>
      </c>
    </row>
    <row r="2264" hidden="1">
      <c r="A2264" s="3" t="s">
        <v>9454</v>
      </c>
      <c r="B2264" s="4">
        <v>532212.0</v>
      </c>
      <c r="C2264" s="3" t="s">
        <v>9455</v>
      </c>
      <c r="D2264" s="3" t="s">
        <v>9456</v>
      </c>
      <c r="E2264" s="3" t="s">
        <v>9457</v>
      </c>
      <c r="F2264" s="3" t="s">
        <v>19</v>
      </c>
      <c r="G2264" s="3" t="s">
        <v>112</v>
      </c>
      <c r="H2264" s="3">
        <v>2.0</v>
      </c>
      <c r="I2264" s="3" t="s">
        <v>9454</v>
      </c>
      <c r="J2264" s="3" t="s">
        <v>22</v>
      </c>
      <c r="K2264" s="3" t="s">
        <v>58</v>
      </c>
      <c r="L2264" s="3" t="s">
        <v>211</v>
      </c>
      <c r="M2264" s="3" t="s">
        <v>211</v>
      </c>
      <c r="N2264" s="3" t="s">
        <v>6778</v>
      </c>
      <c r="O2264" s="5">
        <v>86.423725</v>
      </c>
      <c r="P2264" s="6" t="str">
        <f t="shared" si="2"/>
        <v>Consumer Durables</v>
      </c>
    </row>
    <row r="2265">
      <c r="A2265" s="3" t="s">
        <v>9458</v>
      </c>
      <c r="B2265" s="4">
        <v>500106.0</v>
      </c>
      <c r="C2265" s="3" t="s">
        <v>9459</v>
      </c>
      <c r="D2265" s="3" t="s">
        <v>9460</v>
      </c>
      <c r="E2265" s="3" t="s">
        <v>9461</v>
      </c>
      <c r="F2265" s="3" t="s">
        <v>19</v>
      </c>
      <c r="G2265" s="3" t="s">
        <v>20</v>
      </c>
      <c r="H2265" s="3">
        <v>10.0</v>
      </c>
      <c r="I2265" s="3" t="s">
        <v>281</v>
      </c>
      <c r="J2265" s="3" t="s">
        <v>22</v>
      </c>
      <c r="K2265" s="3" t="s">
        <v>204</v>
      </c>
      <c r="L2265" s="3" t="s">
        <v>204</v>
      </c>
      <c r="M2265" s="3" t="s">
        <v>378</v>
      </c>
      <c r="N2265" s="3" t="s">
        <v>6960</v>
      </c>
      <c r="O2265" s="5">
        <v>15957.1323116</v>
      </c>
      <c r="P2265" s="6" t="str">
        <f t="shared" si="2"/>
        <v>Finance</v>
      </c>
    </row>
    <row r="2266" hidden="1">
      <c r="A2266" s="3" t="s">
        <v>9462</v>
      </c>
      <c r="B2266" s="4">
        <v>532216.0</v>
      </c>
      <c r="C2266" s="3" t="s">
        <v>9463</v>
      </c>
      <c r="D2266" s="3" t="s">
        <v>9464</v>
      </c>
      <c r="E2266" s="3" t="s">
        <v>9465</v>
      </c>
      <c r="F2266" s="3" t="s">
        <v>19</v>
      </c>
      <c r="G2266" s="3" t="s">
        <v>112</v>
      </c>
      <c r="H2266" s="3">
        <v>10.0</v>
      </c>
      <c r="I2266" s="3" t="s">
        <v>9462</v>
      </c>
      <c r="J2266" s="3" t="s">
        <v>22</v>
      </c>
      <c r="K2266" s="3" t="s">
        <v>204</v>
      </c>
      <c r="L2266" s="3" t="s">
        <v>204</v>
      </c>
      <c r="M2266" s="3" t="s">
        <v>378</v>
      </c>
      <c r="N2266" s="3" t="s">
        <v>379</v>
      </c>
      <c r="O2266" s="5">
        <v>76.1352973</v>
      </c>
      <c r="P2266" s="6" t="str">
        <f t="shared" si="2"/>
        <v>Non Banking Financial Company (NBFC)</v>
      </c>
    </row>
    <row r="2267" hidden="1">
      <c r="A2267" s="3" t="s">
        <v>9466</v>
      </c>
      <c r="B2267" s="4">
        <v>532217.0</v>
      </c>
      <c r="C2267" s="3" t="s">
        <v>9467</v>
      </c>
      <c r="D2267" s="3" t="s">
        <v>9468</v>
      </c>
      <c r="E2267" s="3" t="s">
        <v>9469</v>
      </c>
      <c r="F2267" s="3" t="s">
        <v>19</v>
      </c>
      <c r="G2267" s="3" t="s">
        <v>72</v>
      </c>
      <c r="H2267" s="3">
        <v>10.0</v>
      </c>
      <c r="I2267" s="3" t="s">
        <v>9466</v>
      </c>
      <c r="J2267" s="3" t="s">
        <v>22</v>
      </c>
      <c r="K2267" s="3" t="s">
        <v>204</v>
      </c>
      <c r="L2267" s="3" t="s">
        <v>204</v>
      </c>
      <c r="M2267" s="3" t="s">
        <v>378</v>
      </c>
      <c r="N2267" s="3" t="s">
        <v>468</v>
      </c>
      <c r="O2267" s="5">
        <v>1.0</v>
      </c>
      <c r="P2267" s="6" t="str">
        <f t="shared" si="2"/>
        <v>Finance</v>
      </c>
    </row>
    <row r="2268">
      <c r="A2268" s="3" t="s">
        <v>9470</v>
      </c>
      <c r="B2268" s="4">
        <v>500112.0</v>
      </c>
      <c r="C2268" s="3" t="s">
        <v>9471</v>
      </c>
      <c r="D2268" s="3" t="s">
        <v>9472</v>
      </c>
      <c r="E2268" s="3" t="s">
        <v>9473</v>
      </c>
      <c r="F2268" s="3" t="s">
        <v>19</v>
      </c>
      <c r="G2268" s="3" t="s">
        <v>20</v>
      </c>
      <c r="H2268" s="3">
        <v>1.0</v>
      </c>
      <c r="I2268" s="3" t="s">
        <v>303</v>
      </c>
      <c r="J2268" s="3" t="s">
        <v>22</v>
      </c>
      <c r="K2268" s="3" t="s">
        <v>204</v>
      </c>
      <c r="L2268" s="3" t="s">
        <v>204</v>
      </c>
      <c r="M2268" s="3" t="s">
        <v>9428</v>
      </c>
      <c r="N2268" s="3" t="s">
        <v>9474</v>
      </c>
      <c r="O2268" s="5">
        <v>741207.3203841</v>
      </c>
      <c r="P2268" s="6" t="str">
        <f t="shared" si="2"/>
        <v>Banks</v>
      </c>
    </row>
    <row r="2269" hidden="1">
      <c r="A2269" s="3" t="s">
        <v>9475</v>
      </c>
      <c r="B2269" s="4">
        <v>532219.0</v>
      </c>
      <c r="C2269" s="3" t="s">
        <v>9476</v>
      </c>
      <c r="D2269" s="3" t="s">
        <v>9477</v>
      </c>
      <c r="E2269" s="3" t="s">
        <v>9478</v>
      </c>
      <c r="F2269" s="3" t="s">
        <v>19</v>
      </c>
      <c r="G2269" s="3" t="s">
        <v>112</v>
      </c>
      <c r="H2269" s="3">
        <v>10.0</v>
      </c>
      <c r="I2269" s="3" t="s">
        <v>9475</v>
      </c>
      <c r="J2269" s="3" t="s">
        <v>22</v>
      </c>
      <c r="K2269" s="3" t="s">
        <v>1647</v>
      </c>
      <c r="L2269" s="3" t="s">
        <v>1648</v>
      </c>
      <c r="M2269" s="3" t="s">
        <v>1648</v>
      </c>
      <c r="N2269" s="3" t="s">
        <v>1649</v>
      </c>
      <c r="O2269" s="5">
        <v>111.5289071</v>
      </c>
      <c r="P2269" s="6" t="str">
        <f t="shared" si="2"/>
        <v>Power</v>
      </c>
    </row>
    <row r="2270">
      <c r="A2270" s="3" t="s">
        <v>9479</v>
      </c>
      <c r="B2270" s="4">
        <v>500116.0</v>
      </c>
      <c r="C2270" s="3" t="s">
        <v>9480</v>
      </c>
      <c r="D2270" s="3" t="s">
        <v>9481</v>
      </c>
      <c r="E2270" s="3" t="s">
        <v>9482</v>
      </c>
      <c r="F2270" s="3" t="s">
        <v>19</v>
      </c>
      <c r="G2270" s="3" t="s">
        <v>20</v>
      </c>
      <c r="H2270" s="3">
        <v>10.0</v>
      </c>
      <c r="I2270" s="3" t="s">
        <v>317</v>
      </c>
      <c r="J2270" s="3" t="s">
        <v>22</v>
      </c>
      <c r="K2270" s="3" t="s">
        <v>204</v>
      </c>
      <c r="L2270" s="3" t="s">
        <v>204</v>
      </c>
      <c r="M2270" s="3" t="s">
        <v>9428</v>
      </c>
      <c r="N2270" s="3" t="s">
        <v>9429</v>
      </c>
      <c r="O2270" s="5">
        <v>90041.961465</v>
      </c>
      <c r="P2270" s="6" t="str">
        <f t="shared" si="2"/>
        <v>Private Sector Bank</v>
      </c>
    </row>
    <row r="2271" hidden="1">
      <c r="A2271" s="3" t="s">
        <v>9483</v>
      </c>
      <c r="B2271" s="4">
        <v>532230.0</v>
      </c>
      <c r="C2271" s="3" t="s">
        <v>9484</v>
      </c>
      <c r="D2271" s="3" t="s">
        <v>9485</v>
      </c>
      <c r="E2271" s="3" t="s">
        <v>9486</v>
      </c>
      <c r="F2271" s="3" t="s">
        <v>19</v>
      </c>
      <c r="G2271" s="3" t="s">
        <v>44</v>
      </c>
      <c r="H2271" s="3">
        <v>10.0</v>
      </c>
      <c r="I2271" s="3" t="s">
        <v>9483</v>
      </c>
      <c r="J2271" s="3" t="s">
        <v>22</v>
      </c>
      <c r="K2271" s="3" t="s">
        <v>145</v>
      </c>
      <c r="L2271" s="3" t="s">
        <v>145</v>
      </c>
      <c r="M2271" s="3" t="s">
        <v>146</v>
      </c>
      <c r="N2271" s="3" t="s">
        <v>444</v>
      </c>
      <c r="O2271" s="5">
        <v>134.5367203</v>
      </c>
      <c r="P2271" s="6" t="str">
        <f t="shared" si="2"/>
        <v>Agricultural Food &amp; other Products</v>
      </c>
    </row>
    <row r="2272">
      <c r="A2272" s="3" t="s">
        <v>622</v>
      </c>
      <c r="B2272" s="4">
        <v>500180.0</v>
      </c>
      <c r="C2272" s="3" t="s">
        <v>9487</v>
      </c>
      <c r="D2272" s="3" t="s">
        <v>9488</v>
      </c>
      <c r="E2272" s="3" t="s">
        <v>9489</v>
      </c>
      <c r="F2272" s="3" t="s">
        <v>19</v>
      </c>
      <c r="G2272" s="3" t="s">
        <v>20</v>
      </c>
      <c r="H2272" s="3">
        <v>1.0</v>
      </c>
      <c r="I2272" s="3" t="s">
        <v>476</v>
      </c>
      <c r="J2272" s="3" t="s">
        <v>22</v>
      </c>
      <c r="K2272" s="3" t="s">
        <v>204</v>
      </c>
      <c r="L2272" s="3" t="s">
        <v>204</v>
      </c>
      <c r="M2272" s="3" t="s">
        <v>9428</v>
      </c>
      <c r="N2272" s="3" t="s">
        <v>9429</v>
      </c>
      <c r="O2272" s="5">
        <v>1341849.2100362</v>
      </c>
      <c r="P2272" s="6" t="str">
        <f t="shared" si="2"/>
        <v>Private Sector Bank</v>
      </c>
    </row>
    <row r="2273" hidden="1">
      <c r="A2273" s="3" t="s">
        <v>9490</v>
      </c>
      <c r="B2273" s="4">
        <v>532240.0</v>
      </c>
      <c r="C2273" s="3" t="s">
        <v>9491</v>
      </c>
      <c r="D2273" s="3" t="s">
        <v>9492</v>
      </c>
      <c r="E2273" s="3" t="s">
        <v>9493</v>
      </c>
      <c r="F2273" s="3" t="s">
        <v>19</v>
      </c>
      <c r="G2273" s="3" t="s">
        <v>112</v>
      </c>
      <c r="H2273" s="3">
        <v>5.0</v>
      </c>
      <c r="I2273" s="3" t="s">
        <v>9490</v>
      </c>
      <c r="J2273" s="3" t="s">
        <v>22</v>
      </c>
      <c r="K2273" s="3" t="s">
        <v>58</v>
      </c>
      <c r="L2273" s="3" t="s">
        <v>133</v>
      </c>
      <c r="M2273" s="3" t="s">
        <v>134</v>
      </c>
      <c r="N2273" s="3" t="s">
        <v>135</v>
      </c>
      <c r="O2273" s="5">
        <v>1822.368366</v>
      </c>
      <c r="P2273" s="6" t="str">
        <f t="shared" si="2"/>
        <v>Auto Components &amp; Equipments</v>
      </c>
    </row>
    <row r="2274" hidden="1">
      <c r="A2274" s="3" t="s">
        <v>9494</v>
      </c>
      <c r="B2274" s="4">
        <v>532256.0</v>
      </c>
      <c r="C2274" s="3" t="s">
        <v>9495</v>
      </c>
      <c r="D2274" s="3" t="s">
        <v>9496</v>
      </c>
      <c r="E2274" s="3" t="s">
        <v>9497</v>
      </c>
      <c r="F2274" s="3" t="s">
        <v>19</v>
      </c>
      <c r="G2274" s="3" t="s">
        <v>112</v>
      </c>
      <c r="H2274" s="3">
        <v>10.0</v>
      </c>
      <c r="I2274" s="3" t="s">
        <v>9494</v>
      </c>
      <c r="J2274" s="3" t="s">
        <v>22</v>
      </c>
      <c r="K2274" s="3" t="s">
        <v>204</v>
      </c>
      <c r="L2274" s="3" t="s">
        <v>204</v>
      </c>
      <c r="M2274" s="3" t="s">
        <v>378</v>
      </c>
      <c r="N2274" s="3" t="s">
        <v>379</v>
      </c>
      <c r="O2274" s="5">
        <v>2244.8391857</v>
      </c>
      <c r="P2274" s="6" t="str">
        <f t="shared" si="2"/>
        <v>Non Banking Financial Company (NBFC)</v>
      </c>
    </row>
    <row r="2275">
      <c r="A2275" s="3" t="s">
        <v>9498</v>
      </c>
      <c r="B2275" s="4">
        <v>500247.0</v>
      </c>
      <c r="C2275" s="3" t="s">
        <v>9499</v>
      </c>
      <c r="D2275" s="3" t="s">
        <v>9500</v>
      </c>
      <c r="E2275" s="3" t="s">
        <v>9501</v>
      </c>
      <c r="F2275" s="3" t="s">
        <v>19</v>
      </c>
      <c r="G2275" s="3" t="s">
        <v>20</v>
      </c>
      <c r="H2275" s="3">
        <v>5.0</v>
      </c>
      <c r="I2275" s="3" t="s">
        <v>649</v>
      </c>
      <c r="J2275" s="3" t="s">
        <v>22</v>
      </c>
      <c r="K2275" s="3" t="s">
        <v>204</v>
      </c>
      <c r="L2275" s="3" t="s">
        <v>204</v>
      </c>
      <c r="M2275" s="3" t="s">
        <v>9428</v>
      </c>
      <c r="N2275" s="3" t="s">
        <v>9429</v>
      </c>
      <c r="O2275" s="5">
        <v>355781.56785</v>
      </c>
      <c r="P2275" s="6" t="str">
        <f t="shared" si="2"/>
        <v>Private Sector Bank</v>
      </c>
    </row>
    <row r="2276" hidden="1">
      <c r="A2276" s="3" t="s">
        <v>4044</v>
      </c>
      <c r="B2276" s="4">
        <v>523650.0</v>
      </c>
      <c r="C2276" s="3" t="s">
        <v>9502</v>
      </c>
      <c r="D2276" s="3" t="s">
        <v>9503</v>
      </c>
      <c r="E2276" s="3" t="s">
        <v>9504</v>
      </c>
      <c r="F2276" s="3" t="s">
        <v>19</v>
      </c>
      <c r="G2276" s="3" t="s">
        <v>44</v>
      </c>
      <c r="H2276" s="3">
        <v>10.0</v>
      </c>
      <c r="I2276" s="3" t="s">
        <v>5966</v>
      </c>
      <c r="J2276" s="3" t="s">
        <v>22</v>
      </c>
      <c r="K2276" s="3" t="s">
        <v>1673</v>
      </c>
      <c r="L2276" s="3" t="s">
        <v>1673</v>
      </c>
      <c r="M2276" s="3" t="s">
        <v>1674</v>
      </c>
      <c r="N2276" s="3" t="s">
        <v>1675</v>
      </c>
      <c r="O2276" s="5">
        <v>16.08371</v>
      </c>
      <c r="P2276" s="6" t="str">
        <f t="shared" si="2"/>
        <v>Commercial Services &amp; Supplies</v>
      </c>
    </row>
    <row r="2277" hidden="1">
      <c r="A2277" s="3" t="s">
        <v>9505</v>
      </c>
      <c r="B2277" s="4">
        <v>532268.0</v>
      </c>
      <c r="C2277" s="3" t="s">
        <v>9506</v>
      </c>
      <c r="D2277" s="3" t="s">
        <v>9507</v>
      </c>
      <c r="E2277" s="3" t="s">
        <v>9508</v>
      </c>
      <c r="F2277" s="3" t="s">
        <v>19</v>
      </c>
      <c r="G2277" s="3" t="s">
        <v>112</v>
      </c>
      <c r="H2277" s="3">
        <v>10.0</v>
      </c>
      <c r="I2277" s="3" t="s">
        <v>9505</v>
      </c>
      <c r="J2277" s="3" t="s">
        <v>22</v>
      </c>
      <c r="K2277" s="3" t="s">
        <v>473</v>
      </c>
      <c r="L2277" s="3" t="s">
        <v>473</v>
      </c>
      <c r="M2277" s="3" t="s">
        <v>1391</v>
      </c>
      <c r="N2277" s="3" t="s">
        <v>1840</v>
      </c>
      <c r="O2277" s="5">
        <v>2586.8880707</v>
      </c>
      <c r="P2277" s="6" t="str">
        <f t="shared" si="2"/>
        <v>Computers - Software &amp; Consulting</v>
      </c>
    </row>
    <row r="2278" hidden="1">
      <c r="A2278" s="3" t="s">
        <v>9509</v>
      </c>
      <c r="B2278" s="4">
        <v>532271.0</v>
      </c>
      <c r="C2278" s="3" t="s">
        <v>9510</v>
      </c>
      <c r="D2278" s="3" t="s">
        <v>9511</v>
      </c>
      <c r="E2278" s="3" t="s">
        <v>9512</v>
      </c>
      <c r="F2278" s="3" t="s">
        <v>19</v>
      </c>
      <c r="G2278" s="3" t="s">
        <v>72</v>
      </c>
      <c r="H2278" s="3">
        <v>2.0</v>
      </c>
      <c r="I2278" s="3" t="s">
        <v>9509</v>
      </c>
      <c r="J2278" s="3" t="s">
        <v>22</v>
      </c>
      <c r="K2278" s="3" t="s">
        <v>473</v>
      </c>
      <c r="L2278" s="3" t="s">
        <v>473</v>
      </c>
      <c r="M2278" s="3" t="s">
        <v>1391</v>
      </c>
      <c r="N2278" s="3" t="s">
        <v>1840</v>
      </c>
      <c r="O2278" s="5">
        <v>66.57161</v>
      </c>
      <c r="P2278" s="6" t="str">
        <f t="shared" si="2"/>
        <v>Computers - Software &amp; Consulting</v>
      </c>
    </row>
    <row r="2279">
      <c r="A2279" s="3" t="s">
        <v>9513</v>
      </c>
      <c r="B2279" s="4">
        <v>500253.0</v>
      </c>
      <c r="C2279" s="3" t="s">
        <v>9514</v>
      </c>
      <c r="D2279" s="3" t="s">
        <v>9515</v>
      </c>
      <c r="E2279" s="3" t="s">
        <v>9516</v>
      </c>
      <c r="F2279" s="3" t="s">
        <v>19</v>
      </c>
      <c r="G2279" s="3" t="s">
        <v>20</v>
      </c>
      <c r="H2279" s="3">
        <v>2.0</v>
      </c>
      <c r="I2279" s="3" t="s">
        <v>678</v>
      </c>
      <c r="J2279" s="3" t="s">
        <v>22</v>
      </c>
      <c r="K2279" s="3" t="s">
        <v>204</v>
      </c>
      <c r="L2279" s="3" t="s">
        <v>204</v>
      </c>
      <c r="M2279" s="3" t="s">
        <v>378</v>
      </c>
      <c r="N2279" s="3" t="s">
        <v>3066</v>
      </c>
      <c r="O2279" s="5">
        <v>43190.1167053</v>
      </c>
      <c r="P2279" s="6" t="str">
        <f t="shared" si="2"/>
        <v>Finance</v>
      </c>
    </row>
    <row r="2280" hidden="1">
      <c r="A2280" s="3" t="s">
        <v>9517</v>
      </c>
      <c r="B2280" s="4">
        <v>532284.0</v>
      </c>
      <c r="C2280" s="3" t="s">
        <v>9518</v>
      </c>
      <c r="D2280" s="3" t="s">
        <v>9519</v>
      </c>
      <c r="E2280" s="3" t="s">
        <v>9520</v>
      </c>
      <c r="F2280" s="3" t="s">
        <v>19</v>
      </c>
      <c r="G2280" s="3" t="s">
        <v>44</v>
      </c>
      <c r="H2280" s="3">
        <v>10.0</v>
      </c>
      <c r="I2280" s="3" t="s">
        <v>9517</v>
      </c>
      <c r="J2280" s="3" t="s">
        <v>22</v>
      </c>
      <c r="K2280" s="3" t="s">
        <v>204</v>
      </c>
      <c r="L2280" s="3" t="s">
        <v>204</v>
      </c>
      <c r="M2280" s="3" t="s">
        <v>378</v>
      </c>
      <c r="N2280" s="3" t="s">
        <v>379</v>
      </c>
      <c r="O2280" s="5">
        <v>66.7473216</v>
      </c>
      <c r="P2280" s="6" t="str">
        <f t="shared" si="2"/>
        <v>Non Banking Financial Company (NBFC)</v>
      </c>
    </row>
    <row r="2281" hidden="1">
      <c r="A2281" s="3" t="s">
        <v>9521</v>
      </c>
      <c r="B2281" s="4">
        <v>532285.0</v>
      </c>
      <c r="C2281" s="3" t="s">
        <v>9522</v>
      </c>
      <c r="D2281" s="3" t="s">
        <v>9523</v>
      </c>
      <c r="E2281" s="3" t="s">
        <v>9524</v>
      </c>
      <c r="F2281" s="3" t="s">
        <v>19</v>
      </c>
      <c r="G2281" s="3" t="s">
        <v>112</v>
      </c>
      <c r="H2281" s="3">
        <v>1.0</v>
      </c>
      <c r="I2281" s="3" t="s">
        <v>9521</v>
      </c>
      <c r="J2281" s="3" t="s">
        <v>22</v>
      </c>
      <c r="K2281" s="3" t="s">
        <v>204</v>
      </c>
      <c r="L2281" s="3" t="s">
        <v>204</v>
      </c>
      <c r="M2281" s="3" t="s">
        <v>205</v>
      </c>
      <c r="N2281" s="3" t="s">
        <v>2109</v>
      </c>
      <c r="O2281" s="5">
        <v>2399.6252964</v>
      </c>
      <c r="P2281" s="6" t="str">
        <f t="shared" si="2"/>
        <v>Capital Markets</v>
      </c>
    </row>
    <row r="2282">
      <c r="A2282" s="3" t="s">
        <v>635</v>
      </c>
      <c r="B2282" s="4">
        <v>500266.0</v>
      </c>
      <c r="C2282" s="3" t="s">
        <v>9525</v>
      </c>
      <c r="D2282" s="3" t="s">
        <v>9526</v>
      </c>
      <c r="E2282" s="3" t="s">
        <v>9527</v>
      </c>
      <c r="F2282" s="3" t="s">
        <v>19</v>
      </c>
      <c r="G2282" s="3" t="s">
        <v>20</v>
      </c>
      <c r="H2282" s="3">
        <v>10.0</v>
      </c>
      <c r="I2282" s="3" t="s">
        <v>709</v>
      </c>
      <c r="J2282" s="3" t="s">
        <v>22</v>
      </c>
      <c r="K2282" s="3" t="s">
        <v>204</v>
      </c>
      <c r="L2282" s="3" t="s">
        <v>204</v>
      </c>
      <c r="M2282" s="3" t="s">
        <v>378</v>
      </c>
      <c r="N2282" s="3" t="s">
        <v>384</v>
      </c>
      <c r="O2282" s="5">
        <v>10392.86427</v>
      </c>
      <c r="P2282" s="6" t="str">
        <f t="shared" si="2"/>
        <v>Finance</v>
      </c>
    </row>
    <row r="2283" hidden="1">
      <c r="A2283" s="3" t="s">
        <v>9528</v>
      </c>
      <c r="B2283" s="4">
        <v>532290.0</v>
      </c>
      <c r="C2283" s="3" t="s">
        <v>9529</v>
      </c>
      <c r="D2283" s="3" t="s">
        <v>9530</v>
      </c>
      <c r="E2283" s="3" t="s">
        <v>9531</v>
      </c>
      <c r="F2283" s="3" t="s">
        <v>19</v>
      </c>
      <c r="G2283" s="3" t="s">
        <v>86</v>
      </c>
      <c r="H2283" s="3">
        <v>1.0</v>
      </c>
      <c r="I2283" s="3" t="s">
        <v>9528</v>
      </c>
      <c r="J2283" s="3" t="s">
        <v>22</v>
      </c>
      <c r="K2283" s="3" t="s">
        <v>204</v>
      </c>
      <c r="L2283" s="3" t="s">
        <v>204</v>
      </c>
      <c r="M2283" s="3" t="s">
        <v>378</v>
      </c>
      <c r="N2283" s="3" t="s">
        <v>384</v>
      </c>
      <c r="O2283" s="5">
        <v>95.7876858</v>
      </c>
      <c r="P2283" s="6" t="str">
        <f t="shared" si="2"/>
        <v>Finance</v>
      </c>
    </row>
    <row r="2284">
      <c r="A2284" s="3" t="s">
        <v>9532</v>
      </c>
      <c r="B2284" s="4">
        <v>500271.0</v>
      </c>
      <c r="C2284" s="3" t="s">
        <v>9533</v>
      </c>
      <c r="D2284" s="3" t="s">
        <v>9534</v>
      </c>
      <c r="E2284" s="3" t="s">
        <v>9535</v>
      </c>
      <c r="F2284" s="3" t="s">
        <v>19</v>
      </c>
      <c r="G2284" s="3" t="s">
        <v>20</v>
      </c>
      <c r="H2284" s="3">
        <v>2.0</v>
      </c>
      <c r="I2284" s="3" t="s">
        <v>727</v>
      </c>
      <c r="J2284" s="3" t="s">
        <v>22</v>
      </c>
      <c r="K2284" s="3" t="s">
        <v>204</v>
      </c>
      <c r="L2284" s="3" t="s">
        <v>204</v>
      </c>
      <c r="M2284" s="3" t="s">
        <v>9536</v>
      </c>
      <c r="N2284" s="3" t="s">
        <v>9537</v>
      </c>
      <c r="O2284" s="5">
        <v>33122.2227001</v>
      </c>
      <c r="P2284" s="6" t="str">
        <f t="shared" si="2"/>
        <v>Insurance</v>
      </c>
    </row>
    <row r="2285">
      <c r="A2285" s="3" t="s">
        <v>9538</v>
      </c>
      <c r="B2285" s="4">
        <v>500302.0</v>
      </c>
      <c r="C2285" s="3" t="s">
        <v>9539</v>
      </c>
      <c r="D2285" s="3" t="s">
        <v>9540</v>
      </c>
      <c r="E2285" s="3" t="s">
        <v>9541</v>
      </c>
      <c r="F2285" s="3" t="s">
        <v>19</v>
      </c>
      <c r="G2285" s="3" t="s">
        <v>20</v>
      </c>
      <c r="H2285" s="3">
        <v>2.0</v>
      </c>
      <c r="I2285" s="3" t="s">
        <v>791</v>
      </c>
      <c r="J2285" s="3" t="s">
        <v>22</v>
      </c>
      <c r="K2285" s="3" t="s">
        <v>204</v>
      </c>
      <c r="L2285" s="3" t="s">
        <v>204</v>
      </c>
      <c r="M2285" s="3" t="s">
        <v>378</v>
      </c>
      <c r="N2285" s="3" t="s">
        <v>379</v>
      </c>
      <c r="O2285" s="5">
        <v>20726.9756741</v>
      </c>
      <c r="P2285" s="6" t="str">
        <f t="shared" si="2"/>
        <v>Non Banking Financial Company (NBFC)</v>
      </c>
    </row>
    <row r="2286" hidden="1">
      <c r="A2286" s="3" t="s">
        <v>9542</v>
      </c>
      <c r="B2286" s="4">
        <v>532303.0</v>
      </c>
      <c r="C2286" s="3" t="s">
        <v>9543</v>
      </c>
      <c r="D2286" s="3" t="s">
        <v>9544</v>
      </c>
      <c r="E2286" s="3" t="s">
        <v>9545</v>
      </c>
      <c r="F2286" s="3" t="s">
        <v>19</v>
      </c>
      <c r="G2286" s="3" t="s">
        <v>44</v>
      </c>
      <c r="H2286" s="3">
        <v>10.0</v>
      </c>
      <c r="I2286" s="3" t="s">
        <v>9542</v>
      </c>
      <c r="J2286" s="3" t="s">
        <v>22</v>
      </c>
      <c r="K2286" s="3" t="s">
        <v>473</v>
      </c>
      <c r="L2286" s="3" t="s">
        <v>473</v>
      </c>
      <c r="M2286" s="3" t="s">
        <v>1391</v>
      </c>
      <c r="N2286" s="3" t="s">
        <v>1392</v>
      </c>
      <c r="O2286" s="5">
        <v>6.800295</v>
      </c>
      <c r="P2286" s="6" t="str">
        <f t="shared" si="2"/>
        <v>IT - Software</v>
      </c>
    </row>
    <row r="2287" hidden="1">
      <c r="A2287" s="3" t="s">
        <v>9546</v>
      </c>
      <c r="B2287" s="4">
        <v>532304.0</v>
      </c>
      <c r="C2287" s="3" t="s">
        <v>9547</v>
      </c>
      <c r="D2287" s="3" t="s">
        <v>9548</v>
      </c>
      <c r="E2287" s="3" t="s">
        <v>9547</v>
      </c>
      <c r="F2287" s="3" t="s">
        <v>19</v>
      </c>
      <c r="G2287" s="3" t="s">
        <v>44</v>
      </c>
      <c r="H2287" s="3">
        <v>10.0</v>
      </c>
      <c r="I2287" s="3" t="s">
        <v>9546</v>
      </c>
      <c r="J2287" s="3" t="s">
        <v>22</v>
      </c>
      <c r="K2287" s="3" t="s">
        <v>204</v>
      </c>
      <c r="L2287" s="3" t="s">
        <v>204</v>
      </c>
      <c r="M2287" s="3" t="s">
        <v>378</v>
      </c>
      <c r="N2287" s="3" t="s">
        <v>468</v>
      </c>
      <c r="O2287" s="5">
        <v>25.981059</v>
      </c>
      <c r="P2287" s="6" t="str">
        <f t="shared" si="2"/>
        <v>Finance</v>
      </c>
    </row>
    <row r="2288" hidden="1">
      <c r="A2288" s="3" t="s">
        <v>9549</v>
      </c>
      <c r="B2288" s="4">
        <v>532305.0</v>
      </c>
      <c r="C2288" s="3" t="s">
        <v>9550</v>
      </c>
      <c r="D2288" s="3" t="s">
        <v>9551</v>
      </c>
      <c r="E2288" s="3" t="s">
        <v>9552</v>
      </c>
      <c r="F2288" s="3" t="s">
        <v>19</v>
      </c>
      <c r="G2288" s="3" t="s">
        <v>112</v>
      </c>
      <c r="H2288" s="3">
        <v>10.0</v>
      </c>
      <c r="I2288" s="3" t="s">
        <v>9549</v>
      </c>
      <c r="J2288" s="3" t="s">
        <v>22</v>
      </c>
      <c r="K2288" s="3" t="s">
        <v>45</v>
      </c>
      <c r="L2288" s="3" t="s">
        <v>45</v>
      </c>
      <c r="M2288" s="3" t="s">
        <v>46</v>
      </c>
      <c r="N2288" s="3" t="s">
        <v>47</v>
      </c>
      <c r="O2288" s="5">
        <v>760.1935492</v>
      </c>
      <c r="P2288" s="6" t="str">
        <f t="shared" si="2"/>
        <v>Pharmaceuticals</v>
      </c>
    </row>
    <row r="2289" hidden="1">
      <c r="A2289" s="3" t="s">
        <v>9553</v>
      </c>
      <c r="B2289" s="4">
        <v>532309.0</v>
      </c>
      <c r="C2289" s="3" t="s">
        <v>9554</v>
      </c>
      <c r="D2289" s="3" t="s">
        <v>9555</v>
      </c>
      <c r="E2289" s="3" t="s">
        <v>9556</v>
      </c>
      <c r="F2289" s="3" t="s">
        <v>19</v>
      </c>
      <c r="G2289" s="3" t="s">
        <v>112</v>
      </c>
      <c r="H2289" s="3">
        <v>10.0</v>
      </c>
      <c r="I2289" s="3" t="s">
        <v>9553</v>
      </c>
      <c r="J2289" s="3" t="s">
        <v>22</v>
      </c>
      <c r="K2289" s="3" t="s">
        <v>97</v>
      </c>
      <c r="L2289" s="3" t="s">
        <v>98</v>
      </c>
      <c r="M2289" s="3" t="s">
        <v>1747</v>
      </c>
      <c r="N2289" s="3" t="s">
        <v>1767</v>
      </c>
      <c r="O2289" s="5">
        <v>2812.4242958</v>
      </c>
      <c r="P2289" s="6" t="str">
        <f t="shared" si="2"/>
        <v>Heavy Electrical Equipment</v>
      </c>
    </row>
    <row r="2290" hidden="1">
      <c r="A2290" s="3" t="s">
        <v>9557</v>
      </c>
      <c r="B2290" s="4">
        <v>532310.0</v>
      </c>
      <c r="C2290" s="3" t="s">
        <v>9558</v>
      </c>
      <c r="D2290" s="3" t="s">
        <v>9559</v>
      </c>
      <c r="E2290" s="3" t="s">
        <v>9560</v>
      </c>
      <c r="F2290" s="3" t="s">
        <v>19</v>
      </c>
      <c r="G2290" s="3" t="s">
        <v>86</v>
      </c>
      <c r="H2290" s="3">
        <v>5.0</v>
      </c>
      <c r="I2290" s="3" t="s">
        <v>9557</v>
      </c>
      <c r="J2290" s="3" t="s">
        <v>22</v>
      </c>
      <c r="K2290" s="3" t="s">
        <v>97</v>
      </c>
      <c r="L2290" s="3" t="s">
        <v>98</v>
      </c>
      <c r="M2290" s="3" t="s">
        <v>100</v>
      </c>
      <c r="N2290" s="3" t="s">
        <v>373</v>
      </c>
      <c r="O2290" s="5">
        <v>360.2352049</v>
      </c>
      <c r="P2290" s="6" t="str">
        <f t="shared" si="2"/>
        <v>Industrial Products</v>
      </c>
    </row>
    <row r="2291">
      <c r="A2291" s="3" t="s">
        <v>1362</v>
      </c>
      <c r="B2291" s="4">
        <v>500469.0</v>
      </c>
      <c r="C2291" s="3" t="s">
        <v>9561</v>
      </c>
      <c r="D2291" s="3" t="s">
        <v>9562</v>
      </c>
      <c r="E2291" s="3" t="s">
        <v>9563</v>
      </c>
      <c r="F2291" s="3" t="s">
        <v>19</v>
      </c>
      <c r="G2291" s="3" t="s">
        <v>20</v>
      </c>
      <c r="H2291" s="3">
        <v>2.0</v>
      </c>
      <c r="I2291" s="3" t="s">
        <v>1088</v>
      </c>
      <c r="J2291" s="3" t="s">
        <v>22</v>
      </c>
      <c r="K2291" s="3" t="s">
        <v>204</v>
      </c>
      <c r="L2291" s="3" t="s">
        <v>204</v>
      </c>
      <c r="M2291" s="3" t="s">
        <v>9428</v>
      </c>
      <c r="N2291" s="3" t="s">
        <v>9429</v>
      </c>
      <c r="O2291" s="5">
        <v>44555.6614292</v>
      </c>
      <c r="P2291" s="6" t="str">
        <f t="shared" si="2"/>
        <v>Private Sector Bank</v>
      </c>
    </row>
    <row r="2292" hidden="1">
      <c r="A2292" s="3" t="s">
        <v>9564</v>
      </c>
      <c r="B2292" s="4">
        <v>532315.0</v>
      </c>
      <c r="C2292" s="3" t="s">
        <v>9565</v>
      </c>
      <c r="D2292" s="3" t="s">
        <v>9566</v>
      </c>
      <c r="E2292" s="3" t="s">
        <v>9567</v>
      </c>
      <c r="F2292" s="3" t="s">
        <v>19</v>
      </c>
      <c r="G2292" s="3" t="s">
        <v>44</v>
      </c>
      <c r="H2292" s="3">
        <v>10.0</v>
      </c>
      <c r="I2292" s="3" t="s">
        <v>9564</v>
      </c>
      <c r="J2292" s="3" t="s">
        <v>22</v>
      </c>
      <c r="K2292" s="3" t="s">
        <v>473</v>
      </c>
      <c r="L2292" s="3" t="s">
        <v>473</v>
      </c>
      <c r="M2292" s="3" t="s">
        <v>1391</v>
      </c>
      <c r="N2292" s="3" t="s">
        <v>1392</v>
      </c>
      <c r="O2292" s="5">
        <v>20.9597756</v>
      </c>
      <c r="P2292" s="6" t="str">
        <f t="shared" si="2"/>
        <v>IT - Software</v>
      </c>
    </row>
    <row r="2293" hidden="1">
      <c r="A2293" s="3" t="s">
        <v>9568</v>
      </c>
      <c r="B2293" s="4">
        <v>532320.0</v>
      </c>
      <c r="C2293" s="3" t="s">
        <v>9569</v>
      </c>
      <c r="D2293" s="3" t="s">
        <v>9570</v>
      </c>
      <c r="E2293" s="3" t="s">
        <v>9569</v>
      </c>
      <c r="F2293" s="3" t="s">
        <v>19</v>
      </c>
      <c r="G2293" s="3" t="s">
        <v>44</v>
      </c>
      <c r="H2293" s="3">
        <v>1.0</v>
      </c>
      <c r="I2293" s="3" t="s">
        <v>9568</v>
      </c>
      <c r="J2293" s="3" t="s">
        <v>22</v>
      </c>
      <c r="K2293" s="3" t="s">
        <v>204</v>
      </c>
      <c r="L2293" s="3" t="s">
        <v>204</v>
      </c>
      <c r="M2293" s="3" t="s">
        <v>378</v>
      </c>
      <c r="N2293" s="3" t="s">
        <v>379</v>
      </c>
      <c r="O2293" s="5">
        <v>336.0747427</v>
      </c>
      <c r="P2293" s="6" t="str">
        <f t="shared" si="2"/>
        <v>Non Banking Financial Company (NBFC)</v>
      </c>
    </row>
    <row r="2294">
      <c r="A2294" s="3" t="s">
        <v>9571</v>
      </c>
      <c r="B2294" s="4">
        <v>500490.0</v>
      </c>
      <c r="C2294" s="3" t="s">
        <v>9572</v>
      </c>
      <c r="D2294" s="3" t="s">
        <v>9573</v>
      </c>
      <c r="E2294" s="3" t="s">
        <v>9574</v>
      </c>
      <c r="F2294" s="3" t="s">
        <v>19</v>
      </c>
      <c r="G2294" s="3" t="s">
        <v>20</v>
      </c>
      <c r="H2294" s="3">
        <v>10.0</v>
      </c>
      <c r="I2294" s="3" t="s">
        <v>1121</v>
      </c>
      <c r="J2294" s="3" t="s">
        <v>22</v>
      </c>
      <c r="K2294" s="3" t="s">
        <v>204</v>
      </c>
      <c r="L2294" s="3" t="s">
        <v>204</v>
      </c>
      <c r="M2294" s="3" t="s">
        <v>378</v>
      </c>
      <c r="N2294" s="3" t="s">
        <v>463</v>
      </c>
      <c r="O2294" s="5">
        <v>96278.81796</v>
      </c>
      <c r="P2294" s="6" t="str">
        <f t="shared" si="2"/>
        <v>Finance</v>
      </c>
    </row>
    <row r="2295" hidden="1">
      <c r="A2295" s="3" t="s">
        <v>9575</v>
      </c>
      <c r="B2295" s="4">
        <v>532323.0</v>
      </c>
      <c r="C2295" s="3" t="s">
        <v>9576</v>
      </c>
      <c r="D2295" s="3" t="s">
        <v>9577</v>
      </c>
      <c r="E2295" s="3" t="s">
        <v>9578</v>
      </c>
      <c r="F2295" s="3" t="s">
        <v>19</v>
      </c>
      <c r="G2295" s="3" t="s">
        <v>112</v>
      </c>
      <c r="H2295" s="3">
        <v>2.0</v>
      </c>
      <c r="I2295" s="3" t="s">
        <v>9575</v>
      </c>
      <c r="J2295" s="3" t="s">
        <v>22</v>
      </c>
      <c r="K2295" s="3" t="s">
        <v>23</v>
      </c>
      <c r="L2295" s="3" t="s">
        <v>162</v>
      </c>
      <c r="M2295" s="3" t="s">
        <v>163</v>
      </c>
      <c r="N2295" s="3" t="s">
        <v>163</v>
      </c>
      <c r="O2295" s="5">
        <v>1516.8605388</v>
      </c>
      <c r="P2295" s="6" t="str">
        <f t="shared" si="2"/>
        <v>Cement &amp; Cement Products</v>
      </c>
    </row>
    <row r="2296" hidden="1">
      <c r="A2296" s="3" t="s">
        <v>9579</v>
      </c>
      <c r="B2296" s="4">
        <v>532324.0</v>
      </c>
      <c r="C2296" s="3" t="s">
        <v>9580</v>
      </c>
      <c r="D2296" s="3" t="s">
        <v>9581</v>
      </c>
      <c r="E2296" s="3" t="s">
        <v>9582</v>
      </c>
      <c r="F2296" s="3" t="s">
        <v>19</v>
      </c>
      <c r="G2296" s="3" t="s">
        <v>86</v>
      </c>
      <c r="H2296" s="3">
        <v>2.0</v>
      </c>
      <c r="I2296" s="3" t="s">
        <v>9579</v>
      </c>
      <c r="J2296" s="3" t="s">
        <v>22</v>
      </c>
      <c r="K2296" s="3" t="s">
        <v>58</v>
      </c>
      <c r="L2296" s="3" t="s">
        <v>182</v>
      </c>
      <c r="M2296" s="3" t="s">
        <v>1168</v>
      </c>
      <c r="N2296" s="3" t="s">
        <v>1336</v>
      </c>
      <c r="O2296" s="5">
        <v>101.6280039</v>
      </c>
      <c r="P2296" s="6" t="str">
        <f t="shared" si="2"/>
        <v>Entertainment</v>
      </c>
    </row>
    <row r="2297" hidden="1">
      <c r="A2297" s="3" t="s">
        <v>9583</v>
      </c>
      <c r="B2297" s="4">
        <v>532326.0</v>
      </c>
      <c r="C2297" s="3" t="s">
        <v>9584</v>
      </c>
      <c r="D2297" s="3" t="s">
        <v>9585</v>
      </c>
      <c r="E2297" s="3" t="s">
        <v>9586</v>
      </c>
      <c r="F2297" s="3" t="s">
        <v>19</v>
      </c>
      <c r="G2297" s="3" t="s">
        <v>112</v>
      </c>
      <c r="H2297" s="3">
        <v>2.0</v>
      </c>
      <c r="I2297" s="3" t="s">
        <v>9583</v>
      </c>
      <c r="J2297" s="3" t="s">
        <v>22</v>
      </c>
      <c r="K2297" s="3" t="s">
        <v>473</v>
      </c>
      <c r="L2297" s="3" t="s">
        <v>473</v>
      </c>
      <c r="M2297" s="3" t="s">
        <v>1391</v>
      </c>
      <c r="N2297" s="3" t="s">
        <v>1392</v>
      </c>
      <c r="O2297" s="5">
        <v>320.4309709</v>
      </c>
      <c r="P2297" s="6" t="str">
        <f t="shared" si="2"/>
        <v>IT - Software</v>
      </c>
    </row>
    <row r="2298" hidden="1">
      <c r="A2298" s="3" t="s">
        <v>9587</v>
      </c>
      <c r="B2298" s="4">
        <v>532329.0</v>
      </c>
      <c r="C2298" s="3" t="s">
        <v>9588</v>
      </c>
      <c r="D2298" s="3" t="s">
        <v>9589</v>
      </c>
      <c r="E2298" s="3" t="s">
        <v>9590</v>
      </c>
      <c r="F2298" s="3" t="s">
        <v>19</v>
      </c>
      <c r="G2298" s="3" t="s">
        <v>44</v>
      </c>
      <c r="H2298" s="3">
        <v>10.0</v>
      </c>
      <c r="I2298" s="3" t="s">
        <v>9587</v>
      </c>
      <c r="J2298" s="3" t="s">
        <v>22</v>
      </c>
      <c r="K2298" s="3" t="s">
        <v>97</v>
      </c>
      <c r="L2298" s="3" t="s">
        <v>98</v>
      </c>
      <c r="M2298" s="3" t="s">
        <v>99</v>
      </c>
      <c r="N2298" s="3" t="s">
        <v>100</v>
      </c>
      <c r="O2298" s="5">
        <v>917.991409</v>
      </c>
      <c r="P2298" s="6" t="str">
        <f t="shared" si="2"/>
        <v>Industrial Products</v>
      </c>
    </row>
    <row r="2299">
      <c r="A2299" s="3" t="s">
        <v>9591</v>
      </c>
      <c r="B2299" s="4">
        <v>501301.0</v>
      </c>
      <c r="C2299" s="3" t="s">
        <v>9592</v>
      </c>
      <c r="D2299" s="3" t="s">
        <v>9593</v>
      </c>
      <c r="E2299" s="3" t="s">
        <v>9594</v>
      </c>
      <c r="F2299" s="3" t="s">
        <v>19</v>
      </c>
      <c r="G2299" s="3" t="s">
        <v>20</v>
      </c>
      <c r="H2299" s="3">
        <v>10.0</v>
      </c>
      <c r="I2299" s="3" t="s">
        <v>1349</v>
      </c>
      <c r="J2299" s="3" t="s">
        <v>22</v>
      </c>
      <c r="K2299" s="3" t="s">
        <v>204</v>
      </c>
      <c r="L2299" s="3" t="s">
        <v>204</v>
      </c>
      <c r="M2299" s="3" t="s">
        <v>378</v>
      </c>
      <c r="N2299" s="3" t="s">
        <v>384</v>
      </c>
      <c r="O2299" s="5">
        <v>33310.469761</v>
      </c>
      <c r="P2299" s="6" t="str">
        <f t="shared" si="2"/>
        <v>Finance</v>
      </c>
    </row>
    <row r="2300" hidden="1">
      <c r="A2300" s="3" t="s">
        <v>9595</v>
      </c>
      <c r="B2300" s="4">
        <v>532333.0</v>
      </c>
      <c r="C2300" s="3" t="s">
        <v>9596</v>
      </c>
      <c r="D2300" s="3" t="s">
        <v>9597</v>
      </c>
      <c r="E2300" s="3" t="s">
        <v>9598</v>
      </c>
      <c r="F2300" s="3" t="s">
        <v>19</v>
      </c>
      <c r="G2300" s="3" t="s">
        <v>44</v>
      </c>
      <c r="H2300" s="3">
        <v>10.0</v>
      </c>
      <c r="I2300" s="3" t="s">
        <v>9595</v>
      </c>
      <c r="J2300" s="3" t="s">
        <v>22</v>
      </c>
      <c r="K2300" s="3" t="s">
        <v>204</v>
      </c>
      <c r="L2300" s="3" t="s">
        <v>204</v>
      </c>
      <c r="M2300" s="3" t="s">
        <v>378</v>
      </c>
      <c r="N2300" s="3" t="s">
        <v>468</v>
      </c>
      <c r="O2300" s="5">
        <v>80.3174855</v>
      </c>
      <c r="P2300" s="6" t="str">
        <f t="shared" si="2"/>
        <v>Finance</v>
      </c>
    </row>
    <row r="2301" hidden="1">
      <c r="A2301" s="3" t="s">
        <v>9599</v>
      </c>
      <c r="B2301" s="4">
        <v>532334.0</v>
      </c>
      <c r="C2301" s="3" t="s">
        <v>9600</v>
      </c>
      <c r="D2301" s="3" t="s">
        <v>9601</v>
      </c>
      <c r="E2301" s="3" t="s">
        <v>9602</v>
      </c>
      <c r="F2301" s="3" t="s">
        <v>19</v>
      </c>
      <c r="G2301" s="3" t="s">
        <v>44</v>
      </c>
      <c r="H2301" s="3">
        <v>10.0</v>
      </c>
      <c r="I2301" s="3" t="s">
        <v>9599</v>
      </c>
      <c r="J2301" s="3" t="s">
        <v>22</v>
      </c>
      <c r="K2301" s="3" t="s">
        <v>58</v>
      </c>
      <c r="L2301" s="3" t="s">
        <v>59</v>
      </c>
      <c r="M2301" s="3" t="s">
        <v>59</v>
      </c>
      <c r="N2301" s="3" t="s">
        <v>60</v>
      </c>
      <c r="O2301" s="5">
        <v>135.78201</v>
      </c>
      <c r="P2301" s="6" t="str">
        <f t="shared" si="2"/>
        <v>Residential, Commercial Projects</v>
      </c>
    </row>
    <row r="2302" hidden="1">
      <c r="A2302" s="3" t="s">
        <v>9603</v>
      </c>
      <c r="B2302" s="4">
        <v>532335.0</v>
      </c>
      <c r="C2302" s="3" t="s">
        <v>9604</v>
      </c>
      <c r="D2302" s="3" t="s">
        <v>9605</v>
      </c>
      <c r="E2302" s="3" t="s">
        <v>9606</v>
      </c>
      <c r="F2302" s="3" t="s">
        <v>19</v>
      </c>
      <c r="G2302" s="3" t="s">
        <v>112</v>
      </c>
      <c r="H2302" s="3">
        <v>10.0</v>
      </c>
      <c r="I2302" s="3" t="s">
        <v>9603</v>
      </c>
      <c r="J2302" s="3" t="s">
        <v>22</v>
      </c>
      <c r="K2302" s="3" t="s">
        <v>145</v>
      </c>
      <c r="L2302" s="3" t="s">
        <v>145</v>
      </c>
      <c r="M2302" s="3" t="s">
        <v>1757</v>
      </c>
      <c r="N2302" s="3" t="s">
        <v>1757</v>
      </c>
      <c r="O2302" s="5">
        <v>44.5189396</v>
      </c>
      <c r="P2302" s="6" t="str">
        <f t="shared" si="2"/>
        <v>Household Products</v>
      </c>
    </row>
    <row r="2303" hidden="1">
      <c r="A2303" s="3" t="s">
        <v>9607</v>
      </c>
      <c r="B2303" s="4">
        <v>532339.0</v>
      </c>
      <c r="C2303" s="3" t="s">
        <v>9608</v>
      </c>
      <c r="D2303" s="3" t="s">
        <v>9609</v>
      </c>
      <c r="E2303" s="3" t="s">
        <v>9610</v>
      </c>
      <c r="F2303" s="3" t="s">
        <v>19</v>
      </c>
      <c r="G2303" s="3" t="s">
        <v>112</v>
      </c>
      <c r="H2303" s="3">
        <v>2.0</v>
      </c>
      <c r="I2303" s="3" t="s">
        <v>9607</v>
      </c>
      <c r="J2303" s="3" t="s">
        <v>22</v>
      </c>
      <c r="K2303" s="3" t="s">
        <v>58</v>
      </c>
      <c r="L2303" s="3" t="s">
        <v>73</v>
      </c>
      <c r="M2303" s="3" t="s">
        <v>800</v>
      </c>
      <c r="N2303" s="3" t="s">
        <v>801</v>
      </c>
      <c r="O2303" s="5">
        <v>224.241022</v>
      </c>
      <c r="P2303" s="6" t="str">
        <f t="shared" si="2"/>
        <v>Other Consumer Services</v>
      </c>
    </row>
    <row r="2304" hidden="1">
      <c r="A2304" s="3" t="s">
        <v>9611</v>
      </c>
      <c r="B2304" s="4">
        <v>532340.0</v>
      </c>
      <c r="C2304" s="3" t="s">
        <v>9612</v>
      </c>
      <c r="D2304" s="3" t="s">
        <v>9613</v>
      </c>
      <c r="E2304" s="3" t="s">
        <v>9614</v>
      </c>
      <c r="F2304" s="3" t="s">
        <v>19</v>
      </c>
      <c r="G2304" s="3" t="s">
        <v>44</v>
      </c>
      <c r="H2304" s="3">
        <v>10.0</v>
      </c>
      <c r="I2304" s="3" t="s">
        <v>9611</v>
      </c>
      <c r="J2304" s="3" t="s">
        <v>22</v>
      </c>
      <c r="K2304" s="3" t="s">
        <v>473</v>
      </c>
      <c r="L2304" s="3" t="s">
        <v>473</v>
      </c>
      <c r="M2304" s="3" t="s">
        <v>1391</v>
      </c>
      <c r="N2304" s="3" t="s">
        <v>1392</v>
      </c>
      <c r="O2304" s="5">
        <v>1.0</v>
      </c>
      <c r="P2304" s="6" t="str">
        <f t="shared" si="2"/>
        <v>IT - Software</v>
      </c>
    </row>
    <row r="2305" hidden="1">
      <c r="A2305" s="3" t="s">
        <v>9615</v>
      </c>
      <c r="B2305" s="4">
        <v>532341.0</v>
      </c>
      <c r="C2305" s="3" t="s">
        <v>9616</v>
      </c>
      <c r="D2305" s="3" t="s">
        <v>9617</v>
      </c>
      <c r="E2305" s="3" t="s">
        <v>9618</v>
      </c>
      <c r="F2305" s="3" t="s">
        <v>19</v>
      </c>
      <c r="G2305" s="3" t="s">
        <v>112</v>
      </c>
      <c r="H2305" s="3">
        <v>10.0</v>
      </c>
      <c r="I2305" s="3" t="s">
        <v>9615</v>
      </c>
      <c r="J2305" s="3" t="s">
        <v>22</v>
      </c>
      <c r="K2305" s="3" t="s">
        <v>473</v>
      </c>
      <c r="L2305" s="3" t="s">
        <v>473</v>
      </c>
      <c r="M2305" s="3" t="s">
        <v>1538</v>
      </c>
      <c r="N2305" s="3" t="s">
        <v>1539</v>
      </c>
      <c r="O2305" s="5">
        <v>508.5487</v>
      </c>
      <c r="P2305" s="6" t="str">
        <f t="shared" si="2"/>
        <v>IT - Services</v>
      </c>
    </row>
    <row r="2306">
      <c r="A2306" s="3" t="s">
        <v>1367</v>
      </c>
      <c r="B2306" s="4">
        <v>504973.0</v>
      </c>
      <c r="C2306" s="3" t="s">
        <v>9619</v>
      </c>
      <c r="D2306" s="3" t="s">
        <v>9620</v>
      </c>
      <c r="E2306" s="3" t="s">
        <v>9621</v>
      </c>
      <c r="F2306" s="3" t="s">
        <v>19</v>
      </c>
      <c r="G2306" s="3" t="s">
        <v>20</v>
      </c>
      <c r="H2306" s="3">
        <v>1.0</v>
      </c>
      <c r="I2306" s="3" t="s">
        <v>1949</v>
      </c>
      <c r="J2306" s="3" t="s">
        <v>22</v>
      </c>
      <c r="K2306" s="3" t="s">
        <v>204</v>
      </c>
      <c r="L2306" s="3" t="s">
        <v>204</v>
      </c>
      <c r="M2306" s="3" t="s">
        <v>378</v>
      </c>
      <c r="N2306" s="3" t="s">
        <v>384</v>
      </c>
      <c r="O2306" s="5">
        <v>25901.0362758</v>
      </c>
      <c r="P2306" s="6" t="str">
        <f t="shared" si="2"/>
        <v>Finance</v>
      </c>
    </row>
    <row r="2307" hidden="1">
      <c r="A2307" s="3" t="s">
        <v>9622</v>
      </c>
      <c r="B2307" s="4">
        <v>532344.0</v>
      </c>
      <c r="C2307" s="3" t="s">
        <v>9623</v>
      </c>
      <c r="D2307" s="3" t="s">
        <v>9624</v>
      </c>
      <c r="E2307" s="3" t="s">
        <v>9625</v>
      </c>
      <c r="F2307" s="3" t="s">
        <v>19</v>
      </c>
      <c r="G2307" s="3" t="s">
        <v>44</v>
      </c>
      <c r="H2307" s="3">
        <v>10.0</v>
      </c>
      <c r="I2307" s="3" t="s">
        <v>9622</v>
      </c>
      <c r="J2307" s="3" t="s">
        <v>22</v>
      </c>
      <c r="K2307" s="3" t="s">
        <v>473</v>
      </c>
      <c r="L2307" s="3" t="s">
        <v>473</v>
      </c>
      <c r="M2307" s="3" t="s">
        <v>1391</v>
      </c>
      <c r="N2307" s="3" t="s">
        <v>1840</v>
      </c>
      <c r="O2307" s="5">
        <v>503.474016</v>
      </c>
      <c r="P2307" s="6" t="str">
        <f t="shared" si="2"/>
        <v>Computers - Software &amp; Consulting</v>
      </c>
    </row>
    <row r="2308" hidden="1">
      <c r="A2308" s="3" t="s">
        <v>2624</v>
      </c>
      <c r="B2308" s="4">
        <v>544056.0</v>
      </c>
      <c r="C2308" s="3" t="s">
        <v>9626</v>
      </c>
      <c r="D2308" s="3" t="s">
        <v>9627</v>
      </c>
      <c r="E2308" s="3" t="s">
        <v>9628</v>
      </c>
      <c r="F2308" s="3" t="s">
        <v>19</v>
      </c>
      <c r="G2308" s="3" t="s">
        <v>2428</v>
      </c>
      <c r="H2308" s="3">
        <v>10.0</v>
      </c>
      <c r="I2308" s="3" t="s">
        <v>9629</v>
      </c>
      <c r="J2308" s="3" t="s">
        <v>22</v>
      </c>
      <c r="K2308" s="3" t="s">
        <v>1673</v>
      </c>
      <c r="L2308" s="3" t="s">
        <v>1673</v>
      </c>
      <c r="M2308" s="3" t="s">
        <v>1689</v>
      </c>
      <c r="N2308" s="3" t="s">
        <v>1690</v>
      </c>
      <c r="O2308" s="5">
        <v>15.35325</v>
      </c>
      <c r="P2308" s="6" t="str">
        <f t="shared" si="2"/>
        <v>Transport Services</v>
      </c>
    </row>
    <row r="2309" hidden="1">
      <c r="A2309" s="3" t="s">
        <v>9630</v>
      </c>
      <c r="B2309" s="4">
        <v>532348.0</v>
      </c>
      <c r="C2309" s="3" t="s">
        <v>9631</v>
      </c>
      <c r="D2309" s="3" t="s">
        <v>9632</v>
      </c>
      <c r="E2309" s="3" t="s">
        <v>9633</v>
      </c>
      <c r="F2309" s="3" t="s">
        <v>19</v>
      </c>
      <c r="G2309" s="3" t="s">
        <v>20</v>
      </c>
      <c r="H2309" s="3">
        <v>5.0</v>
      </c>
      <c r="I2309" s="3" t="s">
        <v>9630</v>
      </c>
      <c r="J2309" s="3" t="s">
        <v>22</v>
      </c>
      <c r="K2309" s="3" t="s">
        <v>473</v>
      </c>
      <c r="L2309" s="3" t="s">
        <v>473</v>
      </c>
      <c r="M2309" s="3" t="s">
        <v>1391</v>
      </c>
      <c r="N2309" s="3" t="s">
        <v>1392</v>
      </c>
      <c r="O2309" s="5">
        <v>1723.5952984</v>
      </c>
      <c r="P2309" s="6" t="str">
        <f t="shared" si="2"/>
        <v>IT - Software</v>
      </c>
    </row>
    <row r="2310" hidden="1">
      <c r="A2310" s="3" t="s">
        <v>9634</v>
      </c>
      <c r="B2310" s="4">
        <v>538351.0</v>
      </c>
      <c r="C2310" s="3" t="s">
        <v>9635</v>
      </c>
      <c r="D2310" s="3" t="s">
        <v>9636</v>
      </c>
      <c r="E2310" s="3" t="s">
        <v>9637</v>
      </c>
      <c r="F2310" s="3" t="s">
        <v>19</v>
      </c>
      <c r="G2310" s="3" t="s">
        <v>72</v>
      </c>
      <c r="H2310" s="3">
        <v>10.0</v>
      </c>
      <c r="I2310" s="3" t="s">
        <v>9638</v>
      </c>
      <c r="J2310" s="3" t="s">
        <v>22</v>
      </c>
      <c r="K2310" s="3" t="s">
        <v>1673</v>
      </c>
      <c r="L2310" s="3" t="s">
        <v>1673</v>
      </c>
      <c r="M2310" s="3" t="s">
        <v>1674</v>
      </c>
      <c r="N2310" s="3" t="s">
        <v>1915</v>
      </c>
      <c r="O2310" s="5">
        <v>15.3183672</v>
      </c>
      <c r="P2310" s="6" t="str">
        <f t="shared" si="2"/>
        <v>Commercial Services &amp; Supplies</v>
      </c>
    </row>
    <row r="2311" hidden="1">
      <c r="A2311" s="3" t="s">
        <v>9639</v>
      </c>
      <c r="B2311" s="4">
        <v>532350.0</v>
      </c>
      <c r="C2311" s="3" t="s">
        <v>9640</v>
      </c>
      <c r="D2311" s="3" t="s">
        <v>9641</v>
      </c>
      <c r="E2311" s="3" t="s">
        <v>9642</v>
      </c>
      <c r="F2311" s="3" t="s">
        <v>19</v>
      </c>
      <c r="G2311" s="3" t="s">
        <v>57</v>
      </c>
      <c r="H2311" s="3">
        <v>10.0</v>
      </c>
      <c r="I2311" s="3" t="s">
        <v>9639</v>
      </c>
      <c r="J2311" s="3" t="s">
        <v>22</v>
      </c>
      <c r="K2311" s="3" t="s">
        <v>58</v>
      </c>
      <c r="L2311" s="3" t="s">
        <v>182</v>
      </c>
      <c r="M2311" s="3" t="s">
        <v>1168</v>
      </c>
      <c r="N2311" s="3" t="s">
        <v>1568</v>
      </c>
      <c r="O2311" s="5">
        <v>5.1381743</v>
      </c>
      <c r="P2311" s="6" t="str">
        <f t="shared" si="2"/>
        <v>Entertainment</v>
      </c>
    </row>
    <row r="2312" hidden="1">
      <c r="A2312" s="3" t="s">
        <v>9643</v>
      </c>
      <c r="B2312" s="4">
        <v>532351.0</v>
      </c>
      <c r="C2312" s="3" t="s">
        <v>9644</v>
      </c>
      <c r="D2312" s="3" t="s">
        <v>9645</v>
      </c>
      <c r="E2312" s="3" t="s">
        <v>9646</v>
      </c>
      <c r="F2312" s="3" t="s">
        <v>19</v>
      </c>
      <c r="G2312" s="3" t="s">
        <v>86</v>
      </c>
      <c r="H2312" s="3">
        <v>5.0</v>
      </c>
      <c r="I2312" s="3" t="s">
        <v>9643</v>
      </c>
      <c r="J2312" s="3" t="s">
        <v>22</v>
      </c>
      <c r="K2312" s="3" t="s">
        <v>189</v>
      </c>
      <c r="L2312" s="3" t="s">
        <v>189</v>
      </c>
      <c r="M2312" s="3" t="s">
        <v>190</v>
      </c>
      <c r="N2312" s="3" t="s">
        <v>190</v>
      </c>
      <c r="O2312" s="5">
        <v>133.5741823</v>
      </c>
      <c r="P2312" s="6" t="str">
        <f t="shared" si="2"/>
        <v>Telecom - Equipment &amp; Accessories</v>
      </c>
    </row>
    <row r="2313" hidden="1">
      <c r="A2313" s="3" t="s">
        <v>9647</v>
      </c>
      <c r="B2313" s="4">
        <v>532354.0</v>
      </c>
      <c r="C2313" s="3" t="s">
        <v>9648</v>
      </c>
      <c r="D2313" s="3" t="s">
        <v>9649</v>
      </c>
      <c r="E2313" s="3" t="s">
        <v>9650</v>
      </c>
      <c r="F2313" s="3" t="s">
        <v>19</v>
      </c>
      <c r="G2313" s="3" t="s">
        <v>72</v>
      </c>
      <c r="H2313" s="3">
        <v>4.0</v>
      </c>
      <c r="I2313" s="3" t="s">
        <v>9647</v>
      </c>
      <c r="J2313" s="3" t="s">
        <v>22</v>
      </c>
      <c r="K2313" s="3" t="s">
        <v>473</v>
      </c>
      <c r="L2313" s="3" t="s">
        <v>473</v>
      </c>
      <c r="M2313" s="3" t="s">
        <v>1391</v>
      </c>
      <c r="N2313" s="3" t="s">
        <v>1392</v>
      </c>
      <c r="O2313" s="5">
        <v>1.0</v>
      </c>
      <c r="P2313" s="6" t="str">
        <f t="shared" si="2"/>
        <v>IT - Software</v>
      </c>
    </row>
    <row r="2314" hidden="1">
      <c r="A2314" s="3" t="s">
        <v>9651</v>
      </c>
      <c r="B2314" s="4">
        <v>532355.0</v>
      </c>
      <c r="C2314" s="3" t="s">
        <v>9652</v>
      </c>
      <c r="D2314" s="3" t="s">
        <v>9653</v>
      </c>
      <c r="E2314" s="3" t="s">
        <v>9654</v>
      </c>
      <c r="F2314" s="3" t="s">
        <v>19</v>
      </c>
      <c r="G2314" s="3" t="s">
        <v>72</v>
      </c>
      <c r="H2314" s="3">
        <v>10.0</v>
      </c>
      <c r="I2314" s="3" t="s">
        <v>9651</v>
      </c>
      <c r="J2314" s="3" t="s">
        <v>22</v>
      </c>
      <c r="K2314" s="3" t="s">
        <v>58</v>
      </c>
      <c r="L2314" s="3" t="s">
        <v>182</v>
      </c>
      <c r="M2314" s="3" t="s">
        <v>1168</v>
      </c>
      <c r="N2314" s="3" t="s">
        <v>1568</v>
      </c>
      <c r="O2314" s="5">
        <v>42.3237881</v>
      </c>
      <c r="P2314" s="6" t="str">
        <f t="shared" si="2"/>
        <v>Entertainment</v>
      </c>
    </row>
    <row r="2315">
      <c r="A2315" s="3" t="s">
        <v>8786</v>
      </c>
      <c r="B2315" s="4">
        <v>511196.0</v>
      </c>
      <c r="C2315" s="3" t="s">
        <v>9655</v>
      </c>
      <c r="D2315" s="3" t="s">
        <v>9656</v>
      </c>
      <c r="E2315" s="3" t="s">
        <v>9657</v>
      </c>
      <c r="F2315" s="3" t="s">
        <v>19</v>
      </c>
      <c r="G2315" s="3" t="s">
        <v>20</v>
      </c>
      <c r="H2315" s="3">
        <v>2.0</v>
      </c>
      <c r="I2315" s="3" t="s">
        <v>3257</v>
      </c>
      <c r="J2315" s="3" t="s">
        <v>22</v>
      </c>
      <c r="K2315" s="3" t="s">
        <v>204</v>
      </c>
      <c r="L2315" s="3" t="s">
        <v>204</v>
      </c>
      <c r="M2315" s="3" t="s">
        <v>378</v>
      </c>
      <c r="N2315" s="3" t="s">
        <v>3066</v>
      </c>
      <c r="O2315" s="5">
        <v>11789.0482853</v>
      </c>
      <c r="P2315" s="6" t="str">
        <f t="shared" si="2"/>
        <v>Finance</v>
      </c>
    </row>
    <row r="2316" hidden="1">
      <c r="A2316" s="3" t="s">
        <v>9658</v>
      </c>
      <c r="B2316" s="4">
        <v>532357.0</v>
      </c>
      <c r="C2316" s="3" t="s">
        <v>9659</v>
      </c>
      <c r="D2316" s="3" t="s">
        <v>9660</v>
      </c>
      <c r="E2316" s="3" t="s">
        <v>9661</v>
      </c>
      <c r="F2316" s="3" t="s">
        <v>19</v>
      </c>
      <c r="G2316" s="3" t="s">
        <v>112</v>
      </c>
      <c r="H2316" s="3">
        <v>5.0</v>
      </c>
      <c r="I2316" s="3" t="s">
        <v>9658</v>
      </c>
      <c r="J2316" s="3" t="s">
        <v>22</v>
      </c>
      <c r="K2316" s="3" t="s">
        <v>58</v>
      </c>
      <c r="L2316" s="3" t="s">
        <v>182</v>
      </c>
      <c r="M2316" s="3" t="s">
        <v>1168</v>
      </c>
      <c r="N2316" s="3" t="s">
        <v>1568</v>
      </c>
      <c r="O2316" s="5">
        <v>157.4850772</v>
      </c>
      <c r="P2316" s="6" t="str">
        <f t="shared" si="2"/>
        <v>Entertainment</v>
      </c>
    </row>
    <row r="2317" hidden="1">
      <c r="A2317" s="3" t="s">
        <v>9662</v>
      </c>
      <c r="B2317" s="4">
        <v>532362.0</v>
      </c>
      <c r="C2317" s="3" t="s">
        <v>9663</v>
      </c>
      <c r="D2317" s="3" t="s">
        <v>9664</v>
      </c>
      <c r="E2317" s="3" t="s">
        <v>9665</v>
      </c>
      <c r="F2317" s="3" t="s">
        <v>19</v>
      </c>
      <c r="G2317" s="3" t="s">
        <v>44</v>
      </c>
      <c r="H2317" s="3">
        <v>10.0</v>
      </c>
      <c r="I2317" s="3" t="s">
        <v>9662</v>
      </c>
      <c r="J2317" s="3" t="s">
        <v>22</v>
      </c>
      <c r="K2317" s="3" t="s">
        <v>23</v>
      </c>
      <c r="L2317" s="3" t="s">
        <v>65</v>
      </c>
      <c r="M2317" s="3" t="s">
        <v>106</v>
      </c>
      <c r="N2317" s="3" t="s">
        <v>4039</v>
      </c>
      <c r="O2317" s="5">
        <v>211.6095508</v>
      </c>
      <c r="P2317" s="6" t="str">
        <f t="shared" si="2"/>
        <v>Ferrous Metals</v>
      </c>
    </row>
    <row r="2318" hidden="1">
      <c r="A2318" s="3" t="s">
        <v>9666</v>
      </c>
      <c r="B2318" s="4">
        <v>532365.0</v>
      </c>
      <c r="C2318" s="3" t="s">
        <v>9667</v>
      </c>
      <c r="D2318" s="3" t="s">
        <v>9668</v>
      </c>
      <c r="E2318" s="3" t="s">
        <v>9669</v>
      </c>
      <c r="F2318" s="3" t="s">
        <v>19</v>
      </c>
      <c r="G2318" s="3" t="s">
        <v>112</v>
      </c>
      <c r="H2318" s="3">
        <v>10.0</v>
      </c>
      <c r="I2318" s="3" t="s">
        <v>9666</v>
      </c>
      <c r="J2318" s="3" t="s">
        <v>22</v>
      </c>
      <c r="K2318" s="3" t="s">
        <v>473</v>
      </c>
      <c r="L2318" s="3" t="s">
        <v>473</v>
      </c>
      <c r="M2318" s="3" t="s">
        <v>1538</v>
      </c>
      <c r="N2318" s="3" t="s">
        <v>1539</v>
      </c>
      <c r="O2318" s="5">
        <v>1582.3058986</v>
      </c>
      <c r="P2318" s="6" t="str">
        <f t="shared" si="2"/>
        <v>IT - Services</v>
      </c>
    </row>
    <row r="2319" hidden="1">
      <c r="A2319" s="3" t="s">
        <v>9670</v>
      </c>
      <c r="B2319" s="4">
        <v>532366.0</v>
      </c>
      <c r="C2319" s="3" t="s">
        <v>9671</v>
      </c>
      <c r="D2319" s="3" t="s">
        <v>9672</v>
      </c>
      <c r="E2319" s="3" t="s">
        <v>9673</v>
      </c>
      <c r="F2319" s="3" t="s">
        <v>19</v>
      </c>
      <c r="G2319" s="3" t="s">
        <v>112</v>
      </c>
      <c r="H2319" s="3">
        <v>10.0</v>
      </c>
      <c r="I2319" s="3" t="s">
        <v>9670</v>
      </c>
      <c r="J2319" s="3" t="s">
        <v>22</v>
      </c>
      <c r="K2319" s="3" t="s">
        <v>204</v>
      </c>
      <c r="L2319" s="3" t="s">
        <v>204</v>
      </c>
      <c r="M2319" s="3" t="s">
        <v>378</v>
      </c>
      <c r="N2319" s="3" t="s">
        <v>384</v>
      </c>
      <c r="O2319" s="5">
        <v>2587.8957461</v>
      </c>
      <c r="P2319" s="6" t="str">
        <f t="shared" si="2"/>
        <v>Finance</v>
      </c>
    </row>
    <row r="2320" hidden="1">
      <c r="A2320" s="3" t="s">
        <v>9674</v>
      </c>
      <c r="B2320" s="4">
        <v>532369.0</v>
      </c>
      <c r="C2320" s="3" t="s">
        <v>9675</v>
      </c>
      <c r="D2320" s="3" t="s">
        <v>9676</v>
      </c>
      <c r="E2320" s="3" t="s">
        <v>9677</v>
      </c>
      <c r="F2320" s="3" t="s">
        <v>19</v>
      </c>
      <c r="G2320" s="3" t="s">
        <v>112</v>
      </c>
      <c r="H2320" s="3">
        <v>1.0</v>
      </c>
      <c r="I2320" s="3" t="s">
        <v>9674</v>
      </c>
      <c r="J2320" s="3" t="s">
        <v>22</v>
      </c>
      <c r="K2320" s="3" t="s">
        <v>23</v>
      </c>
      <c r="L2320" s="3" t="s">
        <v>162</v>
      </c>
      <c r="M2320" s="3" t="s">
        <v>1491</v>
      </c>
      <c r="N2320" s="3" t="s">
        <v>1491</v>
      </c>
      <c r="O2320" s="5">
        <v>2241.6717598</v>
      </c>
      <c r="P2320" s="6" t="str">
        <f t="shared" si="2"/>
        <v>Other Construction Materials</v>
      </c>
    </row>
    <row r="2321" hidden="1">
      <c r="A2321" s="3" t="s">
        <v>9678</v>
      </c>
      <c r="B2321" s="4">
        <v>532370.0</v>
      </c>
      <c r="C2321" s="3" t="s">
        <v>9679</v>
      </c>
      <c r="D2321" s="3" t="s">
        <v>9680</v>
      </c>
      <c r="E2321" s="3" t="s">
        <v>9681</v>
      </c>
      <c r="F2321" s="3" t="s">
        <v>19</v>
      </c>
      <c r="G2321" s="3" t="s">
        <v>86</v>
      </c>
      <c r="H2321" s="3">
        <v>10.0</v>
      </c>
      <c r="I2321" s="3" t="s">
        <v>9678</v>
      </c>
      <c r="J2321" s="3" t="s">
        <v>22</v>
      </c>
      <c r="K2321" s="3" t="s">
        <v>473</v>
      </c>
      <c r="L2321" s="3" t="s">
        <v>473</v>
      </c>
      <c r="M2321" s="3" t="s">
        <v>1391</v>
      </c>
      <c r="N2321" s="3" t="s">
        <v>1392</v>
      </c>
      <c r="O2321" s="5">
        <v>1222.5605092</v>
      </c>
      <c r="P2321" s="6" t="str">
        <f t="shared" si="2"/>
        <v>IT - Software</v>
      </c>
    </row>
    <row r="2322">
      <c r="A2322" s="3" t="s">
        <v>9682</v>
      </c>
      <c r="B2322" s="4">
        <v>511218.0</v>
      </c>
      <c r="C2322" s="3" t="s">
        <v>9683</v>
      </c>
      <c r="D2322" s="3" t="s">
        <v>9684</v>
      </c>
      <c r="E2322" s="3" t="s">
        <v>9685</v>
      </c>
      <c r="F2322" s="3" t="s">
        <v>19</v>
      </c>
      <c r="G2322" s="3" t="s">
        <v>20</v>
      </c>
      <c r="H2322" s="3">
        <v>10.0</v>
      </c>
      <c r="I2322" s="3" t="s">
        <v>3271</v>
      </c>
      <c r="J2322" s="3" t="s">
        <v>22</v>
      </c>
      <c r="K2322" s="3" t="s">
        <v>204</v>
      </c>
      <c r="L2322" s="3" t="s">
        <v>204</v>
      </c>
      <c r="M2322" s="3" t="s">
        <v>378</v>
      </c>
      <c r="N2322" s="3" t="s">
        <v>379</v>
      </c>
      <c r="O2322" s="5">
        <v>107569.3633283</v>
      </c>
      <c r="P2322" s="6" t="str">
        <f t="shared" si="2"/>
        <v>Non Banking Financial Company (NBFC)</v>
      </c>
    </row>
    <row r="2323" hidden="1">
      <c r="A2323" s="3" t="s">
        <v>9686</v>
      </c>
      <c r="B2323" s="4">
        <v>532372.0</v>
      </c>
      <c r="C2323" s="3" t="s">
        <v>9687</v>
      </c>
      <c r="D2323" s="3" t="s">
        <v>9688</v>
      </c>
      <c r="E2323" s="3" t="s">
        <v>9689</v>
      </c>
      <c r="F2323" s="3" t="s">
        <v>19</v>
      </c>
      <c r="G2323" s="3" t="s">
        <v>112</v>
      </c>
      <c r="H2323" s="3">
        <v>10.0</v>
      </c>
      <c r="I2323" s="3" t="s">
        <v>9686</v>
      </c>
      <c r="J2323" s="3" t="s">
        <v>22</v>
      </c>
      <c r="K2323" s="3" t="s">
        <v>473</v>
      </c>
      <c r="L2323" s="3" t="s">
        <v>473</v>
      </c>
      <c r="M2323" s="3" t="s">
        <v>1391</v>
      </c>
      <c r="N2323" s="3" t="s">
        <v>1392</v>
      </c>
      <c r="O2323" s="5">
        <v>345.6148744</v>
      </c>
      <c r="P2323" s="6" t="str">
        <f t="shared" si="2"/>
        <v>IT - Software</v>
      </c>
    </row>
    <row r="2324" hidden="1">
      <c r="A2324" s="3" t="s">
        <v>9690</v>
      </c>
      <c r="B2324" s="4">
        <v>532373.0</v>
      </c>
      <c r="C2324" s="3" t="s">
        <v>9691</v>
      </c>
      <c r="D2324" s="3" t="s">
        <v>9692</v>
      </c>
      <c r="E2324" s="3" t="s">
        <v>9693</v>
      </c>
      <c r="F2324" s="3" t="s">
        <v>19</v>
      </c>
      <c r="G2324" s="3" t="s">
        <v>44</v>
      </c>
      <c r="H2324" s="3">
        <v>10.0</v>
      </c>
      <c r="I2324" s="3" t="s">
        <v>9690</v>
      </c>
      <c r="J2324" s="3" t="s">
        <v>22</v>
      </c>
      <c r="K2324" s="3" t="s">
        <v>473</v>
      </c>
      <c r="L2324" s="3" t="s">
        <v>473</v>
      </c>
      <c r="M2324" s="3" t="s">
        <v>1538</v>
      </c>
      <c r="N2324" s="3" t="s">
        <v>1539</v>
      </c>
      <c r="O2324" s="5">
        <v>155.9172724</v>
      </c>
      <c r="P2324" s="6" t="str">
        <f t="shared" si="2"/>
        <v>IT - Services</v>
      </c>
    </row>
    <row r="2325">
      <c r="A2325" s="3" t="s">
        <v>9694</v>
      </c>
      <c r="B2325" s="4">
        <v>511243.0</v>
      </c>
      <c r="C2325" s="3" t="s">
        <v>9695</v>
      </c>
      <c r="D2325" s="3" t="s">
        <v>9696</v>
      </c>
      <c r="E2325" s="3" t="s">
        <v>9695</v>
      </c>
      <c r="F2325" s="3" t="s">
        <v>19</v>
      </c>
      <c r="G2325" s="3" t="s">
        <v>20</v>
      </c>
      <c r="H2325" s="3">
        <v>2.0</v>
      </c>
      <c r="I2325" s="3" t="s">
        <v>3276</v>
      </c>
      <c r="J2325" s="3" t="s">
        <v>22</v>
      </c>
      <c r="K2325" s="3" t="s">
        <v>204</v>
      </c>
      <c r="L2325" s="3" t="s">
        <v>204</v>
      </c>
      <c r="M2325" s="3" t="s">
        <v>378</v>
      </c>
      <c r="N2325" s="3" t="s">
        <v>379</v>
      </c>
      <c r="O2325" s="5">
        <v>118100.6508586</v>
      </c>
      <c r="P2325" s="6" t="str">
        <f t="shared" si="2"/>
        <v>Non Banking Financial Company (NBFC)</v>
      </c>
    </row>
    <row r="2326">
      <c r="A2326" s="3" t="s">
        <v>1372</v>
      </c>
      <c r="B2326" s="4">
        <v>520056.0</v>
      </c>
      <c r="C2326" s="3" t="s">
        <v>9697</v>
      </c>
      <c r="D2326" s="3" t="s">
        <v>9698</v>
      </c>
      <c r="E2326" s="3" t="s">
        <v>9699</v>
      </c>
      <c r="F2326" s="3" t="s">
        <v>19</v>
      </c>
      <c r="G2326" s="3" t="s">
        <v>20</v>
      </c>
      <c r="H2326" s="3">
        <v>5.0</v>
      </c>
      <c r="I2326" s="3" t="s">
        <v>5202</v>
      </c>
      <c r="J2326" s="3" t="s">
        <v>22</v>
      </c>
      <c r="K2326" s="3" t="s">
        <v>204</v>
      </c>
      <c r="L2326" s="3" t="s">
        <v>204</v>
      </c>
      <c r="M2326" s="3" t="s">
        <v>378</v>
      </c>
      <c r="N2326" s="3" t="s">
        <v>384</v>
      </c>
      <c r="O2326" s="5">
        <v>29358.78</v>
      </c>
      <c r="P2326" s="6" t="str">
        <f t="shared" si="2"/>
        <v>Finance</v>
      </c>
    </row>
    <row r="2327" hidden="1">
      <c r="A2327" s="3" t="s">
        <v>9700</v>
      </c>
      <c r="B2327" s="4">
        <v>532376.0</v>
      </c>
      <c r="C2327" s="3" t="s">
        <v>9701</v>
      </c>
      <c r="D2327" s="3" t="s">
        <v>9702</v>
      </c>
      <c r="E2327" s="3" t="s">
        <v>9703</v>
      </c>
      <c r="F2327" s="3" t="s">
        <v>19</v>
      </c>
      <c r="G2327" s="3" t="s">
        <v>86</v>
      </c>
      <c r="H2327" s="3">
        <v>5.0</v>
      </c>
      <c r="I2327" s="3" t="s">
        <v>9700</v>
      </c>
      <c r="J2327" s="3" t="s">
        <v>22</v>
      </c>
      <c r="K2327" s="3" t="s">
        <v>189</v>
      </c>
      <c r="L2327" s="3" t="s">
        <v>189</v>
      </c>
      <c r="M2327" s="3" t="s">
        <v>190</v>
      </c>
      <c r="N2327" s="3" t="s">
        <v>190</v>
      </c>
      <c r="O2327" s="5">
        <v>151.444638</v>
      </c>
      <c r="P2327" s="6" t="str">
        <f t="shared" si="2"/>
        <v>Telecom - Equipment &amp; Accessories</v>
      </c>
    </row>
    <row r="2328" hidden="1">
      <c r="A2328" s="3" t="s">
        <v>9704</v>
      </c>
      <c r="B2328" s="4">
        <v>532378.0</v>
      </c>
      <c r="C2328" s="3" t="s">
        <v>9705</v>
      </c>
      <c r="D2328" s="3" t="s">
        <v>9706</v>
      </c>
      <c r="E2328" s="3" t="s">
        <v>9707</v>
      </c>
      <c r="F2328" s="3" t="s">
        <v>19</v>
      </c>
      <c r="G2328" s="3" t="s">
        <v>44</v>
      </c>
      <c r="H2328" s="3">
        <v>10.0</v>
      </c>
      <c r="I2328" s="3" t="s">
        <v>9704</v>
      </c>
      <c r="J2328" s="3" t="s">
        <v>22</v>
      </c>
      <c r="K2328" s="3" t="s">
        <v>58</v>
      </c>
      <c r="L2328" s="3" t="s">
        <v>182</v>
      </c>
      <c r="M2328" s="3" t="s">
        <v>1168</v>
      </c>
      <c r="N2328" s="3" t="s">
        <v>1568</v>
      </c>
      <c r="O2328" s="5">
        <v>1.0</v>
      </c>
      <c r="P2328" s="6" t="str">
        <f t="shared" si="2"/>
        <v>Entertainment</v>
      </c>
    </row>
    <row r="2329" hidden="1">
      <c r="A2329" s="3" t="s">
        <v>9708</v>
      </c>
      <c r="B2329" s="4">
        <v>532379.0</v>
      </c>
      <c r="C2329" s="3" t="s">
        <v>9709</v>
      </c>
      <c r="D2329" s="3" t="s">
        <v>9710</v>
      </c>
      <c r="E2329" s="3" t="s">
        <v>9711</v>
      </c>
      <c r="F2329" s="3" t="s">
        <v>19</v>
      </c>
      <c r="G2329" s="3" t="s">
        <v>44</v>
      </c>
      <c r="H2329" s="3">
        <v>10.0</v>
      </c>
      <c r="I2329" s="3" t="s">
        <v>9708</v>
      </c>
      <c r="J2329" s="3" t="s">
        <v>22</v>
      </c>
      <c r="K2329" s="3" t="s">
        <v>473</v>
      </c>
      <c r="L2329" s="3" t="s">
        <v>473</v>
      </c>
      <c r="M2329" s="3" t="s">
        <v>1391</v>
      </c>
      <c r="N2329" s="3" t="s">
        <v>1392</v>
      </c>
      <c r="O2329" s="5">
        <v>1.0</v>
      </c>
      <c r="P2329" s="6" t="str">
        <f t="shared" si="2"/>
        <v>IT - Software</v>
      </c>
    </row>
    <row r="2330" hidden="1">
      <c r="A2330" s="3" t="s">
        <v>9712</v>
      </c>
      <c r="B2330" s="4">
        <v>532380.0</v>
      </c>
      <c r="C2330" s="3" t="s">
        <v>9713</v>
      </c>
      <c r="D2330" s="3" t="s">
        <v>9714</v>
      </c>
      <c r="E2330" s="3" t="s">
        <v>9715</v>
      </c>
      <c r="F2330" s="3" t="s">
        <v>19</v>
      </c>
      <c r="G2330" s="3" t="s">
        <v>44</v>
      </c>
      <c r="H2330" s="3">
        <v>1.0</v>
      </c>
      <c r="I2330" s="3" t="s">
        <v>9712</v>
      </c>
      <c r="J2330" s="3" t="s">
        <v>22</v>
      </c>
      <c r="K2330" s="3" t="s">
        <v>58</v>
      </c>
      <c r="L2330" s="3" t="s">
        <v>182</v>
      </c>
      <c r="M2330" s="3" t="s">
        <v>1168</v>
      </c>
      <c r="N2330" s="3" t="s">
        <v>1568</v>
      </c>
      <c r="O2330" s="5">
        <v>69.8737066</v>
      </c>
      <c r="P2330" s="6" t="str">
        <f t="shared" si="2"/>
        <v>Entertainment</v>
      </c>
    </row>
    <row r="2331" hidden="1">
      <c r="A2331" s="3" t="s">
        <v>9716</v>
      </c>
      <c r="B2331" s="4">
        <v>532382.0</v>
      </c>
      <c r="C2331" s="3" t="s">
        <v>9717</v>
      </c>
      <c r="D2331" s="3" t="s">
        <v>9718</v>
      </c>
      <c r="E2331" s="3" t="s">
        <v>9719</v>
      </c>
      <c r="F2331" s="3" t="s">
        <v>19</v>
      </c>
      <c r="G2331" s="3" t="s">
        <v>112</v>
      </c>
      <c r="H2331" s="3">
        <v>2.0</v>
      </c>
      <c r="I2331" s="3" t="s">
        <v>9716</v>
      </c>
      <c r="J2331" s="3" t="s">
        <v>22</v>
      </c>
      <c r="K2331" s="3" t="s">
        <v>58</v>
      </c>
      <c r="L2331" s="3" t="s">
        <v>182</v>
      </c>
      <c r="M2331" s="3" t="s">
        <v>1168</v>
      </c>
      <c r="N2331" s="3" t="s">
        <v>1336</v>
      </c>
      <c r="O2331" s="5">
        <v>725.4541633</v>
      </c>
      <c r="P2331" s="6" t="str">
        <f t="shared" si="2"/>
        <v>Entertainment</v>
      </c>
    </row>
    <row r="2332" hidden="1">
      <c r="A2332" s="3" t="s">
        <v>9720</v>
      </c>
      <c r="B2332" s="4">
        <v>532384.0</v>
      </c>
      <c r="C2332" s="3" t="s">
        <v>9721</v>
      </c>
      <c r="D2332" s="3" t="s">
        <v>9722</v>
      </c>
      <c r="E2332" s="3" t="s">
        <v>9723</v>
      </c>
      <c r="F2332" s="3" t="s">
        <v>19</v>
      </c>
      <c r="G2332" s="3" t="s">
        <v>44</v>
      </c>
      <c r="H2332" s="3">
        <v>10.0</v>
      </c>
      <c r="I2332" s="3" t="s">
        <v>9720</v>
      </c>
      <c r="J2332" s="3" t="s">
        <v>22</v>
      </c>
      <c r="K2332" s="3" t="s">
        <v>45</v>
      </c>
      <c r="L2332" s="3" t="s">
        <v>45</v>
      </c>
      <c r="M2332" s="3" t="s">
        <v>46</v>
      </c>
      <c r="N2332" s="3" t="s">
        <v>47</v>
      </c>
      <c r="O2332" s="5">
        <v>184.2186777</v>
      </c>
      <c r="P2332" s="6" t="str">
        <f t="shared" si="2"/>
        <v>Pharmaceuticals</v>
      </c>
    </row>
    <row r="2333" hidden="1">
      <c r="A2333" s="3" t="s">
        <v>9724</v>
      </c>
      <c r="B2333" s="4">
        <v>532386.0</v>
      </c>
      <c r="C2333" s="3" t="s">
        <v>9725</v>
      </c>
      <c r="D2333" s="3" t="s">
        <v>9726</v>
      </c>
      <c r="E2333" s="3" t="s">
        <v>9727</v>
      </c>
      <c r="F2333" s="3" t="s">
        <v>19</v>
      </c>
      <c r="G2333" s="3" t="s">
        <v>86</v>
      </c>
      <c r="H2333" s="3">
        <v>10.0</v>
      </c>
      <c r="I2333" s="3" t="s">
        <v>9724</v>
      </c>
      <c r="J2333" s="3" t="s">
        <v>22</v>
      </c>
      <c r="K2333" s="3" t="s">
        <v>473</v>
      </c>
      <c r="L2333" s="3" t="s">
        <v>473</v>
      </c>
      <c r="M2333" s="3" t="s">
        <v>1391</v>
      </c>
      <c r="N2333" s="3" t="s">
        <v>1840</v>
      </c>
      <c r="O2333" s="5">
        <v>27.920891</v>
      </c>
      <c r="P2333" s="6" t="str">
        <f t="shared" si="2"/>
        <v>Computers - Software &amp; Consulting</v>
      </c>
    </row>
    <row r="2334" hidden="1">
      <c r="A2334" s="3" t="s">
        <v>9728</v>
      </c>
      <c r="B2334" s="4">
        <v>532387.0</v>
      </c>
      <c r="C2334" s="3" t="s">
        <v>9729</v>
      </c>
      <c r="D2334" s="3" t="s">
        <v>9730</v>
      </c>
      <c r="E2334" s="3" t="s">
        <v>9731</v>
      </c>
      <c r="F2334" s="3" t="s">
        <v>19</v>
      </c>
      <c r="G2334" s="3" t="s">
        <v>112</v>
      </c>
      <c r="H2334" s="3">
        <v>10.0</v>
      </c>
      <c r="I2334" s="3" t="s">
        <v>9728</v>
      </c>
      <c r="J2334" s="3" t="s">
        <v>22</v>
      </c>
      <c r="K2334" s="3" t="s">
        <v>58</v>
      </c>
      <c r="L2334" s="3" t="s">
        <v>182</v>
      </c>
      <c r="M2334" s="3" t="s">
        <v>1168</v>
      </c>
      <c r="N2334" s="3" t="s">
        <v>1568</v>
      </c>
      <c r="O2334" s="5">
        <v>95.1212063</v>
      </c>
      <c r="P2334" s="6" t="str">
        <f t="shared" si="2"/>
        <v>Entertainment</v>
      </c>
    </row>
    <row r="2335">
      <c r="A2335" s="3" t="s">
        <v>9732</v>
      </c>
      <c r="B2335" s="4">
        <v>523405.0</v>
      </c>
      <c r="C2335" s="3" t="s">
        <v>9733</v>
      </c>
      <c r="D2335" s="3" t="s">
        <v>9734</v>
      </c>
      <c r="E2335" s="3" t="s">
        <v>9735</v>
      </c>
      <c r="F2335" s="3" t="s">
        <v>19</v>
      </c>
      <c r="G2335" s="3" t="s">
        <v>20</v>
      </c>
      <c r="H2335" s="3">
        <v>1.0</v>
      </c>
      <c r="I2335" s="3" t="s">
        <v>5846</v>
      </c>
      <c r="J2335" s="3" t="s">
        <v>22</v>
      </c>
      <c r="K2335" s="3" t="s">
        <v>204</v>
      </c>
      <c r="L2335" s="3" t="s">
        <v>204</v>
      </c>
      <c r="M2335" s="3" t="s">
        <v>378</v>
      </c>
      <c r="N2335" s="3" t="s">
        <v>463</v>
      </c>
      <c r="O2335" s="5">
        <v>8515.959685</v>
      </c>
      <c r="P2335" s="6" t="str">
        <f t="shared" si="2"/>
        <v>Finance</v>
      </c>
    </row>
    <row r="2336" hidden="1">
      <c r="A2336" s="3" t="s">
        <v>9736</v>
      </c>
      <c r="B2336" s="4">
        <v>532390.0</v>
      </c>
      <c r="C2336" s="3" t="s">
        <v>9737</v>
      </c>
      <c r="D2336" s="3" t="s">
        <v>9738</v>
      </c>
      <c r="E2336" s="3" t="s">
        <v>9739</v>
      </c>
      <c r="F2336" s="3" t="s">
        <v>19</v>
      </c>
      <c r="G2336" s="3" t="s">
        <v>112</v>
      </c>
      <c r="H2336" s="3">
        <v>2.0</v>
      </c>
      <c r="I2336" s="3" t="s">
        <v>9736</v>
      </c>
      <c r="J2336" s="3" t="s">
        <v>22</v>
      </c>
      <c r="K2336" s="3" t="s">
        <v>58</v>
      </c>
      <c r="L2336" s="3" t="s">
        <v>73</v>
      </c>
      <c r="M2336" s="3" t="s">
        <v>74</v>
      </c>
      <c r="N2336" s="3" t="s">
        <v>75</v>
      </c>
      <c r="O2336" s="5">
        <v>2088.8981527</v>
      </c>
      <c r="P2336" s="6" t="str">
        <f t="shared" si="2"/>
        <v>Leisure Services</v>
      </c>
    </row>
    <row r="2337" hidden="1">
      <c r="A2337" s="3" t="s">
        <v>9740</v>
      </c>
      <c r="B2337" s="4">
        <v>532392.0</v>
      </c>
      <c r="C2337" s="3" t="s">
        <v>9741</v>
      </c>
      <c r="D2337" s="3" t="s">
        <v>9742</v>
      </c>
      <c r="E2337" s="3" t="s">
        <v>9743</v>
      </c>
      <c r="F2337" s="3" t="s">
        <v>19</v>
      </c>
      <c r="G2337" s="3" t="s">
        <v>86</v>
      </c>
      <c r="H2337" s="3">
        <v>5.0</v>
      </c>
      <c r="I2337" s="3" t="s">
        <v>9740</v>
      </c>
      <c r="J2337" s="3" t="s">
        <v>22</v>
      </c>
      <c r="K2337" s="3" t="s">
        <v>58</v>
      </c>
      <c r="L2337" s="3" t="s">
        <v>182</v>
      </c>
      <c r="M2337" s="3" t="s">
        <v>1168</v>
      </c>
      <c r="N2337" s="3" t="s">
        <v>1336</v>
      </c>
      <c r="O2337" s="5">
        <v>14.3416489</v>
      </c>
      <c r="P2337" s="6" t="str">
        <f t="shared" si="2"/>
        <v>Entertainment</v>
      </c>
    </row>
    <row r="2338" hidden="1">
      <c r="A2338" s="3" t="s">
        <v>9744</v>
      </c>
      <c r="B2338" s="4">
        <v>532395.0</v>
      </c>
      <c r="C2338" s="3" t="s">
        <v>9745</v>
      </c>
      <c r="D2338" s="3" t="s">
        <v>9746</v>
      </c>
      <c r="E2338" s="3" t="s">
        <v>9747</v>
      </c>
      <c r="F2338" s="3" t="s">
        <v>19</v>
      </c>
      <c r="G2338" s="3" t="s">
        <v>112</v>
      </c>
      <c r="H2338" s="3">
        <v>5.0</v>
      </c>
      <c r="I2338" s="3" t="s">
        <v>9744</v>
      </c>
      <c r="J2338" s="3" t="s">
        <v>22</v>
      </c>
      <c r="K2338" s="3" t="s">
        <v>473</v>
      </c>
      <c r="L2338" s="3" t="s">
        <v>473</v>
      </c>
      <c r="M2338" s="3" t="s">
        <v>1538</v>
      </c>
      <c r="N2338" s="3" t="s">
        <v>1539</v>
      </c>
      <c r="O2338" s="5">
        <v>2177.6307255</v>
      </c>
      <c r="P2338" s="6" t="str">
        <f t="shared" si="2"/>
        <v>IT - Services</v>
      </c>
    </row>
    <row r="2339" hidden="1">
      <c r="A2339" s="3" t="s">
        <v>9748</v>
      </c>
      <c r="B2339" s="4">
        <v>532397.0</v>
      </c>
      <c r="C2339" s="3" t="s">
        <v>9749</v>
      </c>
      <c r="D2339" s="3" t="s">
        <v>9750</v>
      </c>
      <c r="E2339" s="3" t="s">
        <v>9751</v>
      </c>
      <c r="F2339" s="3" t="s">
        <v>19</v>
      </c>
      <c r="G2339" s="3" t="s">
        <v>44</v>
      </c>
      <c r="H2339" s="3">
        <v>10.0</v>
      </c>
      <c r="I2339" s="3" t="s">
        <v>9748</v>
      </c>
      <c r="J2339" s="3" t="s">
        <v>22</v>
      </c>
      <c r="K2339" s="3" t="s">
        <v>23</v>
      </c>
      <c r="L2339" s="3" t="s">
        <v>32</v>
      </c>
      <c r="M2339" s="3" t="s">
        <v>33</v>
      </c>
      <c r="N2339" s="3" t="s">
        <v>34</v>
      </c>
      <c r="O2339" s="5">
        <v>1.0</v>
      </c>
      <c r="P2339" s="6" t="str">
        <f t="shared" si="2"/>
        <v>Paper, Forest &amp; Jute Products</v>
      </c>
    </row>
    <row r="2340" hidden="1">
      <c r="A2340" s="3" t="s">
        <v>9752</v>
      </c>
      <c r="B2340" s="4">
        <v>532398.0</v>
      </c>
      <c r="C2340" s="3" t="s">
        <v>9753</v>
      </c>
      <c r="D2340" s="3" t="s">
        <v>9754</v>
      </c>
      <c r="E2340" s="3" t="s">
        <v>9753</v>
      </c>
      <c r="F2340" s="3" t="s">
        <v>19</v>
      </c>
      <c r="G2340" s="3" t="s">
        <v>112</v>
      </c>
      <c r="H2340" s="3">
        <v>1.0</v>
      </c>
      <c r="I2340" s="3" t="s">
        <v>9752</v>
      </c>
      <c r="J2340" s="3" t="s">
        <v>22</v>
      </c>
      <c r="K2340" s="3" t="s">
        <v>58</v>
      </c>
      <c r="L2340" s="3" t="s">
        <v>73</v>
      </c>
      <c r="M2340" s="3" t="s">
        <v>800</v>
      </c>
      <c r="N2340" s="3" t="s">
        <v>4711</v>
      </c>
      <c r="O2340" s="5">
        <v>16.8307669</v>
      </c>
      <c r="P2340" s="6" t="str">
        <f t="shared" si="2"/>
        <v>Other Consumer Services</v>
      </c>
    </row>
    <row r="2341">
      <c r="A2341" s="3" t="s">
        <v>9755</v>
      </c>
      <c r="B2341" s="4">
        <v>524000.0</v>
      </c>
      <c r="C2341" s="3" t="s">
        <v>9756</v>
      </c>
      <c r="D2341" s="3" t="s">
        <v>9757</v>
      </c>
      <c r="E2341" s="3" t="s">
        <v>9758</v>
      </c>
      <c r="F2341" s="3" t="s">
        <v>19</v>
      </c>
      <c r="G2341" s="3" t="s">
        <v>20</v>
      </c>
      <c r="H2341" s="3">
        <v>2.0</v>
      </c>
      <c r="I2341" s="3" t="s">
        <v>6090</v>
      </c>
      <c r="J2341" s="3" t="s">
        <v>22</v>
      </c>
      <c r="K2341" s="3" t="s">
        <v>204</v>
      </c>
      <c r="L2341" s="3" t="s">
        <v>204</v>
      </c>
      <c r="M2341" s="3" t="s">
        <v>378</v>
      </c>
      <c r="N2341" s="3" t="s">
        <v>379</v>
      </c>
      <c r="O2341" s="5">
        <v>31634.796985</v>
      </c>
      <c r="P2341" s="6" t="str">
        <f t="shared" si="2"/>
        <v>Non Banking Financial Company (NBFC)</v>
      </c>
    </row>
    <row r="2342" hidden="1">
      <c r="A2342" s="3" t="s">
        <v>9759</v>
      </c>
      <c r="B2342" s="4">
        <v>532402.0</v>
      </c>
      <c r="C2342" s="3" t="s">
        <v>9760</v>
      </c>
      <c r="D2342" s="3" t="s">
        <v>9761</v>
      </c>
      <c r="E2342" s="3" t="s">
        <v>9762</v>
      </c>
      <c r="F2342" s="3" t="s">
        <v>19</v>
      </c>
      <c r="G2342" s="3" t="s">
        <v>72</v>
      </c>
      <c r="H2342" s="3">
        <v>10.0</v>
      </c>
      <c r="I2342" s="3" t="s">
        <v>9759</v>
      </c>
      <c r="J2342" s="3" t="s">
        <v>22</v>
      </c>
      <c r="K2342" s="3" t="s">
        <v>473</v>
      </c>
      <c r="L2342" s="3" t="s">
        <v>473</v>
      </c>
      <c r="M2342" s="3" t="s">
        <v>1538</v>
      </c>
      <c r="N2342" s="3" t="s">
        <v>1539</v>
      </c>
      <c r="O2342" s="5">
        <v>33.50207</v>
      </c>
      <c r="P2342" s="6" t="str">
        <f t="shared" si="2"/>
        <v>IT - Services</v>
      </c>
    </row>
    <row r="2343" hidden="1">
      <c r="A2343" s="3" t="s">
        <v>9763</v>
      </c>
      <c r="B2343" s="4">
        <v>532404.0</v>
      </c>
      <c r="C2343" s="3" t="s">
        <v>9764</v>
      </c>
      <c r="D2343" s="3" t="s">
        <v>9765</v>
      </c>
      <c r="E2343" s="3" t="s">
        <v>9766</v>
      </c>
      <c r="F2343" s="3" t="s">
        <v>19</v>
      </c>
      <c r="G2343" s="3" t="s">
        <v>44</v>
      </c>
      <c r="H2343" s="3">
        <v>1.0</v>
      </c>
      <c r="I2343" s="3" t="s">
        <v>9763</v>
      </c>
      <c r="J2343" s="3" t="s">
        <v>22</v>
      </c>
      <c r="K2343" s="3" t="s">
        <v>473</v>
      </c>
      <c r="L2343" s="3" t="s">
        <v>473</v>
      </c>
      <c r="M2343" s="3" t="s">
        <v>1538</v>
      </c>
      <c r="N2343" s="3" t="s">
        <v>1539</v>
      </c>
      <c r="O2343" s="5">
        <v>60.5729412</v>
      </c>
      <c r="P2343" s="6" t="str">
        <f t="shared" si="2"/>
        <v>IT - Services</v>
      </c>
    </row>
    <row r="2344" hidden="1">
      <c r="A2344" s="3" t="s">
        <v>9767</v>
      </c>
      <c r="B2344" s="4">
        <v>532406.0</v>
      </c>
      <c r="C2344" s="3" t="s">
        <v>9768</v>
      </c>
      <c r="D2344" s="3" t="s">
        <v>9769</v>
      </c>
      <c r="E2344" s="3" t="s">
        <v>9770</v>
      </c>
      <c r="F2344" s="3" t="s">
        <v>19</v>
      </c>
      <c r="G2344" s="3" t="s">
        <v>112</v>
      </c>
      <c r="H2344" s="3">
        <v>2.0</v>
      </c>
      <c r="I2344" s="3" t="s">
        <v>9767</v>
      </c>
      <c r="J2344" s="3" t="s">
        <v>22</v>
      </c>
      <c r="K2344" s="3" t="s">
        <v>189</v>
      </c>
      <c r="L2344" s="3" t="s">
        <v>189</v>
      </c>
      <c r="M2344" s="3" t="s">
        <v>190</v>
      </c>
      <c r="N2344" s="3" t="s">
        <v>190</v>
      </c>
      <c r="O2344" s="5">
        <v>4247.58719</v>
      </c>
      <c r="P2344" s="6" t="str">
        <f t="shared" si="2"/>
        <v>Telecom - Equipment &amp; Accessories</v>
      </c>
    </row>
    <row r="2345">
      <c r="A2345" s="3" t="s">
        <v>9771</v>
      </c>
      <c r="B2345" s="4">
        <v>531213.0</v>
      </c>
      <c r="C2345" s="3" t="s">
        <v>9772</v>
      </c>
      <c r="D2345" s="3" t="s">
        <v>9773</v>
      </c>
      <c r="E2345" s="3" t="s">
        <v>9774</v>
      </c>
      <c r="F2345" s="3" t="s">
        <v>19</v>
      </c>
      <c r="G2345" s="3" t="s">
        <v>20</v>
      </c>
      <c r="H2345" s="3">
        <v>2.0</v>
      </c>
      <c r="I2345" s="3" t="s">
        <v>8242</v>
      </c>
      <c r="J2345" s="3" t="s">
        <v>22</v>
      </c>
      <c r="K2345" s="3" t="s">
        <v>204</v>
      </c>
      <c r="L2345" s="3" t="s">
        <v>204</v>
      </c>
      <c r="M2345" s="3" t="s">
        <v>378</v>
      </c>
      <c r="N2345" s="3" t="s">
        <v>379</v>
      </c>
      <c r="O2345" s="5">
        <v>17298.1885694</v>
      </c>
      <c r="P2345" s="6" t="str">
        <f t="shared" si="2"/>
        <v>Non Banking Financial Company (NBFC)</v>
      </c>
    </row>
    <row r="2346" hidden="1">
      <c r="A2346" s="3" t="s">
        <v>9775</v>
      </c>
      <c r="B2346" s="4">
        <v>532408.0</v>
      </c>
      <c r="C2346" s="3" t="s">
        <v>9776</v>
      </c>
      <c r="D2346" s="3" t="s">
        <v>9777</v>
      </c>
      <c r="E2346" s="3" t="s">
        <v>9778</v>
      </c>
      <c r="F2346" s="3" t="s">
        <v>19</v>
      </c>
      <c r="G2346" s="3" t="s">
        <v>112</v>
      </c>
      <c r="H2346" s="3">
        <v>10.0</v>
      </c>
      <c r="I2346" s="3" t="s">
        <v>9775</v>
      </c>
      <c r="J2346" s="3" t="s">
        <v>22</v>
      </c>
      <c r="K2346" s="3" t="s">
        <v>189</v>
      </c>
      <c r="L2346" s="3" t="s">
        <v>189</v>
      </c>
      <c r="M2346" s="3" t="s">
        <v>291</v>
      </c>
      <c r="N2346" s="3" t="s">
        <v>423</v>
      </c>
      <c r="O2346" s="5">
        <v>513.8876331</v>
      </c>
      <c r="P2346" s="6" t="str">
        <f t="shared" si="2"/>
        <v>Telecom - Services</v>
      </c>
    </row>
    <row r="2347" hidden="1">
      <c r="A2347" s="3" t="s">
        <v>9779</v>
      </c>
      <c r="B2347" s="4">
        <v>532410.0</v>
      </c>
      <c r="C2347" s="3" t="s">
        <v>9780</v>
      </c>
      <c r="D2347" s="3" t="s">
        <v>9781</v>
      </c>
      <c r="E2347" s="3" t="s">
        <v>9782</v>
      </c>
      <c r="F2347" s="3" t="s">
        <v>19</v>
      </c>
      <c r="G2347" s="3" t="s">
        <v>44</v>
      </c>
      <c r="H2347" s="3">
        <v>2.0</v>
      </c>
      <c r="I2347" s="3" t="s">
        <v>9779</v>
      </c>
      <c r="J2347" s="3" t="s">
        <v>22</v>
      </c>
      <c r="K2347" s="3" t="s">
        <v>204</v>
      </c>
      <c r="L2347" s="3" t="s">
        <v>204</v>
      </c>
      <c r="M2347" s="3" t="s">
        <v>378</v>
      </c>
      <c r="N2347" s="3" t="s">
        <v>468</v>
      </c>
      <c r="O2347" s="5">
        <v>113.151729</v>
      </c>
      <c r="P2347" s="6" t="str">
        <f t="shared" si="2"/>
        <v>Finance</v>
      </c>
    </row>
    <row r="2348" hidden="1">
      <c r="A2348" s="3" t="s">
        <v>9783</v>
      </c>
      <c r="B2348" s="4">
        <v>532413.0</v>
      </c>
      <c r="C2348" s="3" t="s">
        <v>9784</v>
      </c>
      <c r="D2348" s="3" t="s">
        <v>9785</v>
      </c>
      <c r="E2348" s="3" t="s">
        <v>9786</v>
      </c>
      <c r="F2348" s="3" t="s">
        <v>19</v>
      </c>
      <c r="G2348" s="3" t="s">
        <v>86</v>
      </c>
      <c r="H2348" s="3">
        <v>10.0</v>
      </c>
      <c r="I2348" s="3" t="s">
        <v>9783</v>
      </c>
      <c r="J2348" s="3" t="s">
        <v>22</v>
      </c>
      <c r="K2348" s="3" t="s">
        <v>473</v>
      </c>
      <c r="L2348" s="3" t="s">
        <v>473</v>
      </c>
      <c r="M2348" s="3" t="s">
        <v>474</v>
      </c>
      <c r="N2348" s="3" t="s">
        <v>475</v>
      </c>
      <c r="O2348" s="5">
        <v>77.7033387</v>
      </c>
      <c r="P2348" s="6" t="str">
        <f t="shared" si="2"/>
        <v>IT - Hardware</v>
      </c>
    </row>
    <row r="2349" hidden="1">
      <c r="A2349" s="3" t="s">
        <v>9787</v>
      </c>
      <c r="B2349" s="4">
        <v>532416.0</v>
      </c>
      <c r="C2349" s="3" t="s">
        <v>9788</v>
      </c>
      <c r="D2349" s="3" t="s">
        <v>9789</v>
      </c>
      <c r="E2349" s="3" t="s">
        <v>9790</v>
      </c>
      <c r="F2349" s="3" t="s">
        <v>19</v>
      </c>
      <c r="G2349" s="3" t="s">
        <v>112</v>
      </c>
      <c r="H2349" s="3">
        <v>10.0</v>
      </c>
      <c r="I2349" s="3" t="s">
        <v>9787</v>
      </c>
      <c r="J2349" s="3" t="s">
        <v>22</v>
      </c>
      <c r="K2349" s="3" t="s">
        <v>58</v>
      </c>
      <c r="L2349" s="3" t="s">
        <v>182</v>
      </c>
      <c r="M2349" s="3" t="s">
        <v>1168</v>
      </c>
      <c r="N2349" s="3" t="s">
        <v>1336</v>
      </c>
      <c r="O2349" s="5">
        <v>45.9129173</v>
      </c>
      <c r="P2349" s="6" t="str">
        <f t="shared" si="2"/>
        <v>Entertainment</v>
      </c>
    </row>
    <row r="2350" hidden="1">
      <c r="A2350" s="3" t="s">
        <v>9791</v>
      </c>
      <c r="B2350" s="4">
        <v>532419.0</v>
      </c>
      <c r="C2350" s="3" t="s">
        <v>9792</v>
      </c>
      <c r="D2350" s="3" t="s">
        <v>9793</v>
      </c>
      <c r="E2350" s="3" t="s">
        <v>9794</v>
      </c>
      <c r="F2350" s="3" t="s">
        <v>19</v>
      </c>
      <c r="G2350" s="3" t="s">
        <v>86</v>
      </c>
      <c r="H2350" s="3">
        <v>2.0</v>
      </c>
      <c r="I2350" s="3" t="s">
        <v>9791</v>
      </c>
      <c r="J2350" s="3" t="s">
        <v>22</v>
      </c>
      <c r="K2350" s="3" t="s">
        <v>473</v>
      </c>
      <c r="L2350" s="3" t="s">
        <v>473</v>
      </c>
      <c r="M2350" s="3" t="s">
        <v>474</v>
      </c>
      <c r="N2350" s="3" t="s">
        <v>475</v>
      </c>
      <c r="O2350" s="5">
        <v>285.2560376</v>
      </c>
      <c r="P2350" s="6" t="str">
        <f t="shared" si="2"/>
        <v>IT - Hardware</v>
      </c>
    </row>
    <row r="2351">
      <c r="A2351" s="3" t="s">
        <v>8828</v>
      </c>
      <c r="B2351" s="4">
        <v>531358.0</v>
      </c>
      <c r="C2351" s="3" t="s">
        <v>9795</v>
      </c>
      <c r="D2351" s="3" t="s">
        <v>9796</v>
      </c>
      <c r="E2351" s="3" t="s">
        <v>9797</v>
      </c>
      <c r="F2351" s="3" t="s">
        <v>19</v>
      </c>
      <c r="G2351" s="3" t="s">
        <v>20</v>
      </c>
      <c r="H2351" s="3">
        <v>10.0</v>
      </c>
      <c r="I2351" s="3" t="s">
        <v>8466</v>
      </c>
      <c r="J2351" s="3" t="s">
        <v>22</v>
      </c>
      <c r="K2351" s="3" t="s">
        <v>204</v>
      </c>
      <c r="L2351" s="3" t="s">
        <v>204</v>
      </c>
      <c r="M2351" s="3" t="s">
        <v>378</v>
      </c>
      <c r="N2351" s="3" t="s">
        <v>463</v>
      </c>
      <c r="O2351" s="5">
        <v>7771.94416</v>
      </c>
      <c r="P2351" s="6" t="str">
        <f t="shared" si="2"/>
        <v>Finance</v>
      </c>
    </row>
    <row r="2352" hidden="1">
      <c r="A2352" s="3" t="s">
        <v>9798</v>
      </c>
      <c r="B2352" s="4">
        <v>532425.0</v>
      </c>
      <c r="C2352" s="3" t="s">
        <v>9799</v>
      </c>
      <c r="D2352" s="3" t="s">
        <v>9800</v>
      </c>
      <c r="E2352" s="3" t="s">
        <v>9801</v>
      </c>
      <c r="F2352" s="3" t="s">
        <v>19</v>
      </c>
      <c r="G2352" s="3" t="s">
        <v>44</v>
      </c>
      <c r="H2352" s="3">
        <v>2.0</v>
      </c>
      <c r="I2352" s="3" t="s">
        <v>9798</v>
      </c>
      <c r="J2352" s="3" t="s">
        <v>22</v>
      </c>
      <c r="K2352" s="3" t="s">
        <v>23</v>
      </c>
      <c r="L2352" s="3" t="s">
        <v>24</v>
      </c>
      <c r="M2352" s="3" t="s">
        <v>25</v>
      </c>
      <c r="N2352" s="3" t="s">
        <v>52</v>
      </c>
      <c r="O2352" s="5">
        <v>26.3073025</v>
      </c>
      <c r="P2352" s="6" t="str">
        <f t="shared" si="2"/>
        <v>Chemicals &amp; Petrochemicals</v>
      </c>
    </row>
    <row r="2353" hidden="1">
      <c r="A2353" s="3" t="s">
        <v>1878</v>
      </c>
      <c r="B2353" s="4">
        <v>531553.0</v>
      </c>
      <c r="C2353" s="3" t="s">
        <v>9802</v>
      </c>
      <c r="D2353" s="3" t="s">
        <v>9803</v>
      </c>
      <c r="E2353" s="3" t="s">
        <v>9804</v>
      </c>
      <c r="F2353" s="3" t="s">
        <v>19</v>
      </c>
      <c r="G2353" s="3" t="s">
        <v>44</v>
      </c>
      <c r="H2353" s="3">
        <v>10.0</v>
      </c>
      <c r="I2353" s="3" t="s">
        <v>8728</v>
      </c>
      <c r="J2353" s="3" t="s">
        <v>22</v>
      </c>
      <c r="K2353" s="3" t="s">
        <v>1673</v>
      </c>
      <c r="L2353" s="3" t="s">
        <v>1673</v>
      </c>
      <c r="M2353" s="3" t="s">
        <v>1674</v>
      </c>
      <c r="N2353" s="3" t="s">
        <v>1675</v>
      </c>
      <c r="O2353" s="5">
        <v>14.2738222</v>
      </c>
      <c r="P2353" s="6" t="str">
        <f t="shared" si="2"/>
        <v>Commercial Services &amp; Supplies</v>
      </c>
    </row>
    <row r="2354">
      <c r="A2354" s="3" t="s">
        <v>8954</v>
      </c>
      <c r="B2354" s="4">
        <v>531595.0</v>
      </c>
      <c r="C2354" s="3" t="s">
        <v>9805</v>
      </c>
      <c r="D2354" s="3" t="s">
        <v>9806</v>
      </c>
      <c r="E2354" s="3" t="s">
        <v>9805</v>
      </c>
      <c r="F2354" s="3" t="s">
        <v>19</v>
      </c>
      <c r="G2354" s="3" t="s">
        <v>20</v>
      </c>
      <c r="H2354" s="3">
        <v>1.0</v>
      </c>
      <c r="I2354" s="3" t="s">
        <v>8777</v>
      </c>
      <c r="J2354" s="3" t="s">
        <v>22</v>
      </c>
      <c r="K2354" s="3" t="s">
        <v>204</v>
      </c>
      <c r="L2354" s="3" t="s">
        <v>204</v>
      </c>
      <c r="M2354" s="3" t="s">
        <v>378</v>
      </c>
      <c r="N2354" s="3" t="s">
        <v>379</v>
      </c>
      <c r="O2354" s="5">
        <v>17949.72435</v>
      </c>
      <c r="P2354" s="6" t="str">
        <f t="shared" si="2"/>
        <v>Non Banking Financial Company (NBFC)</v>
      </c>
    </row>
    <row r="2355" hidden="1">
      <c r="A2355" s="3" t="s">
        <v>9807</v>
      </c>
      <c r="B2355" s="4">
        <v>532435.0</v>
      </c>
      <c r="C2355" s="3" t="s">
        <v>9808</v>
      </c>
      <c r="D2355" s="3" t="s">
        <v>9809</v>
      </c>
      <c r="E2355" s="3" t="s">
        <v>9808</v>
      </c>
      <c r="F2355" s="3" t="s">
        <v>19</v>
      </c>
      <c r="G2355" s="3" t="s">
        <v>72</v>
      </c>
      <c r="H2355" s="3">
        <v>1.0</v>
      </c>
      <c r="I2355" s="3" t="s">
        <v>9807</v>
      </c>
      <c r="J2355" s="3" t="s">
        <v>22</v>
      </c>
      <c r="K2355" s="3" t="s">
        <v>410</v>
      </c>
      <c r="L2355" s="3" t="s">
        <v>411</v>
      </c>
      <c r="M2355" s="3" t="s">
        <v>5748</v>
      </c>
      <c r="N2355" s="3" t="s">
        <v>5749</v>
      </c>
      <c r="O2355" s="5">
        <v>248.35536</v>
      </c>
      <c r="P2355" s="6" t="str">
        <f t="shared" si="2"/>
        <v>Petroleum Products</v>
      </c>
    </row>
    <row r="2356">
      <c r="A2356" s="3" t="s">
        <v>1377</v>
      </c>
      <c r="B2356" s="4">
        <v>532134.0</v>
      </c>
      <c r="C2356" s="3" t="s">
        <v>9810</v>
      </c>
      <c r="D2356" s="3" t="s">
        <v>9811</v>
      </c>
      <c r="E2356" s="3" t="s">
        <v>9812</v>
      </c>
      <c r="F2356" s="3" t="s">
        <v>19</v>
      </c>
      <c r="G2356" s="3" t="s">
        <v>20</v>
      </c>
      <c r="H2356" s="3">
        <v>2.0</v>
      </c>
      <c r="I2356" s="3" t="s">
        <v>9327</v>
      </c>
      <c r="J2356" s="3" t="s">
        <v>22</v>
      </c>
      <c r="K2356" s="3" t="s">
        <v>204</v>
      </c>
      <c r="L2356" s="3" t="s">
        <v>204</v>
      </c>
      <c r="M2356" s="3" t="s">
        <v>9428</v>
      </c>
      <c r="N2356" s="3" t="s">
        <v>9474</v>
      </c>
      <c r="O2356" s="5">
        <v>140012.0389469</v>
      </c>
      <c r="P2356" s="6" t="str">
        <f t="shared" si="2"/>
        <v>Banks</v>
      </c>
    </row>
    <row r="2357" hidden="1">
      <c r="A2357" s="3" t="s">
        <v>9813</v>
      </c>
      <c r="B2357" s="4">
        <v>532440.0</v>
      </c>
      <c r="C2357" s="3" t="s">
        <v>9814</v>
      </c>
      <c r="D2357" s="3" t="s">
        <v>9815</v>
      </c>
      <c r="E2357" s="3" t="s">
        <v>9816</v>
      </c>
      <c r="F2357" s="3" t="s">
        <v>19</v>
      </c>
      <c r="G2357" s="3" t="s">
        <v>112</v>
      </c>
      <c r="H2357" s="3">
        <v>10.0</v>
      </c>
      <c r="I2357" s="3" t="s">
        <v>9813</v>
      </c>
      <c r="J2357" s="3" t="s">
        <v>22</v>
      </c>
      <c r="K2357" s="3" t="s">
        <v>58</v>
      </c>
      <c r="L2357" s="3" t="s">
        <v>73</v>
      </c>
      <c r="M2357" s="3" t="s">
        <v>800</v>
      </c>
      <c r="N2357" s="3" t="s">
        <v>4711</v>
      </c>
      <c r="O2357" s="5">
        <v>3286.5319177</v>
      </c>
      <c r="P2357" s="6" t="str">
        <f t="shared" si="2"/>
        <v>Other Consumer Services</v>
      </c>
    </row>
    <row r="2358">
      <c r="A2358" s="3" t="s">
        <v>1401</v>
      </c>
      <c r="B2358" s="4">
        <v>532149.0</v>
      </c>
      <c r="C2358" s="3" t="s">
        <v>9817</v>
      </c>
      <c r="D2358" s="3" t="s">
        <v>9818</v>
      </c>
      <c r="E2358" s="3" t="s">
        <v>9819</v>
      </c>
      <c r="F2358" s="3" t="s">
        <v>19</v>
      </c>
      <c r="G2358" s="3" t="s">
        <v>20</v>
      </c>
      <c r="H2358" s="3">
        <v>10.0</v>
      </c>
      <c r="I2358" s="3" t="s">
        <v>9357</v>
      </c>
      <c r="J2358" s="3" t="s">
        <v>22</v>
      </c>
      <c r="K2358" s="3" t="s">
        <v>204</v>
      </c>
      <c r="L2358" s="3" t="s">
        <v>204</v>
      </c>
      <c r="M2358" s="3" t="s">
        <v>9428</v>
      </c>
      <c r="N2358" s="3" t="s">
        <v>9474</v>
      </c>
      <c r="O2358" s="5">
        <v>53730.1623406</v>
      </c>
      <c r="P2358" s="6" t="str">
        <f t="shared" si="2"/>
        <v>Banks</v>
      </c>
    </row>
    <row r="2359" hidden="1">
      <c r="A2359" s="3" t="s">
        <v>9820</v>
      </c>
      <c r="B2359" s="4">
        <v>532444.0</v>
      </c>
      <c r="C2359" s="3" t="s">
        <v>9821</v>
      </c>
      <c r="D2359" s="3" t="s">
        <v>9822</v>
      </c>
      <c r="E2359" s="3" t="s">
        <v>9823</v>
      </c>
      <c r="F2359" s="3" t="s">
        <v>19</v>
      </c>
      <c r="G2359" s="3" t="s">
        <v>72</v>
      </c>
      <c r="H2359" s="3">
        <v>10.0</v>
      </c>
      <c r="I2359" s="3" t="s">
        <v>9820</v>
      </c>
      <c r="J2359" s="3" t="s">
        <v>22</v>
      </c>
      <c r="K2359" s="3" t="s">
        <v>473</v>
      </c>
      <c r="L2359" s="3" t="s">
        <v>473</v>
      </c>
      <c r="M2359" s="3" t="s">
        <v>1391</v>
      </c>
      <c r="N2359" s="3" t="s">
        <v>1392</v>
      </c>
      <c r="O2359" s="5">
        <v>4.4823545</v>
      </c>
      <c r="P2359" s="6" t="str">
        <f t="shared" si="2"/>
        <v>IT - Software</v>
      </c>
    </row>
    <row r="2360">
      <c r="A2360" s="3" t="s">
        <v>9824</v>
      </c>
      <c r="B2360" s="4">
        <v>532174.0</v>
      </c>
      <c r="C2360" s="3" t="s">
        <v>9825</v>
      </c>
      <c r="D2360" s="3" t="s">
        <v>9826</v>
      </c>
      <c r="E2360" s="3" t="s">
        <v>9827</v>
      </c>
      <c r="F2360" s="3" t="s">
        <v>19</v>
      </c>
      <c r="G2360" s="3" t="s">
        <v>20</v>
      </c>
      <c r="H2360" s="3">
        <v>2.0</v>
      </c>
      <c r="I2360" s="3" t="s">
        <v>9410</v>
      </c>
      <c r="J2360" s="3" t="s">
        <v>22</v>
      </c>
      <c r="K2360" s="3" t="s">
        <v>204</v>
      </c>
      <c r="L2360" s="3" t="s">
        <v>204</v>
      </c>
      <c r="M2360" s="3" t="s">
        <v>9428</v>
      </c>
      <c r="N2360" s="3" t="s">
        <v>9429</v>
      </c>
      <c r="O2360" s="5">
        <v>841832.3564995</v>
      </c>
      <c r="P2360" s="6" t="str">
        <f t="shared" si="2"/>
        <v>Private Sector Bank</v>
      </c>
    </row>
    <row r="2361" hidden="1">
      <c r="A2361" s="3" t="s">
        <v>9828</v>
      </c>
      <c r="B2361" s="4">
        <v>532455.0</v>
      </c>
      <c r="C2361" s="3" t="s">
        <v>9829</v>
      </c>
      <c r="D2361" s="3" t="s">
        <v>9830</v>
      </c>
      <c r="E2361" s="3" t="s">
        <v>9831</v>
      </c>
      <c r="F2361" s="3" t="s">
        <v>19</v>
      </c>
      <c r="G2361" s="3" t="s">
        <v>44</v>
      </c>
      <c r="H2361" s="3">
        <v>2.0</v>
      </c>
      <c r="I2361" s="3" t="s">
        <v>9828</v>
      </c>
      <c r="J2361" s="3" t="s">
        <v>22</v>
      </c>
      <c r="K2361" s="3" t="s">
        <v>58</v>
      </c>
      <c r="L2361" s="3" t="s">
        <v>80</v>
      </c>
      <c r="M2361" s="3" t="s">
        <v>81</v>
      </c>
      <c r="N2361" s="3" t="s">
        <v>82</v>
      </c>
      <c r="O2361" s="5">
        <v>94.618854</v>
      </c>
      <c r="P2361" s="6" t="str">
        <f t="shared" si="2"/>
        <v>Textiles &amp; Apparels</v>
      </c>
    </row>
    <row r="2362" hidden="1">
      <c r="A2362" s="3" t="s">
        <v>9832</v>
      </c>
      <c r="B2362" s="4">
        <v>532457.0</v>
      </c>
      <c r="C2362" s="3" t="s">
        <v>9833</v>
      </c>
      <c r="D2362" s="3" t="s">
        <v>9834</v>
      </c>
      <c r="E2362" s="3" t="s">
        <v>9835</v>
      </c>
      <c r="F2362" s="3" t="s">
        <v>19</v>
      </c>
      <c r="G2362" s="3" t="s">
        <v>112</v>
      </c>
      <c r="H2362" s="3">
        <v>1.0</v>
      </c>
      <c r="I2362" s="3" t="s">
        <v>9832</v>
      </c>
      <c r="J2362" s="3" t="s">
        <v>22</v>
      </c>
      <c r="K2362" s="3" t="s">
        <v>145</v>
      </c>
      <c r="L2362" s="3" t="s">
        <v>145</v>
      </c>
      <c r="M2362" s="3" t="s">
        <v>146</v>
      </c>
      <c r="N2362" s="3" t="s">
        <v>2645</v>
      </c>
      <c r="O2362" s="5">
        <v>1237.6946543</v>
      </c>
      <c r="P2362" s="6" t="str">
        <f t="shared" si="2"/>
        <v>Agricultural Food &amp; other Products</v>
      </c>
    </row>
    <row r="2363" hidden="1">
      <c r="A2363" s="3" t="s">
        <v>9836</v>
      </c>
      <c r="B2363" s="4">
        <v>532460.0</v>
      </c>
      <c r="C2363" s="3" t="s">
        <v>9837</v>
      </c>
      <c r="D2363" s="3" t="s">
        <v>9838</v>
      </c>
      <c r="E2363" s="3" t="s">
        <v>9839</v>
      </c>
      <c r="F2363" s="3" t="s">
        <v>19</v>
      </c>
      <c r="G2363" s="3" t="s">
        <v>112</v>
      </c>
      <c r="H2363" s="3">
        <v>10.0</v>
      </c>
      <c r="I2363" s="3" t="s">
        <v>9836</v>
      </c>
      <c r="J2363" s="3" t="s">
        <v>22</v>
      </c>
      <c r="K2363" s="3" t="s">
        <v>145</v>
      </c>
      <c r="L2363" s="3" t="s">
        <v>145</v>
      </c>
      <c r="M2363" s="3" t="s">
        <v>146</v>
      </c>
      <c r="N2363" s="3" t="s">
        <v>147</v>
      </c>
      <c r="O2363" s="5">
        <v>433.0886616</v>
      </c>
      <c r="P2363" s="6" t="str">
        <f t="shared" si="2"/>
        <v>Agricultural Food &amp; other Products</v>
      </c>
    </row>
    <row r="2364">
      <c r="A2364" s="3" t="s">
        <v>9840</v>
      </c>
      <c r="B2364" s="4">
        <v>532187.0</v>
      </c>
      <c r="C2364" s="3" t="s">
        <v>9841</v>
      </c>
      <c r="D2364" s="3" t="s">
        <v>9842</v>
      </c>
      <c r="E2364" s="3" t="s">
        <v>9843</v>
      </c>
      <c r="F2364" s="3" t="s">
        <v>19</v>
      </c>
      <c r="G2364" s="3" t="s">
        <v>20</v>
      </c>
      <c r="H2364" s="3">
        <v>10.0</v>
      </c>
      <c r="I2364" s="3" t="s">
        <v>9438</v>
      </c>
      <c r="J2364" s="3" t="s">
        <v>22</v>
      </c>
      <c r="K2364" s="3" t="s">
        <v>204</v>
      </c>
      <c r="L2364" s="3" t="s">
        <v>204</v>
      </c>
      <c r="M2364" s="3" t="s">
        <v>9428</v>
      </c>
      <c r="N2364" s="3" t="s">
        <v>9429</v>
      </c>
      <c r="O2364" s="5">
        <v>112733.3544347</v>
      </c>
      <c r="P2364" s="6" t="str">
        <f t="shared" si="2"/>
        <v>Private Sector Bank</v>
      </c>
    </row>
    <row r="2365">
      <c r="A2365" s="3" t="s">
        <v>9844</v>
      </c>
      <c r="B2365" s="4">
        <v>532209.0</v>
      </c>
      <c r="C2365" s="3" t="s">
        <v>9845</v>
      </c>
      <c r="D2365" s="3" t="s">
        <v>9846</v>
      </c>
      <c r="E2365" s="3" t="s">
        <v>9847</v>
      </c>
      <c r="F2365" s="3" t="s">
        <v>19</v>
      </c>
      <c r="G2365" s="3" t="s">
        <v>20</v>
      </c>
      <c r="H2365" s="3">
        <v>1.0</v>
      </c>
      <c r="I2365" s="3" t="s">
        <v>9447</v>
      </c>
      <c r="J2365" s="3" t="s">
        <v>22</v>
      </c>
      <c r="K2365" s="3" t="s">
        <v>204</v>
      </c>
      <c r="L2365" s="3" t="s">
        <v>204</v>
      </c>
      <c r="M2365" s="3" t="s">
        <v>9428</v>
      </c>
      <c r="N2365" s="3" t="s">
        <v>9429</v>
      </c>
      <c r="O2365" s="5">
        <v>12546.9833678</v>
      </c>
      <c r="P2365" s="6" t="str">
        <f t="shared" si="2"/>
        <v>Private Sector Bank</v>
      </c>
    </row>
    <row r="2366" hidden="1">
      <c r="A2366" s="3" t="s">
        <v>9848</v>
      </c>
      <c r="B2366" s="4">
        <v>532467.0</v>
      </c>
      <c r="C2366" s="3" t="s">
        <v>9849</v>
      </c>
      <c r="D2366" s="3" t="s">
        <v>9850</v>
      </c>
      <c r="E2366" s="3" t="s">
        <v>9851</v>
      </c>
      <c r="F2366" s="3" t="s">
        <v>19</v>
      </c>
      <c r="G2366" s="3" t="s">
        <v>44</v>
      </c>
      <c r="H2366" s="3">
        <v>10.0</v>
      </c>
      <c r="I2366" s="3" t="s">
        <v>9848</v>
      </c>
      <c r="J2366" s="3" t="s">
        <v>22</v>
      </c>
      <c r="K2366" s="3" t="s">
        <v>58</v>
      </c>
      <c r="L2366" s="3" t="s">
        <v>59</v>
      </c>
      <c r="M2366" s="3" t="s">
        <v>59</v>
      </c>
      <c r="N2366" s="3" t="s">
        <v>60</v>
      </c>
      <c r="O2366" s="5">
        <v>653.548608</v>
      </c>
      <c r="P2366" s="6" t="str">
        <f t="shared" si="2"/>
        <v>Residential, Commercial Projects</v>
      </c>
    </row>
    <row r="2367">
      <c r="A2367" s="3" t="s">
        <v>9852</v>
      </c>
      <c r="B2367" s="4">
        <v>532210.0</v>
      </c>
      <c r="C2367" s="3" t="s">
        <v>9853</v>
      </c>
      <c r="D2367" s="3" t="s">
        <v>9854</v>
      </c>
      <c r="E2367" s="3" t="s">
        <v>9855</v>
      </c>
      <c r="F2367" s="3" t="s">
        <v>19</v>
      </c>
      <c r="G2367" s="3" t="s">
        <v>20</v>
      </c>
      <c r="H2367" s="3">
        <v>1.0</v>
      </c>
      <c r="I2367" s="3" t="s">
        <v>9450</v>
      </c>
      <c r="J2367" s="3" t="s">
        <v>22</v>
      </c>
      <c r="K2367" s="3" t="s">
        <v>204</v>
      </c>
      <c r="L2367" s="3" t="s">
        <v>204</v>
      </c>
      <c r="M2367" s="3" t="s">
        <v>9428</v>
      </c>
      <c r="N2367" s="3" t="s">
        <v>9429</v>
      </c>
      <c r="O2367" s="5">
        <v>12681.4165348</v>
      </c>
      <c r="P2367" s="6" t="str">
        <f t="shared" si="2"/>
        <v>Private Sector Bank</v>
      </c>
    </row>
    <row r="2368" hidden="1">
      <c r="A2368" s="3" t="s">
        <v>9856</v>
      </c>
      <c r="B2368" s="4">
        <v>532475.0</v>
      </c>
      <c r="C2368" s="3" t="s">
        <v>9857</v>
      </c>
      <c r="D2368" s="3" t="s">
        <v>9858</v>
      </c>
      <c r="E2368" s="3" t="s">
        <v>9859</v>
      </c>
      <c r="F2368" s="3" t="s">
        <v>19</v>
      </c>
      <c r="G2368" s="3" t="s">
        <v>20</v>
      </c>
      <c r="H2368" s="3">
        <v>10.0</v>
      </c>
      <c r="I2368" s="3" t="s">
        <v>9856</v>
      </c>
      <c r="J2368" s="3" t="s">
        <v>22</v>
      </c>
      <c r="K2368" s="3" t="s">
        <v>58</v>
      </c>
      <c r="L2368" s="3" t="s">
        <v>73</v>
      </c>
      <c r="M2368" s="3" t="s">
        <v>800</v>
      </c>
      <c r="N2368" s="3" t="s">
        <v>801</v>
      </c>
      <c r="O2368" s="5">
        <v>1285.5838686</v>
      </c>
      <c r="P2368" s="6" t="str">
        <f t="shared" si="2"/>
        <v>Other Consumer Services</v>
      </c>
    </row>
    <row r="2369">
      <c r="A2369" s="3" t="s">
        <v>9860</v>
      </c>
      <c r="B2369" s="4">
        <v>532215.0</v>
      </c>
      <c r="C2369" s="3" t="s">
        <v>9861</v>
      </c>
      <c r="D2369" s="3" t="s">
        <v>9862</v>
      </c>
      <c r="E2369" s="3" t="s">
        <v>9863</v>
      </c>
      <c r="F2369" s="3" t="s">
        <v>19</v>
      </c>
      <c r="G2369" s="3" t="s">
        <v>20</v>
      </c>
      <c r="H2369" s="3">
        <v>2.0</v>
      </c>
      <c r="I2369" s="3" t="s">
        <v>9458</v>
      </c>
      <c r="J2369" s="3" t="s">
        <v>22</v>
      </c>
      <c r="K2369" s="3" t="s">
        <v>204</v>
      </c>
      <c r="L2369" s="3" t="s">
        <v>204</v>
      </c>
      <c r="M2369" s="3" t="s">
        <v>9428</v>
      </c>
      <c r="N2369" s="3" t="s">
        <v>9429</v>
      </c>
      <c r="O2369" s="5">
        <v>396974.3421</v>
      </c>
      <c r="P2369" s="6" t="str">
        <f t="shared" si="2"/>
        <v>Private Sector Bank</v>
      </c>
    </row>
    <row r="2370">
      <c r="A2370" s="3" t="s">
        <v>9331</v>
      </c>
      <c r="B2370" s="4">
        <v>532218.0</v>
      </c>
      <c r="C2370" s="3" t="s">
        <v>9864</v>
      </c>
      <c r="D2370" s="3" t="s">
        <v>9865</v>
      </c>
      <c r="E2370" s="3" t="s">
        <v>9866</v>
      </c>
      <c r="F2370" s="3" t="s">
        <v>19</v>
      </c>
      <c r="G2370" s="3" t="s">
        <v>20</v>
      </c>
      <c r="H2370" s="3">
        <v>1.0</v>
      </c>
      <c r="I2370" s="3" t="s">
        <v>9470</v>
      </c>
      <c r="J2370" s="3" t="s">
        <v>22</v>
      </c>
      <c r="K2370" s="3" t="s">
        <v>204</v>
      </c>
      <c r="L2370" s="3" t="s">
        <v>204</v>
      </c>
      <c r="M2370" s="3" t="s">
        <v>9428</v>
      </c>
      <c r="N2370" s="3" t="s">
        <v>9429</v>
      </c>
      <c r="O2370" s="5">
        <v>6980.2070715</v>
      </c>
      <c r="P2370" s="6" t="str">
        <f t="shared" si="2"/>
        <v>Private Sector Bank</v>
      </c>
    </row>
    <row r="2371" hidden="1">
      <c r="A2371" s="3" t="s">
        <v>9867</v>
      </c>
      <c r="B2371" s="4">
        <v>532479.0</v>
      </c>
      <c r="C2371" s="3" t="s">
        <v>9868</v>
      </c>
      <c r="D2371" s="3" t="s">
        <v>9869</v>
      </c>
      <c r="E2371" s="3" t="s">
        <v>9870</v>
      </c>
      <c r="F2371" s="3" t="s">
        <v>19</v>
      </c>
      <c r="G2371" s="3" t="s">
        <v>112</v>
      </c>
      <c r="H2371" s="3">
        <v>5.0</v>
      </c>
      <c r="I2371" s="3" t="s">
        <v>9867</v>
      </c>
      <c r="J2371" s="3" t="s">
        <v>22</v>
      </c>
      <c r="K2371" s="3" t="s">
        <v>97</v>
      </c>
      <c r="L2371" s="3" t="s">
        <v>98</v>
      </c>
      <c r="M2371" s="3" t="s">
        <v>100</v>
      </c>
      <c r="N2371" s="3" t="s">
        <v>612</v>
      </c>
      <c r="O2371" s="5">
        <v>4281.6967275</v>
      </c>
      <c r="P2371" s="6" t="str">
        <f t="shared" si="2"/>
        <v>Industrial Products</v>
      </c>
    </row>
    <row r="2372" hidden="1">
      <c r="A2372" s="3" t="s">
        <v>3828</v>
      </c>
      <c r="B2372" s="4">
        <v>540798.0</v>
      </c>
      <c r="C2372" s="3" t="s">
        <v>9871</v>
      </c>
      <c r="D2372" s="3" t="s">
        <v>9872</v>
      </c>
      <c r="E2372" s="3" t="s">
        <v>9873</v>
      </c>
      <c r="F2372" s="3" t="s">
        <v>19</v>
      </c>
      <c r="G2372" s="3" t="s">
        <v>57</v>
      </c>
      <c r="H2372" s="3">
        <v>10.0</v>
      </c>
      <c r="I2372" s="3" t="s">
        <v>9874</v>
      </c>
      <c r="J2372" s="3" t="s">
        <v>22</v>
      </c>
      <c r="K2372" s="3" t="s">
        <v>1673</v>
      </c>
      <c r="L2372" s="3" t="s">
        <v>1673</v>
      </c>
      <c r="M2372" s="3" t="s">
        <v>1689</v>
      </c>
      <c r="N2372" s="3" t="s">
        <v>1690</v>
      </c>
      <c r="O2372" s="5">
        <v>14.2214228</v>
      </c>
      <c r="P2372" s="6" t="str">
        <f t="shared" si="2"/>
        <v>Transport Services</v>
      </c>
    </row>
    <row r="2373">
      <c r="A2373" s="3" t="s">
        <v>9875</v>
      </c>
      <c r="B2373" s="4">
        <v>532388.0</v>
      </c>
      <c r="C2373" s="3" t="s">
        <v>9876</v>
      </c>
      <c r="D2373" s="3" t="s">
        <v>9877</v>
      </c>
      <c r="E2373" s="3" t="s">
        <v>9878</v>
      </c>
      <c r="F2373" s="3" t="s">
        <v>19</v>
      </c>
      <c r="G2373" s="3" t="s">
        <v>20</v>
      </c>
      <c r="H2373" s="3">
        <v>10.0</v>
      </c>
      <c r="I2373" s="3" t="s">
        <v>9732</v>
      </c>
      <c r="J2373" s="3" t="s">
        <v>22</v>
      </c>
      <c r="K2373" s="3" t="s">
        <v>204</v>
      </c>
      <c r="L2373" s="3" t="s">
        <v>204</v>
      </c>
      <c r="M2373" s="3" t="s">
        <v>9428</v>
      </c>
      <c r="N2373" s="3" t="s">
        <v>9474</v>
      </c>
      <c r="O2373" s="5">
        <v>121542.8501557</v>
      </c>
      <c r="P2373" s="6" t="str">
        <f t="shared" si="2"/>
        <v>Banks</v>
      </c>
    </row>
    <row r="2374">
      <c r="A2374" s="3" t="s">
        <v>9879</v>
      </c>
      <c r="B2374" s="4">
        <v>532461.0</v>
      </c>
      <c r="C2374" s="3" t="s">
        <v>9880</v>
      </c>
      <c r="D2374" s="3" t="s">
        <v>9881</v>
      </c>
      <c r="E2374" s="3" t="s">
        <v>9882</v>
      </c>
      <c r="F2374" s="3" t="s">
        <v>19</v>
      </c>
      <c r="G2374" s="3" t="s">
        <v>20</v>
      </c>
      <c r="H2374" s="3">
        <v>2.0</v>
      </c>
      <c r="I2374" s="3" t="s">
        <v>9840</v>
      </c>
      <c r="J2374" s="3" t="s">
        <v>22</v>
      </c>
      <c r="K2374" s="3" t="s">
        <v>204</v>
      </c>
      <c r="L2374" s="3" t="s">
        <v>204</v>
      </c>
      <c r="M2374" s="3" t="s">
        <v>9428</v>
      </c>
      <c r="N2374" s="3" t="s">
        <v>9474</v>
      </c>
      <c r="O2374" s="5">
        <v>134380.6475</v>
      </c>
      <c r="P2374" s="6" t="str">
        <f t="shared" si="2"/>
        <v>Banks</v>
      </c>
    </row>
    <row r="2375" hidden="1">
      <c r="A2375" s="3" t="s">
        <v>9883</v>
      </c>
      <c r="B2375" s="4">
        <v>532485.0</v>
      </c>
      <c r="C2375" s="3" t="s">
        <v>9884</v>
      </c>
      <c r="D2375" s="3" t="s">
        <v>9885</v>
      </c>
      <c r="E2375" s="3" t="s">
        <v>9886</v>
      </c>
      <c r="F2375" s="3" t="s">
        <v>19</v>
      </c>
      <c r="G2375" s="3" t="s">
        <v>112</v>
      </c>
      <c r="H2375" s="3">
        <v>10.0</v>
      </c>
      <c r="I2375" s="3" t="s">
        <v>9883</v>
      </c>
      <c r="J2375" s="3" t="s">
        <v>22</v>
      </c>
      <c r="K2375" s="3" t="s">
        <v>204</v>
      </c>
      <c r="L2375" s="3" t="s">
        <v>204</v>
      </c>
      <c r="M2375" s="3" t="s">
        <v>378</v>
      </c>
      <c r="N2375" s="3" t="s">
        <v>379</v>
      </c>
      <c r="O2375" s="5">
        <v>1960.4967842</v>
      </c>
      <c r="P2375" s="6" t="str">
        <f t="shared" si="2"/>
        <v>Non Banking Financial Company (NBFC)</v>
      </c>
    </row>
    <row r="2376" hidden="1">
      <c r="A2376" s="3" t="s">
        <v>9887</v>
      </c>
      <c r="B2376" s="4">
        <v>532486.0</v>
      </c>
      <c r="C2376" s="3" t="s">
        <v>9888</v>
      </c>
      <c r="D2376" s="3" t="s">
        <v>9889</v>
      </c>
      <c r="E2376" s="3" t="s">
        <v>9890</v>
      </c>
      <c r="F2376" s="3" t="s">
        <v>19</v>
      </c>
      <c r="G2376" s="3" t="s">
        <v>112</v>
      </c>
      <c r="H2376" s="3">
        <v>2.0</v>
      </c>
      <c r="I2376" s="3" t="s">
        <v>9887</v>
      </c>
      <c r="J2376" s="3" t="s">
        <v>22</v>
      </c>
      <c r="K2376" s="3" t="s">
        <v>58</v>
      </c>
      <c r="L2376" s="3" t="s">
        <v>211</v>
      </c>
      <c r="M2376" s="3" t="s">
        <v>211</v>
      </c>
      <c r="N2376" s="3" t="s">
        <v>4317</v>
      </c>
      <c r="O2376" s="5">
        <v>2352.9981806</v>
      </c>
      <c r="P2376" s="6" t="str">
        <f t="shared" si="2"/>
        <v>Consumer Durables</v>
      </c>
    </row>
    <row r="2377">
      <c r="A2377" s="3" t="s">
        <v>9891</v>
      </c>
      <c r="B2377" s="4">
        <v>532468.0</v>
      </c>
      <c r="C2377" s="3" t="s">
        <v>9892</v>
      </c>
      <c r="D2377" s="3" t="s">
        <v>9893</v>
      </c>
      <c r="E2377" s="3" t="s">
        <v>9894</v>
      </c>
      <c r="F2377" s="3" t="s">
        <v>19</v>
      </c>
      <c r="G2377" s="3" t="s">
        <v>20</v>
      </c>
      <c r="H2377" s="3">
        <v>10.0</v>
      </c>
      <c r="I2377" s="3" t="s">
        <v>9852</v>
      </c>
      <c r="J2377" s="3" t="s">
        <v>22</v>
      </c>
      <c r="K2377" s="3" t="s">
        <v>204</v>
      </c>
      <c r="L2377" s="3" t="s">
        <v>204</v>
      </c>
      <c r="M2377" s="3" t="s">
        <v>378</v>
      </c>
      <c r="N2377" s="3" t="s">
        <v>463</v>
      </c>
      <c r="O2377" s="5">
        <v>9229.382448</v>
      </c>
      <c r="P2377" s="6" t="str">
        <f t="shared" si="2"/>
        <v>Finance</v>
      </c>
    </row>
    <row r="2378">
      <c r="A2378" s="3" t="s">
        <v>9895</v>
      </c>
      <c r="B2378" s="4">
        <v>532477.0</v>
      </c>
      <c r="C2378" s="3" t="s">
        <v>9896</v>
      </c>
      <c r="D2378" s="3" t="s">
        <v>9897</v>
      </c>
      <c r="E2378" s="3" t="s">
        <v>9898</v>
      </c>
      <c r="F2378" s="3" t="s">
        <v>19</v>
      </c>
      <c r="G2378" s="3" t="s">
        <v>20</v>
      </c>
      <c r="H2378" s="3">
        <v>10.0</v>
      </c>
      <c r="I2378" s="3" t="s">
        <v>9860</v>
      </c>
      <c r="J2378" s="3" t="s">
        <v>22</v>
      </c>
      <c r="K2378" s="3" t="s">
        <v>204</v>
      </c>
      <c r="L2378" s="3" t="s">
        <v>204</v>
      </c>
      <c r="M2378" s="3" t="s">
        <v>9428</v>
      </c>
      <c r="N2378" s="3" t="s">
        <v>9474</v>
      </c>
      <c r="O2378" s="5">
        <v>104003.6251896</v>
      </c>
      <c r="P2378" s="6" t="str">
        <f t="shared" si="2"/>
        <v>Banks</v>
      </c>
    </row>
    <row r="2379">
      <c r="A2379" s="3" t="s">
        <v>9352</v>
      </c>
      <c r="B2379" s="4">
        <v>532483.0</v>
      </c>
      <c r="C2379" s="3" t="s">
        <v>9899</v>
      </c>
      <c r="D2379" s="3" t="s">
        <v>9900</v>
      </c>
      <c r="E2379" s="3" t="s">
        <v>9901</v>
      </c>
      <c r="F2379" s="3" t="s">
        <v>19</v>
      </c>
      <c r="G2379" s="3" t="s">
        <v>20</v>
      </c>
      <c r="H2379" s="3">
        <v>2.0</v>
      </c>
      <c r="I2379" s="3" t="s">
        <v>9879</v>
      </c>
      <c r="J2379" s="3" t="s">
        <v>22</v>
      </c>
      <c r="K2379" s="3" t="s">
        <v>204</v>
      </c>
      <c r="L2379" s="3" t="s">
        <v>204</v>
      </c>
      <c r="M2379" s="3" t="s">
        <v>9428</v>
      </c>
      <c r="N2379" s="3" t="s">
        <v>9474</v>
      </c>
      <c r="O2379" s="5">
        <v>107195.1597284</v>
      </c>
      <c r="P2379" s="6" t="str">
        <f t="shared" si="2"/>
        <v>Banks</v>
      </c>
    </row>
    <row r="2380">
      <c r="A2380" s="3" t="s">
        <v>1407</v>
      </c>
      <c r="B2380" s="4">
        <v>532505.0</v>
      </c>
      <c r="C2380" s="3" t="s">
        <v>9902</v>
      </c>
      <c r="D2380" s="3" t="s">
        <v>9903</v>
      </c>
      <c r="E2380" s="3" t="s">
        <v>9904</v>
      </c>
      <c r="F2380" s="3" t="s">
        <v>19</v>
      </c>
      <c r="G2380" s="3" t="s">
        <v>20</v>
      </c>
      <c r="H2380" s="3">
        <v>10.0</v>
      </c>
      <c r="I2380" s="3" t="s">
        <v>9905</v>
      </c>
      <c r="J2380" s="3" t="s">
        <v>22</v>
      </c>
      <c r="K2380" s="3" t="s">
        <v>204</v>
      </c>
      <c r="L2380" s="3" t="s">
        <v>204</v>
      </c>
      <c r="M2380" s="3" t="s">
        <v>9428</v>
      </c>
      <c r="N2380" s="3" t="s">
        <v>9474</v>
      </c>
      <c r="O2380" s="5">
        <v>65195.1500171</v>
      </c>
      <c r="P2380" s="6" t="str">
        <f t="shared" si="2"/>
        <v>Banks</v>
      </c>
    </row>
    <row r="2381" hidden="1">
      <c r="A2381" s="3" t="s">
        <v>9906</v>
      </c>
      <c r="B2381" s="4">
        <v>532503.0</v>
      </c>
      <c r="C2381" s="3" t="s">
        <v>9907</v>
      </c>
      <c r="D2381" s="3" t="s">
        <v>9908</v>
      </c>
      <c r="E2381" s="3" t="s">
        <v>9909</v>
      </c>
      <c r="F2381" s="3" t="s">
        <v>19</v>
      </c>
      <c r="G2381" s="3" t="s">
        <v>44</v>
      </c>
      <c r="H2381" s="3">
        <v>10.0</v>
      </c>
      <c r="I2381" s="3" t="s">
        <v>9906</v>
      </c>
      <c r="J2381" s="3" t="s">
        <v>22</v>
      </c>
      <c r="K2381" s="3" t="s">
        <v>58</v>
      </c>
      <c r="L2381" s="3" t="s">
        <v>80</v>
      </c>
      <c r="M2381" s="3" t="s">
        <v>81</v>
      </c>
      <c r="N2381" s="3" t="s">
        <v>82</v>
      </c>
      <c r="O2381" s="5">
        <v>1021.680024</v>
      </c>
      <c r="P2381" s="6" t="str">
        <f t="shared" si="2"/>
        <v>Textiles &amp; Apparels</v>
      </c>
    </row>
    <row r="2382">
      <c r="A2382" s="3" t="s">
        <v>640</v>
      </c>
      <c r="B2382" s="4">
        <v>532525.0</v>
      </c>
      <c r="C2382" s="3" t="s">
        <v>9910</v>
      </c>
      <c r="D2382" s="3" t="s">
        <v>9911</v>
      </c>
      <c r="E2382" s="3" t="s">
        <v>9912</v>
      </c>
      <c r="F2382" s="3" t="s">
        <v>19</v>
      </c>
      <c r="G2382" s="3" t="s">
        <v>20</v>
      </c>
      <c r="H2382" s="3">
        <v>10.0</v>
      </c>
      <c r="I2382" s="3" t="s">
        <v>9913</v>
      </c>
      <c r="J2382" s="3" t="s">
        <v>22</v>
      </c>
      <c r="K2382" s="3" t="s">
        <v>204</v>
      </c>
      <c r="L2382" s="3" t="s">
        <v>204</v>
      </c>
      <c r="M2382" s="3" t="s">
        <v>9428</v>
      </c>
      <c r="N2382" s="3" t="s">
        <v>9474</v>
      </c>
      <c r="O2382" s="5">
        <v>45751.6737997</v>
      </c>
      <c r="P2382" s="6" t="str">
        <f t="shared" si="2"/>
        <v>Banks</v>
      </c>
    </row>
    <row r="2383">
      <c r="A2383" s="3" t="s">
        <v>9905</v>
      </c>
      <c r="B2383" s="4">
        <v>532636.0</v>
      </c>
      <c r="C2383" s="3" t="s">
        <v>9914</v>
      </c>
      <c r="D2383" s="3" t="s">
        <v>9915</v>
      </c>
      <c r="E2383" s="3" t="s">
        <v>9916</v>
      </c>
      <c r="F2383" s="3" t="s">
        <v>19</v>
      </c>
      <c r="G2383" s="3" t="s">
        <v>20</v>
      </c>
      <c r="H2383" s="3">
        <v>2.0</v>
      </c>
      <c r="I2383" s="3" t="s">
        <v>9917</v>
      </c>
      <c r="J2383" s="3" t="s">
        <v>22</v>
      </c>
      <c r="K2383" s="3" t="s">
        <v>204</v>
      </c>
      <c r="L2383" s="3" t="s">
        <v>204</v>
      </c>
      <c r="M2383" s="3" t="s">
        <v>378</v>
      </c>
      <c r="N2383" s="3" t="s">
        <v>379</v>
      </c>
      <c r="O2383" s="5">
        <v>22168.8771553</v>
      </c>
      <c r="P2383" s="6" t="str">
        <f t="shared" si="2"/>
        <v>Non Banking Financial Company (NBFC)</v>
      </c>
    </row>
    <row r="2384" hidden="1">
      <c r="A2384" s="3" t="s">
        <v>9918</v>
      </c>
      <c r="B2384" s="4">
        <v>532507.0</v>
      </c>
      <c r="C2384" s="3" t="s">
        <v>9919</v>
      </c>
      <c r="D2384" s="3" t="s">
        <v>9920</v>
      </c>
      <c r="E2384" s="3" t="s">
        <v>9921</v>
      </c>
      <c r="F2384" s="3" t="s">
        <v>19</v>
      </c>
      <c r="G2384" s="3" t="s">
        <v>86</v>
      </c>
      <c r="H2384" s="3">
        <v>2.0</v>
      </c>
      <c r="I2384" s="3" t="s">
        <v>9918</v>
      </c>
      <c r="J2384" s="3" t="s">
        <v>22</v>
      </c>
      <c r="K2384" s="3" t="s">
        <v>58</v>
      </c>
      <c r="L2384" s="3" t="s">
        <v>182</v>
      </c>
      <c r="M2384" s="3" t="s">
        <v>1168</v>
      </c>
      <c r="N2384" s="3" t="s">
        <v>1169</v>
      </c>
      <c r="O2384" s="5">
        <v>178.470468</v>
      </c>
      <c r="P2384" s="6" t="str">
        <f t="shared" si="2"/>
        <v>Entertainment</v>
      </c>
    </row>
    <row r="2385">
      <c r="A2385" s="3" t="s">
        <v>644</v>
      </c>
      <c r="B2385" s="4">
        <v>532642.0</v>
      </c>
      <c r="C2385" s="3" t="s">
        <v>9922</v>
      </c>
      <c r="D2385" s="3" t="s">
        <v>9923</v>
      </c>
      <c r="E2385" s="3" t="s">
        <v>9922</v>
      </c>
      <c r="F2385" s="3" t="s">
        <v>19</v>
      </c>
      <c r="G2385" s="3" t="s">
        <v>112</v>
      </c>
      <c r="H2385" s="3">
        <v>10.0</v>
      </c>
      <c r="I2385" s="3" t="s">
        <v>9924</v>
      </c>
      <c r="J2385" s="3" t="s">
        <v>22</v>
      </c>
      <c r="K2385" s="3" t="s">
        <v>204</v>
      </c>
      <c r="L2385" s="3" t="s">
        <v>204</v>
      </c>
      <c r="M2385" s="3" t="s">
        <v>378</v>
      </c>
      <c r="N2385" s="3" t="s">
        <v>384</v>
      </c>
      <c r="O2385" s="5">
        <v>7982.4845456</v>
      </c>
      <c r="P2385" s="6" t="str">
        <f t="shared" si="2"/>
        <v>Finance</v>
      </c>
    </row>
    <row r="2386">
      <c r="A2386" s="3" t="s">
        <v>1416</v>
      </c>
      <c r="B2386" s="4">
        <v>532648.0</v>
      </c>
      <c r="C2386" s="3" t="s">
        <v>9925</v>
      </c>
      <c r="D2386" s="3" t="s">
        <v>9926</v>
      </c>
      <c r="E2386" s="3" t="s">
        <v>9927</v>
      </c>
      <c r="F2386" s="3" t="s">
        <v>19</v>
      </c>
      <c r="G2386" s="3" t="s">
        <v>20</v>
      </c>
      <c r="H2386" s="3">
        <v>2.0</v>
      </c>
      <c r="I2386" s="3" t="s">
        <v>9928</v>
      </c>
      <c r="J2386" s="3" t="s">
        <v>22</v>
      </c>
      <c r="K2386" s="3" t="s">
        <v>204</v>
      </c>
      <c r="L2386" s="3" t="s">
        <v>204</v>
      </c>
      <c r="M2386" s="3" t="s">
        <v>9428</v>
      </c>
      <c r="N2386" s="3" t="s">
        <v>9429</v>
      </c>
      <c r="O2386" s="5">
        <v>73956.4845714</v>
      </c>
      <c r="P2386" s="6" t="str">
        <f t="shared" si="2"/>
        <v>Private Sector Bank</v>
      </c>
    </row>
    <row r="2387" hidden="1">
      <c r="A2387" s="3" t="s">
        <v>9929</v>
      </c>
      <c r="B2387" s="4">
        <v>532513.0</v>
      </c>
      <c r="C2387" s="3" t="s">
        <v>9930</v>
      </c>
      <c r="D2387" s="3" t="s">
        <v>9931</v>
      </c>
      <c r="E2387" s="3" t="s">
        <v>9932</v>
      </c>
      <c r="F2387" s="3" t="s">
        <v>19</v>
      </c>
      <c r="G2387" s="3" t="s">
        <v>112</v>
      </c>
      <c r="H2387" s="3">
        <v>10.0</v>
      </c>
      <c r="I2387" s="3" t="s">
        <v>9929</v>
      </c>
      <c r="J2387" s="3" t="s">
        <v>22</v>
      </c>
      <c r="K2387" s="3" t="s">
        <v>473</v>
      </c>
      <c r="L2387" s="3" t="s">
        <v>473</v>
      </c>
      <c r="M2387" s="3" t="s">
        <v>474</v>
      </c>
      <c r="N2387" s="3" t="s">
        <v>475</v>
      </c>
      <c r="O2387" s="5">
        <v>665.6379975</v>
      </c>
      <c r="P2387" s="6" t="str">
        <f t="shared" si="2"/>
        <v>IT - Hardware</v>
      </c>
    </row>
    <row r="2388">
      <c r="A2388" s="3" t="s">
        <v>6190</v>
      </c>
      <c r="B2388" s="4">
        <v>532652.0</v>
      </c>
      <c r="C2388" s="3" t="s">
        <v>9933</v>
      </c>
      <c r="D2388" s="3" t="s">
        <v>9934</v>
      </c>
      <c r="E2388" s="3" t="s">
        <v>9935</v>
      </c>
      <c r="F2388" s="3" t="s">
        <v>19</v>
      </c>
      <c r="G2388" s="3" t="s">
        <v>20</v>
      </c>
      <c r="H2388" s="3">
        <v>10.0</v>
      </c>
      <c r="I2388" s="3" t="s">
        <v>9936</v>
      </c>
      <c r="J2388" s="3" t="s">
        <v>22</v>
      </c>
      <c r="K2388" s="3" t="s">
        <v>204</v>
      </c>
      <c r="L2388" s="3" t="s">
        <v>204</v>
      </c>
      <c r="M2388" s="3" t="s">
        <v>9428</v>
      </c>
      <c r="N2388" s="3" t="s">
        <v>9429</v>
      </c>
      <c r="O2388" s="5">
        <v>7819.370659</v>
      </c>
      <c r="P2388" s="6" t="str">
        <f t="shared" si="2"/>
        <v>Private Sector Bank</v>
      </c>
    </row>
    <row r="2389" hidden="1">
      <c r="A2389" s="3" t="s">
        <v>9937</v>
      </c>
      <c r="B2389" s="4">
        <v>532515.0</v>
      </c>
      <c r="C2389" s="3" t="s">
        <v>9938</v>
      </c>
      <c r="D2389" s="3" t="s">
        <v>9939</v>
      </c>
      <c r="E2389" s="3" t="s">
        <v>9940</v>
      </c>
      <c r="F2389" s="3" t="s">
        <v>19</v>
      </c>
      <c r="G2389" s="3" t="s">
        <v>112</v>
      </c>
      <c r="H2389" s="3">
        <v>5.0</v>
      </c>
      <c r="I2389" s="3" t="s">
        <v>9937</v>
      </c>
      <c r="J2389" s="3" t="s">
        <v>22</v>
      </c>
      <c r="K2389" s="3" t="s">
        <v>58</v>
      </c>
      <c r="L2389" s="3" t="s">
        <v>182</v>
      </c>
      <c r="M2389" s="3" t="s">
        <v>1168</v>
      </c>
      <c r="N2389" s="3" t="s">
        <v>1169</v>
      </c>
      <c r="O2389" s="5">
        <v>1418.7237746</v>
      </c>
      <c r="P2389" s="6" t="str">
        <f t="shared" si="2"/>
        <v>Entertainment</v>
      </c>
    </row>
    <row r="2390" hidden="1">
      <c r="A2390" s="3" t="s">
        <v>9941</v>
      </c>
      <c r="B2390" s="4">
        <v>532521.0</v>
      </c>
      <c r="C2390" s="3" t="s">
        <v>9942</v>
      </c>
      <c r="D2390" s="3" t="s">
        <v>9943</v>
      </c>
      <c r="E2390" s="3" t="s">
        <v>9942</v>
      </c>
      <c r="F2390" s="3" t="s">
        <v>19</v>
      </c>
      <c r="G2390" s="3" t="s">
        <v>86</v>
      </c>
      <c r="H2390" s="3">
        <v>10.0</v>
      </c>
      <c r="I2390" s="3" t="s">
        <v>9941</v>
      </c>
      <c r="J2390" s="3" t="s">
        <v>22</v>
      </c>
      <c r="K2390" s="3" t="s">
        <v>473</v>
      </c>
      <c r="L2390" s="3" t="s">
        <v>473</v>
      </c>
      <c r="M2390" s="3" t="s">
        <v>1538</v>
      </c>
      <c r="N2390" s="3" t="s">
        <v>1539</v>
      </c>
      <c r="O2390" s="5">
        <v>126.2074288</v>
      </c>
      <c r="P2390" s="6" t="str">
        <f t="shared" si="2"/>
        <v>IT - Services</v>
      </c>
    </row>
    <row r="2391">
      <c r="A2391" s="3" t="s">
        <v>6194</v>
      </c>
      <c r="B2391" s="4">
        <v>532659.0</v>
      </c>
      <c r="C2391" s="3" t="s">
        <v>9944</v>
      </c>
      <c r="D2391" s="3" t="s">
        <v>9945</v>
      </c>
      <c r="E2391" s="3" t="s">
        <v>9944</v>
      </c>
      <c r="F2391" s="3" t="s">
        <v>19</v>
      </c>
      <c r="G2391" s="3" t="s">
        <v>20</v>
      </c>
      <c r="H2391" s="3">
        <v>10.0</v>
      </c>
      <c r="I2391" s="3" t="s">
        <v>9946</v>
      </c>
      <c r="J2391" s="3" t="s">
        <v>22</v>
      </c>
      <c r="K2391" s="3" t="s">
        <v>204</v>
      </c>
      <c r="L2391" s="3" t="s">
        <v>204</v>
      </c>
      <c r="M2391" s="3" t="s">
        <v>378</v>
      </c>
      <c r="N2391" s="3" t="s">
        <v>463</v>
      </c>
      <c r="O2391" s="5">
        <v>19265.5562568</v>
      </c>
      <c r="P2391" s="6" t="str">
        <f t="shared" si="2"/>
        <v>Finance</v>
      </c>
    </row>
    <row r="2392">
      <c r="A2392" s="3" t="s">
        <v>9947</v>
      </c>
      <c r="B2392" s="4">
        <v>532720.0</v>
      </c>
      <c r="C2392" s="3" t="s">
        <v>9948</v>
      </c>
      <c r="D2392" s="3" t="s">
        <v>9949</v>
      </c>
      <c r="E2392" s="3" t="s">
        <v>9950</v>
      </c>
      <c r="F2392" s="3" t="s">
        <v>19</v>
      </c>
      <c r="G2392" s="3" t="s">
        <v>20</v>
      </c>
      <c r="H2392" s="3">
        <v>2.0</v>
      </c>
      <c r="I2392" s="3" t="s">
        <v>9951</v>
      </c>
      <c r="J2392" s="3" t="s">
        <v>22</v>
      </c>
      <c r="K2392" s="3" t="s">
        <v>204</v>
      </c>
      <c r="L2392" s="3" t="s">
        <v>204</v>
      </c>
      <c r="M2392" s="3" t="s">
        <v>378</v>
      </c>
      <c r="N2392" s="3" t="s">
        <v>379</v>
      </c>
      <c r="O2392" s="5">
        <v>36173.7440713</v>
      </c>
      <c r="P2392" s="6" t="str">
        <f t="shared" si="2"/>
        <v>Non Banking Financial Company (NBFC)</v>
      </c>
    </row>
    <row r="2393">
      <c r="A2393" s="3" t="s">
        <v>9952</v>
      </c>
      <c r="B2393" s="4">
        <v>532810.0</v>
      </c>
      <c r="C2393" s="3" t="s">
        <v>9953</v>
      </c>
      <c r="D2393" s="3" t="s">
        <v>9954</v>
      </c>
      <c r="E2393" s="3" t="s">
        <v>9955</v>
      </c>
      <c r="F2393" s="3" t="s">
        <v>19</v>
      </c>
      <c r="G2393" s="3" t="s">
        <v>20</v>
      </c>
      <c r="H2393" s="3">
        <v>10.0</v>
      </c>
      <c r="I2393" s="3" t="s">
        <v>9956</v>
      </c>
      <c r="J2393" s="3" t="s">
        <v>22</v>
      </c>
      <c r="K2393" s="3" t="s">
        <v>204</v>
      </c>
      <c r="L2393" s="3" t="s">
        <v>204</v>
      </c>
      <c r="M2393" s="3" t="s">
        <v>378</v>
      </c>
      <c r="N2393" s="3" t="s">
        <v>6960</v>
      </c>
      <c r="O2393" s="5">
        <v>167816.8061836</v>
      </c>
      <c r="P2393" s="6" t="str">
        <f t="shared" si="2"/>
        <v>Finance</v>
      </c>
    </row>
    <row r="2394">
      <c r="A2394" s="3" t="s">
        <v>9913</v>
      </c>
      <c r="B2394" s="4">
        <v>532814.0</v>
      </c>
      <c r="C2394" s="3" t="s">
        <v>9957</v>
      </c>
      <c r="D2394" s="3" t="s">
        <v>9958</v>
      </c>
      <c r="E2394" s="3" t="s">
        <v>9959</v>
      </c>
      <c r="F2394" s="3" t="s">
        <v>19</v>
      </c>
      <c r="G2394" s="3" t="s">
        <v>20</v>
      </c>
      <c r="H2394" s="3">
        <v>10.0</v>
      </c>
      <c r="I2394" s="3" t="s">
        <v>9960</v>
      </c>
      <c r="J2394" s="3" t="s">
        <v>22</v>
      </c>
      <c r="K2394" s="3" t="s">
        <v>204</v>
      </c>
      <c r="L2394" s="3" t="s">
        <v>204</v>
      </c>
      <c r="M2394" s="3" t="s">
        <v>9428</v>
      </c>
      <c r="N2394" s="3" t="s">
        <v>9474</v>
      </c>
      <c r="O2394" s="5">
        <v>72324.1370007</v>
      </c>
      <c r="P2394" s="6" t="str">
        <f t="shared" si="2"/>
        <v>Banks</v>
      </c>
    </row>
    <row r="2395">
      <c r="A2395" s="3" t="s">
        <v>1421</v>
      </c>
      <c r="B2395" s="4">
        <v>532835.0</v>
      </c>
      <c r="C2395" s="3" t="s">
        <v>9961</v>
      </c>
      <c r="D2395" s="3" t="s">
        <v>9962</v>
      </c>
      <c r="E2395" s="3" t="s">
        <v>9963</v>
      </c>
      <c r="F2395" s="3" t="s">
        <v>19</v>
      </c>
      <c r="G2395" s="3" t="s">
        <v>20</v>
      </c>
      <c r="H2395" s="3">
        <v>10.0</v>
      </c>
      <c r="I2395" s="3" t="s">
        <v>9964</v>
      </c>
      <c r="J2395" s="3" t="s">
        <v>22</v>
      </c>
      <c r="K2395" s="3" t="s">
        <v>204</v>
      </c>
      <c r="L2395" s="3" t="s">
        <v>204</v>
      </c>
      <c r="M2395" s="3" t="s">
        <v>205</v>
      </c>
      <c r="N2395" s="3" t="s">
        <v>9965</v>
      </c>
      <c r="O2395" s="5">
        <v>5691.8488617</v>
      </c>
      <c r="P2395" s="6" t="str">
        <f t="shared" si="2"/>
        <v>Capital Markets</v>
      </c>
    </row>
    <row r="2396" hidden="1">
      <c r="A2396" s="3" t="s">
        <v>9966</v>
      </c>
      <c r="B2396" s="4">
        <v>532528.0</v>
      </c>
      <c r="C2396" s="3" t="s">
        <v>9967</v>
      </c>
      <c r="D2396" s="3" t="s">
        <v>9968</v>
      </c>
      <c r="E2396" s="3" t="s">
        <v>9969</v>
      </c>
      <c r="F2396" s="3" t="s">
        <v>19</v>
      </c>
      <c r="G2396" s="3" t="s">
        <v>20</v>
      </c>
      <c r="H2396" s="3">
        <v>5.0</v>
      </c>
      <c r="I2396" s="3" t="s">
        <v>9966</v>
      </c>
      <c r="J2396" s="3" t="s">
        <v>22</v>
      </c>
      <c r="K2396" s="3" t="s">
        <v>473</v>
      </c>
      <c r="L2396" s="3" t="s">
        <v>473</v>
      </c>
      <c r="M2396" s="3" t="s">
        <v>1538</v>
      </c>
      <c r="N2396" s="3" t="s">
        <v>1539</v>
      </c>
      <c r="O2396" s="5">
        <v>3656.9565</v>
      </c>
      <c r="P2396" s="6" t="str">
        <f t="shared" si="2"/>
        <v>IT - Services</v>
      </c>
    </row>
    <row r="2397" hidden="1">
      <c r="A2397" s="3" t="s">
        <v>9970</v>
      </c>
      <c r="B2397" s="4">
        <v>532529.0</v>
      </c>
      <c r="C2397" s="3" t="s">
        <v>9971</v>
      </c>
      <c r="D2397" s="3" t="s">
        <v>9972</v>
      </c>
      <c r="E2397" s="3" t="s">
        <v>9973</v>
      </c>
      <c r="F2397" s="3" t="s">
        <v>19</v>
      </c>
      <c r="G2397" s="3" t="s">
        <v>112</v>
      </c>
      <c r="H2397" s="3">
        <v>4.0</v>
      </c>
      <c r="I2397" s="3" t="s">
        <v>9970</v>
      </c>
      <c r="J2397" s="3" t="s">
        <v>22</v>
      </c>
      <c r="K2397" s="3" t="s">
        <v>58</v>
      </c>
      <c r="L2397" s="3" t="s">
        <v>182</v>
      </c>
      <c r="M2397" s="3" t="s">
        <v>1168</v>
      </c>
      <c r="N2397" s="3" t="s">
        <v>1169</v>
      </c>
      <c r="O2397" s="5">
        <v>1447.6652665</v>
      </c>
      <c r="P2397" s="6" t="str">
        <f t="shared" si="2"/>
        <v>Entertainment</v>
      </c>
    </row>
    <row r="2398">
      <c r="A2398" s="3" t="s">
        <v>9974</v>
      </c>
      <c r="B2398" s="4">
        <v>532885.0</v>
      </c>
      <c r="C2398" s="3" t="s">
        <v>9975</v>
      </c>
      <c r="D2398" s="3" t="s">
        <v>9976</v>
      </c>
      <c r="E2398" s="3" t="s">
        <v>9977</v>
      </c>
      <c r="F2398" s="3" t="s">
        <v>19</v>
      </c>
      <c r="G2398" s="3" t="s">
        <v>20</v>
      </c>
      <c r="H2398" s="3">
        <v>10.0</v>
      </c>
      <c r="I2398" s="3" t="s">
        <v>9978</v>
      </c>
      <c r="J2398" s="3" t="s">
        <v>22</v>
      </c>
      <c r="K2398" s="3" t="s">
        <v>204</v>
      </c>
      <c r="L2398" s="3" t="s">
        <v>204</v>
      </c>
      <c r="M2398" s="3" t="s">
        <v>9428</v>
      </c>
      <c r="N2398" s="3" t="s">
        <v>9474</v>
      </c>
      <c r="O2398" s="5">
        <v>54205.3728533</v>
      </c>
      <c r="P2398" s="6" t="str">
        <f t="shared" si="2"/>
        <v>Banks</v>
      </c>
    </row>
    <row r="2399" hidden="1">
      <c r="A2399" s="3" t="s">
        <v>9979</v>
      </c>
      <c r="B2399" s="4">
        <v>532532.0</v>
      </c>
      <c r="C2399" s="3" t="s">
        <v>9980</v>
      </c>
      <c r="D2399" s="3" t="s">
        <v>9981</v>
      </c>
      <c r="E2399" s="3" t="s">
        <v>9982</v>
      </c>
      <c r="F2399" s="3" t="s">
        <v>19</v>
      </c>
      <c r="G2399" s="3" t="s">
        <v>86</v>
      </c>
      <c r="H2399" s="3">
        <v>2.0</v>
      </c>
      <c r="I2399" s="3" t="s">
        <v>9979</v>
      </c>
      <c r="J2399" s="3" t="s">
        <v>22</v>
      </c>
      <c r="K2399" s="3" t="s">
        <v>97</v>
      </c>
      <c r="L2399" s="3" t="s">
        <v>965</v>
      </c>
      <c r="M2399" s="3" t="s">
        <v>965</v>
      </c>
      <c r="N2399" s="3" t="s">
        <v>966</v>
      </c>
      <c r="O2399" s="5">
        <v>2336.0704803</v>
      </c>
      <c r="P2399" s="6" t="str">
        <f t="shared" si="2"/>
        <v>Civil Construction</v>
      </c>
    </row>
    <row r="2400">
      <c r="A2400" s="3" t="s">
        <v>653</v>
      </c>
      <c r="B2400" s="4">
        <v>532892.0</v>
      </c>
      <c r="C2400" s="3" t="s">
        <v>9983</v>
      </c>
      <c r="D2400" s="3" t="s">
        <v>9984</v>
      </c>
      <c r="E2400" s="3" t="s">
        <v>9985</v>
      </c>
      <c r="F2400" s="3" t="s">
        <v>19</v>
      </c>
      <c r="G2400" s="3" t="s">
        <v>20</v>
      </c>
      <c r="H2400" s="3">
        <v>1.0</v>
      </c>
      <c r="I2400" s="3" t="s">
        <v>9986</v>
      </c>
      <c r="J2400" s="3" t="s">
        <v>22</v>
      </c>
      <c r="K2400" s="3" t="s">
        <v>204</v>
      </c>
      <c r="L2400" s="3" t="s">
        <v>204</v>
      </c>
      <c r="M2400" s="3" t="s">
        <v>205</v>
      </c>
      <c r="N2400" s="3" t="s">
        <v>2109</v>
      </c>
      <c r="O2400" s="5">
        <v>35633.6914737</v>
      </c>
      <c r="P2400" s="6" t="str">
        <f t="shared" si="2"/>
        <v>Capital Markets</v>
      </c>
    </row>
    <row r="2401">
      <c r="A2401" s="3" t="s">
        <v>1426</v>
      </c>
      <c r="B2401" s="4">
        <v>532900.0</v>
      </c>
      <c r="C2401" s="3" t="s">
        <v>9987</v>
      </c>
      <c r="D2401" s="3" t="s">
        <v>9988</v>
      </c>
      <c r="E2401" s="3" t="s">
        <v>9989</v>
      </c>
      <c r="F2401" s="3" t="s">
        <v>19</v>
      </c>
      <c r="G2401" s="3" t="s">
        <v>20</v>
      </c>
      <c r="H2401" s="3">
        <v>1.0</v>
      </c>
      <c r="I2401" s="3" t="s">
        <v>9990</v>
      </c>
      <c r="J2401" s="3" t="s">
        <v>22</v>
      </c>
      <c r="K2401" s="3" t="s">
        <v>204</v>
      </c>
      <c r="L2401" s="3" t="s">
        <v>204</v>
      </c>
      <c r="M2401" s="3" t="s">
        <v>378</v>
      </c>
      <c r="N2401" s="3" t="s">
        <v>379</v>
      </c>
      <c r="O2401" s="5">
        <v>6626.8057176</v>
      </c>
      <c r="P2401" s="6" t="str">
        <f t="shared" si="2"/>
        <v>Non Banking Financial Company (NBFC)</v>
      </c>
    </row>
    <row r="2402">
      <c r="A2402" s="3" t="s">
        <v>9991</v>
      </c>
      <c r="B2402" s="4">
        <v>532915.0</v>
      </c>
      <c r="C2402" s="3" t="s">
        <v>9992</v>
      </c>
      <c r="D2402" s="3" t="s">
        <v>9993</v>
      </c>
      <c r="E2402" s="3" t="s">
        <v>9994</v>
      </c>
      <c r="F2402" s="3" t="s">
        <v>19</v>
      </c>
      <c r="G2402" s="3" t="s">
        <v>20</v>
      </c>
      <c r="H2402" s="3">
        <v>10.0</v>
      </c>
      <c r="I2402" s="3" t="s">
        <v>9995</v>
      </c>
      <c r="J2402" s="3" t="s">
        <v>22</v>
      </c>
      <c r="K2402" s="3" t="s">
        <v>204</v>
      </c>
      <c r="L2402" s="3" t="s">
        <v>204</v>
      </c>
      <c r="M2402" s="3" t="s">
        <v>378</v>
      </c>
      <c r="N2402" s="3" t="s">
        <v>384</v>
      </c>
      <c r="O2402" s="5">
        <v>7649.8138349</v>
      </c>
      <c r="P2402" s="6" t="str">
        <f t="shared" si="2"/>
        <v>Finance</v>
      </c>
    </row>
    <row r="2403">
      <c r="A2403" s="3" t="s">
        <v>9996</v>
      </c>
      <c r="B2403" s="4">
        <v>532922.0</v>
      </c>
      <c r="C2403" s="3" t="s">
        <v>9997</v>
      </c>
      <c r="D2403" s="3" t="s">
        <v>9998</v>
      </c>
      <c r="E2403" s="3" t="s">
        <v>9997</v>
      </c>
      <c r="F2403" s="3" t="s">
        <v>19</v>
      </c>
      <c r="G2403" s="3" t="s">
        <v>20</v>
      </c>
      <c r="H2403" s="3">
        <v>1.0</v>
      </c>
      <c r="I2403" s="3" t="s">
        <v>9999</v>
      </c>
      <c r="J2403" s="3" t="s">
        <v>22</v>
      </c>
      <c r="K2403" s="3" t="s">
        <v>204</v>
      </c>
      <c r="L2403" s="3" t="s">
        <v>204</v>
      </c>
      <c r="M2403" s="3" t="s">
        <v>378</v>
      </c>
      <c r="N2403" s="3" t="s">
        <v>463</v>
      </c>
      <c r="O2403" s="5">
        <v>5813.2605457</v>
      </c>
      <c r="P2403" s="6" t="str">
        <f t="shared" si="2"/>
        <v>Finance</v>
      </c>
    </row>
    <row r="2404" hidden="1">
      <c r="A2404" s="3" t="s">
        <v>10000</v>
      </c>
      <c r="B2404" s="4">
        <v>532543.0</v>
      </c>
      <c r="C2404" s="3" t="s">
        <v>10001</v>
      </c>
      <c r="D2404" s="3" t="s">
        <v>10002</v>
      </c>
      <c r="E2404" s="3" t="s">
        <v>10001</v>
      </c>
      <c r="F2404" s="3" t="s">
        <v>19</v>
      </c>
      <c r="G2404" s="3" t="s">
        <v>112</v>
      </c>
      <c r="H2404" s="3">
        <v>5.0</v>
      </c>
      <c r="I2404" s="3" t="s">
        <v>10000</v>
      </c>
      <c r="J2404" s="3" t="s">
        <v>22</v>
      </c>
      <c r="K2404" s="3" t="s">
        <v>410</v>
      </c>
      <c r="L2404" s="3" t="s">
        <v>411</v>
      </c>
      <c r="M2404" s="3" t="s">
        <v>5748</v>
      </c>
      <c r="N2404" s="3" t="s">
        <v>5997</v>
      </c>
      <c r="O2404" s="5">
        <v>366.6719442</v>
      </c>
      <c r="P2404" s="6" t="str">
        <f t="shared" si="2"/>
        <v>Petroleum Products</v>
      </c>
    </row>
    <row r="2405">
      <c r="A2405" s="3" t="s">
        <v>1443</v>
      </c>
      <c r="B2405" s="4">
        <v>532955.0</v>
      </c>
      <c r="C2405" s="3" t="s">
        <v>10003</v>
      </c>
      <c r="D2405" s="3" t="s">
        <v>10004</v>
      </c>
      <c r="E2405" s="3" t="s">
        <v>10005</v>
      </c>
      <c r="F2405" s="3" t="s">
        <v>19</v>
      </c>
      <c r="G2405" s="3" t="s">
        <v>20</v>
      </c>
      <c r="H2405" s="3">
        <v>10.0</v>
      </c>
      <c r="I2405" s="3" t="s">
        <v>10006</v>
      </c>
      <c r="J2405" s="3" t="s">
        <v>22</v>
      </c>
      <c r="K2405" s="3" t="s">
        <v>204</v>
      </c>
      <c r="L2405" s="3" t="s">
        <v>204</v>
      </c>
      <c r="M2405" s="3" t="s">
        <v>378</v>
      </c>
      <c r="N2405" s="3" t="s">
        <v>6960</v>
      </c>
      <c r="O2405" s="5">
        <v>140133.404675</v>
      </c>
      <c r="P2405" s="6" t="str">
        <f t="shared" si="2"/>
        <v>Finance</v>
      </c>
    </row>
    <row r="2406">
      <c r="A2406" s="3" t="s">
        <v>10007</v>
      </c>
      <c r="B2406" s="4">
        <v>532978.0</v>
      </c>
      <c r="C2406" s="3" t="s">
        <v>10008</v>
      </c>
      <c r="D2406" s="3" t="s">
        <v>10009</v>
      </c>
      <c r="E2406" s="3" t="s">
        <v>10010</v>
      </c>
      <c r="F2406" s="3" t="s">
        <v>19</v>
      </c>
      <c r="G2406" s="3" t="s">
        <v>20</v>
      </c>
      <c r="H2406" s="3">
        <v>1.0</v>
      </c>
      <c r="I2406" s="3" t="s">
        <v>10011</v>
      </c>
      <c r="J2406" s="3" t="s">
        <v>22</v>
      </c>
      <c r="K2406" s="3" t="s">
        <v>204</v>
      </c>
      <c r="L2406" s="3" t="s">
        <v>204</v>
      </c>
      <c r="M2406" s="3" t="s">
        <v>378</v>
      </c>
      <c r="N2406" s="3" t="s">
        <v>463</v>
      </c>
      <c r="O2406" s="5">
        <v>254062.5318505</v>
      </c>
      <c r="P2406" s="6" t="str">
        <f t="shared" si="2"/>
        <v>Finance</v>
      </c>
    </row>
    <row r="2407">
      <c r="A2407" s="3" t="s">
        <v>10012</v>
      </c>
      <c r="B2407" s="4">
        <v>533095.0</v>
      </c>
      <c r="C2407" s="3" t="s">
        <v>10013</v>
      </c>
      <c r="D2407" s="3" t="s">
        <v>10014</v>
      </c>
      <c r="E2407" s="3" t="s">
        <v>10015</v>
      </c>
      <c r="F2407" s="3" t="s">
        <v>19</v>
      </c>
      <c r="G2407" s="3" t="s">
        <v>112</v>
      </c>
      <c r="H2407" s="3">
        <v>10.0</v>
      </c>
      <c r="I2407" s="3" t="s">
        <v>10016</v>
      </c>
      <c r="J2407" s="3" t="s">
        <v>22</v>
      </c>
      <c r="K2407" s="3" t="s">
        <v>204</v>
      </c>
      <c r="L2407" s="3" t="s">
        <v>204</v>
      </c>
      <c r="M2407" s="3" t="s">
        <v>378</v>
      </c>
      <c r="N2407" s="3" t="s">
        <v>379</v>
      </c>
      <c r="O2407" s="5">
        <v>9768.9025</v>
      </c>
      <c r="P2407" s="6" t="str">
        <f t="shared" si="2"/>
        <v>Non Banking Financial Company (NBFC)</v>
      </c>
    </row>
    <row r="2408" hidden="1">
      <c r="A2408" s="3" t="s">
        <v>10017</v>
      </c>
      <c r="B2408" s="4">
        <v>532604.0</v>
      </c>
      <c r="C2408" s="3" t="s">
        <v>10018</v>
      </c>
      <c r="D2408" s="3" t="s">
        <v>10019</v>
      </c>
      <c r="E2408" s="3" t="s">
        <v>10020</v>
      </c>
      <c r="F2408" s="3" t="s">
        <v>19</v>
      </c>
      <c r="G2408" s="3" t="s">
        <v>86</v>
      </c>
      <c r="H2408" s="3">
        <v>10.0</v>
      </c>
      <c r="I2408" s="3" t="s">
        <v>10017</v>
      </c>
      <c r="J2408" s="3" t="s">
        <v>22</v>
      </c>
      <c r="K2408" s="3" t="s">
        <v>23</v>
      </c>
      <c r="L2408" s="3" t="s">
        <v>65</v>
      </c>
      <c r="M2408" s="3" t="s">
        <v>106</v>
      </c>
      <c r="N2408" s="3" t="s">
        <v>177</v>
      </c>
      <c r="O2408" s="5">
        <v>182.5235949</v>
      </c>
      <c r="P2408" s="6" t="str">
        <f t="shared" si="2"/>
        <v>Ferrous Metals</v>
      </c>
    </row>
    <row r="2409">
      <c r="A2409" s="3" t="s">
        <v>1449</v>
      </c>
      <c r="B2409" s="4">
        <v>533295.0</v>
      </c>
      <c r="C2409" s="3" t="s">
        <v>10021</v>
      </c>
      <c r="D2409" s="3" t="s">
        <v>10022</v>
      </c>
      <c r="E2409" s="3" t="s">
        <v>10021</v>
      </c>
      <c r="F2409" s="3" t="s">
        <v>19</v>
      </c>
      <c r="G2409" s="3" t="s">
        <v>112</v>
      </c>
      <c r="H2409" s="3">
        <v>10.0</v>
      </c>
      <c r="I2409" s="3" t="s">
        <v>10023</v>
      </c>
      <c r="J2409" s="3" t="s">
        <v>22</v>
      </c>
      <c r="K2409" s="3" t="s">
        <v>204</v>
      </c>
      <c r="L2409" s="3" t="s">
        <v>204</v>
      </c>
      <c r="M2409" s="3" t="s">
        <v>9428</v>
      </c>
      <c r="N2409" s="3" t="s">
        <v>9474</v>
      </c>
      <c r="O2409" s="5">
        <v>40306.9108647</v>
      </c>
      <c r="P2409" s="6" t="str">
        <f t="shared" si="2"/>
        <v>Banks</v>
      </c>
    </row>
    <row r="2410" hidden="1">
      <c r="A2410" s="3" t="s">
        <v>10024</v>
      </c>
      <c r="B2410" s="4">
        <v>532610.0</v>
      </c>
      <c r="C2410" s="3" t="s">
        <v>10025</v>
      </c>
      <c r="D2410" s="3" t="s">
        <v>10026</v>
      </c>
      <c r="E2410" s="3" t="s">
        <v>10027</v>
      </c>
      <c r="F2410" s="3" t="s">
        <v>19</v>
      </c>
      <c r="G2410" s="3" t="s">
        <v>20</v>
      </c>
      <c r="H2410" s="3">
        <v>1.0</v>
      </c>
      <c r="I2410" s="3" t="s">
        <v>10024</v>
      </c>
      <c r="J2410" s="3" t="s">
        <v>22</v>
      </c>
      <c r="K2410" s="3" t="s">
        <v>145</v>
      </c>
      <c r="L2410" s="3" t="s">
        <v>145</v>
      </c>
      <c r="M2410" s="3" t="s">
        <v>146</v>
      </c>
      <c r="N2410" s="3" t="s">
        <v>147</v>
      </c>
      <c r="O2410" s="5">
        <v>1391.2364837</v>
      </c>
      <c r="P2410" s="6" t="str">
        <f t="shared" si="2"/>
        <v>Agricultural Food &amp; other Products</v>
      </c>
    </row>
    <row r="2411" hidden="1">
      <c r="A2411" s="3" t="s">
        <v>10028</v>
      </c>
      <c r="B2411" s="4">
        <v>532612.0</v>
      </c>
      <c r="C2411" s="3" t="s">
        <v>10029</v>
      </c>
      <c r="D2411" s="3" t="s">
        <v>10030</v>
      </c>
      <c r="E2411" s="3" t="s">
        <v>10031</v>
      </c>
      <c r="F2411" s="3" t="s">
        <v>19</v>
      </c>
      <c r="G2411" s="3" t="s">
        <v>20</v>
      </c>
      <c r="H2411" s="3">
        <v>2.0</v>
      </c>
      <c r="I2411" s="3" t="s">
        <v>10028</v>
      </c>
      <c r="J2411" s="3" t="s">
        <v>22</v>
      </c>
      <c r="K2411" s="3" t="s">
        <v>45</v>
      </c>
      <c r="L2411" s="3" t="s">
        <v>45</v>
      </c>
      <c r="M2411" s="3" t="s">
        <v>46</v>
      </c>
      <c r="N2411" s="3" t="s">
        <v>47</v>
      </c>
      <c r="O2411" s="5">
        <v>3160.666099</v>
      </c>
      <c r="P2411" s="6" t="str">
        <f t="shared" si="2"/>
        <v>Pharmaceuticals</v>
      </c>
    </row>
    <row r="2412" hidden="1">
      <c r="A2412" s="3" t="s">
        <v>10032</v>
      </c>
      <c r="B2412" s="4">
        <v>532613.0</v>
      </c>
      <c r="C2412" s="3" t="s">
        <v>10033</v>
      </c>
      <c r="D2412" s="3" t="s">
        <v>10034</v>
      </c>
      <c r="E2412" s="3" t="s">
        <v>10035</v>
      </c>
      <c r="F2412" s="3" t="s">
        <v>19</v>
      </c>
      <c r="G2412" s="3" t="s">
        <v>112</v>
      </c>
      <c r="H2412" s="3">
        <v>2.0</v>
      </c>
      <c r="I2412" s="3" t="s">
        <v>10032</v>
      </c>
      <c r="J2412" s="3" t="s">
        <v>22</v>
      </c>
      <c r="K2412" s="3" t="s">
        <v>58</v>
      </c>
      <c r="L2412" s="3" t="s">
        <v>80</v>
      </c>
      <c r="M2412" s="3" t="s">
        <v>81</v>
      </c>
      <c r="N2412" s="3" t="s">
        <v>944</v>
      </c>
      <c r="O2412" s="5">
        <v>321.698088</v>
      </c>
      <c r="P2412" s="6" t="str">
        <f t="shared" si="2"/>
        <v>Textiles &amp; Apparels</v>
      </c>
    </row>
    <row r="2413" hidden="1">
      <c r="A2413" s="3" t="s">
        <v>10036</v>
      </c>
      <c r="B2413" s="4">
        <v>532614.0</v>
      </c>
      <c r="C2413" s="3" t="s">
        <v>10037</v>
      </c>
      <c r="D2413" s="3" t="s">
        <v>10038</v>
      </c>
      <c r="E2413" s="3" t="s">
        <v>10039</v>
      </c>
      <c r="F2413" s="3" t="s">
        <v>19</v>
      </c>
      <c r="G2413" s="3" t="s">
        <v>86</v>
      </c>
      <c r="H2413" s="3">
        <v>10.0</v>
      </c>
      <c r="I2413" s="3" t="s">
        <v>10036</v>
      </c>
      <c r="J2413" s="3" t="s">
        <v>22</v>
      </c>
      <c r="K2413" s="3" t="s">
        <v>23</v>
      </c>
      <c r="L2413" s="3" t="s">
        <v>65</v>
      </c>
      <c r="M2413" s="3" t="s">
        <v>106</v>
      </c>
      <c r="N2413" s="3" t="s">
        <v>4039</v>
      </c>
      <c r="O2413" s="5">
        <v>33.0588885</v>
      </c>
      <c r="P2413" s="6" t="str">
        <f t="shared" si="2"/>
        <v>Ferrous Metals</v>
      </c>
    </row>
    <row r="2414" hidden="1">
      <c r="A2414" s="3" t="s">
        <v>10040</v>
      </c>
      <c r="B2414" s="4">
        <v>532616.0</v>
      </c>
      <c r="C2414" s="3" t="s">
        <v>10041</v>
      </c>
      <c r="D2414" s="3" t="s">
        <v>10042</v>
      </c>
      <c r="E2414" s="3" t="s">
        <v>10043</v>
      </c>
      <c r="F2414" s="3" t="s">
        <v>19</v>
      </c>
      <c r="G2414" s="3" t="s">
        <v>112</v>
      </c>
      <c r="H2414" s="3">
        <v>10.0</v>
      </c>
      <c r="I2414" s="3" t="s">
        <v>10040</v>
      </c>
      <c r="J2414" s="3" t="s">
        <v>22</v>
      </c>
      <c r="K2414" s="3" t="s">
        <v>473</v>
      </c>
      <c r="L2414" s="3" t="s">
        <v>473</v>
      </c>
      <c r="M2414" s="3" t="s">
        <v>1391</v>
      </c>
      <c r="N2414" s="3" t="s">
        <v>1840</v>
      </c>
      <c r="O2414" s="5">
        <v>1340.264592</v>
      </c>
      <c r="P2414" s="6" t="str">
        <f t="shared" si="2"/>
        <v>Computers - Software &amp; Consulting</v>
      </c>
    </row>
    <row r="2415" hidden="1">
      <c r="A2415" s="3" t="s">
        <v>3623</v>
      </c>
      <c r="B2415" s="4">
        <v>538569.0</v>
      </c>
      <c r="C2415" s="3" t="s">
        <v>10044</v>
      </c>
      <c r="D2415" s="3" t="s">
        <v>10045</v>
      </c>
      <c r="E2415" s="3" t="s">
        <v>10046</v>
      </c>
      <c r="F2415" s="3" t="s">
        <v>19</v>
      </c>
      <c r="G2415" s="3" t="s">
        <v>72</v>
      </c>
      <c r="H2415" s="3">
        <v>1.0</v>
      </c>
      <c r="I2415" s="3" t="s">
        <v>10047</v>
      </c>
      <c r="J2415" s="3" t="s">
        <v>22</v>
      </c>
      <c r="K2415" s="3" t="s">
        <v>1673</v>
      </c>
      <c r="L2415" s="3" t="s">
        <v>1673</v>
      </c>
      <c r="M2415" s="3" t="s">
        <v>1674</v>
      </c>
      <c r="N2415" s="3" t="s">
        <v>1915</v>
      </c>
      <c r="O2415" s="5">
        <v>14.1201071</v>
      </c>
      <c r="P2415" s="6" t="str">
        <f t="shared" si="2"/>
        <v>Commercial Services &amp; Supplies</v>
      </c>
    </row>
    <row r="2416" hidden="1">
      <c r="A2416" s="3" t="s">
        <v>10048</v>
      </c>
      <c r="B2416" s="4">
        <v>532624.0</v>
      </c>
      <c r="C2416" s="3" t="s">
        <v>10049</v>
      </c>
      <c r="D2416" s="3" t="s">
        <v>10050</v>
      </c>
      <c r="E2416" s="3" t="s">
        <v>10051</v>
      </c>
      <c r="F2416" s="3" t="s">
        <v>19</v>
      </c>
      <c r="G2416" s="3" t="s">
        <v>112</v>
      </c>
      <c r="H2416" s="3">
        <v>10.0</v>
      </c>
      <c r="I2416" s="3" t="s">
        <v>10048</v>
      </c>
      <c r="J2416" s="3" t="s">
        <v>22</v>
      </c>
      <c r="K2416" s="3" t="s">
        <v>145</v>
      </c>
      <c r="L2416" s="3" t="s">
        <v>145</v>
      </c>
      <c r="M2416" s="3" t="s">
        <v>1757</v>
      </c>
      <c r="N2416" s="3" t="s">
        <v>1757</v>
      </c>
      <c r="O2416" s="5">
        <v>932.664791</v>
      </c>
      <c r="P2416" s="6" t="str">
        <f t="shared" si="2"/>
        <v>Household Products</v>
      </c>
    </row>
    <row r="2417" hidden="1">
      <c r="A2417" s="3" t="s">
        <v>10052</v>
      </c>
      <c r="B2417" s="4">
        <v>532626.0</v>
      </c>
      <c r="C2417" s="3" t="s">
        <v>10053</v>
      </c>
      <c r="D2417" s="3" t="s">
        <v>10054</v>
      </c>
      <c r="E2417" s="3" t="s">
        <v>10055</v>
      </c>
      <c r="F2417" s="3" t="s">
        <v>19</v>
      </c>
      <c r="G2417" s="3" t="s">
        <v>112</v>
      </c>
      <c r="H2417" s="3">
        <v>10.0</v>
      </c>
      <c r="I2417" s="3" t="s">
        <v>10052</v>
      </c>
      <c r="J2417" s="3" t="s">
        <v>22</v>
      </c>
      <c r="K2417" s="3" t="s">
        <v>23</v>
      </c>
      <c r="L2417" s="3" t="s">
        <v>65</v>
      </c>
      <c r="M2417" s="3" t="s">
        <v>168</v>
      </c>
      <c r="N2417" s="3" t="s">
        <v>168</v>
      </c>
      <c r="O2417" s="5">
        <v>1173.182692</v>
      </c>
      <c r="P2417" s="6" t="str">
        <f t="shared" si="2"/>
        <v>Diversified Metals</v>
      </c>
    </row>
    <row r="2418">
      <c r="A2418" s="3" t="s">
        <v>10056</v>
      </c>
      <c r="B2418" s="4">
        <v>533398.0</v>
      </c>
      <c r="C2418" s="3" t="s">
        <v>10057</v>
      </c>
      <c r="D2418" s="3" t="s">
        <v>10058</v>
      </c>
      <c r="E2418" s="3" t="s">
        <v>10059</v>
      </c>
      <c r="F2418" s="3" t="s">
        <v>19</v>
      </c>
      <c r="G2418" s="3" t="s">
        <v>20</v>
      </c>
      <c r="H2418" s="3">
        <v>10.0</v>
      </c>
      <c r="I2418" s="3" t="s">
        <v>10060</v>
      </c>
      <c r="J2418" s="3" t="s">
        <v>22</v>
      </c>
      <c r="K2418" s="3" t="s">
        <v>204</v>
      </c>
      <c r="L2418" s="3" t="s">
        <v>204</v>
      </c>
      <c r="M2418" s="3" t="s">
        <v>378</v>
      </c>
      <c r="N2418" s="3" t="s">
        <v>379</v>
      </c>
      <c r="O2418" s="5">
        <v>72260.1270256</v>
      </c>
      <c r="P2418" s="6" t="str">
        <f t="shared" si="2"/>
        <v>Non Banking Financial Company (NBFC)</v>
      </c>
    </row>
    <row r="2419" hidden="1">
      <c r="A2419" s="3" t="s">
        <v>10061</v>
      </c>
      <c r="B2419" s="4">
        <v>532628.0</v>
      </c>
      <c r="C2419" s="3" t="s">
        <v>10062</v>
      </c>
      <c r="D2419" s="3" t="s">
        <v>10063</v>
      </c>
      <c r="E2419" s="3" t="s">
        <v>10064</v>
      </c>
      <c r="F2419" s="3" t="s">
        <v>19</v>
      </c>
      <c r="G2419" s="3" t="s">
        <v>112</v>
      </c>
      <c r="H2419" s="3">
        <v>10.0</v>
      </c>
      <c r="I2419" s="3" t="s">
        <v>10061</v>
      </c>
      <c r="J2419" s="3" t="s">
        <v>22</v>
      </c>
      <c r="K2419" s="3" t="s">
        <v>473</v>
      </c>
      <c r="L2419" s="3" t="s">
        <v>473</v>
      </c>
      <c r="M2419" s="3" t="s">
        <v>1391</v>
      </c>
      <c r="N2419" s="3" t="s">
        <v>1840</v>
      </c>
      <c r="O2419" s="5">
        <v>610.5686955</v>
      </c>
      <c r="P2419" s="6" t="str">
        <f t="shared" si="2"/>
        <v>Computers - Software &amp; Consulting</v>
      </c>
    </row>
    <row r="2420" hidden="1">
      <c r="A2420" s="3" t="s">
        <v>10065</v>
      </c>
      <c r="B2420" s="4">
        <v>532629.0</v>
      </c>
      <c r="C2420" s="3" t="s">
        <v>10066</v>
      </c>
      <c r="D2420" s="3" t="s">
        <v>10067</v>
      </c>
      <c r="E2420" s="3" t="s">
        <v>10068</v>
      </c>
      <c r="F2420" s="3" t="s">
        <v>19</v>
      </c>
      <c r="G2420" s="3" t="s">
        <v>86</v>
      </c>
      <c r="H2420" s="3">
        <v>10.0</v>
      </c>
      <c r="I2420" s="3" t="s">
        <v>10065</v>
      </c>
      <c r="J2420" s="3" t="s">
        <v>22</v>
      </c>
      <c r="K2420" s="3" t="s">
        <v>97</v>
      </c>
      <c r="L2420" s="3" t="s">
        <v>965</v>
      </c>
      <c r="M2420" s="3" t="s">
        <v>965</v>
      </c>
      <c r="N2420" s="3" t="s">
        <v>966</v>
      </c>
      <c r="O2420" s="5">
        <v>98.9908895</v>
      </c>
      <c r="P2420" s="6" t="str">
        <f t="shared" si="2"/>
        <v>Civil Construction</v>
      </c>
    </row>
    <row r="2421">
      <c r="A2421" s="3" t="s">
        <v>1486</v>
      </c>
      <c r="B2421" s="4">
        <v>533519.0</v>
      </c>
      <c r="C2421" s="3" t="s">
        <v>10069</v>
      </c>
      <c r="D2421" s="3" t="s">
        <v>10070</v>
      </c>
      <c r="E2421" s="3" t="s">
        <v>10071</v>
      </c>
      <c r="F2421" s="3" t="s">
        <v>19</v>
      </c>
      <c r="G2421" s="3" t="s">
        <v>20</v>
      </c>
      <c r="H2421" s="3">
        <v>10.0</v>
      </c>
      <c r="I2421" s="3" t="s">
        <v>10072</v>
      </c>
      <c r="J2421" s="3" t="s">
        <v>22</v>
      </c>
      <c r="K2421" s="3" t="s">
        <v>204</v>
      </c>
      <c r="L2421" s="3" t="s">
        <v>204</v>
      </c>
      <c r="M2421" s="3" t="s">
        <v>378</v>
      </c>
      <c r="N2421" s="3" t="s">
        <v>384</v>
      </c>
      <c r="O2421" s="5">
        <v>45108.42</v>
      </c>
      <c r="P2421" s="6" t="str">
        <f t="shared" si="2"/>
        <v>Finance</v>
      </c>
    </row>
    <row r="2422" hidden="1">
      <c r="A2422" s="3" t="s">
        <v>2298</v>
      </c>
      <c r="B2422" s="4">
        <v>530445.0</v>
      </c>
      <c r="C2422" s="3" t="s">
        <v>10073</v>
      </c>
      <c r="D2422" s="3" t="s">
        <v>10074</v>
      </c>
      <c r="E2422" s="3" t="s">
        <v>10075</v>
      </c>
      <c r="F2422" s="3" t="s">
        <v>19</v>
      </c>
      <c r="G2422" s="3" t="s">
        <v>72</v>
      </c>
      <c r="H2422" s="3">
        <v>1.0</v>
      </c>
      <c r="I2422" s="3" t="s">
        <v>7640</v>
      </c>
      <c r="J2422" s="3" t="s">
        <v>22</v>
      </c>
      <c r="K2422" s="3" t="s">
        <v>1673</v>
      </c>
      <c r="L2422" s="3" t="s">
        <v>1673</v>
      </c>
      <c r="M2422" s="3" t="s">
        <v>1674</v>
      </c>
      <c r="N2422" s="3" t="s">
        <v>1915</v>
      </c>
      <c r="O2422" s="5">
        <v>14.0469137</v>
      </c>
      <c r="P2422" s="6" t="str">
        <f t="shared" si="2"/>
        <v>Commercial Services &amp; Supplies</v>
      </c>
    </row>
    <row r="2423">
      <c r="A2423" s="3" t="s">
        <v>9917</v>
      </c>
      <c r="B2423" s="4">
        <v>534091.0</v>
      </c>
      <c r="C2423" s="3" t="s">
        <v>10076</v>
      </c>
      <c r="D2423" s="3" t="s">
        <v>10077</v>
      </c>
      <c r="E2423" s="3" t="s">
        <v>10078</v>
      </c>
      <c r="F2423" s="3" t="s">
        <v>19</v>
      </c>
      <c r="G2423" s="3" t="s">
        <v>20</v>
      </c>
      <c r="H2423" s="3">
        <v>10.0</v>
      </c>
      <c r="I2423" s="3" t="s">
        <v>10079</v>
      </c>
      <c r="J2423" s="3" t="s">
        <v>22</v>
      </c>
      <c r="K2423" s="3" t="s">
        <v>204</v>
      </c>
      <c r="L2423" s="3" t="s">
        <v>204</v>
      </c>
      <c r="M2423" s="3" t="s">
        <v>205</v>
      </c>
      <c r="N2423" s="3" t="s">
        <v>10080</v>
      </c>
      <c r="O2423" s="5">
        <v>20081.538138</v>
      </c>
      <c r="P2423" s="6" t="str">
        <f t="shared" si="2"/>
        <v>Capital Markets</v>
      </c>
    </row>
    <row r="2424" hidden="1">
      <c r="A2424" s="3" t="s">
        <v>10081</v>
      </c>
      <c r="B2424" s="4">
        <v>532637.0</v>
      </c>
      <c r="C2424" s="3" t="s">
        <v>10082</v>
      </c>
      <c r="D2424" s="3" t="s">
        <v>10083</v>
      </c>
      <c r="E2424" s="3" t="s">
        <v>10084</v>
      </c>
      <c r="F2424" s="3" t="s">
        <v>19</v>
      </c>
      <c r="G2424" s="3" t="s">
        <v>112</v>
      </c>
      <c r="H2424" s="3">
        <v>10.0</v>
      </c>
      <c r="I2424" s="3" t="s">
        <v>10081</v>
      </c>
      <c r="J2424" s="3" t="s">
        <v>22</v>
      </c>
      <c r="K2424" s="3" t="s">
        <v>45</v>
      </c>
      <c r="L2424" s="3" t="s">
        <v>45</v>
      </c>
      <c r="M2424" s="3" t="s">
        <v>46</v>
      </c>
      <c r="N2424" s="3" t="s">
        <v>47</v>
      </c>
      <c r="O2424" s="5">
        <v>166.3836625</v>
      </c>
      <c r="P2424" s="6" t="str">
        <f t="shared" si="2"/>
        <v>Pharmaceuticals</v>
      </c>
    </row>
    <row r="2425">
      <c r="A2425" s="3" t="s">
        <v>1508</v>
      </c>
      <c r="B2425" s="4">
        <v>535789.0</v>
      </c>
      <c r="C2425" s="3" t="s">
        <v>10085</v>
      </c>
      <c r="D2425" s="3" t="s">
        <v>10086</v>
      </c>
      <c r="E2425" s="3" t="s">
        <v>10087</v>
      </c>
      <c r="F2425" s="3" t="s">
        <v>19</v>
      </c>
      <c r="G2425" s="3" t="s">
        <v>20</v>
      </c>
      <c r="H2425" s="3">
        <v>2.0</v>
      </c>
      <c r="I2425" s="3" t="s">
        <v>10088</v>
      </c>
      <c r="J2425" s="3" t="s">
        <v>22</v>
      </c>
      <c r="K2425" s="3" t="s">
        <v>204</v>
      </c>
      <c r="L2425" s="3" t="s">
        <v>204</v>
      </c>
      <c r="M2425" s="3" t="s">
        <v>378</v>
      </c>
      <c r="N2425" s="3" t="s">
        <v>3066</v>
      </c>
      <c r="O2425" s="5">
        <v>9836.723187</v>
      </c>
      <c r="P2425" s="6" t="str">
        <f t="shared" si="2"/>
        <v>Finance</v>
      </c>
    </row>
    <row r="2426" hidden="1">
      <c r="A2426" s="3" t="s">
        <v>10089</v>
      </c>
      <c r="B2426" s="4">
        <v>532640.0</v>
      </c>
      <c r="C2426" s="3" t="s">
        <v>10090</v>
      </c>
      <c r="D2426" s="3" t="s">
        <v>10091</v>
      </c>
      <c r="E2426" s="3" t="s">
        <v>10092</v>
      </c>
      <c r="F2426" s="3" t="s">
        <v>19</v>
      </c>
      <c r="G2426" s="3" t="s">
        <v>86</v>
      </c>
      <c r="H2426" s="3">
        <v>10.0</v>
      </c>
      <c r="I2426" s="3" t="s">
        <v>10089</v>
      </c>
      <c r="J2426" s="3" t="s">
        <v>22</v>
      </c>
      <c r="K2426" s="3" t="s">
        <v>58</v>
      </c>
      <c r="L2426" s="3" t="s">
        <v>182</v>
      </c>
      <c r="M2426" s="3" t="s">
        <v>183</v>
      </c>
      <c r="N2426" s="3" t="s">
        <v>3454</v>
      </c>
      <c r="O2426" s="5">
        <v>40.5676961</v>
      </c>
      <c r="P2426" s="6" t="str">
        <f t="shared" si="2"/>
        <v>Media</v>
      </c>
    </row>
    <row r="2427" hidden="1">
      <c r="A2427" s="3" t="s">
        <v>10093</v>
      </c>
      <c r="B2427" s="4">
        <v>532641.0</v>
      </c>
      <c r="C2427" s="3" t="s">
        <v>10094</v>
      </c>
      <c r="D2427" s="3" t="s">
        <v>10095</v>
      </c>
      <c r="E2427" s="3" t="s">
        <v>10094</v>
      </c>
      <c r="F2427" s="3" t="s">
        <v>19</v>
      </c>
      <c r="G2427" s="3" t="s">
        <v>112</v>
      </c>
      <c r="H2427" s="3">
        <v>10.0</v>
      </c>
      <c r="I2427" s="3" t="s">
        <v>10093</v>
      </c>
      <c r="J2427" s="3" t="s">
        <v>22</v>
      </c>
      <c r="K2427" s="3" t="s">
        <v>58</v>
      </c>
      <c r="L2427" s="3" t="s">
        <v>80</v>
      </c>
      <c r="M2427" s="3" t="s">
        <v>81</v>
      </c>
      <c r="N2427" s="3" t="s">
        <v>82</v>
      </c>
      <c r="O2427" s="5">
        <v>702.4112592</v>
      </c>
      <c r="P2427" s="6" t="str">
        <f t="shared" si="2"/>
        <v>Textiles &amp; Apparels</v>
      </c>
    </row>
    <row r="2428">
      <c r="A2428" s="3" t="s">
        <v>9924</v>
      </c>
      <c r="B2428" s="4">
        <v>539177.0</v>
      </c>
      <c r="C2428" s="3" t="s">
        <v>10096</v>
      </c>
      <c r="D2428" s="3" t="s">
        <v>10097</v>
      </c>
      <c r="E2428" s="3" t="s">
        <v>10098</v>
      </c>
      <c r="F2428" s="3" t="s">
        <v>19</v>
      </c>
      <c r="G2428" s="3" t="s">
        <v>112</v>
      </c>
      <c r="H2428" s="3">
        <v>1.0</v>
      </c>
      <c r="I2428" s="3" t="s">
        <v>10099</v>
      </c>
      <c r="J2428" s="3" t="s">
        <v>22</v>
      </c>
      <c r="K2428" s="3" t="s">
        <v>204</v>
      </c>
      <c r="L2428" s="3" t="s">
        <v>204</v>
      </c>
      <c r="M2428" s="3" t="s">
        <v>378</v>
      </c>
      <c r="N2428" s="3" t="s">
        <v>379</v>
      </c>
      <c r="O2428" s="5">
        <v>19700.9851492</v>
      </c>
      <c r="P2428" s="6" t="str">
        <f t="shared" si="2"/>
        <v>Non Banking Financial Company (NBFC)</v>
      </c>
    </row>
    <row r="2429">
      <c r="A2429" s="3" t="s">
        <v>662</v>
      </c>
      <c r="B2429" s="4">
        <v>539437.0</v>
      </c>
      <c r="C2429" s="3" t="s">
        <v>10100</v>
      </c>
      <c r="D2429" s="3" t="s">
        <v>10101</v>
      </c>
      <c r="E2429" s="3" t="s">
        <v>10102</v>
      </c>
      <c r="F2429" s="3" t="s">
        <v>19</v>
      </c>
      <c r="G2429" s="3" t="s">
        <v>20</v>
      </c>
      <c r="H2429" s="3">
        <v>10.0</v>
      </c>
      <c r="I2429" s="3" t="s">
        <v>10103</v>
      </c>
      <c r="J2429" s="3" t="s">
        <v>22</v>
      </c>
      <c r="K2429" s="3" t="s">
        <v>204</v>
      </c>
      <c r="L2429" s="3" t="s">
        <v>204</v>
      </c>
      <c r="M2429" s="3" t="s">
        <v>9428</v>
      </c>
      <c r="N2429" s="3" t="s">
        <v>9429</v>
      </c>
      <c r="O2429" s="5">
        <v>57160.3250672</v>
      </c>
      <c r="P2429" s="6" t="str">
        <f t="shared" si="2"/>
        <v>Private Sector Bank</v>
      </c>
    </row>
    <row r="2430" hidden="1">
      <c r="A2430" s="3" t="s">
        <v>10104</v>
      </c>
      <c r="B2430" s="4">
        <v>531502.0</v>
      </c>
      <c r="C2430" s="3" t="s">
        <v>10105</v>
      </c>
      <c r="D2430" s="3" t="s">
        <v>10106</v>
      </c>
      <c r="E2430" s="3" t="s">
        <v>10107</v>
      </c>
      <c r="F2430" s="3" t="s">
        <v>19</v>
      </c>
      <c r="G2430" s="3" t="s">
        <v>44</v>
      </c>
      <c r="H2430" s="3">
        <v>10.0</v>
      </c>
      <c r="I2430" s="3" t="s">
        <v>8638</v>
      </c>
      <c r="J2430" s="3" t="s">
        <v>22</v>
      </c>
      <c r="K2430" s="3" t="s">
        <v>1673</v>
      </c>
      <c r="L2430" s="3" t="s">
        <v>1673</v>
      </c>
      <c r="M2430" s="3" t="s">
        <v>1674</v>
      </c>
      <c r="N2430" s="3" t="s">
        <v>1675</v>
      </c>
      <c r="O2430" s="5">
        <v>13.9599651</v>
      </c>
      <c r="P2430" s="6" t="str">
        <f t="shared" si="2"/>
        <v>Commercial Services &amp; Supplies</v>
      </c>
    </row>
    <row r="2431">
      <c r="A2431" s="3" t="s">
        <v>9928</v>
      </c>
      <c r="B2431" s="4">
        <v>539807.0</v>
      </c>
      <c r="C2431" s="3" t="s">
        <v>10108</v>
      </c>
      <c r="D2431" s="3" t="s">
        <v>10109</v>
      </c>
      <c r="E2431" s="3" t="s">
        <v>10110</v>
      </c>
      <c r="F2431" s="3" t="s">
        <v>19</v>
      </c>
      <c r="G2431" s="3" t="s">
        <v>20</v>
      </c>
      <c r="H2431" s="3">
        <v>1.0</v>
      </c>
      <c r="I2431" s="3" t="s">
        <v>10111</v>
      </c>
      <c r="J2431" s="3" t="s">
        <v>22</v>
      </c>
      <c r="K2431" s="3" t="s">
        <v>204</v>
      </c>
      <c r="L2431" s="3" t="s">
        <v>204</v>
      </c>
      <c r="M2431" s="3" t="s">
        <v>3234</v>
      </c>
      <c r="N2431" s="3" t="s">
        <v>3234</v>
      </c>
      <c r="O2431" s="5">
        <v>8521.626</v>
      </c>
      <c r="P2431" s="6" t="str">
        <f t="shared" si="2"/>
        <v>Financial Technology (Fintech)</v>
      </c>
    </row>
    <row r="2432" hidden="1">
      <c r="A2432" s="3" t="s">
        <v>10112</v>
      </c>
      <c r="B2432" s="4">
        <v>532649.0</v>
      </c>
      <c r="C2432" s="3" t="s">
        <v>10113</v>
      </c>
      <c r="D2432" s="3" t="s">
        <v>10114</v>
      </c>
      <c r="E2432" s="3" t="s">
        <v>10115</v>
      </c>
      <c r="F2432" s="3" t="s">
        <v>19</v>
      </c>
      <c r="G2432" s="3" t="s">
        <v>112</v>
      </c>
      <c r="H2432" s="3">
        <v>1.0</v>
      </c>
      <c r="I2432" s="3" t="s">
        <v>10112</v>
      </c>
      <c r="J2432" s="3" t="s">
        <v>22</v>
      </c>
      <c r="K2432" s="3" t="s">
        <v>45</v>
      </c>
      <c r="L2432" s="3" t="s">
        <v>45</v>
      </c>
      <c r="M2432" s="3" t="s">
        <v>46</v>
      </c>
      <c r="N2432" s="3" t="s">
        <v>47</v>
      </c>
      <c r="O2432" s="5">
        <v>703.4979851</v>
      </c>
      <c r="P2432" s="6" t="str">
        <f t="shared" si="2"/>
        <v>Pharmaceuticals</v>
      </c>
    </row>
    <row r="2433" hidden="1">
      <c r="A2433" s="3" t="s">
        <v>10116</v>
      </c>
      <c r="B2433" s="4">
        <v>532650.0</v>
      </c>
      <c r="C2433" s="3" t="s">
        <v>10117</v>
      </c>
      <c r="D2433" s="3" t="s">
        <v>10118</v>
      </c>
      <c r="E2433" s="3" t="s">
        <v>10117</v>
      </c>
      <c r="F2433" s="3" t="s">
        <v>19</v>
      </c>
      <c r="G2433" s="3" t="s">
        <v>112</v>
      </c>
      <c r="H2433" s="3">
        <v>10.0</v>
      </c>
      <c r="I2433" s="3" t="s">
        <v>10116</v>
      </c>
      <c r="J2433" s="3" t="s">
        <v>22</v>
      </c>
      <c r="K2433" s="3" t="s">
        <v>97</v>
      </c>
      <c r="L2433" s="3" t="s">
        <v>98</v>
      </c>
      <c r="M2433" s="3" t="s">
        <v>100</v>
      </c>
      <c r="N2433" s="3" t="s">
        <v>612</v>
      </c>
      <c r="O2433" s="5">
        <v>1070.3625147</v>
      </c>
      <c r="P2433" s="6" t="str">
        <f t="shared" si="2"/>
        <v>Industrial Products</v>
      </c>
    </row>
    <row r="2434" hidden="1">
      <c r="A2434" s="3" t="s">
        <v>10119</v>
      </c>
      <c r="B2434" s="4">
        <v>532651.0</v>
      </c>
      <c r="C2434" s="3" t="s">
        <v>10120</v>
      </c>
      <c r="D2434" s="3" t="s">
        <v>10121</v>
      </c>
      <c r="E2434" s="3" t="s">
        <v>10122</v>
      </c>
      <c r="F2434" s="3" t="s">
        <v>19</v>
      </c>
      <c r="G2434" s="3" t="s">
        <v>112</v>
      </c>
      <c r="H2434" s="3">
        <v>10.0</v>
      </c>
      <c r="I2434" s="3" t="s">
        <v>10119</v>
      </c>
      <c r="J2434" s="3" t="s">
        <v>22</v>
      </c>
      <c r="K2434" s="3" t="s">
        <v>58</v>
      </c>
      <c r="L2434" s="3" t="s">
        <v>80</v>
      </c>
      <c r="M2434" s="3" t="s">
        <v>81</v>
      </c>
      <c r="N2434" s="3" t="s">
        <v>2471</v>
      </c>
      <c r="O2434" s="5">
        <v>176.028102</v>
      </c>
      <c r="P2434" s="6" t="str">
        <f t="shared" si="2"/>
        <v>Textiles &amp; Apparels</v>
      </c>
    </row>
    <row r="2435">
      <c r="A2435" s="3" t="s">
        <v>9936</v>
      </c>
      <c r="B2435" s="4">
        <v>539883.0</v>
      </c>
      <c r="C2435" s="3" t="s">
        <v>10123</v>
      </c>
      <c r="D2435" s="3" t="s">
        <v>10124</v>
      </c>
      <c r="E2435" s="3" t="s">
        <v>10125</v>
      </c>
      <c r="F2435" s="3" t="s">
        <v>19</v>
      </c>
      <c r="G2435" s="3" t="s">
        <v>112</v>
      </c>
      <c r="H2435" s="3">
        <v>10.0</v>
      </c>
      <c r="I2435" s="3" t="s">
        <v>10126</v>
      </c>
      <c r="J2435" s="3" t="s">
        <v>22</v>
      </c>
      <c r="K2435" s="3" t="s">
        <v>204</v>
      </c>
      <c r="L2435" s="3" t="s">
        <v>204</v>
      </c>
      <c r="M2435" s="3" t="s">
        <v>378</v>
      </c>
      <c r="N2435" s="3" t="s">
        <v>463</v>
      </c>
      <c r="O2435" s="5">
        <v>5572.58725</v>
      </c>
      <c r="P2435" s="6" t="str">
        <f t="shared" si="2"/>
        <v>Finance</v>
      </c>
    </row>
    <row r="2436" hidden="1">
      <c r="A2436" s="3" t="s">
        <v>10127</v>
      </c>
      <c r="B2436" s="4">
        <v>532654.0</v>
      </c>
      <c r="C2436" s="3" t="s">
        <v>10128</v>
      </c>
      <c r="D2436" s="3" t="s">
        <v>10129</v>
      </c>
      <c r="E2436" s="3" t="s">
        <v>10130</v>
      </c>
      <c r="F2436" s="3" t="s">
        <v>19</v>
      </c>
      <c r="G2436" s="3" t="s">
        <v>112</v>
      </c>
      <c r="H2436" s="3">
        <v>5.0</v>
      </c>
      <c r="I2436" s="3" t="s">
        <v>10127</v>
      </c>
      <c r="J2436" s="3" t="s">
        <v>22</v>
      </c>
      <c r="K2436" s="3" t="s">
        <v>145</v>
      </c>
      <c r="L2436" s="3" t="s">
        <v>145</v>
      </c>
      <c r="M2436" s="3" t="s">
        <v>146</v>
      </c>
      <c r="N2436" s="3" t="s">
        <v>444</v>
      </c>
      <c r="O2436" s="5">
        <v>266.1582</v>
      </c>
      <c r="P2436" s="6" t="str">
        <f t="shared" si="2"/>
        <v>Agricultural Food &amp; other Products</v>
      </c>
    </row>
    <row r="2437" hidden="1">
      <c r="A2437" s="3" t="s">
        <v>10131</v>
      </c>
      <c r="B2437" s="4">
        <v>532656.0</v>
      </c>
      <c r="C2437" s="3" t="s">
        <v>10132</v>
      </c>
      <c r="D2437" s="3" t="s">
        <v>10133</v>
      </c>
      <c r="E2437" s="3" t="s">
        <v>10134</v>
      </c>
      <c r="F2437" s="3" t="s">
        <v>19</v>
      </c>
      <c r="G2437" s="3" t="s">
        <v>44</v>
      </c>
      <c r="H2437" s="3">
        <v>1.0</v>
      </c>
      <c r="I2437" s="3" t="s">
        <v>10131</v>
      </c>
      <c r="J2437" s="3" t="s">
        <v>22</v>
      </c>
      <c r="K2437" s="3" t="s">
        <v>23</v>
      </c>
      <c r="L2437" s="3" t="s">
        <v>65</v>
      </c>
      <c r="M2437" s="3" t="s">
        <v>106</v>
      </c>
      <c r="N2437" s="3" t="s">
        <v>4039</v>
      </c>
      <c r="O2437" s="5">
        <v>155.3547005</v>
      </c>
      <c r="P2437" s="6" t="str">
        <f t="shared" si="2"/>
        <v>Ferrous Metals</v>
      </c>
    </row>
    <row r="2438">
      <c r="A2438" s="3" t="s">
        <v>9946</v>
      </c>
      <c r="B2438" s="4">
        <v>540065.0</v>
      </c>
      <c r="C2438" s="3" t="s">
        <v>10135</v>
      </c>
      <c r="D2438" s="3" t="s">
        <v>10136</v>
      </c>
      <c r="E2438" s="3" t="s">
        <v>10137</v>
      </c>
      <c r="F2438" s="3" t="s">
        <v>19</v>
      </c>
      <c r="G2438" s="3" t="s">
        <v>20</v>
      </c>
      <c r="H2438" s="3">
        <v>10.0</v>
      </c>
      <c r="I2438" s="3" t="s">
        <v>10138</v>
      </c>
      <c r="J2438" s="3" t="s">
        <v>22</v>
      </c>
      <c r="K2438" s="3" t="s">
        <v>204</v>
      </c>
      <c r="L2438" s="3" t="s">
        <v>204</v>
      </c>
      <c r="M2438" s="3" t="s">
        <v>9428</v>
      </c>
      <c r="N2438" s="3" t="s">
        <v>9429</v>
      </c>
      <c r="O2438" s="5">
        <v>16124.9035719</v>
      </c>
      <c r="P2438" s="6" t="str">
        <f t="shared" si="2"/>
        <v>Private Sector Bank</v>
      </c>
    </row>
    <row r="2439" hidden="1">
      <c r="A2439" s="3" t="s">
        <v>10139</v>
      </c>
      <c r="B2439" s="4">
        <v>532661.0</v>
      </c>
      <c r="C2439" s="3" t="s">
        <v>10140</v>
      </c>
      <c r="D2439" s="3" t="s">
        <v>10141</v>
      </c>
      <c r="E2439" s="3" t="s">
        <v>10142</v>
      </c>
      <c r="F2439" s="3" t="s">
        <v>19</v>
      </c>
      <c r="G2439" s="3" t="s">
        <v>112</v>
      </c>
      <c r="H2439" s="3">
        <v>10.0</v>
      </c>
      <c r="I2439" s="3" t="s">
        <v>10139</v>
      </c>
      <c r="J2439" s="3" t="s">
        <v>22</v>
      </c>
      <c r="K2439" s="3" t="s">
        <v>58</v>
      </c>
      <c r="L2439" s="3" t="s">
        <v>133</v>
      </c>
      <c r="M2439" s="3" t="s">
        <v>134</v>
      </c>
      <c r="N2439" s="3" t="s">
        <v>135</v>
      </c>
      <c r="O2439" s="5">
        <v>1388.835972</v>
      </c>
      <c r="P2439" s="6" t="str">
        <f t="shared" si="2"/>
        <v>Auto Components &amp; Equipments</v>
      </c>
    </row>
    <row r="2440" hidden="1">
      <c r="A2440" s="3" t="s">
        <v>10143</v>
      </c>
      <c r="B2440" s="4">
        <v>532662.0</v>
      </c>
      <c r="C2440" s="3" t="s">
        <v>10144</v>
      </c>
      <c r="D2440" s="3" t="s">
        <v>10145</v>
      </c>
      <c r="E2440" s="3" t="s">
        <v>10146</v>
      </c>
      <c r="F2440" s="3" t="s">
        <v>19</v>
      </c>
      <c r="G2440" s="3" t="s">
        <v>112</v>
      </c>
      <c r="H2440" s="3">
        <v>2.0</v>
      </c>
      <c r="I2440" s="3" t="s">
        <v>10143</v>
      </c>
      <c r="J2440" s="3" t="s">
        <v>22</v>
      </c>
      <c r="K2440" s="3" t="s">
        <v>58</v>
      </c>
      <c r="L2440" s="3" t="s">
        <v>182</v>
      </c>
      <c r="M2440" s="3" t="s">
        <v>183</v>
      </c>
      <c r="N2440" s="3" t="s">
        <v>184</v>
      </c>
      <c r="O2440" s="5">
        <v>621.5559876</v>
      </c>
      <c r="P2440" s="6" t="str">
        <f t="shared" si="2"/>
        <v>Media</v>
      </c>
    </row>
    <row r="2441" hidden="1">
      <c r="A2441" s="3" t="s">
        <v>10147</v>
      </c>
      <c r="B2441" s="4">
        <v>532663.0</v>
      </c>
      <c r="C2441" s="3" t="s">
        <v>10148</v>
      </c>
      <c r="D2441" s="3" t="s">
        <v>10149</v>
      </c>
      <c r="E2441" s="3" t="s">
        <v>10150</v>
      </c>
      <c r="F2441" s="3" t="s">
        <v>19</v>
      </c>
      <c r="G2441" s="3" t="s">
        <v>112</v>
      </c>
      <c r="H2441" s="3">
        <v>10.0</v>
      </c>
      <c r="I2441" s="3" t="s">
        <v>10147</v>
      </c>
      <c r="J2441" s="3" t="s">
        <v>22</v>
      </c>
      <c r="K2441" s="3" t="s">
        <v>473</v>
      </c>
      <c r="L2441" s="3" t="s">
        <v>473</v>
      </c>
      <c r="M2441" s="3" t="s">
        <v>1538</v>
      </c>
      <c r="N2441" s="3" t="s">
        <v>1539</v>
      </c>
      <c r="O2441" s="5">
        <v>2789.7923609</v>
      </c>
      <c r="P2441" s="6" t="str">
        <f t="shared" si="2"/>
        <v>IT - Services</v>
      </c>
    </row>
    <row r="2442" hidden="1">
      <c r="A2442" s="3" t="s">
        <v>10151</v>
      </c>
      <c r="B2442" s="4">
        <v>532666.0</v>
      </c>
      <c r="C2442" s="3" t="s">
        <v>10152</v>
      </c>
      <c r="D2442" s="3" t="s">
        <v>10153</v>
      </c>
      <c r="E2442" s="3" t="s">
        <v>10154</v>
      </c>
      <c r="F2442" s="3" t="s">
        <v>19</v>
      </c>
      <c r="G2442" s="3" t="s">
        <v>112</v>
      </c>
      <c r="H2442" s="3">
        <v>1.0</v>
      </c>
      <c r="I2442" s="3" t="s">
        <v>10151</v>
      </c>
      <c r="J2442" s="3" t="s">
        <v>22</v>
      </c>
      <c r="K2442" s="3" t="s">
        <v>473</v>
      </c>
      <c r="L2442" s="3" t="s">
        <v>473</v>
      </c>
      <c r="M2442" s="3" t="s">
        <v>1538</v>
      </c>
      <c r="N2442" s="3" t="s">
        <v>1539</v>
      </c>
      <c r="O2442" s="5">
        <v>695.3551074</v>
      </c>
      <c r="P2442" s="6" t="str">
        <f t="shared" si="2"/>
        <v>IT - Services</v>
      </c>
    </row>
    <row r="2443">
      <c r="A2443" s="3" t="s">
        <v>10155</v>
      </c>
      <c r="B2443" s="4">
        <v>540133.0</v>
      </c>
      <c r="C2443" s="3" t="s">
        <v>10156</v>
      </c>
      <c r="D2443" s="3" t="s">
        <v>10157</v>
      </c>
      <c r="E2443" s="3" t="s">
        <v>10158</v>
      </c>
      <c r="F2443" s="3" t="s">
        <v>19</v>
      </c>
      <c r="G2443" s="3" t="s">
        <v>20</v>
      </c>
      <c r="H2443" s="3">
        <v>10.0</v>
      </c>
      <c r="I2443" s="3" t="s">
        <v>10159</v>
      </c>
      <c r="J2443" s="3" t="s">
        <v>22</v>
      </c>
      <c r="K2443" s="3" t="s">
        <v>204</v>
      </c>
      <c r="L2443" s="3" t="s">
        <v>204</v>
      </c>
      <c r="M2443" s="3" t="s">
        <v>9536</v>
      </c>
      <c r="N2443" s="3" t="s">
        <v>9537</v>
      </c>
      <c r="O2443" s="5">
        <v>87874.27925</v>
      </c>
      <c r="P2443" s="6" t="str">
        <f t="shared" si="2"/>
        <v>Insurance</v>
      </c>
    </row>
    <row r="2444">
      <c r="A2444" s="3" t="s">
        <v>10160</v>
      </c>
      <c r="B2444" s="4">
        <v>540173.0</v>
      </c>
      <c r="C2444" s="3" t="s">
        <v>10161</v>
      </c>
      <c r="D2444" s="3" t="s">
        <v>10162</v>
      </c>
      <c r="E2444" s="3" t="s">
        <v>10163</v>
      </c>
      <c r="F2444" s="3" t="s">
        <v>19</v>
      </c>
      <c r="G2444" s="3" t="s">
        <v>20</v>
      </c>
      <c r="H2444" s="3">
        <v>10.0</v>
      </c>
      <c r="I2444" s="3" t="s">
        <v>10164</v>
      </c>
      <c r="J2444" s="3" t="s">
        <v>22</v>
      </c>
      <c r="K2444" s="3" t="s">
        <v>204</v>
      </c>
      <c r="L2444" s="3" t="s">
        <v>204</v>
      </c>
      <c r="M2444" s="3" t="s">
        <v>378</v>
      </c>
      <c r="N2444" s="3" t="s">
        <v>3066</v>
      </c>
      <c r="O2444" s="5">
        <v>20494.2797721</v>
      </c>
      <c r="P2444" s="6" t="str">
        <f t="shared" si="2"/>
        <v>Finance</v>
      </c>
    </row>
    <row r="2445">
      <c r="A2445" s="3" t="s">
        <v>9361</v>
      </c>
      <c r="B2445" s="4">
        <v>540530.0</v>
      </c>
      <c r="C2445" s="3" t="s">
        <v>10165</v>
      </c>
      <c r="D2445" s="3" t="s">
        <v>10166</v>
      </c>
      <c r="E2445" s="3" t="s">
        <v>10167</v>
      </c>
      <c r="F2445" s="3" t="s">
        <v>19</v>
      </c>
      <c r="G2445" s="3" t="s">
        <v>20</v>
      </c>
      <c r="H2445" s="3">
        <v>10.0</v>
      </c>
      <c r="I2445" s="3" t="s">
        <v>10168</v>
      </c>
      <c r="J2445" s="3" t="s">
        <v>22</v>
      </c>
      <c r="K2445" s="3" t="s">
        <v>204</v>
      </c>
      <c r="L2445" s="3" t="s">
        <v>204</v>
      </c>
      <c r="M2445" s="3" t="s">
        <v>378</v>
      </c>
      <c r="N2445" s="3" t="s">
        <v>6960</v>
      </c>
      <c r="O2445" s="5">
        <v>59357.9579025</v>
      </c>
      <c r="P2445" s="6" t="str">
        <f t="shared" si="2"/>
        <v>Finance</v>
      </c>
    </row>
    <row r="2446" hidden="1">
      <c r="A2446" s="3" t="s">
        <v>10169</v>
      </c>
      <c r="B2446" s="4">
        <v>532673.0</v>
      </c>
      <c r="C2446" s="3" t="s">
        <v>10170</v>
      </c>
      <c r="D2446" s="3" t="s">
        <v>10171</v>
      </c>
      <c r="E2446" s="3" t="s">
        <v>10172</v>
      </c>
      <c r="F2446" s="3" t="s">
        <v>19</v>
      </c>
      <c r="G2446" s="3" t="s">
        <v>86</v>
      </c>
      <c r="H2446" s="3">
        <v>2.0</v>
      </c>
      <c r="I2446" s="3" t="s">
        <v>10169</v>
      </c>
      <c r="J2446" s="3" t="s">
        <v>22</v>
      </c>
      <c r="K2446" s="3" t="s">
        <v>145</v>
      </c>
      <c r="L2446" s="3" t="s">
        <v>145</v>
      </c>
      <c r="M2446" s="3" t="s">
        <v>146</v>
      </c>
      <c r="N2446" s="3" t="s">
        <v>147</v>
      </c>
      <c r="O2446" s="5">
        <v>395.5599878</v>
      </c>
      <c r="P2446" s="6" t="str">
        <f t="shared" si="2"/>
        <v>Agricultural Food &amp; other Products</v>
      </c>
    </row>
    <row r="2447" hidden="1">
      <c r="A2447" s="3" t="s">
        <v>10173</v>
      </c>
      <c r="B2447" s="4">
        <v>532674.0</v>
      </c>
      <c r="C2447" s="3" t="s">
        <v>10174</v>
      </c>
      <c r="D2447" s="3" t="s">
        <v>10175</v>
      </c>
      <c r="E2447" s="3" t="s">
        <v>10176</v>
      </c>
      <c r="F2447" s="3" t="s">
        <v>19</v>
      </c>
      <c r="G2447" s="3" t="s">
        <v>112</v>
      </c>
      <c r="H2447" s="3">
        <v>5.0</v>
      </c>
      <c r="I2447" s="3" t="s">
        <v>10173</v>
      </c>
      <c r="J2447" s="3" t="s">
        <v>22</v>
      </c>
      <c r="K2447" s="3" t="s">
        <v>58</v>
      </c>
      <c r="L2447" s="3" t="s">
        <v>80</v>
      </c>
      <c r="M2447" s="3" t="s">
        <v>81</v>
      </c>
      <c r="N2447" s="3" t="s">
        <v>82</v>
      </c>
      <c r="O2447" s="5">
        <v>313.948802</v>
      </c>
      <c r="P2447" s="6" t="str">
        <f t="shared" si="2"/>
        <v>Textiles &amp; Apparels</v>
      </c>
    </row>
    <row r="2448" hidden="1">
      <c r="A2448" s="3" t="s">
        <v>10177</v>
      </c>
      <c r="B2448" s="4">
        <v>532676.0</v>
      </c>
      <c r="C2448" s="3" t="s">
        <v>10178</v>
      </c>
      <c r="D2448" s="3" t="s">
        <v>10179</v>
      </c>
      <c r="E2448" s="3" t="s">
        <v>10178</v>
      </c>
      <c r="F2448" s="3" t="s">
        <v>19</v>
      </c>
      <c r="G2448" s="3" t="s">
        <v>112</v>
      </c>
      <c r="H2448" s="3">
        <v>10.0</v>
      </c>
      <c r="I2448" s="3" t="s">
        <v>10177</v>
      </c>
      <c r="J2448" s="3" t="s">
        <v>22</v>
      </c>
      <c r="K2448" s="3" t="s">
        <v>97</v>
      </c>
      <c r="L2448" s="3" t="s">
        <v>965</v>
      </c>
      <c r="M2448" s="3" t="s">
        <v>965</v>
      </c>
      <c r="N2448" s="3" t="s">
        <v>966</v>
      </c>
      <c r="O2448" s="5">
        <v>15.7745901</v>
      </c>
      <c r="P2448" s="6" t="str">
        <f t="shared" si="2"/>
        <v>Civil Construction</v>
      </c>
    </row>
    <row r="2449">
      <c r="A2449" s="3" t="s">
        <v>10180</v>
      </c>
      <c r="B2449" s="4">
        <v>540611.0</v>
      </c>
      <c r="C2449" s="3" t="s">
        <v>10181</v>
      </c>
      <c r="D2449" s="3" t="s">
        <v>10182</v>
      </c>
      <c r="E2449" s="3" t="s">
        <v>10183</v>
      </c>
      <c r="F2449" s="3" t="s">
        <v>19</v>
      </c>
      <c r="G2449" s="3" t="s">
        <v>20</v>
      </c>
      <c r="H2449" s="3">
        <v>10.0</v>
      </c>
      <c r="I2449" s="3" t="s">
        <v>10184</v>
      </c>
      <c r="J2449" s="3" t="s">
        <v>22</v>
      </c>
      <c r="K2449" s="3" t="s">
        <v>204</v>
      </c>
      <c r="L2449" s="3" t="s">
        <v>204</v>
      </c>
      <c r="M2449" s="3" t="s">
        <v>9428</v>
      </c>
      <c r="N2449" s="6" t="s">
        <v>9429</v>
      </c>
      <c r="O2449" s="5">
        <v>50429.4807695</v>
      </c>
      <c r="P2449" s="6" t="str">
        <f t="shared" si="2"/>
        <v>Private Sector Bank</v>
      </c>
    </row>
    <row r="2450" hidden="1">
      <c r="A2450" s="3" t="s">
        <v>10185</v>
      </c>
      <c r="B2450" s="4">
        <v>532684.0</v>
      </c>
      <c r="C2450" s="3" t="s">
        <v>10186</v>
      </c>
      <c r="D2450" s="3" t="s">
        <v>10187</v>
      </c>
      <c r="E2450" s="3" t="s">
        <v>10188</v>
      </c>
      <c r="F2450" s="3" t="s">
        <v>19</v>
      </c>
      <c r="G2450" s="3" t="s">
        <v>112</v>
      </c>
      <c r="H2450" s="3">
        <v>2.0</v>
      </c>
      <c r="I2450" s="3" t="s">
        <v>10185</v>
      </c>
      <c r="J2450" s="3" t="s">
        <v>22</v>
      </c>
      <c r="K2450" s="3" t="s">
        <v>97</v>
      </c>
      <c r="L2450" s="3" t="s">
        <v>98</v>
      </c>
      <c r="M2450" s="3" t="s">
        <v>99</v>
      </c>
      <c r="N2450" s="3" t="s">
        <v>100</v>
      </c>
      <c r="O2450" s="5">
        <v>1455.6836883</v>
      </c>
      <c r="P2450" s="6" t="str">
        <f t="shared" si="2"/>
        <v>Industrial Products</v>
      </c>
    </row>
    <row r="2451" hidden="1">
      <c r="A2451" s="3" t="s">
        <v>3429</v>
      </c>
      <c r="B2451" s="4">
        <v>531137.0</v>
      </c>
      <c r="C2451" s="3" t="s">
        <v>10189</v>
      </c>
      <c r="D2451" s="3" t="s">
        <v>10190</v>
      </c>
      <c r="E2451" s="3" t="s">
        <v>10191</v>
      </c>
      <c r="F2451" s="3" t="s">
        <v>19</v>
      </c>
      <c r="G2451" s="3" t="s">
        <v>72</v>
      </c>
      <c r="H2451" s="3">
        <v>1.0</v>
      </c>
      <c r="I2451" s="3" t="s">
        <v>8139</v>
      </c>
      <c r="J2451" s="3" t="s">
        <v>22</v>
      </c>
      <c r="K2451" s="3" t="s">
        <v>1673</v>
      </c>
      <c r="L2451" s="3" t="s">
        <v>1673</v>
      </c>
      <c r="M2451" s="3" t="s">
        <v>1674</v>
      </c>
      <c r="N2451" s="3" t="s">
        <v>1675</v>
      </c>
      <c r="O2451" s="5">
        <v>13.756533</v>
      </c>
      <c r="P2451" s="6" t="str">
        <f t="shared" si="2"/>
        <v>Commercial Services &amp; Supplies</v>
      </c>
    </row>
    <row r="2452" hidden="1">
      <c r="A2452" s="3" t="s">
        <v>10192</v>
      </c>
      <c r="B2452" s="4">
        <v>532687.0</v>
      </c>
      <c r="C2452" s="3" t="s">
        <v>10193</v>
      </c>
      <c r="D2452" s="3" t="s">
        <v>10194</v>
      </c>
      <c r="E2452" s="3" t="s">
        <v>10195</v>
      </c>
      <c r="F2452" s="3" t="s">
        <v>19</v>
      </c>
      <c r="G2452" s="3" t="s">
        <v>112</v>
      </c>
      <c r="H2452" s="3">
        <v>10.0</v>
      </c>
      <c r="I2452" s="3" t="s">
        <v>10192</v>
      </c>
      <c r="J2452" s="3" t="s">
        <v>22</v>
      </c>
      <c r="K2452" s="3" t="s">
        <v>58</v>
      </c>
      <c r="L2452" s="3" t="s">
        <v>182</v>
      </c>
      <c r="M2452" s="3" t="s">
        <v>2898</v>
      </c>
      <c r="N2452" s="3" t="s">
        <v>2898</v>
      </c>
      <c r="O2452" s="5">
        <v>909.948466</v>
      </c>
      <c r="P2452" s="6" t="str">
        <f t="shared" si="2"/>
        <v>Printing &amp; Publication</v>
      </c>
    </row>
    <row r="2453">
      <c r="A2453" s="3" t="s">
        <v>1567</v>
      </c>
      <c r="B2453" s="4">
        <v>540691.0</v>
      </c>
      <c r="C2453" s="3" t="s">
        <v>10196</v>
      </c>
      <c r="D2453" s="3" t="s">
        <v>10197</v>
      </c>
      <c r="E2453" s="3" t="s">
        <v>10196</v>
      </c>
      <c r="F2453" s="3" t="s">
        <v>19</v>
      </c>
      <c r="G2453" s="3" t="s">
        <v>20</v>
      </c>
      <c r="H2453" s="3">
        <v>10.0</v>
      </c>
      <c r="I2453" s="3" t="s">
        <v>10198</v>
      </c>
      <c r="J2453" s="3" t="s">
        <v>22</v>
      </c>
      <c r="K2453" s="3" t="s">
        <v>204</v>
      </c>
      <c r="L2453" s="3" t="s">
        <v>204</v>
      </c>
      <c r="M2453" s="3" t="s">
        <v>378</v>
      </c>
      <c r="N2453" s="3" t="s">
        <v>384</v>
      </c>
      <c r="O2453" s="5">
        <v>61428.9342241</v>
      </c>
      <c r="P2453" s="6" t="str">
        <f t="shared" si="2"/>
        <v>Finance</v>
      </c>
    </row>
    <row r="2454" hidden="1">
      <c r="A2454" s="3" t="s">
        <v>10199</v>
      </c>
      <c r="B2454" s="4">
        <v>532694.0</v>
      </c>
      <c r="C2454" s="3" t="s">
        <v>10200</v>
      </c>
      <c r="D2454" s="3" t="s">
        <v>10201</v>
      </c>
      <c r="E2454" s="3" t="s">
        <v>10202</v>
      </c>
      <c r="F2454" s="3" t="s">
        <v>19</v>
      </c>
      <c r="G2454" s="3" t="s">
        <v>112</v>
      </c>
      <c r="H2454" s="3">
        <v>1.0</v>
      </c>
      <c r="I2454" s="3" t="s">
        <v>10199</v>
      </c>
      <c r="J2454" s="3" t="s">
        <v>22</v>
      </c>
      <c r="K2454" s="3" t="s">
        <v>473</v>
      </c>
      <c r="L2454" s="3" t="s">
        <v>473</v>
      </c>
      <c r="M2454" s="3" t="s">
        <v>1538</v>
      </c>
      <c r="N2454" s="3" t="s">
        <v>1539</v>
      </c>
      <c r="O2454" s="5">
        <v>632.132989</v>
      </c>
      <c r="P2454" s="6" t="str">
        <f t="shared" si="2"/>
        <v>IT - Services</v>
      </c>
    </row>
    <row r="2455" hidden="1">
      <c r="A2455" s="3" t="s">
        <v>10203</v>
      </c>
      <c r="B2455" s="4">
        <v>532695.0</v>
      </c>
      <c r="C2455" s="3" t="s">
        <v>10204</v>
      </c>
      <c r="D2455" s="3" t="s">
        <v>10205</v>
      </c>
      <c r="E2455" s="3" t="s">
        <v>10206</v>
      </c>
      <c r="F2455" s="3" t="s">
        <v>19</v>
      </c>
      <c r="G2455" s="3" t="s">
        <v>112</v>
      </c>
      <c r="H2455" s="3">
        <v>10.0</v>
      </c>
      <c r="I2455" s="3" t="s">
        <v>10203</v>
      </c>
      <c r="J2455" s="3" t="s">
        <v>22</v>
      </c>
      <c r="K2455" s="3" t="s">
        <v>58</v>
      </c>
      <c r="L2455" s="3" t="s">
        <v>80</v>
      </c>
      <c r="M2455" s="3" t="s">
        <v>81</v>
      </c>
      <c r="N2455" s="3" t="s">
        <v>944</v>
      </c>
      <c r="O2455" s="5">
        <v>105.1715244</v>
      </c>
      <c r="P2455" s="6" t="str">
        <f t="shared" si="2"/>
        <v>Textiles &amp; Apparels</v>
      </c>
    </row>
    <row r="2456" hidden="1">
      <c r="A2456" s="3" t="s">
        <v>10207</v>
      </c>
      <c r="B2456" s="4">
        <v>532698.0</v>
      </c>
      <c r="C2456" s="3" t="s">
        <v>10208</v>
      </c>
      <c r="D2456" s="3" t="s">
        <v>10209</v>
      </c>
      <c r="E2456" s="3" t="s">
        <v>10210</v>
      </c>
      <c r="F2456" s="3" t="s">
        <v>19</v>
      </c>
      <c r="G2456" s="3" t="s">
        <v>112</v>
      </c>
      <c r="H2456" s="3">
        <v>10.0</v>
      </c>
      <c r="I2456" s="3" t="s">
        <v>10207</v>
      </c>
      <c r="J2456" s="3" t="s">
        <v>22</v>
      </c>
      <c r="K2456" s="3" t="s">
        <v>58</v>
      </c>
      <c r="L2456" s="3" t="s">
        <v>80</v>
      </c>
      <c r="M2456" s="3" t="s">
        <v>81</v>
      </c>
      <c r="N2456" s="3" t="s">
        <v>82</v>
      </c>
      <c r="O2456" s="5">
        <v>1991.3294455</v>
      </c>
      <c r="P2456" s="6" t="str">
        <f t="shared" si="2"/>
        <v>Textiles &amp; Apparels</v>
      </c>
    </row>
    <row r="2457" hidden="1">
      <c r="A2457" s="3" t="s">
        <v>10211</v>
      </c>
      <c r="B2457" s="4">
        <v>532699.0</v>
      </c>
      <c r="C2457" s="3" t="s">
        <v>10212</v>
      </c>
      <c r="D2457" s="3" t="s">
        <v>10213</v>
      </c>
      <c r="E2457" s="3" t="s">
        <v>10214</v>
      </c>
      <c r="F2457" s="3" t="s">
        <v>19</v>
      </c>
      <c r="G2457" s="3" t="s">
        <v>112</v>
      </c>
      <c r="H2457" s="3">
        <v>10.0</v>
      </c>
      <c r="I2457" s="3" t="s">
        <v>10211</v>
      </c>
      <c r="J2457" s="3" t="s">
        <v>22</v>
      </c>
      <c r="K2457" s="3" t="s">
        <v>58</v>
      </c>
      <c r="L2457" s="3" t="s">
        <v>73</v>
      </c>
      <c r="M2457" s="3" t="s">
        <v>74</v>
      </c>
      <c r="N2457" s="3" t="s">
        <v>75</v>
      </c>
      <c r="O2457" s="5">
        <v>964.956275</v>
      </c>
      <c r="P2457" s="6" t="str">
        <f t="shared" si="2"/>
        <v>Leisure Services</v>
      </c>
    </row>
    <row r="2458" hidden="1">
      <c r="A2458" s="3" t="s">
        <v>10215</v>
      </c>
      <c r="B2458" s="4">
        <v>532700.0</v>
      </c>
      <c r="C2458" s="3" t="s">
        <v>10216</v>
      </c>
      <c r="D2458" s="3" t="s">
        <v>10217</v>
      </c>
      <c r="E2458" s="3" t="s">
        <v>10218</v>
      </c>
      <c r="F2458" s="3" t="s">
        <v>19</v>
      </c>
      <c r="G2458" s="3" t="s">
        <v>112</v>
      </c>
      <c r="H2458" s="3">
        <v>10.0</v>
      </c>
      <c r="I2458" s="3" t="s">
        <v>10215</v>
      </c>
      <c r="J2458" s="3" t="s">
        <v>22</v>
      </c>
      <c r="K2458" s="3" t="s">
        <v>58</v>
      </c>
      <c r="L2458" s="3" t="s">
        <v>182</v>
      </c>
      <c r="M2458" s="3" t="s">
        <v>1168</v>
      </c>
      <c r="N2458" s="3" t="s">
        <v>1336</v>
      </c>
      <c r="O2458" s="5">
        <v>1201.047876</v>
      </c>
      <c r="P2458" s="6" t="str">
        <f t="shared" si="2"/>
        <v>Entertainment</v>
      </c>
    </row>
    <row r="2459" hidden="1">
      <c r="A2459" s="3" t="s">
        <v>10219</v>
      </c>
      <c r="B2459" s="4">
        <v>532701.0</v>
      </c>
      <c r="C2459" s="3" t="s">
        <v>10220</v>
      </c>
      <c r="D2459" s="3" t="s">
        <v>10221</v>
      </c>
      <c r="E2459" s="3" t="s">
        <v>10222</v>
      </c>
      <c r="F2459" s="3" t="s">
        <v>19</v>
      </c>
      <c r="G2459" s="3" t="s">
        <v>57</v>
      </c>
      <c r="H2459" s="3">
        <v>10.0</v>
      </c>
      <c r="I2459" s="3" t="s">
        <v>10219</v>
      </c>
      <c r="J2459" s="3" t="s">
        <v>22</v>
      </c>
      <c r="K2459" s="3" t="s">
        <v>23</v>
      </c>
      <c r="L2459" s="3" t="s">
        <v>32</v>
      </c>
      <c r="M2459" s="3" t="s">
        <v>33</v>
      </c>
      <c r="N2459" s="3" t="s">
        <v>34</v>
      </c>
      <c r="O2459" s="5">
        <v>24.4402675</v>
      </c>
      <c r="P2459" s="6" t="str">
        <f t="shared" si="2"/>
        <v>Paper, Forest &amp; Jute Products</v>
      </c>
    </row>
    <row r="2460">
      <c r="A2460" s="3" t="s">
        <v>6239</v>
      </c>
      <c r="B2460" s="4">
        <v>540716.0</v>
      </c>
      <c r="C2460" s="3" t="s">
        <v>10223</v>
      </c>
      <c r="D2460" s="3" t="s">
        <v>10224</v>
      </c>
      <c r="E2460" s="3" t="s">
        <v>10225</v>
      </c>
      <c r="F2460" s="3" t="s">
        <v>19</v>
      </c>
      <c r="G2460" s="3" t="s">
        <v>20</v>
      </c>
      <c r="H2460" s="3">
        <v>10.0</v>
      </c>
      <c r="I2460" s="3" t="s">
        <v>10226</v>
      </c>
      <c r="J2460" s="3" t="s">
        <v>22</v>
      </c>
      <c r="K2460" s="3" t="s">
        <v>204</v>
      </c>
      <c r="L2460" s="3" t="s">
        <v>204</v>
      </c>
      <c r="M2460" s="3" t="s">
        <v>9536</v>
      </c>
      <c r="N2460" s="3" t="s">
        <v>10227</v>
      </c>
      <c r="O2460" s="5">
        <v>89900.7743215</v>
      </c>
      <c r="P2460" s="6" t="str">
        <f t="shared" si="2"/>
        <v>Insurance</v>
      </c>
    </row>
    <row r="2461" hidden="1">
      <c r="A2461" s="3" t="s">
        <v>10228</v>
      </c>
      <c r="B2461" s="4">
        <v>532705.0</v>
      </c>
      <c r="C2461" s="3" t="s">
        <v>10229</v>
      </c>
      <c r="D2461" s="3" t="s">
        <v>10230</v>
      </c>
      <c r="E2461" s="3" t="s">
        <v>10231</v>
      </c>
      <c r="F2461" s="3" t="s">
        <v>19</v>
      </c>
      <c r="G2461" s="3" t="s">
        <v>112</v>
      </c>
      <c r="H2461" s="3">
        <v>2.0</v>
      </c>
      <c r="I2461" s="3" t="s">
        <v>10228</v>
      </c>
      <c r="J2461" s="3" t="s">
        <v>22</v>
      </c>
      <c r="K2461" s="3" t="s">
        <v>58</v>
      </c>
      <c r="L2461" s="3" t="s">
        <v>182</v>
      </c>
      <c r="M2461" s="3" t="s">
        <v>183</v>
      </c>
      <c r="N2461" s="3" t="s">
        <v>184</v>
      </c>
      <c r="O2461" s="5">
        <v>1967.3282745</v>
      </c>
      <c r="P2461" s="6" t="str">
        <f t="shared" si="2"/>
        <v>Media</v>
      </c>
    </row>
    <row r="2462" hidden="1">
      <c r="A2462" s="3" t="s">
        <v>10232</v>
      </c>
      <c r="B2462" s="4">
        <v>532707.0</v>
      </c>
      <c r="C2462" s="3" t="s">
        <v>10233</v>
      </c>
      <c r="D2462" s="3" t="s">
        <v>10234</v>
      </c>
      <c r="E2462" s="3" t="s">
        <v>10235</v>
      </c>
      <c r="F2462" s="3" t="s">
        <v>19</v>
      </c>
      <c r="G2462" s="3" t="s">
        <v>112</v>
      </c>
      <c r="H2462" s="3">
        <v>10.0</v>
      </c>
      <c r="I2462" s="3" t="s">
        <v>10232</v>
      </c>
      <c r="J2462" s="3" t="s">
        <v>22</v>
      </c>
      <c r="K2462" s="3" t="s">
        <v>23</v>
      </c>
      <c r="L2462" s="3" t="s">
        <v>24</v>
      </c>
      <c r="M2462" s="3" t="s">
        <v>25</v>
      </c>
      <c r="N2462" s="3" t="s">
        <v>26</v>
      </c>
      <c r="O2462" s="5">
        <v>356.88254</v>
      </c>
      <c r="P2462" s="6" t="str">
        <f t="shared" si="2"/>
        <v>Specialty Chemicals</v>
      </c>
    </row>
    <row r="2463" hidden="1">
      <c r="A2463" s="3" t="s">
        <v>10236</v>
      </c>
      <c r="B2463" s="4">
        <v>532708.0</v>
      </c>
      <c r="C2463" s="3" t="s">
        <v>10237</v>
      </c>
      <c r="D2463" s="3" t="s">
        <v>10238</v>
      </c>
      <c r="E2463" s="3" t="s">
        <v>10239</v>
      </c>
      <c r="F2463" s="3" t="s">
        <v>19</v>
      </c>
      <c r="G2463" s="3" t="s">
        <v>112</v>
      </c>
      <c r="H2463" s="3">
        <v>1.0</v>
      </c>
      <c r="I2463" s="3" t="s">
        <v>10236</v>
      </c>
      <c r="J2463" s="3" t="s">
        <v>22</v>
      </c>
      <c r="K2463" s="3" t="s">
        <v>97</v>
      </c>
      <c r="L2463" s="3" t="s">
        <v>965</v>
      </c>
      <c r="M2463" s="3" t="s">
        <v>965</v>
      </c>
      <c r="N2463" s="3" t="s">
        <v>966</v>
      </c>
      <c r="O2463" s="5">
        <v>1738.7109501</v>
      </c>
      <c r="P2463" s="6" t="str">
        <f t="shared" si="2"/>
        <v>Civil Construction</v>
      </c>
    </row>
    <row r="2464" hidden="1">
      <c r="A2464" s="3" t="s">
        <v>10240</v>
      </c>
      <c r="B2464" s="4">
        <v>532710.0</v>
      </c>
      <c r="C2464" s="3" t="s">
        <v>10241</v>
      </c>
      <c r="D2464" s="3" t="s">
        <v>10242</v>
      </c>
      <c r="E2464" s="3" t="s">
        <v>10243</v>
      </c>
      <c r="F2464" s="3" t="s">
        <v>19</v>
      </c>
      <c r="G2464" s="3" t="s">
        <v>86</v>
      </c>
      <c r="H2464" s="3">
        <v>1.0</v>
      </c>
      <c r="I2464" s="3" t="s">
        <v>10240</v>
      </c>
      <c r="J2464" s="3" t="s">
        <v>22</v>
      </c>
      <c r="K2464" s="3" t="s">
        <v>97</v>
      </c>
      <c r="L2464" s="3" t="s">
        <v>965</v>
      </c>
      <c r="M2464" s="3" t="s">
        <v>965</v>
      </c>
      <c r="N2464" s="3" t="s">
        <v>966</v>
      </c>
      <c r="O2464" s="5">
        <v>440.9152465</v>
      </c>
      <c r="P2464" s="6" t="str">
        <f t="shared" si="2"/>
        <v>Civil Construction</v>
      </c>
    </row>
    <row r="2465" hidden="1">
      <c r="A2465" s="3" t="s">
        <v>3011</v>
      </c>
      <c r="B2465" s="4">
        <v>542025.0</v>
      </c>
      <c r="C2465" s="3" t="s">
        <v>10244</v>
      </c>
      <c r="D2465" s="3" t="s">
        <v>10245</v>
      </c>
      <c r="E2465" s="3" t="s">
        <v>10246</v>
      </c>
      <c r="F2465" s="3" t="s">
        <v>19</v>
      </c>
      <c r="G2465" s="3" t="s">
        <v>2428</v>
      </c>
      <c r="H2465" s="3">
        <v>1.0</v>
      </c>
      <c r="I2465" s="3" t="s">
        <v>10247</v>
      </c>
      <c r="J2465" s="3" t="s">
        <v>22</v>
      </c>
      <c r="K2465" s="3" t="s">
        <v>1673</v>
      </c>
      <c r="L2465" s="3" t="s">
        <v>1673</v>
      </c>
      <c r="M2465" s="3" t="s">
        <v>1674</v>
      </c>
      <c r="N2465" s="3" t="s">
        <v>1915</v>
      </c>
      <c r="O2465" s="5">
        <v>13.4722346</v>
      </c>
      <c r="P2465" s="6" t="str">
        <f t="shared" si="2"/>
        <v>Commercial Services &amp; Supplies</v>
      </c>
    </row>
    <row r="2466">
      <c r="A2466" s="3" t="s">
        <v>10248</v>
      </c>
      <c r="B2466" s="4">
        <v>540719.0</v>
      </c>
      <c r="C2466" s="3" t="s">
        <v>10249</v>
      </c>
      <c r="D2466" s="3" t="s">
        <v>10250</v>
      </c>
      <c r="E2466" s="3" t="s">
        <v>10251</v>
      </c>
      <c r="F2466" s="3" t="s">
        <v>19</v>
      </c>
      <c r="G2466" s="3" t="s">
        <v>20</v>
      </c>
      <c r="H2466" s="3">
        <v>10.0</v>
      </c>
      <c r="I2466" s="3" t="s">
        <v>10252</v>
      </c>
      <c r="J2466" s="3" t="s">
        <v>22</v>
      </c>
      <c r="K2466" s="3" t="s">
        <v>204</v>
      </c>
      <c r="L2466" s="3" t="s">
        <v>204</v>
      </c>
      <c r="M2466" s="3" t="s">
        <v>9536</v>
      </c>
      <c r="N2466" s="3" t="s">
        <v>9537</v>
      </c>
      <c r="O2466" s="5">
        <v>149057.3199972</v>
      </c>
      <c r="P2466" s="6" t="str">
        <f t="shared" si="2"/>
        <v>Insurance</v>
      </c>
    </row>
    <row r="2467" hidden="1">
      <c r="A2467" s="3" t="s">
        <v>10253</v>
      </c>
      <c r="B2467" s="4">
        <v>532716.0</v>
      </c>
      <c r="C2467" s="3" t="s">
        <v>10254</v>
      </c>
      <c r="D2467" s="3" t="s">
        <v>10255</v>
      </c>
      <c r="E2467" s="3" t="s">
        <v>10256</v>
      </c>
      <c r="F2467" s="3" t="s">
        <v>19</v>
      </c>
      <c r="G2467" s="3" t="s">
        <v>112</v>
      </c>
      <c r="H2467" s="3">
        <v>10.0</v>
      </c>
      <c r="I2467" s="3" t="s">
        <v>10253</v>
      </c>
      <c r="J2467" s="3" t="s">
        <v>22</v>
      </c>
      <c r="K2467" s="3" t="s">
        <v>145</v>
      </c>
      <c r="L2467" s="3" t="s">
        <v>145</v>
      </c>
      <c r="M2467" s="3" t="s">
        <v>146</v>
      </c>
      <c r="N2467" s="3" t="s">
        <v>444</v>
      </c>
      <c r="O2467" s="5">
        <v>205.3927805</v>
      </c>
      <c r="P2467" s="6" t="str">
        <f t="shared" si="2"/>
        <v>Agricultural Food &amp; other Products</v>
      </c>
    </row>
    <row r="2468" hidden="1">
      <c r="A2468" s="3" t="s">
        <v>10257</v>
      </c>
      <c r="B2468" s="4">
        <v>532717.0</v>
      </c>
      <c r="C2468" s="3" t="s">
        <v>10258</v>
      </c>
      <c r="D2468" s="3" t="s">
        <v>10259</v>
      </c>
      <c r="E2468" s="3" t="s">
        <v>10260</v>
      </c>
      <c r="F2468" s="3" t="s">
        <v>19</v>
      </c>
      <c r="G2468" s="3" t="s">
        <v>86</v>
      </c>
      <c r="H2468" s="3">
        <v>10.0</v>
      </c>
      <c r="I2468" s="3" t="s">
        <v>10257</v>
      </c>
      <c r="J2468" s="3" t="s">
        <v>22</v>
      </c>
      <c r="K2468" s="3" t="s">
        <v>97</v>
      </c>
      <c r="L2468" s="3" t="s">
        <v>98</v>
      </c>
      <c r="M2468" s="3" t="s">
        <v>1747</v>
      </c>
      <c r="N2468" s="3" t="s">
        <v>1767</v>
      </c>
      <c r="O2468" s="5">
        <v>1834.7882689</v>
      </c>
      <c r="P2468" s="6" t="str">
        <f t="shared" si="2"/>
        <v>Heavy Electrical Equipment</v>
      </c>
    </row>
    <row r="2469" hidden="1">
      <c r="A2469" s="3" t="s">
        <v>10261</v>
      </c>
      <c r="B2469" s="4">
        <v>532719.0</v>
      </c>
      <c r="C2469" s="3" t="s">
        <v>10262</v>
      </c>
      <c r="D2469" s="3" t="s">
        <v>10263</v>
      </c>
      <c r="E2469" s="3" t="s">
        <v>10264</v>
      </c>
      <c r="F2469" s="3" t="s">
        <v>19</v>
      </c>
      <c r="G2469" s="3" t="s">
        <v>112</v>
      </c>
      <c r="H2469" s="3">
        <v>1.0</v>
      </c>
      <c r="I2469" s="3" t="s">
        <v>10261</v>
      </c>
      <c r="J2469" s="3" t="s">
        <v>22</v>
      </c>
      <c r="K2469" s="3" t="s">
        <v>97</v>
      </c>
      <c r="L2469" s="3" t="s">
        <v>965</v>
      </c>
      <c r="M2469" s="3" t="s">
        <v>965</v>
      </c>
      <c r="N2469" s="3" t="s">
        <v>966</v>
      </c>
      <c r="O2469" s="5">
        <v>2050.4624729</v>
      </c>
      <c r="P2469" s="6" t="str">
        <f t="shared" si="2"/>
        <v>Civil Construction</v>
      </c>
    </row>
    <row r="2470">
      <c r="A2470" s="3" t="s">
        <v>9951</v>
      </c>
      <c r="B2470" s="4">
        <v>540725.0</v>
      </c>
      <c r="C2470" s="3" t="s">
        <v>10265</v>
      </c>
      <c r="D2470" s="3" t="s">
        <v>10266</v>
      </c>
      <c r="E2470" s="3" t="s">
        <v>10267</v>
      </c>
      <c r="F2470" s="3" t="s">
        <v>19</v>
      </c>
      <c r="G2470" s="3" t="s">
        <v>20</v>
      </c>
      <c r="H2470" s="3">
        <v>2.0</v>
      </c>
      <c r="I2470" s="3" t="s">
        <v>10268</v>
      </c>
      <c r="J2470" s="3" t="s">
        <v>22</v>
      </c>
      <c r="K2470" s="3" t="s">
        <v>204</v>
      </c>
      <c r="L2470" s="3" t="s">
        <v>204</v>
      </c>
      <c r="M2470" s="3" t="s">
        <v>205</v>
      </c>
      <c r="N2470" s="3" t="s">
        <v>2109</v>
      </c>
      <c r="O2470" s="5">
        <v>5608.2144383</v>
      </c>
      <c r="P2470" s="6" t="str">
        <f t="shared" si="2"/>
        <v>Capital Markets</v>
      </c>
    </row>
    <row r="2471" hidden="1">
      <c r="A2471" s="3" t="s">
        <v>10269</v>
      </c>
      <c r="B2471" s="4">
        <v>532721.0</v>
      </c>
      <c r="C2471" s="3" t="s">
        <v>10270</v>
      </c>
      <c r="D2471" s="3" t="s">
        <v>10271</v>
      </c>
      <c r="E2471" s="3" t="s">
        <v>10272</v>
      </c>
      <c r="F2471" s="3" t="s">
        <v>19</v>
      </c>
      <c r="G2471" s="3" t="s">
        <v>86</v>
      </c>
      <c r="H2471" s="3">
        <v>10.0</v>
      </c>
      <c r="I2471" s="3" t="s">
        <v>10269</v>
      </c>
      <c r="J2471" s="3" t="s">
        <v>22</v>
      </c>
      <c r="K2471" s="3" t="s">
        <v>23</v>
      </c>
      <c r="L2471" s="3" t="s">
        <v>65</v>
      </c>
      <c r="M2471" s="3" t="s">
        <v>106</v>
      </c>
      <c r="N2471" s="3" t="s">
        <v>107</v>
      </c>
      <c r="O2471" s="5">
        <v>310.048528</v>
      </c>
      <c r="P2471" s="6" t="str">
        <f t="shared" si="2"/>
        <v>Ferrous Metals</v>
      </c>
    </row>
    <row r="2472" hidden="1">
      <c r="A2472" s="3" t="s">
        <v>10273</v>
      </c>
      <c r="B2472" s="4">
        <v>532722.0</v>
      </c>
      <c r="C2472" s="3" t="s">
        <v>10274</v>
      </c>
      <c r="D2472" s="3" t="s">
        <v>10275</v>
      </c>
      <c r="E2472" s="3" t="s">
        <v>10276</v>
      </c>
      <c r="F2472" s="3" t="s">
        <v>19</v>
      </c>
      <c r="G2472" s="3" t="s">
        <v>112</v>
      </c>
      <c r="H2472" s="3">
        <v>10.0</v>
      </c>
      <c r="I2472" s="3" t="s">
        <v>10273</v>
      </c>
      <c r="J2472" s="3" t="s">
        <v>22</v>
      </c>
      <c r="K2472" s="3" t="s">
        <v>58</v>
      </c>
      <c r="L2472" s="3" t="s">
        <v>211</v>
      </c>
      <c r="M2472" s="3" t="s">
        <v>211</v>
      </c>
      <c r="N2472" s="3" t="s">
        <v>971</v>
      </c>
      <c r="O2472" s="5">
        <v>591.5514705</v>
      </c>
      <c r="P2472" s="6" t="str">
        <f t="shared" si="2"/>
        <v>Consumer Durables</v>
      </c>
    </row>
    <row r="2473" hidden="1">
      <c r="A2473" s="3" t="s">
        <v>10277</v>
      </c>
      <c r="B2473" s="4">
        <v>532723.0</v>
      </c>
      <c r="C2473" s="3" t="s">
        <v>10278</v>
      </c>
      <c r="D2473" s="3" t="s">
        <v>10279</v>
      </c>
      <c r="E2473" s="3" t="s">
        <v>10280</v>
      </c>
      <c r="F2473" s="3" t="s">
        <v>19</v>
      </c>
      <c r="G2473" s="3" t="s">
        <v>72</v>
      </c>
      <c r="H2473" s="3">
        <v>10.0</v>
      </c>
      <c r="I2473" s="3" t="s">
        <v>10277</v>
      </c>
      <c r="J2473" s="3" t="s">
        <v>22</v>
      </c>
      <c r="K2473" s="3" t="s">
        <v>58</v>
      </c>
      <c r="L2473" s="3" t="s">
        <v>59</v>
      </c>
      <c r="M2473" s="3" t="s">
        <v>59</v>
      </c>
      <c r="N2473" s="3" t="s">
        <v>60</v>
      </c>
      <c r="O2473" s="5">
        <v>28.16759</v>
      </c>
      <c r="P2473" s="6" t="str">
        <f t="shared" si="2"/>
        <v>Residential, Commercial Projects</v>
      </c>
    </row>
    <row r="2474">
      <c r="A2474" s="3" t="s">
        <v>671</v>
      </c>
      <c r="B2474" s="4">
        <v>540749.0</v>
      </c>
      <c r="C2474" s="3" t="s">
        <v>10281</v>
      </c>
      <c r="D2474" s="3" t="s">
        <v>10282</v>
      </c>
      <c r="E2474" s="3" t="s">
        <v>10283</v>
      </c>
      <c r="F2474" s="3" t="s">
        <v>19</v>
      </c>
      <c r="G2474" s="3" t="s">
        <v>20</v>
      </c>
      <c r="H2474" s="3">
        <v>10.0</v>
      </c>
      <c r="I2474" s="3" t="s">
        <v>10284</v>
      </c>
      <c r="J2474" s="3" t="s">
        <v>22</v>
      </c>
      <c r="K2474" s="3" t="s">
        <v>204</v>
      </c>
      <c r="L2474" s="3" t="s">
        <v>204</v>
      </c>
      <c r="M2474" s="3" t="s">
        <v>378</v>
      </c>
      <c r="N2474" s="3" t="s">
        <v>379</v>
      </c>
      <c r="O2474" s="5">
        <v>5370.9854337</v>
      </c>
      <c r="P2474" s="6" t="str">
        <f t="shared" si="2"/>
        <v>Non Banking Financial Company (NBFC)</v>
      </c>
    </row>
    <row r="2475">
      <c r="A2475" s="3" t="s">
        <v>10285</v>
      </c>
      <c r="B2475" s="4">
        <v>540750.0</v>
      </c>
      <c r="C2475" s="3" t="s">
        <v>10286</v>
      </c>
      <c r="D2475" s="3" t="s">
        <v>10287</v>
      </c>
      <c r="E2475" s="3" t="s">
        <v>10288</v>
      </c>
      <c r="F2475" s="3" t="s">
        <v>19</v>
      </c>
      <c r="G2475" s="3" t="s">
        <v>20</v>
      </c>
      <c r="H2475" s="3">
        <v>1.0</v>
      </c>
      <c r="I2475" s="3" t="s">
        <v>10289</v>
      </c>
      <c r="J2475" s="3" t="s">
        <v>22</v>
      </c>
      <c r="K2475" s="3" t="s">
        <v>204</v>
      </c>
      <c r="L2475" s="3" t="s">
        <v>204</v>
      </c>
      <c r="M2475" s="3" t="s">
        <v>205</v>
      </c>
      <c r="N2475" s="3" t="s">
        <v>10080</v>
      </c>
      <c r="O2475" s="5">
        <v>15795.3773951</v>
      </c>
      <c r="P2475" s="6" t="str">
        <f t="shared" si="2"/>
        <v>Capital Markets</v>
      </c>
    </row>
    <row r="2476" hidden="1">
      <c r="A2476" s="3" t="s">
        <v>10290</v>
      </c>
      <c r="B2476" s="4">
        <v>532728.0</v>
      </c>
      <c r="C2476" s="3" t="s">
        <v>10291</v>
      </c>
      <c r="D2476" s="3" t="s">
        <v>10292</v>
      </c>
      <c r="E2476" s="3" t="s">
        <v>10293</v>
      </c>
      <c r="F2476" s="3" t="s">
        <v>19</v>
      </c>
      <c r="G2476" s="3" t="s">
        <v>86</v>
      </c>
      <c r="H2476" s="3">
        <v>10.0</v>
      </c>
      <c r="I2476" s="3" t="s">
        <v>10290</v>
      </c>
      <c r="J2476" s="3" t="s">
        <v>22</v>
      </c>
      <c r="K2476" s="3" t="s">
        <v>23</v>
      </c>
      <c r="L2476" s="3" t="s">
        <v>32</v>
      </c>
      <c r="M2476" s="3" t="s">
        <v>33</v>
      </c>
      <c r="N2476" s="3" t="s">
        <v>34</v>
      </c>
      <c r="O2476" s="5">
        <v>67.5053811</v>
      </c>
      <c r="P2476" s="6" t="str">
        <f t="shared" si="2"/>
        <v>Paper, Forest &amp; Jute Products</v>
      </c>
    </row>
    <row r="2477" hidden="1">
      <c r="A2477" s="3" t="s">
        <v>10294</v>
      </c>
      <c r="B2477" s="4">
        <v>532729.0</v>
      </c>
      <c r="C2477" s="3" t="s">
        <v>10295</v>
      </c>
      <c r="D2477" s="3" t="s">
        <v>10296</v>
      </c>
      <c r="E2477" s="3" t="s">
        <v>10297</v>
      </c>
      <c r="F2477" s="3" t="s">
        <v>19</v>
      </c>
      <c r="G2477" s="3" t="s">
        <v>112</v>
      </c>
      <c r="H2477" s="3">
        <v>10.0</v>
      </c>
      <c r="I2477" s="3" t="s">
        <v>10294</v>
      </c>
      <c r="J2477" s="3" t="s">
        <v>22</v>
      </c>
      <c r="K2477" s="3" t="s">
        <v>145</v>
      </c>
      <c r="L2477" s="3" t="s">
        <v>145</v>
      </c>
      <c r="M2477" s="3" t="s">
        <v>146</v>
      </c>
      <c r="N2477" s="3" t="s">
        <v>147</v>
      </c>
      <c r="O2477" s="5">
        <v>1324.5113622</v>
      </c>
      <c r="P2477" s="6" t="str">
        <f t="shared" si="2"/>
        <v>Agricultural Food &amp; other Products</v>
      </c>
    </row>
    <row r="2478" hidden="1">
      <c r="A2478" s="3" t="s">
        <v>10298</v>
      </c>
      <c r="B2478" s="4">
        <v>532730.0</v>
      </c>
      <c r="C2478" s="3" t="s">
        <v>10299</v>
      </c>
      <c r="D2478" s="3" t="s">
        <v>10300</v>
      </c>
      <c r="E2478" s="3" t="s">
        <v>10301</v>
      </c>
      <c r="F2478" s="3" t="s">
        <v>19</v>
      </c>
      <c r="G2478" s="3" t="s">
        <v>112</v>
      </c>
      <c r="H2478" s="3">
        <v>10.0</v>
      </c>
      <c r="I2478" s="3" t="s">
        <v>10298</v>
      </c>
      <c r="J2478" s="3" t="s">
        <v>22</v>
      </c>
      <c r="K2478" s="3" t="s">
        <v>58</v>
      </c>
      <c r="L2478" s="3" t="s">
        <v>80</v>
      </c>
      <c r="M2478" s="3" t="s">
        <v>81</v>
      </c>
      <c r="N2478" s="3" t="s">
        <v>82</v>
      </c>
      <c r="O2478" s="5">
        <v>47.8040517</v>
      </c>
      <c r="P2478" s="6" t="str">
        <f t="shared" si="2"/>
        <v>Textiles &amp; Apparels</v>
      </c>
    </row>
    <row r="2479" hidden="1">
      <c r="A2479" s="3" t="s">
        <v>10302</v>
      </c>
      <c r="B2479" s="4">
        <v>532732.0</v>
      </c>
      <c r="C2479" s="3" t="s">
        <v>10303</v>
      </c>
      <c r="D2479" s="3" t="s">
        <v>10304</v>
      </c>
      <c r="E2479" s="3" t="s">
        <v>10305</v>
      </c>
      <c r="F2479" s="3" t="s">
        <v>19</v>
      </c>
      <c r="G2479" s="3" t="s">
        <v>112</v>
      </c>
      <c r="H2479" s="3">
        <v>10.0</v>
      </c>
      <c r="I2479" s="3" t="s">
        <v>10302</v>
      </c>
      <c r="J2479" s="3" t="s">
        <v>22</v>
      </c>
      <c r="K2479" s="3" t="s">
        <v>58</v>
      </c>
      <c r="L2479" s="3" t="s">
        <v>80</v>
      </c>
      <c r="M2479" s="3" t="s">
        <v>81</v>
      </c>
      <c r="N2479" s="3" t="s">
        <v>944</v>
      </c>
      <c r="O2479" s="5">
        <v>4481.4502212</v>
      </c>
      <c r="P2479" s="6" t="str">
        <f t="shared" si="2"/>
        <v>Textiles &amp; Apparels</v>
      </c>
    </row>
    <row r="2480">
      <c r="A2480" s="3" t="s">
        <v>1576</v>
      </c>
      <c r="B2480" s="4">
        <v>540755.0</v>
      </c>
      <c r="C2480" s="3" t="s">
        <v>10306</v>
      </c>
      <c r="D2480" s="3" t="s">
        <v>10307</v>
      </c>
      <c r="E2480" s="3" t="s">
        <v>10306</v>
      </c>
      <c r="F2480" s="3" t="s">
        <v>19</v>
      </c>
      <c r="G2480" s="3" t="s">
        <v>20</v>
      </c>
      <c r="H2480" s="3">
        <v>5.0</v>
      </c>
      <c r="I2480" s="3" t="s">
        <v>10308</v>
      </c>
      <c r="J2480" s="3" t="s">
        <v>22</v>
      </c>
      <c r="K2480" s="3" t="s">
        <v>204</v>
      </c>
      <c r="L2480" s="3" t="s">
        <v>204</v>
      </c>
      <c r="M2480" s="3" t="s">
        <v>9536</v>
      </c>
      <c r="N2480" s="3" t="s">
        <v>10227</v>
      </c>
      <c r="O2480" s="5">
        <v>66283.226462</v>
      </c>
      <c r="P2480" s="6" t="str">
        <f t="shared" si="2"/>
        <v>Insurance</v>
      </c>
    </row>
    <row r="2481">
      <c r="A2481" s="3" t="s">
        <v>10309</v>
      </c>
      <c r="B2481" s="4">
        <v>540767.0</v>
      </c>
      <c r="C2481" s="3" t="s">
        <v>10310</v>
      </c>
      <c r="D2481" s="3" t="s">
        <v>10311</v>
      </c>
      <c r="E2481" s="3" t="s">
        <v>10312</v>
      </c>
      <c r="F2481" s="3" t="s">
        <v>19</v>
      </c>
      <c r="G2481" s="3" t="s">
        <v>20</v>
      </c>
      <c r="H2481" s="3">
        <v>10.0</v>
      </c>
      <c r="I2481" s="3" t="s">
        <v>10313</v>
      </c>
      <c r="J2481" s="3" t="s">
        <v>22</v>
      </c>
      <c r="K2481" s="3" t="s">
        <v>204</v>
      </c>
      <c r="L2481" s="3" t="s">
        <v>204</v>
      </c>
      <c r="M2481" s="3" t="s">
        <v>205</v>
      </c>
      <c r="N2481" s="3" t="s">
        <v>3270</v>
      </c>
      <c r="O2481" s="5">
        <v>40159.8865175</v>
      </c>
      <c r="P2481" s="6" t="str">
        <f t="shared" si="2"/>
        <v>Capital Markets</v>
      </c>
    </row>
    <row r="2482">
      <c r="A2482" s="3" t="s">
        <v>10314</v>
      </c>
      <c r="B2482" s="4">
        <v>540769.0</v>
      </c>
      <c r="C2482" s="3" t="s">
        <v>10315</v>
      </c>
      <c r="D2482" s="3" t="s">
        <v>10316</v>
      </c>
      <c r="E2482" s="3" t="s">
        <v>10317</v>
      </c>
      <c r="F2482" s="3" t="s">
        <v>19</v>
      </c>
      <c r="G2482" s="3" t="s">
        <v>20</v>
      </c>
      <c r="H2482" s="3">
        <v>5.0</v>
      </c>
      <c r="I2482" s="3" t="s">
        <v>10318</v>
      </c>
      <c r="J2482" s="3" t="s">
        <v>22</v>
      </c>
      <c r="K2482" s="3" t="s">
        <v>204</v>
      </c>
      <c r="L2482" s="3" t="s">
        <v>204</v>
      </c>
      <c r="M2482" s="3" t="s">
        <v>9536</v>
      </c>
      <c r="N2482" s="3" t="s">
        <v>10227</v>
      </c>
      <c r="O2482" s="5">
        <v>38578.45984</v>
      </c>
      <c r="P2482" s="6" t="str">
        <f t="shared" si="2"/>
        <v>Insurance</v>
      </c>
    </row>
    <row r="2483" hidden="1">
      <c r="A2483" s="3" t="s">
        <v>10319</v>
      </c>
      <c r="B2483" s="4">
        <v>532737.0</v>
      </c>
      <c r="C2483" s="3" t="s">
        <v>10320</v>
      </c>
      <c r="D2483" s="3" t="s">
        <v>10321</v>
      </c>
      <c r="E2483" s="3" t="s">
        <v>10322</v>
      </c>
      <c r="F2483" s="3" t="s">
        <v>19</v>
      </c>
      <c r="G2483" s="3" t="s">
        <v>86</v>
      </c>
      <c r="H2483" s="3">
        <v>10.0</v>
      </c>
      <c r="I2483" s="3" t="s">
        <v>10319</v>
      </c>
      <c r="J2483" s="3" t="s">
        <v>22</v>
      </c>
      <c r="K2483" s="3" t="s">
        <v>204</v>
      </c>
      <c r="L2483" s="3" t="s">
        <v>204</v>
      </c>
      <c r="M2483" s="3" t="s">
        <v>205</v>
      </c>
      <c r="N2483" s="3" t="s">
        <v>2109</v>
      </c>
      <c r="O2483" s="5">
        <v>383.125254</v>
      </c>
      <c r="P2483" s="6" t="str">
        <f t="shared" si="2"/>
        <v>Capital Markets</v>
      </c>
    </row>
    <row r="2484" hidden="1">
      <c r="A2484" s="3" t="s">
        <v>10323</v>
      </c>
      <c r="B2484" s="4">
        <v>532738.0</v>
      </c>
      <c r="C2484" s="3" t="s">
        <v>10324</v>
      </c>
      <c r="D2484" s="3" t="s">
        <v>10325</v>
      </c>
      <c r="E2484" s="3" t="s">
        <v>10326</v>
      </c>
      <c r="F2484" s="3" t="s">
        <v>19</v>
      </c>
      <c r="G2484" s="3" t="s">
        <v>112</v>
      </c>
      <c r="H2484" s="3">
        <v>1.0</v>
      </c>
      <c r="I2484" s="3" t="s">
        <v>10323</v>
      </c>
      <c r="J2484" s="3" t="s">
        <v>22</v>
      </c>
      <c r="K2484" s="3" t="s">
        <v>97</v>
      </c>
      <c r="L2484" s="3" t="s">
        <v>965</v>
      </c>
      <c r="M2484" s="3" t="s">
        <v>965</v>
      </c>
      <c r="N2484" s="3" t="s">
        <v>966</v>
      </c>
      <c r="O2484" s="5">
        <v>829.8136018</v>
      </c>
      <c r="P2484" s="6" t="str">
        <f t="shared" si="2"/>
        <v>Civil Construction</v>
      </c>
    </row>
    <row r="2485" hidden="1">
      <c r="A2485" s="3" t="s">
        <v>10327</v>
      </c>
      <c r="B2485" s="4">
        <v>532740.0</v>
      </c>
      <c r="C2485" s="3" t="s">
        <v>10328</v>
      </c>
      <c r="D2485" s="3" t="s">
        <v>10329</v>
      </c>
      <c r="E2485" s="3" t="s">
        <v>10330</v>
      </c>
      <c r="F2485" s="3" t="s">
        <v>19</v>
      </c>
      <c r="G2485" s="3" t="s">
        <v>86</v>
      </c>
      <c r="H2485" s="3">
        <v>10.0</v>
      </c>
      <c r="I2485" s="3" t="s">
        <v>10327</v>
      </c>
      <c r="J2485" s="3" t="s">
        <v>22</v>
      </c>
      <c r="K2485" s="3" t="s">
        <v>97</v>
      </c>
      <c r="L2485" s="3" t="s">
        <v>98</v>
      </c>
      <c r="M2485" s="3" t="s">
        <v>99</v>
      </c>
      <c r="N2485" s="3" t="s">
        <v>100</v>
      </c>
      <c r="O2485" s="5">
        <v>834.124145</v>
      </c>
      <c r="P2485" s="6" t="str">
        <f t="shared" si="2"/>
        <v>Industrial Products</v>
      </c>
    </row>
    <row r="2486" hidden="1">
      <c r="A2486" s="3" t="s">
        <v>10331</v>
      </c>
      <c r="B2486" s="4">
        <v>532741.0</v>
      </c>
      <c r="C2486" s="3" t="s">
        <v>10332</v>
      </c>
      <c r="D2486" s="3" t="s">
        <v>10333</v>
      </c>
      <c r="E2486" s="3" t="s">
        <v>10334</v>
      </c>
      <c r="F2486" s="3" t="s">
        <v>19</v>
      </c>
      <c r="G2486" s="3" t="s">
        <v>112</v>
      </c>
      <c r="H2486" s="3">
        <v>10.0</v>
      </c>
      <c r="I2486" s="3" t="s">
        <v>10331</v>
      </c>
      <c r="J2486" s="3" t="s">
        <v>22</v>
      </c>
      <c r="K2486" s="3" t="s">
        <v>97</v>
      </c>
      <c r="L2486" s="3" t="s">
        <v>98</v>
      </c>
      <c r="M2486" s="3" t="s">
        <v>100</v>
      </c>
      <c r="N2486" s="3" t="s">
        <v>612</v>
      </c>
      <c r="O2486" s="5">
        <v>1447.621416</v>
      </c>
      <c r="P2486" s="6" t="str">
        <f t="shared" si="2"/>
        <v>Industrial Products</v>
      </c>
    </row>
    <row r="2487" hidden="1">
      <c r="A2487" s="3" t="s">
        <v>10335</v>
      </c>
      <c r="B2487" s="4">
        <v>532742.0</v>
      </c>
      <c r="C2487" s="3" t="s">
        <v>10336</v>
      </c>
      <c r="D2487" s="3" t="s">
        <v>10337</v>
      </c>
      <c r="E2487" s="3" t="s">
        <v>10338</v>
      </c>
      <c r="F2487" s="3" t="s">
        <v>19</v>
      </c>
      <c r="G2487" s="3" t="s">
        <v>112</v>
      </c>
      <c r="H2487" s="3">
        <v>10.0</v>
      </c>
      <c r="I2487" s="3" t="s">
        <v>10335</v>
      </c>
      <c r="J2487" s="3" t="s">
        <v>22</v>
      </c>
      <c r="K2487" s="3" t="s">
        <v>23</v>
      </c>
      <c r="L2487" s="3" t="s">
        <v>24</v>
      </c>
      <c r="M2487" s="3" t="s">
        <v>25</v>
      </c>
      <c r="N2487" s="3" t="s">
        <v>26</v>
      </c>
      <c r="O2487" s="5">
        <v>1781.9005033</v>
      </c>
      <c r="P2487" s="6" t="str">
        <f t="shared" si="2"/>
        <v>Specialty Chemicals</v>
      </c>
    </row>
    <row r="2488" hidden="1">
      <c r="A2488" s="3" t="s">
        <v>10339</v>
      </c>
      <c r="B2488" s="4">
        <v>532744.0</v>
      </c>
      <c r="C2488" s="3" t="s">
        <v>10340</v>
      </c>
      <c r="D2488" s="3" t="s">
        <v>10341</v>
      </c>
      <c r="E2488" s="3" t="s">
        <v>10342</v>
      </c>
      <c r="F2488" s="3" t="s">
        <v>19</v>
      </c>
      <c r="G2488" s="3" t="s">
        <v>44</v>
      </c>
      <c r="H2488" s="3">
        <v>10.0</v>
      </c>
      <c r="I2488" s="3" t="s">
        <v>10339</v>
      </c>
      <c r="J2488" s="3" t="s">
        <v>22</v>
      </c>
      <c r="K2488" s="3" t="s">
        <v>58</v>
      </c>
      <c r="L2488" s="3" t="s">
        <v>80</v>
      </c>
      <c r="M2488" s="3" t="s">
        <v>81</v>
      </c>
      <c r="N2488" s="3" t="s">
        <v>82</v>
      </c>
      <c r="O2488" s="5">
        <v>15.5638448</v>
      </c>
      <c r="P2488" s="6" t="str">
        <f t="shared" si="2"/>
        <v>Textiles &amp; Apparels</v>
      </c>
    </row>
    <row r="2489" hidden="1">
      <c r="A2489" s="3" t="s">
        <v>10343</v>
      </c>
      <c r="B2489" s="4">
        <v>532745.0</v>
      </c>
      <c r="C2489" s="3" t="s">
        <v>10344</v>
      </c>
      <c r="D2489" s="3" t="s">
        <v>10345</v>
      </c>
      <c r="E2489" s="3" t="s">
        <v>10344</v>
      </c>
      <c r="F2489" s="3" t="s">
        <v>19</v>
      </c>
      <c r="G2489" s="3" t="s">
        <v>72</v>
      </c>
      <c r="H2489" s="3">
        <v>10.0</v>
      </c>
      <c r="I2489" s="3" t="s">
        <v>10343</v>
      </c>
      <c r="J2489" s="3" t="s">
        <v>22</v>
      </c>
      <c r="K2489" s="3" t="s">
        <v>204</v>
      </c>
      <c r="L2489" s="3" t="s">
        <v>204</v>
      </c>
      <c r="M2489" s="3" t="s">
        <v>378</v>
      </c>
      <c r="N2489" s="3" t="s">
        <v>468</v>
      </c>
      <c r="O2489" s="5">
        <v>47.0954481</v>
      </c>
      <c r="P2489" s="6" t="str">
        <f t="shared" si="2"/>
        <v>Finance</v>
      </c>
    </row>
    <row r="2490" hidden="1">
      <c r="A2490" s="3" t="s">
        <v>10346</v>
      </c>
      <c r="B2490" s="4">
        <v>532748.0</v>
      </c>
      <c r="C2490" s="3" t="s">
        <v>10347</v>
      </c>
      <c r="D2490" s="3" t="s">
        <v>10348</v>
      </c>
      <c r="E2490" s="3" t="s">
        <v>10349</v>
      </c>
      <c r="F2490" s="3" t="s">
        <v>19</v>
      </c>
      <c r="G2490" s="3" t="s">
        <v>112</v>
      </c>
      <c r="H2490" s="3">
        <v>1.0</v>
      </c>
      <c r="I2490" s="3" t="s">
        <v>10346</v>
      </c>
      <c r="J2490" s="3" t="s">
        <v>22</v>
      </c>
      <c r="K2490" s="3" t="s">
        <v>58</v>
      </c>
      <c r="L2490" s="3" t="s">
        <v>182</v>
      </c>
      <c r="M2490" s="3" t="s">
        <v>1168</v>
      </c>
      <c r="N2490" s="3" t="s">
        <v>1336</v>
      </c>
      <c r="O2490" s="5">
        <v>3403.4665161</v>
      </c>
      <c r="P2490" s="6" t="str">
        <f t="shared" si="2"/>
        <v>Entertainment</v>
      </c>
    </row>
    <row r="2491" hidden="1">
      <c r="A2491" s="3" t="s">
        <v>10350</v>
      </c>
      <c r="B2491" s="4">
        <v>520131.0</v>
      </c>
      <c r="C2491" s="3" t="s">
        <v>10351</v>
      </c>
      <c r="D2491" s="3" t="s">
        <v>10352</v>
      </c>
      <c r="E2491" s="3" t="s">
        <v>10353</v>
      </c>
      <c r="F2491" s="3" t="s">
        <v>19</v>
      </c>
      <c r="G2491" s="3" t="s">
        <v>1858</v>
      </c>
      <c r="H2491" s="3">
        <v>10.0</v>
      </c>
      <c r="I2491" s="3" t="s">
        <v>5263</v>
      </c>
      <c r="J2491" s="3" t="s">
        <v>22</v>
      </c>
      <c r="K2491" s="3" t="s">
        <v>1673</v>
      </c>
      <c r="L2491" s="3" t="s">
        <v>1673</v>
      </c>
      <c r="M2491" s="3" t="s">
        <v>1689</v>
      </c>
      <c r="N2491" s="3" t="s">
        <v>6382</v>
      </c>
      <c r="O2491" s="5">
        <v>11.6851678</v>
      </c>
      <c r="P2491" s="6" t="str">
        <f t="shared" si="2"/>
        <v>Transport Services</v>
      </c>
    </row>
    <row r="2492" hidden="1">
      <c r="A2492" s="3" t="s">
        <v>10354</v>
      </c>
      <c r="B2492" s="4">
        <v>540914.0</v>
      </c>
      <c r="C2492" s="3" t="s">
        <v>10355</v>
      </c>
      <c r="D2492" s="3" t="s">
        <v>10356</v>
      </c>
      <c r="E2492" s="3" t="s">
        <v>10357</v>
      </c>
      <c r="F2492" s="3" t="s">
        <v>19</v>
      </c>
      <c r="G2492" s="3" t="s">
        <v>44</v>
      </c>
      <c r="H2492" s="3">
        <v>10.0</v>
      </c>
      <c r="I2492" s="3" t="s">
        <v>10358</v>
      </c>
      <c r="J2492" s="3" t="s">
        <v>22</v>
      </c>
      <c r="K2492" s="3" t="s">
        <v>1673</v>
      </c>
      <c r="L2492" s="3" t="s">
        <v>1673</v>
      </c>
      <c r="M2492" s="3" t="s">
        <v>1674</v>
      </c>
      <c r="N2492" s="3" t="s">
        <v>1915</v>
      </c>
      <c r="O2492" s="5">
        <v>11.5919517</v>
      </c>
      <c r="P2492" s="6" t="str">
        <f t="shared" si="2"/>
        <v>Commercial Services &amp; Supplies</v>
      </c>
    </row>
    <row r="2493">
      <c r="A2493" s="3" t="s">
        <v>10359</v>
      </c>
      <c r="B2493" s="4">
        <v>540777.0</v>
      </c>
      <c r="C2493" s="3" t="s">
        <v>10360</v>
      </c>
      <c r="D2493" s="3" t="s">
        <v>10361</v>
      </c>
      <c r="E2493" s="3" t="s">
        <v>10362</v>
      </c>
      <c r="F2493" s="3" t="s">
        <v>19</v>
      </c>
      <c r="G2493" s="3" t="s">
        <v>20</v>
      </c>
      <c r="H2493" s="3">
        <v>10.0</v>
      </c>
      <c r="I2493" s="3" t="s">
        <v>10363</v>
      </c>
      <c r="J2493" s="3" t="s">
        <v>22</v>
      </c>
      <c r="K2493" s="3" t="s">
        <v>204</v>
      </c>
      <c r="L2493" s="3" t="s">
        <v>204</v>
      </c>
      <c r="M2493" s="3" t="s">
        <v>9536</v>
      </c>
      <c r="N2493" s="3" t="s">
        <v>9537</v>
      </c>
      <c r="O2493" s="5">
        <v>126342.4891624</v>
      </c>
      <c r="P2493" s="6" t="str">
        <f t="shared" si="2"/>
        <v>Insurance</v>
      </c>
    </row>
    <row r="2494">
      <c r="A2494" s="3" t="s">
        <v>1588</v>
      </c>
      <c r="B2494" s="4">
        <v>541153.0</v>
      </c>
      <c r="C2494" s="3" t="s">
        <v>10364</v>
      </c>
      <c r="D2494" s="3" t="s">
        <v>10365</v>
      </c>
      <c r="E2494" s="3" t="s">
        <v>10366</v>
      </c>
      <c r="F2494" s="3" t="s">
        <v>19</v>
      </c>
      <c r="G2494" s="3" t="s">
        <v>20</v>
      </c>
      <c r="H2494" s="3">
        <v>10.0</v>
      </c>
      <c r="I2494" s="3" t="s">
        <v>10367</v>
      </c>
      <c r="J2494" s="3" t="s">
        <v>22</v>
      </c>
      <c r="K2494" s="3" t="s">
        <v>204</v>
      </c>
      <c r="L2494" s="3" t="s">
        <v>204</v>
      </c>
      <c r="M2494" s="3" t="s">
        <v>9428</v>
      </c>
      <c r="N2494" s="3" t="s">
        <v>9429</v>
      </c>
      <c r="O2494" s="5">
        <v>32748.5950093</v>
      </c>
      <c r="P2494" s="6" t="str">
        <f t="shared" si="2"/>
        <v>Private Sector Bank</v>
      </c>
    </row>
    <row r="2495">
      <c r="A2495" s="3" t="s">
        <v>10368</v>
      </c>
      <c r="B2495" s="4">
        <v>541179.0</v>
      </c>
      <c r="C2495" s="3" t="s">
        <v>10369</v>
      </c>
      <c r="D2495" s="3" t="s">
        <v>10370</v>
      </c>
      <c r="E2495" s="3" t="s">
        <v>10371</v>
      </c>
      <c r="F2495" s="3" t="s">
        <v>19</v>
      </c>
      <c r="G2495" s="3" t="s">
        <v>20</v>
      </c>
      <c r="H2495" s="3">
        <v>5.0</v>
      </c>
      <c r="I2495" s="3" t="s">
        <v>10372</v>
      </c>
      <c r="J2495" s="3" t="s">
        <v>22</v>
      </c>
      <c r="K2495" s="3" t="s">
        <v>204</v>
      </c>
      <c r="L2495" s="3" t="s">
        <v>204</v>
      </c>
      <c r="M2495" s="3" t="s">
        <v>205</v>
      </c>
      <c r="N2495" s="3" t="s">
        <v>2109</v>
      </c>
      <c r="O2495" s="5">
        <v>24751.6654</v>
      </c>
      <c r="P2495" s="6" t="str">
        <f t="shared" si="2"/>
        <v>Capital Markets</v>
      </c>
    </row>
    <row r="2496" hidden="1">
      <c r="A2496" s="3" t="s">
        <v>3684</v>
      </c>
      <c r="B2496" s="4">
        <v>509084.0</v>
      </c>
      <c r="C2496" s="3" t="s">
        <v>10373</v>
      </c>
      <c r="D2496" s="3" t="s">
        <v>10374</v>
      </c>
      <c r="E2496" s="3" t="s">
        <v>10375</v>
      </c>
      <c r="F2496" s="3" t="s">
        <v>19</v>
      </c>
      <c r="G2496" s="3" t="s">
        <v>44</v>
      </c>
      <c r="H2496" s="3">
        <v>10.0</v>
      </c>
      <c r="I2496" s="3" t="s">
        <v>2966</v>
      </c>
      <c r="J2496" s="3" t="s">
        <v>22</v>
      </c>
      <c r="K2496" s="3" t="s">
        <v>1673</v>
      </c>
      <c r="L2496" s="3" t="s">
        <v>1673</v>
      </c>
      <c r="M2496" s="3" t="s">
        <v>1674</v>
      </c>
      <c r="N2496" s="3" t="s">
        <v>1675</v>
      </c>
      <c r="O2496" s="5">
        <v>11.09538</v>
      </c>
      <c r="P2496" s="6" t="str">
        <f t="shared" si="2"/>
        <v>Commercial Services &amp; Supplies</v>
      </c>
    </row>
    <row r="2497" hidden="1">
      <c r="A2497" s="3" t="s">
        <v>10376</v>
      </c>
      <c r="B2497" s="4">
        <v>532760.0</v>
      </c>
      <c r="C2497" s="3" t="s">
        <v>10377</v>
      </c>
      <c r="D2497" s="3" t="s">
        <v>10378</v>
      </c>
      <c r="E2497" s="3" t="s">
        <v>10379</v>
      </c>
      <c r="F2497" s="3" t="s">
        <v>19</v>
      </c>
      <c r="G2497" s="3" t="s">
        <v>112</v>
      </c>
      <c r="H2497" s="3">
        <v>10.0</v>
      </c>
      <c r="I2497" s="3" t="s">
        <v>10376</v>
      </c>
      <c r="J2497" s="3" t="s">
        <v>22</v>
      </c>
      <c r="K2497" s="3" t="s">
        <v>410</v>
      </c>
      <c r="L2497" s="3" t="s">
        <v>411</v>
      </c>
      <c r="M2497" s="3" t="s">
        <v>412</v>
      </c>
      <c r="N2497" s="3" t="s">
        <v>504</v>
      </c>
      <c r="O2497" s="5">
        <v>541.548168</v>
      </c>
      <c r="P2497" s="6" t="str">
        <f t="shared" si="2"/>
        <v>Oil</v>
      </c>
    </row>
    <row r="2498" hidden="1">
      <c r="A2498" s="3" t="s">
        <v>10380</v>
      </c>
      <c r="B2498" s="4">
        <v>532761.0</v>
      </c>
      <c r="C2498" s="3" t="s">
        <v>10381</v>
      </c>
      <c r="D2498" s="3" t="s">
        <v>10382</v>
      </c>
      <c r="E2498" s="3" t="s">
        <v>10383</v>
      </c>
      <c r="F2498" s="3" t="s">
        <v>19</v>
      </c>
      <c r="G2498" s="3" t="s">
        <v>86</v>
      </c>
      <c r="H2498" s="3">
        <v>10.0</v>
      </c>
      <c r="I2498" s="3" t="s">
        <v>10380</v>
      </c>
      <c r="J2498" s="3" t="s">
        <v>22</v>
      </c>
      <c r="K2498" s="3" t="s">
        <v>473</v>
      </c>
      <c r="L2498" s="3" t="s">
        <v>473</v>
      </c>
      <c r="M2498" s="3" t="s">
        <v>1538</v>
      </c>
      <c r="N2498" s="3" t="s">
        <v>1539</v>
      </c>
      <c r="O2498" s="5">
        <v>83.9541136</v>
      </c>
      <c r="P2498" s="6" t="str">
        <f t="shared" si="2"/>
        <v>IT - Services</v>
      </c>
    </row>
    <row r="2499">
      <c r="A2499" s="3" t="s">
        <v>10384</v>
      </c>
      <c r="B2499" s="4">
        <v>541729.0</v>
      </c>
      <c r="C2499" s="3" t="s">
        <v>10385</v>
      </c>
      <c r="D2499" s="3" t="s">
        <v>10386</v>
      </c>
      <c r="E2499" s="3" t="s">
        <v>10387</v>
      </c>
      <c r="F2499" s="3" t="s">
        <v>19</v>
      </c>
      <c r="G2499" s="3" t="s">
        <v>20</v>
      </c>
      <c r="H2499" s="3">
        <v>5.0</v>
      </c>
      <c r="I2499" s="3" t="s">
        <v>10388</v>
      </c>
      <c r="J2499" s="3" t="s">
        <v>22</v>
      </c>
      <c r="K2499" s="3" t="s">
        <v>204</v>
      </c>
      <c r="L2499" s="3" t="s">
        <v>204</v>
      </c>
      <c r="M2499" s="3" t="s">
        <v>205</v>
      </c>
      <c r="N2499" s="3" t="s">
        <v>3270</v>
      </c>
      <c r="O2499" s="5">
        <v>86663.2438463</v>
      </c>
      <c r="P2499" s="6" t="str">
        <f t="shared" si="2"/>
        <v>Capital Markets</v>
      </c>
    </row>
    <row r="2500" hidden="1">
      <c r="A2500" s="3" t="s">
        <v>10389</v>
      </c>
      <c r="B2500" s="4">
        <v>532764.0</v>
      </c>
      <c r="C2500" s="3" t="s">
        <v>10390</v>
      </c>
      <c r="D2500" s="3" t="s">
        <v>10391</v>
      </c>
      <c r="E2500" s="3" t="s">
        <v>10390</v>
      </c>
      <c r="F2500" s="3" t="s">
        <v>19</v>
      </c>
      <c r="G2500" s="3" t="s">
        <v>112</v>
      </c>
      <c r="H2500" s="3">
        <v>10.0</v>
      </c>
      <c r="I2500" s="3" t="s">
        <v>10389</v>
      </c>
      <c r="J2500" s="3" t="s">
        <v>22</v>
      </c>
      <c r="K2500" s="3" t="s">
        <v>58</v>
      </c>
      <c r="L2500" s="3" t="s">
        <v>59</v>
      </c>
      <c r="M2500" s="3" t="s">
        <v>59</v>
      </c>
      <c r="N2500" s="3" t="s">
        <v>60</v>
      </c>
      <c r="O2500" s="5">
        <v>801.2420566</v>
      </c>
      <c r="P2500" s="6" t="str">
        <f t="shared" si="2"/>
        <v>Residential, Commercial Projects</v>
      </c>
    </row>
    <row r="2501" hidden="1">
      <c r="A2501" s="3" t="s">
        <v>10392</v>
      </c>
      <c r="B2501" s="4">
        <v>532766.0</v>
      </c>
      <c r="C2501" s="3" t="s">
        <v>10393</v>
      </c>
      <c r="D2501" s="3" t="s">
        <v>10394</v>
      </c>
      <c r="E2501" s="3" t="s">
        <v>10395</v>
      </c>
      <c r="F2501" s="3" t="s">
        <v>19</v>
      </c>
      <c r="G2501" s="3" t="s">
        <v>57</v>
      </c>
      <c r="H2501" s="3">
        <v>10.0</v>
      </c>
      <c r="I2501" s="3" t="s">
        <v>10392</v>
      </c>
      <c r="J2501" s="3" t="s">
        <v>22</v>
      </c>
      <c r="K2501" s="3" t="s">
        <v>97</v>
      </c>
      <c r="L2501" s="3" t="s">
        <v>965</v>
      </c>
      <c r="M2501" s="3" t="s">
        <v>965</v>
      </c>
      <c r="N2501" s="3" t="s">
        <v>966</v>
      </c>
      <c r="O2501" s="5">
        <v>3.416874</v>
      </c>
      <c r="P2501" s="6" t="str">
        <f t="shared" si="2"/>
        <v>Civil Construction</v>
      </c>
    </row>
    <row r="2502" hidden="1">
      <c r="A2502" s="3" t="s">
        <v>10396</v>
      </c>
      <c r="B2502" s="4">
        <v>532768.0</v>
      </c>
      <c r="C2502" s="3" t="s">
        <v>10397</v>
      </c>
      <c r="D2502" s="3" t="s">
        <v>10398</v>
      </c>
      <c r="E2502" s="3" t="s">
        <v>10399</v>
      </c>
      <c r="F2502" s="3" t="s">
        <v>19</v>
      </c>
      <c r="G2502" s="3" t="s">
        <v>112</v>
      </c>
      <c r="H2502" s="3">
        <v>10.0</v>
      </c>
      <c r="I2502" s="3" t="s">
        <v>10396</v>
      </c>
      <c r="J2502" s="3" t="s">
        <v>22</v>
      </c>
      <c r="K2502" s="3" t="s">
        <v>58</v>
      </c>
      <c r="L2502" s="3" t="s">
        <v>133</v>
      </c>
      <c r="M2502" s="3" t="s">
        <v>134</v>
      </c>
      <c r="N2502" s="3" t="s">
        <v>135</v>
      </c>
      <c r="O2502" s="5">
        <v>3528.7912333</v>
      </c>
      <c r="P2502" s="6" t="str">
        <f t="shared" si="2"/>
        <v>Auto Components &amp; Equipments</v>
      </c>
    </row>
    <row r="2503" hidden="1">
      <c r="A2503" s="3" t="s">
        <v>10400</v>
      </c>
      <c r="B2503" s="4">
        <v>532771.0</v>
      </c>
      <c r="C2503" s="3" t="s">
        <v>10401</v>
      </c>
      <c r="D2503" s="3" t="s">
        <v>10402</v>
      </c>
      <c r="E2503" s="3" t="s">
        <v>10403</v>
      </c>
      <c r="F2503" s="3" t="s">
        <v>19</v>
      </c>
      <c r="G2503" s="3" t="s">
        <v>86</v>
      </c>
      <c r="H2503" s="3">
        <v>10.0</v>
      </c>
      <c r="I2503" s="3" t="s">
        <v>10400</v>
      </c>
      <c r="J2503" s="3" t="s">
        <v>22</v>
      </c>
      <c r="K2503" s="3" t="s">
        <v>145</v>
      </c>
      <c r="L2503" s="3" t="s">
        <v>145</v>
      </c>
      <c r="M2503" s="3" t="s">
        <v>2790</v>
      </c>
      <c r="N2503" s="3" t="s">
        <v>2791</v>
      </c>
      <c r="O2503" s="5">
        <v>172.9463466</v>
      </c>
      <c r="P2503" s="6" t="str">
        <f t="shared" si="2"/>
        <v>Personal Products</v>
      </c>
    </row>
    <row r="2504" hidden="1">
      <c r="A2504" s="3" t="s">
        <v>10404</v>
      </c>
      <c r="B2504" s="4">
        <v>532772.0</v>
      </c>
      <c r="C2504" s="3" t="s">
        <v>10405</v>
      </c>
      <c r="D2504" s="3" t="s">
        <v>10406</v>
      </c>
      <c r="E2504" s="3" t="s">
        <v>10405</v>
      </c>
      <c r="F2504" s="3" t="s">
        <v>19</v>
      </c>
      <c r="G2504" s="3" t="s">
        <v>20</v>
      </c>
      <c r="H2504" s="3">
        <v>10.0</v>
      </c>
      <c r="I2504" s="3" t="s">
        <v>10404</v>
      </c>
      <c r="J2504" s="3" t="s">
        <v>22</v>
      </c>
      <c r="K2504" s="3" t="s">
        <v>204</v>
      </c>
      <c r="L2504" s="3" t="s">
        <v>204</v>
      </c>
      <c r="M2504" s="3" t="s">
        <v>9428</v>
      </c>
      <c r="N2504" s="3" t="s">
        <v>9429</v>
      </c>
      <c r="O2504" s="5">
        <v>4310.9296888</v>
      </c>
      <c r="P2504" s="6" t="str">
        <f t="shared" si="2"/>
        <v>Private Sector Bank</v>
      </c>
    </row>
    <row r="2505" hidden="1">
      <c r="A2505" s="3" t="s">
        <v>3745</v>
      </c>
      <c r="B2505" s="4">
        <v>523519.0</v>
      </c>
      <c r="C2505" s="3" t="s">
        <v>10407</v>
      </c>
      <c r="D2505" s="3" t="s">
        <v>10408</v>
      </c>
      <c r="E2505" s="3" t="s">
        <v>10409</v>
      </c>
      <c r="F2505" s="3" t="s">
        <v>19</v>
      </c>
      <c r="G2505" s="3" t="s">
        <v>72</v>
      </c>
      <c r="H2505" s="3">
        <v>10.0</v>
      </c>
      <c r="I2505" s="3" t="s">
        <v>5889</v>
      </c>
      <c r="J2505" s="3" t="s">
        <v>22</v>
      </c>
      <c r="K2505" s="3" t="s">
        <v>1673</v>
      </c>
      <c r="L2505" s="3" t="s">
        <v>1673</v>
      </c>
      <c r="M2505" s="3" t="s">
        <v>1674</v>
      </c>
      <c r="N2505" s="3" t="s">
        <v>1915</v>
      </c>
      <c r="O2505" s="5">
        <v>10.9333898</v>
      </c>
      <c r="P2505" s="6" t="str">
        <f t="shared" si="2"/>
        <v>Commercial Services &amp; Supplies</v>
      </c>
    </row>
    <row r="2506" hidden="1">
      <c r="A2506" s="3" t="s">
        <v>10410</v>
      </c>
      <c r="B2506" s="4">
        <v>532774.0</v>
      </c>
      <c r="C2506" s="3" t="s">
        <v>10411</v>
      </c>
      <c r="D2506" s="3" t="s">
        <v>10412</v>
      </c>
      <c r="E2506" s="3" t="s">
        <v>10413</v>
      </c>
      <c r="F2506" s="3" t="s">
        <v>19</v>
      </c>
      <c r="G2506" s="3" t="s">
        <v>86</v>
      </c>
      <c r="H2506" s="3">
        <v>10.0</v>
      </c>
      <c r="I2506" s="3" t="s">
        <v>10410</v>
      </c>
      <c r="J2506" s="3" t="s">
        <v>22</v>
      </c>
      <c r="K2506" s="3" t="s">
        <v>473</v>
      </c>
      <c r="L2506" s="3" t="s">
        <v>473</v>
      </c>
      <c r="M2506" s="3" t="s">
        <v>1538</v>
      </c>
      <c r="N2506" s="3" t="s">
        <v>1539</v>
      </c>
      <c r="O2506" s="5">
        <v>452.2783659</v>
      </c>
      <c r="P2506" s="6" t="str">
        <f t="shared" si="2"/>
        <v>IT - Services</v>
      </c>
    </row>
    <row r="2507" hidden="1">
      <c r="A2507" s="3" t="s">
        <v>10414</v>
      </c>
      <c r="B2507" s="4">
        <v>532775.0</v>
      </c>
      <c r="C2507" s="3" t="s">
        <v>10415</v>
      </c>
      <c r="D2507" s="3" t="s">
        <v>10416</v>
      </c>
      <c r="E2507" s="3" t="s">
        <v>10417</v>
      </c>
      <c r="F2507" s="3" t="s">
        <v>19</v>
      </c>
      <c r="G2507" s="3" t="s">
        <v>112</v>
      </c>
      <c r="H2507" s="3">
        <v>10.0</v>
      </c>
      <c r="I2507" s="3" t="s">
        <v>10414</v>
      </c>
      <c r="J2507" s="3" t="s">
        <v>22</v>
      </c>
      <c r="K2507" s="3" t="s">
        <v>189</v>
      </c>
      <c r="L2507" s="3" t="s">
        <v>189</v>
      </c>
      <c r="M2507" s="3" t="s">
        <v>291</v>
      </c>
      <c r="N2507" s="3" t="s">
        <v>4689</v>
      </c>
      <c r="O2507" s="5">
        <v>4601.1180251</v>
      </c>
      <c r="P2507" s="6" t="str">
        <f t="shared" si="2"/>
        <v>Telecom - Services</v>
      </c>
    </row>
    <row r="2508" hidden="1">
      <c r="A2508" s="3" t="s">
        <v>10418</v>
      </c>
      <c r="B2508" s="4">
        <v>532776.0</v>
      </c>
      <c r="C2508" s="3" t="s">
        <v>10419</v>
      </c>
      <c r="D2508" s="3" t="s">
        <v>10420</v>
      </c>
      <c r="E2508" s="3" t="s">
        <v>10421</v>
      </c>
      <c r="F2508" s="3" t="s">
        <v>19</v>
      </c>
      <c r="G2508" s="3" t="s">
        <v>112</v>
      </c>
      <c r="H2508" s="3">
        <v>2.0</v>
      </c>
      <c r="I2508" s="3" t="s">
        <v>10418</v>
      </c>
      <c r="J2508" s="3" t="s">
        <v>22</v>
      </c>
      <c r="K2508" s="3" t="s">
        <v>58</v>
      </c>
      <c r="L2508" s="3" t="s">
        <v>133</v>
      </c>
      <c r="M2508" s="3" t="s">
        <v>134</v>
      </c>
      <c r="N2508" s="3" t="s">
        <v>135</v>
      </c>
      <c r="O2508" s="5">
        <v>493.2579468</v>
      </c>
      <c r="P2508" s="6" t="str">
        <f t="shared" si="2"/>
        <v>Auto Components &amp; Equipments</v>
      </c>
    </row>
    <row r="2509">
      <c r="A2509" s="3" t="s">
        <v>1613</v>
      </c>
      <c r="B2509" s="4">
        <v>541770.0</v>
      </c>
      <c r="C2509" s="3" t="s">
        <v>10422</v>
      </c>
      <c r="D2509" s="3" t="s">
        <v>10423</v>
      </c>
      <c r="E2509" s="3" t="s">
        <v>10424</v>
      </c>
      <c r="F2509" s="3" t="s">
        <v>19</v>
      </c>
      <c r="G2509" s="3" t="s">
        <v>20</v>
      </c>
      <c r="H2509" s="3">
        <v>10.0</v>
      </c>
      <c r="I2509" s="3" t="s">
        <v>10425</v>
      </c>
      <c r="J2509" s="3" t="s">
        <v>22</v>
      </c>
      <c r="K2509" s="3" t="s">
        <v>204</v>
      </c>
      <c r="L2509" s="3" t="s">
        <v>204</v>
      </c>
      <c r="M2509" s="3" t="s">
        <v>378</v>
      </c>
      <c r="N2509" s="3" t="s">
        <v>10426</v>
      </c>
      <c r="O2509" s="5">
        <v>20525.46356</v>
      </c>
      <c r="P2509" s="6" t="str">
        <f t="shared" si="2"/>
        <v>Finance</v>
      </c>
    </row>
    <row r="2510">
      <c r="A2510" s="3" t="s">
        <v>10427</v>
      </c>
      <c r="B2510" s="4">
        <v>541988.0</v>
      </c>
      <c r="C2510" s="3" t="s">
        <v>10428</v>
      </c>
      <c r="D2510" s="3" t="s">
        <v>10429</v>
      </c>
      <c r="E2510" s="3" t="s">
        <v>10430</v>
      </c>
      <c r="F2510" s="3" t="s">
        <v>19</v>
      </c>
      <c r="G2510" s="3" t="s">
        <v>20</v>
      </c>
      <c r="H2510" s="3">
        <v>10.0</v>
      </c>
      <c r="I2510" s="3" t="s">
        <v>10431</v>
      </c>
      <c r="J2510" s="3" t="s">
        <v>22</v>
      </c>
      <c r="K2510" s="3" t="s">
        <v>204</v>
      </c>
      <c r="L2510" s="3" t="s">
        <v>204</v>
      </c>
      <c r="M2510" s="3" t="s">
        <v>378</v>
      </c>
      <c r="N2510" s="3" t="s">
        <v>3066</v>
      </c>
      <c r="O2510" s="5">
        <v>14914.012318</v>
      </c>
      <c r="P2510" s="6" t="str">
        <f t="shared" si="2"/>
        <v>Finance</v>
      </c>
    </row>
    <row r="2511" hidden="1">
      <c r="A2511" s="3" t="s">
        <v>10432</v>
      </c>
      <c r="B2511" s="4">
        <v>532780.0</v>
      </c>
      <c r="C2511" s="3" t="s">
        <v>10433</v>
      </c>
      <c r="D2511" s="3" t="s">
        <v>10434</v>
      </c>
      <c r="E2511" s="3" t="s">
        <v>10435</v>
      </c>
      <c r="F2511" s="3" t="s">
        <v>19</v>
      </c>
      <c r="G2511" s="3" t="s">
        <v>112</v>
      </c>
      <c r="H2511" s="3">
        <v>5.0</v>
      </c>
      <c r="I2511" s="3" t="s">
        <v>10432</v>
      </c>
      <c r="J2511" s="3" t="s">
        <v>22</v>
      </c>
      <c r="K2511" s="3" t="s">
        <v>58</v>
      </c>
      <c r="L2511" s="3" t="s">
        <v>59</v>
      </c>
      <c r="M2511" s="3" t="s">
        <v>59</v>
      </c>
      <c r="N2511" s="3" t="s">
        <v>60</v>
      </c>
      <c r="O2511" s="5">
        <v>563.5424255</v>
      </c>
      <c r="P2511" s="6" t="str">
        <f t="shared" si="2"/>
        <v>Residential, Commercial Projects</v>
      </c>
    </row>
    <row r="2512" hidden="1">
      <c r="A2512" s="3" t="s">
        <v>10436</v>
      </c>
      <c r="B2512" s="4">
        <v>532782.0</v>
      </c>
      <c r="C2512" s="3" t="s">
        <v>10437</v>
      </c>
      <c r="D2512" s="3" t="s">
        <v>10438</v>
      </c>
      <c r="E2512" s="3" t="s">
        <v>10439</v>
      </c>
      <c r="F2512" s="3" t="s">
        <v>19</v>
      </c>
      <c r="G2512" s="3" t="s">
        <v>112</v>
      </c>
      <c r="H2512" s="3">
        <v>1.0</v>
      </c>
      <c r="I2512" s="3" t="s">
        <v>10436</v>
      </c>
      <c r="J2512" s="3" t="s">
        <v>22</v>
      </c>
      <c r="K2512" s="3" t="s">
        <v>58</v>
      </c>
      <c r="L2512" s="3" t="s">
        <v>80</v>
      </c>
      <c r="M2512" s="3" t="s">
        <v>81</v>
      </c>
      <c r="N2512" s="3" t="s">
        <v>82</v>
      </c>
      <c r="O2512" s="5">
        <v>1052.9265266</v>
      </c>
      <c r="P2512" s="6" t="str">
        <f t="shared" si="2"/>
        <v>Textiles &amp; Apparels</v>
      </c>
    </row>
    <row r="2513">
      <c r="A2513" s="3" t="s">
        <v>9373</v>
      </c>
      <c r="B2513" s="4">
        <v>542759.0</v>
      </c>
      <c r="C2513" s="3" t="s">
        <v>10440</v>
      </c>
      <c r="D2513" s="3" t="s">
        <v>10441</v>
      </c>
      <c r="E2513" s="3" t="s">
        <v>10442</v>
      </c>
      <c r="F2513" s="3" t="s">
        <v>19</v>
      </c>
      <c r="G2513" s="3" t="s">
        <v>20</v>
      </c>
      <c r="H2513" s="3">
        <v>10.0</v>
      </c>
      <c r="I2513" s="3" t="s">
        <v>10443</v>
      </c>
      <c r="J2513" s="3" t="s">
        <v>22</v>
      </c>
      <c r="K2513" s="3" t="s">
        <v>204</v>
      </c>
      <c r="L2513" s="3" t="s">
        <v>204</v>
      </c>
      <c r="M2513" s="3" t="s">
        <v>378</v>
      </c>
      <c r="N2513" s="3" t="s">
        <v>10426</v>
      </c>
      <c r="O2513" s="5">
        <v>5087.9411091</v>
      </c>
      <c r="P2513" s="6" t="str">
        <f t="shared" si="2"/>
        <v>Finance</v>
      </c>
    </row>
    <row r="2514">
      <c r="A2514" s="3" t="s">
        <v>1637</v>
      </c>
      <c r="B2514" s="4">
        <v>542773.0</v>
      </c>
      <c r="C2514" s="3" t="s">
        <v>10444</v>
      </c>
      <c r="D2514" s="3" t="s">
        <v>10445</v>
      </c>
      <c r="E2514" s="3" t="s">
        <v>10446</v>
      </c>
      <c r="F2514" s="3" t="s">
        <v>19</v>
      </c>
      <c r="G2514" s="3" t="s">
        <v>112</v>
      </c>
      <c r="H2514" s="3">
        <v>2.0</v>
      </c>
      <c r="I2514" s="3" t="s">
        <v>10447</v>
      </c>
      <c r="J2514" s="3" t="s">
        <v>22</v>
      </c>
      <c r="K2514" s="3" t="s">
        <v>204</v>
      </c>
      <c r="L2514" s="3" t="s">
        <v>204</v>
      </c>
      <c r="M2514" s="3" t="s">
        <v>205</v>
      </c>
      <c r="N2514" s="3" t="s">
        <v>2109</v>
      </c>
      <c r="O2514" s="5">
        <v>6547.3456561</v>
      </c>
      <c r="P2514" s="6" t="str">
        <f t="shared" si="2"/>
        <v>Capital Markets</v>
      </c>
    </row>
    <row r="2515" hidden="1">
      <c r="A2515" s="3" t="s">
        <v>10448</v>
      </c>
      <c r="B2515" s="4">
        <v>532785.0</v>
      </c>
      <c r="C2515" s="3" t="s">
        <v>10449</v>
      </c>
      <c r="D2515" s="3" t="s">
        <v>10450</v>
      </c>
      <c r="E2515" s="3" t="s">
        <v>10451</v>
      </c>
      <c r="F2515" s="3" t="s">
        <v>19</v>
      </c>
      <c r="G2515" s="3" t="s">
        <v>112</v>
      </c>
      <c r="H2515" s="3">
        <v>10.0</v>
      </c>
      <c r="I2515" s="3" t="s">
        <v>10448</v>
      </c>
      <c r="J2515" s="3" t="s">
        <v>22</v>
      </c>
      <c r="K2515" s="3" t="s">
        <v>23</v>
      </c>
      <c r="L2515" s="3" t="s">
        <v>32</v>
      </c>
      <c r="M2515" s="3" t="s">
        <v>33</v>
      </c>
      <c r="N2515" s="3" t="s">
        <v>34</v>
      </c>
      <c r="O2515" s="5">
        <v>422.0071386</v>
      </c>
      <c r="P2515" s="6" t="str">
        <f t="shared" si="2"/>
        <v>Paper, Forest &amp; Jute Products</v>
      </c>
    </row>
    <row r="2516">
      <c r="A2516" s="3" t="s">
        <v>10452</v>
      </c>
      <c r="B2516" s="4">
        <v>542867.0</v>
      </c>
      <c r="C2516" s="3" t="s">
        <v>10453</v>
      </c>
      <c r="D2516" s="3" t="s">
        <v>10454</v>
      </c>
      <c r="E2516" s="3" t="s">
        <v>10455</v>
      </c>
      <c r="F2516" s="3" t="s">
        <v>19</v>
      </c>
      <c r="G2516" s="3" t="s">
        <v>20</v>
      </c>
      <c r="H2516" s="3">
        <v>10.0</v>
      </c>
      <c r="I2516" s="3" t="s">
        <v>10456</v>
      </c>
      <c r="J2516" s="3" t="s">
        <v>22</v>
      </c>
      <c r="K2516" s="3" t="s">
        <v>204</v>
      </c>
      <c r="L2516" s="3" t="s">
        <v>204</v>
      </c>
      <c r="M2516" s="3" t="s">
        <v>9428</v>
      </c>
      <c r="N2516" s="3" t="s">
        <v>9429</v>
      </c>
      <c r="O2516" s="5">
        <v>6466.7298394</v>
      </c>
      <c r="P2516" s="6" t="str">
        <f t="shared" si="2"/>
        <v>Private Sector Bank</v>
      </c>
    </row>
    <row r="2517" hidden="1">
      <c r="A2517" s="3" t="s">
        <v>10457</v>
      </c>
      <c r="B2517" s="4">
        <v>532794.0</v>
      </c>
      <c r="C2517" s="3" t="s">
        <v>10458</v>
      </c>
      <c r="D2517" s="3" t="s">
        <v>10459</v>
      </c>
      <c r="E2517" s="3" t="s">
        <v>10458</v>
      </c>
      <c r="F2517" s="3" t="s">
        <v>19</v>
      </c>
      <c r="G2517" s="3" t="s">
        <v>112</v>
      </c>
      <c r="H2517" s="3">
        <v>1.0</v>
      </c>
      <c r="I2517" s="3" t="s">
        <v>10457</v>
      </c>
      <c r="J2517" s="3" t="s">
        <v>22</v>
      </c>
      <c r="K2517" s="3" t="s">
        <v>58</v>
      </c>
      <c r="L2517" s="3" t="s">
        <v>182</v>
      </c>
      <c r="M2517" s="3" t="s">
        <v>1168</v>
      </c>
      <c r="N2517" s="3" t="s">
        <v>1169</v>
      </c>
      <c r="O2517" s="5">
        <v>931.270532</v>
      </c>
      <c r="P2517" s="6" t="str">
        <f t="shared" si="2"/>
        <v>Entertainment</v>
      </c>
    </row>
    <row r="2518" hidden="1">
      <c r="A2518" s="3" t="s">
        <v>10460</v>
      </c>
      <c r="B2518" s="4">
        <v>532795.0</v>
      </c>
      <c r="C2518" s="3" t="s">
        <v>10461</v>
      </c>
      <c r="D2518" s="3" t="s">
        <v>10462</v>
      </c>
      <c r="E2518" s="3" t="s">
        <v>10463</v>
      </c>
      <c r="F2518" s="3" t="s">
        <v>19</v>
      </c>
      <c r="G2518" s="3" t="s">
        <v>86</v>
      </c>
      <c r="H2518" s="3">
        <v>1.0</v>
      </c>
      <c r="I2518" s="3" t="s">
        <v>10460</v>
      </c>
      <c r="J2518" s="3" t="s">
        <v>22</v>
      </c>
      <c r="K2518" s="3" t="s">
        <v>58</v>
      </c>
      <c r="L2518" s="3" t="s">
        <v>182</v>
      </c>
      <c r="M2518" s="3" t="s">
        <v>1168</v>
      </c>
      <c r="N2518" s="3" t="s">
        <v>1169</v>
      </c>
      <c r="O2518" s="5">
        <v>57.5287139</v>
      </c>
      <c r="P2518" s="6" t="str">
        <f t="shared" si="2"/>
        <v>Entertainment</v>
      </c>
    </row>
    <row r="2519" hidden="1">
      <c r="A2519" s="3" t="s">
        <v>10464</v>
      </c>
      <c r="B2519" s="4">
        <v>532796.0</v>
      </c>
      <c r="C2519" s="3" t="s">
        <v>10465</v>
      </c>
      <c r="D2519" s="3" t="s">
        <v>10466</v>
      </c>
      <c r="E2519" s="3" t="s">
        <v>10467</v>
      </c>
      <c r="F2519" s="3" t="s">
        <v>19</v>
      </c>
      <c r="G2519" s="3" t="s">
        <v>20</v>
      </c>
      <c r="H2519" s="3">
        <v>2.0</v>
      </c>
      <c r="I2519" s="3" t="s">
        <v>10464</v>
      </c>
      <c r="J2519" s="3" t="s">
        <v>22</v>
      </c>
      <c r="K2519" s="3" t="s">
        <v>58</v>
      </c>
      <c r="L2519" s="3" t="s">
        <v>133</v>
      </c>
      <c r="M2519" s="3" t="s">
        <v>134</v>
      </c>
      <c r="N2519" s="3" t="s">
        <v>135</v>
      </c>
      <c r="O2519" s="5">
        <v>4072.840429</v>
      </c>
      <c r="P2519" s="6" t="str">
        <f t="shared" si="2"/>
        <v>Auto Components &amp; Equipments</v>
      </c>
    </row>
    <row r="2520" hidden="1">
      <c r="A2520" s="3" t="s">
        <v>10468</v>
      </c>
      <c r="B2520" s="4">
        <v>532797.0</v>
      </c>
      <c r="C2520" s="3" t="s">
        <v>10469</v>
      </c>
      <c r="D2520" s="3" t="s">
        <v>10470</v>
      </c>
      <c r="E2520" s="3" t="s">
        <v>10469</v>
      </c>
      <c r="F2520" s="3" t="s">
        <v>19</v>
      </c>
      <c r="G2520" s="3" t="s">
        <v>112</v>
      </c>
      <c r="H2520" s="3">
        <v>10.0</v>
      </c>
      <c r="I2520" s="3" t="s">
        <v>10468</v>
      </c>
      <c r="J2520" s="3" t="s">
        <v>22</v>
      </c>
      <c r="K2520" s="3" t="s">
        <v>58</v>
      </c>
      <c r="L2520" s="3" t="s">
        <v>133</v>
      </c>
      <c r="M2520" s="3" t="s">
        <v>134</v>
      </c>
      <c r="N2520" s="3" t="s">
        <v>135</v>
      </c>
      <c r="O2520" s="5">
        <v>483.7079658</v>
      </c>
      <c r="P2520" s="6" t="str">
        <f t="shared" si="2"/>
        <v>Auto Components &amp; Equipments</v>
      </c>
    </row>
    <row r="2521">
      <c r="A2521" s="3" t="s">
        <v>1642</v>
      </c>
      <c r="B2521" s="4">
        <v>542904.0</v>
      </c>
      <c r="C2521" s="3" t="s">
        <v>10471</v>
      </c>
      <c r="D2521" s="3" t="s">
        <v>10472</v>
      </c>
      <c r="E2521" s="3" t="s">
        <v>10473</v>
      </c>
      <c r="F2521" s="3" t="s">
        <v>19</v>
      </c>
      <c r="G2521" s="3" t="s">
        <v>20</v>
      </c>
      <c r="H2521" s="3">
        <v>10.0</v>
      </c>
      <c r="I2521" s="3" t="s">
        <v>10474</v>
      </c>
      <c r="J2521" s="3" t="s">
        <v>22</v>
      </c>
      <c r="K2521" s="3" t="s">
        <v>204</v>
      </c>
      <c r="L2521" s="3" t="s">
        <v>204</v>
      </c>
      <c r="M2521" s="3" t="s">
        <v>9428</v>
      </c>
      <c r="N2521" s="6" t="s">
        <v>9429</v>
      </c>
      <c r="O2521" s="5">
        <v>8721.8904759</v>
      </c>
      <c r="P2521" s="6" t="str">
        <f t="shared" si="2"/>
        <v>Private Sector Bank</v>
      </c>
    </row>
    <row r="2522" hidden="1">
      <c r="A2522" s="3" t="s">
        <v>10475</v>
      </c>
      <c r="B2522" s="4">
        <v>532799.0</v>
      </c>
      <c r="C2522" s="3" t="s">
        <v>10476</v>
      </c>
      <c r="D2522" s="3" t="s">
        <v>10477</v>
      </c>
      <c r="E2522" s="3" t="s">
        <v>10478</v>
      </c>
      <c r="F2522" s="3" t="s">
        <v>19</v>
      </c>
      <c r="G2522" s="3" t="s">
        <v>86</v>
      </c>
      <c r="H2522" s="3">
        <v>10.0</v>
      </c>
      <c r="I2522" s="3" t="s">
        <v>10475</v>
      </c>
      <c r="J2522" s="3" t="s">
        <v>22</v>
      </c>
      <c r="K2522" s="3" t="s">
        <v>58</v>
      </c>
      <c r="L2522" s="3" t="s">
        <v>59</v>
      </c>
      <c r="M2522" s="3" t="s">
        <v>59</v>
      </c>
      <c r="N2522" s="3" t="s">
        <v>60</v>
      </c>
      <c r="O2522" s="5">
        <v>1381.8105015</v>
      </c>
      <c r="P2522" s="6" t="str">
        <f t="shared" si="2"/>
        <v>Residential, Commercial Projects</v>
      </c>
    </row>
    <row r="2523">
      <c r="A2523" s="3" t="s">
        <v>1654</v>
      </c>
      <c r="B2523" s="4">
        <v>543066.0</v>
      </c>
      <c r="C2523" s="3" t="s">
        <v>10479</v>
      </c>
      <c r="D2523" s="3" t="s">
        <v>10480</v>
      </c>
      <c r="E2523" s="3" t="s">
        <v>10481</v>
      </c>
      <c r="F2523" s="3" t="s">
        <v>19</v>
      </c>
      <c r="G2523" s="3" t="s">
        <v>20</v>
      </c>
      <c r="H2523" s="3">
        <v>10.0</v>
      </c>
      <c r="I2523" s="3" t="s">
        <v>10482</v>
      </c>
      <c r="J2523" s="3" t="s">
        <v>22</v>
      </c>
      <c r="K2523" s="3" t="s">
        <v>204</v>
      </c>
      <c r="L2523" s="3" t="s">
        <v>204</v>
      </c>
      <c r="M2523" s="3" t="s">
        <v>378</v>
      </c>
      <c r="N2523" s="3" t="s">
        <v>379</v>
      </c>
      <c r="O2523" s="5">
        <v>67984.256395</v>
      </c>
      <c r="P2523" s="6" t="str">
        <f t="shared" si="2"/>
        <v>Non Banking Financial Company (NBFC)</v>
      </c>
    </row>
    <row r="2524" hidden="1">
      <c r="A2524" s="3" t="s">
        <v>10483</v>
      </c>
      <c r="B2524" s="4">
        <v>532801.0</v>
      </c>
      <c r="C2524" s="3" t="s">
        <v>10484</v>
      </c>
      <c r="D2524" s="3" t="s">
        <v>10485</v>
      </c>
      <c r="E2524" s="3" t="s">
        <v>10486</v>
      </c>
      <c r="F2524" s="3" t="s">
        <v>19</v>
      </c>
      <c r="G2524" s="3" t="s">
        <v>112</v>
      </c>
      <c r="H2524" s="3">
        <v>10.0</v>
      </c>
      <c r="I2524" s="3" t="s">
        <v>10483</v>
      </c>
      <c r="J2524" s="3" t="s">
        <v>22</v>
      </c>
      <c r="K2524" s="3" t="s">
        <v>473</v>
      </c>
      <c r="L2524" s="3" t="s">
        <v>473</v>
      </c>
      <c r="M2524" s="3" t="s">
        <v>1391</v>
      </c>
      <c r="N2524" s="3" t="s">
        <v>1840</v>
      </c>
      <c r="O2524" s="5">
        <v>257.8762959</v>
      </c>
      <c r="P2524" s="6" t="str">
        <f t="shared" si="2"/>
        <v>Computers - Software &amp; Consulting</v>
      </c>
    </row>
    <row r="2525">
      <c r="A2525" s="3" t="s">
        <v>10487</v>
      </c>
      <c r="B2525" s="4">
        <v>543232.0</v>
      </c>
      <c r="C2525" s="3" t="s">
        <v>10488</v>
      </c>
      <c r="D2525" s="3" t="s">
        <v>10489</v>
      </c>
      <c r="E2525" s="3" t="s">
        <v>10490</v>
      </c>
      <c r="F2525" s="3" t="s">
        <v>19</v>
      </c>
      <c r="G2525" s="3" t="s">
        <v>20</v>
      </c>
      <c r="H2525" s="3">
        <v>10.0</v>
      </c>
      <c r="I2525" s="3" t="s">
        <v>10491</v>
      </c>
      <c r="J2525" s="3" t="s">
        <v>22</v>
      </c>
      <c r="K2525" s="3" t="s">
        <v>204</v>
      </c>
      <c r="L2525" s="3" t="s">
        <v>204</v>
      </c>
      <c r="M2525" s="3" t="s">
        <v>205</v>
      </c>
      <c r="N2525" s="3" t="s">
        <v>10492</v>
      </c>
      <c r="O2525" s="5">
        <v>18541.106748</v>
      </c>
      <c r="P2525" s="6" t="str">
        <f t="shared" si="2"/>
        <v>Capital Markets</v>
      </c>
    </row>
    <row r="2526" hidden="1">
      <c r="A2526" s="3" t="s">
        <v>10493</v>
      </c>
      <c r="B2526" s="4">
        <v>530251.0</v>
      </c>
      <c r="C2526" s="3" t="s">
        <v>10494</v>
      </c>
      <c r="D2526" s="3" t="s">
        <v>10495</v>
      </c>
      <c r="E2526" s="3" t="s">
        <v>10496</v>
      </c>
      <c r="F2526" s="3" t="s">
        <v>19</v>
      </c>
      <c r="G2526" s="3" t="s">
        <v>72</v>
      </c>
      <c r="H2526" s="3">
        <v>2.0</v>
      </c>
      <c r="I2526" s="3" t="s">
        <v>7480</v>
      </c>
      <c r="J2526" s="3" t="s">
        <v>22</v>
      </c>
      <c r="K2526" s="3" t="s">
        <v>1673</v>
      </c>
      <c r="L2526" s="3" t="s">
        <v>1673</v>
      </c>
      <c r="M2526" s="3" t="s">
        <v>1674</v>
      </c>
      <c r="N2526" s="3" t="s">
        <v>1915</v>
      </c>
      <c r="O2526" s="5">
        <v>10.6841397</v>
      </c>
      <c r="P2526" s="6" t="str">
        <f t="shared" si="2"/>
        <v>Commercial Services &amp; Supplies</v>
      </c>
    </row>
    <row r="2527" hidden="1">
      <c r="A2527" s="3" t="s">
        <v>10497</v>
      </c>
      <c r="B2527" s="4">
        <v>532806.0</v>
      </c>
      <c r="C2527" s="3" t="s">
        <v>10498</v>
      </c>
      <c r="D2527" s="3" t="s">
        <v>10499</v>
      </c>
      <c r="E2527" s="3" t="s">
        <v>10500</v>
      </c>
      <c r="F2527" s="3" t="s">
        <v>19</v>
      </c>
      <c r="G2527" s="3" t="s">
        <v>44</v>
      </c>
      <c r="H2527" s="3">
        <v>5.0</v>
      </c>
      <c r="I2527" s="3" t="s">
        <v>10497</v>
      </c>
      <c r="J2527" s="3" t="s">
        <v>22</v>
      </c>
      <c r="K2527" s="3" t="s">
        <v>23</v>
      </c>
      <c r="L2527" s="3" t="s">
        <v>32</v>
      </c>
      <c r="M2527" s="3" t="s">
        <v>33</v>
      </c>
      <c r="N2527" s="3" t="s">
        <v>6662</v>
      </c>
      <c r="O2527" s="5">
        <v>171.5404179</v>
      </c>
      <c r="P2527" s="6" t="str">
        <f t="shared" si="2"/>
        <v>Paper, Forest &amp; Jute Products</v>
      </c>
    </row>
    <row r="2528" hidden="1">
      <c r="A2528" s="3" t="s">
        <v>10501</v>
      </c>
      <c r="B2528" s="4">
        <v>532807.0</v>
      </c>
      <c r="C2528" s="3" t="s">
        <v>10502</v>
      </c>
      <c r="D2528" s="3" t="s">
        <v>10503</v>
      </c>
      <c r="E2528" s="3" t="s">
        <v>10502</v>
      </c>
      <c r="F2528" s="3" t="s">
        <v>19</v>
      </c>
      <c r="G2528" s="3" t="s">
        <v>112</v>
      </c>
      <c r="H2528" s="3">
        <v>5.0</v>
      </c>
      <c r="I2528" s="3" t="s">
        <v>10501</v>
      </c>
      <c r="J2528" s="3" t="s">
        <v>22</v>
      </c>
      <c r="K2528" s="3" t="s">
        <v>58</v>
      </c>
      <c r="L2528" s="3" t="s">
        <v>182</v>
      </c>
      <c r="M2528" s="3" t="s">
        <v>1168</v>
      </c>
      <c r="N2528" s="3" t="s">
        <v>1568</v>
      </c>
      <c r="O2528" s="5">
        <v>446.9991269</v>
      </c>
      <c r="P2528" s="6" t="str">
        <f t="shared" si="2"/>
        <v>Entertainment</v>
      </c>
    </row>
    <row r="2529" hidden="1">
      <c r="A2529" s="3" t="s">
        <v>10504</v>
      </c>
      <c r="B2529" s="4">
        <v>532808.0</v>
      </c>
      <c r="C2529" s="3" t="s">
        <v>10505</v>
      </c>
      <c r="D2529" s="3" t="s">
        <v>10506</v>
      </c>
      <c r="E2529" s="3" t="s">
        <v>10505</v>
      </c>
      <c r="F2529" s="3" t="s">
        <v>19</v>
      </c>
      <c r="G2529" s="3" t="s">
        <v>112</v>
      </c>
      <c r="H2529" s="3">
        <v>5.0</v>
      </c>
      <c r="I2529" s="3" t="s">
        <v>10504</v>
      </c>
      <c r="J2529" s="3" t="s">
        <v>22</v>
      </c>
      <c r="K2529" s="3" t="s">
        <v>58</v>
      </c>
      <c r="L2529" s="3" t="s">
        <v>80</v>
      </c>
      <c r="M2529" s="3" t="s">
        <v>81</v>
      </c>
      <c r="N2529" s="3" t="s">
        <v>944</v>
      </c>
      <c r="O2529" s="5">
        <v>3004.8663375</v>
      </c>
      <c r="P2529" s="6" t="str">
        <f t="shared" si="2"/>
        <v>Textiles &amp; Apparels</v>
      </c>
    </row>
    <row r="2530" hidden="1">
      <c r="A2530" s="3" t="s">
        <v>10507</v>
      </c>
      <c r="B2530" s="4">
        <v>538579.0</v>
      </c>
      <c r="C2530" s="3" t="s">
        <v>10508</v>
      </c>
      <c r="D2530" s="3" t="s">
        <v>10509</v>
      </c>
      <c r="E2530" s="3" t="s">
        <v>10510</v>
      </c>
      <c r="F2530" s="3" t="s">
        <v>19</v>
      </c>
      <c r="G2530" s="3" t="s">
        <v>2428</v>
      </c>
      <c r="H2530" s="3">
        <v>10.0</v>
      </c>
      <c r="I2530" s="3" t="s">
        <v>10511</v>
      </c>
      <c r="J2530" s="3" t="s">
        <v>22</v>
      </c>
      <c r="K2530" s="3" t="s">
        <v>1673</v>
      </c>
      <c r="L2530" s="3" t="s">
        <v>1673</v>
      </c>
      <c r="M2530" s="3" t="s">
        <v>1674</v>
      </c>
      <c r="N2530" s="3" t="s">
        <v>1915</v>
      </c>
      <c r="O2530" s="5">
        <v>9.9603</v>
      </c>
      <c r="P2530" s="6" t="str">
        <f t="shared" si="2"/>
        <v>Commercial Services &amp; Supplies</v>
      </c>
    </row>
    <row r="2531">
      <c r="A2531" s="3" t="s">
        <v>9956</v>
      </c>
      <c r="B2531" s="4">
        <v>543235.0</v>
      </c>
      <c r="C2531" s="3" t="s">
        <v>10512</v>
      </c>
      <c r="D2531" s="3" t="s">
        <v>10513</v>
      </c>
      <c r="E2531" s="3" t="s">
        <v>10514</v>
      </c>
      <c r="F2531" s="3" t="s">
        <v>19</v>
      </c>
      <c r="G2531" s="3" t="s">
        <v>20</v>
      </c>
      <c r="H2531" s="3">
        <v>10.0</v>
      </c>
      <c r="I2531" s="3" t="s">
        <v>10515</v>
      </c>
      <c r="J2531" s="3" t="s">
        <v>22</v>
      </c>
      <c r="K2531" s="3" t="s">
        <v>204</v>
      </c>
      <c r="L2531" s="3" t="s">
        <v>204</v>
      </c>
      <c r="M2531" s="3" t="s">
        <v>205</v>
      </c>
      <c r="N2531" s="3" t="s">
        <v>2109</v>
      </c>
      <c r="O2531" s="5">
        <v>21116.135044</v>
      </c>
      <c r="P2531" s="6" t="str">
        <f t="shared" si="2"/>
        <v>Capital Markets</v>
      </c>
    </row>
    <row r="2532">
      <c r="A2532" s="3" t="s">
        <v>10516</v>
      </c>
      <c r="B2532" s="4">
        <v>543238.0</v>
      </c>
      <c r="C2532" s="3" t="s">
        <v>10517</v>
      </c>
      <c r="D2532" s="3" t="s">
        <v>10518</v>
      </c>
      <c r="E2532" s="3" t="s">
        <v>10519</v>
      </c>
      <c r="F2532" s="3" t="s">
        <v>19</v>
      </c>
      <c r="G2532" s="3" t="s">
        <v>20</v>
      </c>
      <c r="H2532" s="3">
        <v>10.0</v>
      </c>
      <c r="I2532" s="3" t="s">
        <v>10520</v>
      </c>
      <c r="J2532" s="3" t="s">
        <v>22</v>
      </c>
      <c r="K2532" s="3" t="s">
        <v>204</v>
      </c>
      <c r="L2532" s="3" t="s">
        <v>204</v>
      </c>
      <c r="M2532" s="3" t="s">
        <v>205</v>
      </c>
      <c r="N2532" s="3" t="s">
        <v>3270</v>
      </c>
      <c r="O2532" s="5">
        <v>12885.80964</v>
      </c>
      <c r="P2532" s="6" t="str">
        <f t="shared" si="2"/>
        <v>Capital Markets</v>
      </c>
    </row>
    <row r="2533" hidden="1">
      <c r="A2533" s="3" t="s">
        <v>10521</v>
      </c>
      <c r="B2533" s="4">
        <v>532812.0</v>
      </c>
      <c r="C2533" s="3" t="s">
        <v>10522</v>
      </c>
      <c r="D2533" s="3" t="s">
        <v>10523</v>
      </c>
      <c r="E2533" s="3" t="s">
        <v>10524</v>
      </c>
      <c r="F2533" s="3" t="s">
        <v>19</v>
      </c>
      <c r="G2533" s="3" t="s">
        <v>86</v>
      </c>
      <c r="H2533" s="3">
        <v>10.0</v>
      </c>
      <c r="I2533" s="3" t="s">
        <v>10521</v>
      </c>
      <c r="J2533" s="3" t="s">
        <v>22</v>
      </c>
      <c r="K2533" s="3" t="s">
        <v>204</v>
      </c>
      <c r="L2533" s="3" t="s">
        <v>204</v>
      </c>
      <c r="M2533" s="3" t="s">
        <v>378</v>
      </c>
      <c r="N2533" s="3" t="s">
        <v>379</v>
      </c>
      <c r="O2533" s="5">
        <v>121.9409226</v>
      </c>
      <c r="P2533" s="6" t="str">
        <f t="shared" si="2"/>
        <v>Non Banking Financial Company (NBFC)</v>
      </c>
    </row>
    <row r="2534">
      <c r="A2534" s="3" t="s">
        <v>9960</v>
      </c>
      <c r="B2534" s="4">
        <v>543243.0</v>
      </c>
      <c r="C2534" s="3" t="s">
        <v>10525</v>
      </c>
      <c r="D2534" s="3" t="s">
        <v>10526</v>
      </c>
      <c r="E2534" s="3" t="s">
        <v>10527</v>
      </c>
      <c r="F2534" s="3" t="s">
        <v>19</v>
      </c>
      <c r="G2534" s="3" t="s">
        <v>20</v>
      </c>
      <c r="H2534" s="3">
        <v>10.0</v>
      </c>
      <c r="I2534" s="3" t="s">
        <v>10528</v>
      </c>
      <c r="J2534" s="3" t="s">
        <v>22</v>
      </c>
      <c r="K2534" s="3" t="s">
        <v>204</v>
      </c>
      <c r="L2534" s="3" t="s">
        <v>204</v>
      </c>
      <c r="M2534" s="3" t="s">
        <v>9428</v>
      </c>
      <c r="N2534" s="6" t="s">
        <v>9429</v>
      </c>
      <c r="O2534" s="5">
        <v>10830.6261</v>
      </c>
      <c r="P2534" s="6" t="str">
        <f t="shared" si="2"/>
        <v>Private Sector Bank</v>
      </c>
    </row>
    <row r="2535" hidden="1">
      <c r="A2535" s="3" t="s">
        <v>10529</v>
      </c>
      <c r="B2535" s="4">
        <v>532815.0</v>
      </c>
      <c r="C2535" s="3" t="s">
        <v>10530</v>
      </c>
      <c r="D2535" s="3" t="s">
        <v>10531</v>
      </c>
      <c r="E2535" s="3" t="s">
        <v>10532</v>
      </c>
      <c r="F2535" s="3" t="s">
        <v>19</v>
      </c>
      <c r="G2535" s="3" t="s">
        <v>112</v>
      </c>
      <c r="H2535" s="3">
        <v>1.0</v>
      </c>
      <c r="I2535" s="3" t="s">
        <v>10529</v>
      </c>
      <c r="J2535" s="3" t="s">
        <v>22</v>
      </c>
      <c r="K2535" s="3" t="s">
        <v>45</v>
      </c>
      <c r="L2535" s="3" t="s">
        <v>45</v>
      </c>
      <c r="M2535" s="3" t="s">
        <v>46</v>
      </c>
      <c r="N2535" s="3" t="s">
        <v>47</v>
      </c>
      <c r="O2535" s="5">
        <v>1897.8643467</v>
      </c>
      <c r="P2535" s="6" t="str">
        <f t="shared" si="2"/>
        <v>Pharmaceuticals</v>
      </c>
    </row>
    <row r="2536" hidden="1">
      <c r="A2536" s="3" t="s">
        <v>10533</v>
      </c>
      <c r="B2536" s="4">
        <v>532817.0</v>
      </c>
      <c r="C2536" s="3" t="s">
        <v>10534</v>
      </c>
      <c r="D2536" s="3" t="s">
        <v>10535</v>
      </c>
      <c r="E2536" s="3" t="s">
        <v>10536</v>
      </c>
      <c r="F2536" s="3" t="s">
        <v>19</v>
      </c>
      <c r="G2536" s="3" t="s">
        <v>112</v>
      </c>
      <c r="H2536" s="3">
        <v>10.0</v>
      </c>
      <c r="I2536" s="3" t="s">
        <v>10533</v>
      </c>
      <c r="J2536" s="3" t="s">
        <v>22</v>
      </c>
      <c r="K2536" s="3" t="s">
        <v>58</v>
      </c>
      <c r="L2536" s="3" t="s">
        <v>211</v>
      </c>
      <c r="M2536" s="3" t="s">
        <v>211</v>
      </c>
      <c r="N2536" s="3" t="s">
        <v>4317</v>
      </c>
      <c r="O2536" s="5">
        <v>31.9962641</v>
      </c>
      <c r="P2536" s="6" t="str">
        <f t="shared" si="2"/>
        <v>Consumer Durables</v>
      </c>
    </row>
    <row r="2537" hidden="1">
      <c r="A2537" s="3" t="s">
        <v>10537</v>
      </c>
      <c r="B2537" s="4">
        <v>532820.0</v>
      </c>
      <c r="C2537" s="3" t="s">
        <v>10538</v>
      </c>
      <c r="D2537" s="3" t="s">
        <v>10539</v>
      </c>
      <c r="E2537" s="3" t="s">
        <v>10538</v>
      </c>
      <c r="F2537" s="3" t="s">
        <v>19</v>
      </c>
      <c r="G2537" s="3" t="s">
        <v>72</v>
      </c>
      <c r="H2537" s="3">
        <v>10.0</v>
      </c>
      <c r="I2537" s="3" t="s">
        <v>10537</v>
      </c>
      <c r="J2537" s="3" t="s">
        <v>22</v>
      </c>
      <c r="K2537" s="3" t="s">
        <v>58</v>
      </c>
      <c r="L2537" s="3" t="s">
        <v>80</v>
      </c>
      <c r="M2537" s="3" t="s">
        <v>81</v>
      </c>
      <c r="N2537" s="3" t="s">
        <v>82</v>
      </c>
      <c r="O2537" s="5">
        <v>44.5878415</v>
      </c>
      <c r="P2537" s="6" t="str">
        <f t="shared" si="2"/>
        <v>Textiles &amp; Apparels</v>
      </c>
    </row>
    <row r="2538">
      <c r="A2538" s="3" t="s">
        <v>10540</v>
      </c>
      <c r="B2538" s="4">
        <v>543257.0</v>
      </c>
      <c r="C2538" s="3" t="s">
        <v>10541</v>
      </c>
      <c r="D2538" s="3" t="s">
        <v>10542</v>
      </c>
      <c r="E2538" s="3" t="s">
        <v>10543</v>
      </c>
      <c r="F2538" s="3" t="s">
        <v>19</v>
      </c>
      <c r="G2538" s="3" t="s">
        <v>20</v>
      </c>
      <c r="H2538" s="3">
        <v>10.0</v>
      </c>
      <c r="I2538" s="3" t="s">
        <v>10544</v>
      </c>
      <c r="J2538" s="3" t="s">
        <v>22</v>
      </c>
      <c r="K2538" s="3" t="s">
        <v>204</v>
      </c>
      <c r="L2538" s="3" t="s">
        <v>204</v>
      </c>
      <c r="M2538" s="3" t="s">
        <v>378</v>
      </c>
      <c r="N2538" s="3" t="s">
        <v>6960</v>
      </c>
      <c r="O2538" s="5">
        <v>228664.5644279</v>
      </c>
      <c r="P2538" s="6" t="str">
        <f t="shared" si="2"/>
        <v>Finance</v>
      </c>
    </row>
    <row r="2539" hidden="1">
      <c r="A2539" s="3" t="s">
        <v>10545</v>
      </c>
      <c r="B2539" s="4">
        <v>532825.0</v>
      </c>
      <c r="C2539" s="3" t="s">
        <v>10546</v>
      </c>
      <c r="D2539" s="3" t="s">
        <v>10547</v>
      </c>
      <c r="E2539" s="3" t="s">
        <v>10548</v>
      </c>
      <c r="F2539" s="3" t="s">
        <v>19</v>
      </c>
      <c r="G2539" s="3" t="s">
        <v>72</v>
      </c>
      <c r="H2539" s="3">
        <v>10.0</v>
      </c>
      <c r="I2539" s="3" t="s">
        <v>10545</v>
      </c>
      <c r="J2539" s="3" t="s">
        <v>22</v>
      </c>
      <c r="K2539" s="3" t="s">
        <v>58</v>
      </c>
      <c r="L2539" s="3" t="s">
        <v>80</v>
      </c>
      <c r="M2539" s="3" t="s">
        <v>81</v>
      </c>
      <c r="N2539" s="3" t="s">
        <v>82</v>
      </c>
      <c r="O2539" s="5">
        <v>19.2271922</v>
      </c>
      <c r="P2539" s="6" t="str">
        <f t="shared" si="2"/>
        <v>Textiles &amp; Apparels</v>
      </c>
    </row>
    <row r="2540" hidden="1">
      <c r="A2540" s="3" t="s">
        <v>10549</v>
      </c>
      <c r="B2540" s="4">
        <v>532826.0</v>
      </c>
      <c r="C2540" s="3" t="s">
        <v>10550</v>
      </c>
      <c r="D2540" s="3" t="s">
        <v>10551</v>
      </c>
      <c r="E2540" s="3" t="s">
        <v>10552</v>
      </c>
      <c r="F2540" s="3" t="s">
        <v>19</v>
      </c>
      <c r="G2540" s="3" t="s">
        <v>86</v>
      </c>
      <c r="H2540" s="3">
        <v>5.0</v>
      </c>
      <c r="I2540" s="3" t="s">
        <v>10549</v>
      </c>
      <c r="J2540" s="3" t="s">
        <v>22</v>
      </c>
      <c r="K2540" s="3" t="s">
        <v>58</v>
      </c>
      <c r="L2540" s="3" t="s">
        <v>182</v>
      </c>
      <c r="M2540" s="3" t="s">
        <v>1168</v>
      </c>
      <c r="N2540" s="3" t="s">
        <v>1169</v>
      </c>
      <c r="O2540" s="5">
        <v>503.1203062</v>
      </c>
      <c r="P2540" s="6" t="str">
        <f t="shared" si="2"/>
        <v>Entertainment</v>
      </c>
    </row>
    <row r="2541">
      <c r="A2541" s="3" t="s">
        <v>1663</v>
      </c>
      <c r="B2541" s="4">
        <v>543259.0</v>
      </c>
      <c r="C2541" s="3" t="s">
        <v>10553</v>
      </c>
      <c r="D2541" s="3" t="s">
        <v>10554</v>
      </c>
      <c r="E2541" s="3" t="s">
        <v>10555</v>
      </c>
      <c r="F2541" s="3" t="s">
        <v>19</v>
      </c>
      <c r="G2541" s="3" t="s">
        <v>20</v>
      </c>
      <c r="H2541" s="3">
        <v>2.0</v>
      </c>
      <c r="I2541" s="3" t="s">
        <v>10556</v>
      </c>
      <c r="J2541" s="3" t="s">
        <v>22</v>
      </c>
      <c r="K2541" s="3" t="s">
        <v>204</v>
      </c>
      <c r="L2541" s="3" t="s">
        <v>204</v>
      </c>
      <c r="M2541" s="3" t="s">
        <v>378</v>
      </c>
      <c r="N2541" s="3" t="s">
        <v>3066</v>
      </c>
      <c r="O2541" s="5">
        <v>9018.278823</v>
      </c>
      <c r="P2541" s="6" t="str">
        <f t="shared" si="2"/>
        <v>Finance</v>
      </c>
    </row>
    <row r="2542" hidden="1">
      <c r="A2542" s="3" t="s">
        <v>10557</v>
      </c>
      <c r="B2542" s="4">
        <v>532828.0</v>
      </c>
      <c r="C2542" s="3" t="s">
        <v>10558</v>
      </c>
      <c r="D2542" s="3" t="s">
        <v>10559</v>
      </c>
      <c r="E2542" s="3" t="s">
        <v>10560</v>
      </c>
      <c r="F2542" s="3" t="s">
        <v>19</v>
      </c>
      <c r="G2542" s="3" t="s">
        <v>112</v>
      </c>
      <c r="H2542" s="3">
        <v>10.0</v>
      </c>
      <c r="I2542" s="3" t="s">
        <v>10557</v>
      </c>
      <c r="J2542" s="3" t="s">
        <v>22</v>
      </c>
      <c r="K2542" s="3" t="s">
        <v>97</v>
      </c>
      <c r="L2542" s="3" t="s">
        <v>98</v>
      </c>
      <c r="M2542" s="3" t="s">
        <v>100</v>
      </c>
      <c r="N2542" s="3" t="s">
        <v>373</v>
      </c>
      <c r="O2542" s="5">
        <v>136.6208174</v>
      </c>
      <c r="P2542" s="6" t="str">
        <f t="shared" si="2"/>
        <v>Industrial Products</v>
      </c>
    </row>
    <row r="2543" hidden="1">
      <c r="A2543" s="3" t="s">
        <v>10561</v>
      </c>
      <c r="B2543" s="4">
        <v>532829.0</v>
      </c>
      <c r="C2543" s="3" t="s">
        <v>10562</v>
      </c>
      <c r="D2543" s="3" t="s">
        <v>10563</v>
      </c>
      <c r="E2543" s="3" t="s">
        <v>10564</v>
      </c>
      <c r="F2543" s="3" t="s">
        <v>19</v>
      </c>
      <c r="G2543" s="3" t="s">
        <v>44</v>
      </c>
      <c r="H2543" s="3">
        <v>10.0</v>
      </c>
      <c r="I2543" s="3" t="s">
        <v>10561</v>
      </c>
      <c r="J2543" s="3" t="s">
        <v>22</v>
      </c>
      <c r="K2543" s="3" t="s">
        <v>58</v>
      </c>
      <c r="L2543" s="3" t="s">
        <v>211</v>
      </c>
      <c r="M2543" s="3" t="s">
        <v>211</v>
      </c>
      <c r="N2543" s="3" t="s">
        <v>932</v>
      </c>
      <c r="O2543" s="5">
        <v>268.9570503</v>
      </c>
      <c r="P2543" s="6" t="str">
        <f t="shared" si="2"/>
        <v>Consumer Durables</v>
      </c>
    </row>
    <row r="2544">
      <c r="A2544" s="3" t="s">
        <v>10565</v>
      </c>
      <c r="B2544" s="4">
        <v>543335.0</v>
      </c>
      <c r="C2544" s="3" t="s">
        <v>10566</v>
      </c>
      <c r="D2544" s="3" t="s">
        <v>10567</v>
      </c>
      <c r="E2544" s="3" t="s">
        <v>10568</v>
      </c>
      <c r="F2544" s="3" t="s">
        <v>19</v>
      </c>
      <c r="G2544" s="3" t="s">
        <v>20</v>
      </c>
      <c r="H2544" s="3">
        <v>2.0</v>
      </c>
      <c r="I2544" s="3" t="s">
        <v>10569</v>
      </c>
      <c r="J2544" s="3" t="s">
        <v>22</v>
      </c>
      <c r="K2544" s="3" t="s">
        <v>204</v>
      </c>
      <c r="L2544" s="3" t="s">
        <v>204</v>
      </c>
      <c r="M2544" s="3" t="s">
        <v>378</v>
      </c>
      <c r="N2544" s="3" t="s">
        <v>3066</v>
      </c>
      <c r="O2544" s="5">
        <v>16449.3027092</v>
      </c>
      <c r="P2544" s="6" t="str">
        <f t="shared" si="2"/>
        <v>Finance</v>
      </c>
    </row>
    <row r="2545">
      <c r="A2545" s="3" t="s">
        <v>1717</v>
      </c>
      <c r="B2545" s="4">
        <v>543374.0</v>
      </c>
      <c r="C2545" s="3" t="s">
        <v>10570</v>
      </c>
      <c r="D2545" s="3" t="s">
        <v>10571</v>
      </c>
      <c r="E2545" s="3" t="s">
        <v>10572</v>
      </c>
      <c r="F2545" s="3" t="s">
        <v>19</v>
      </c>
      <c r="G2545" s="3" t="s">
        <v>20</v>
      </c>
      <c r="H2545" s="3">
        <v>5.0</v>
      </c>
      <c r="I2545" s="3" t="s">
        <v>10573</v>
      </c>
      <c r="J2545" s="3" t="s">
        <v>22</v>
      </c>
      <c r="K2545" s="3" t="s">
        <v>204</v>
      </c>
      <c r="L2545" s="3" t="s">
        <v>204</v>
      </c>
      <c r="M2545" s="3" t="s">
        <v>205</v>
      </c>
      <c r="N2545" s="3" t="s">
        <v>3270</v>
      </c>
      <c r="O2545" s="5">
        <v>18825.9763352</v>
      </c>
      <c r="P2545" s="6" t="str">
        <f t="shared" si="2"/>
        <v>Capital Markets</v>
      </c>
    </row>
    <row r="2546" hidden="1">
      <c r="A2546" s="3" t="s">
        <v>10574</v>
      </c>
      <c r="B2546" s="4">
        <v>532834.0</v>
      </c>
      <c r="C2546" s="3" t="s">
        <v>10575</v>
      </c>
      <c r="D2546" s="3" t="s">
        <v>10576</v>
      </c>
      <c r="E2546" s="3" t="s">
        <v>10577</v>
      </c>
      <c r="F2546" s="3" t="s">
        <v>19</v>
      </c>
      <c r="G2546" s="3" t="s">
        <v>20</v>
      </c>
      <c r="H2546" s="3">
        <v>1.0</v>
      </c>
      <c r="I2546" s="3" t="s">
        <v>10574</v>
      </c>
      <c r="J2546" s="3" t="s">
        <v>22</v>
      </c>
      <c r="K2546" s="3" t="s">
        <v>23</v>
      </c>
      <c r="L2546" s="3" t="s">
        <v>24</v>
      </c>
      <c r="M2546" s="3" t="s">
        <v>25</v>
      </c>
      <c r="N2546" s="3" t="s">
        <v>26</v>
      </c>
      <c r="O2546" s="5">
        <v>1728.40824</v>
      </c>
      <c r="P2546" s="6" t="str">
        <f t="shared" si="2"/>
        <v>Specialty Chemicals</v>
      </c>
    </row>
    <row r="2547">
      <c r="A2547" s="3" t="s">
        <v>9964</v>
      </c>
      <c r="B2547" s="4">
        <v>543390.0</v>
      </c>
      <c r="C2547" s="3" t="s">
        <v>10578</v>
      </c>
      <c r="D2547" s="3" t="s">
        <v>10579</v>
      </c>
      <c r="E2547" s="3" t="s">
        <v>10580</v>
      </c>
      <c r="F2547" s="3" t="s">
        <v>19</v>
      </c>
      <c r="G2547" s="3" t="s">
        <v>20</v>
      </c>
      <c r="H2547" s="3">
        <v>2.0</v>
      </c>
      <c r="I2547" s="3" t="s">
        <v>10581</v>
      </c>
      <c r="J2547" s="3" t="s">
        <v>22</v>
      </c>
      <c r="K2547" s="3" t="s">
        <v>204</v>
      </c>
      <c r="L2547" s="3" t="s">
        <v>204</v>
      </c>
      <c r="M2547" s="3" t="s">
        <v>3234</v>
      </c>
      <c r="N2547" s="3" t="s">
        <v>3234</v>
      </c>
      <c r="O2547" s="5">
        <v>60078.7362708</v>
      </c>
      <c r="P2547" s="6" t="str">
        <f t="shared" si="2"/>
        <v>Financial Technology (Fintech)</v>
      </c>
    </row>
    <row r="2548" hidden="1">
      <c r="A2548" s="3" t="s">
        <v>10582</v>
      </c>
      <c r="B2548" s="4">
        <v>532839.0</v>
      </c>
      <c r="C2548" s="3" t="s">
        <v>10583</v>
      </c>
      <c r="D2548" s="3" t="s">
        <v>10584</v>
      </c>
      <c r="E2548" s="3" t="s">
        <v>10585</v>
      </c>
      <c r="F2548" s="3" t="s">
        <v>19</v>
      </c>
      <c r="G2548" s="3" t="s">
        <v>20</v>
      </c>
      <c r="H2548" s="3">
        <v>1.0</v>
      </c>
      <c r="I2548" s="3" t="s">
        <v>10582</v>
      </c>
      <c r="J2548" s="3" t="s">
        <v>22</v>
      </c>
      <c r="K2548" s="3" t="s">
        <v>58</v>
      </c>
      <c r="L2548" s="3" t="s">
        <v>182</v>
      </c>
      <c r="M2548" s="3" t="s">
        <v>1168</v>
      </c>
      <c r="N2548" s="3" t="s">
        <v>1169</v>
      </c>
      <c r="O2548" s="5">
        <v>2834.2150942</v>
      </c>
      <c r="P2548" s="6" t="str">
        <f t="shared" si="2"/>
        <v>Entertainment</v>
      </c>
    </row>
    <row r="2549" hidden="1">
      <c r="A2549" s="3" t="s">
        <v>10586</v>
      </c>
      <c r="B2549" s="4">
        <v>532841.0</v>
      </c>
      <c r="C2549" s="3" t="s">
        <v>10587</v>
      </c>
      <c r="D2549" s="3" t="s">
        <v>10588</v>
      </c>
      <c r="E2549" s="3" t="s">
        <v>10587</v>
      </c>
      <c r="F2549" s="3" t="s">
        <v>19</v>
      </c>
      <c r="G2549" s="3" t="s">
        <v>112</v>
      </c>
      <c r="H2549" s="3">
        <v>10.0</v>
      </c>
      <c r="I2549" s="3" t="s">
        <v>10586</v>
      </c>
      <c r="J2549" s="3" t="s">
        <v>22</v>
      </c>
      <c r="K2549" s="3" t="s">
        <v>23</v>
      </c>
      <c r="L2549" s="3" t="s">
        <v>162</v>
      </c>
      <c r="M2549" s="3" t="s">
        <v>163</v>
      </c>
      <c r="N2549" s="3" t="s">
        <v>163</v>
      </c>
      <c r="O2549" s="5">
        <v>460.024441</v>
      </c>
      <c r="P2549" s="6" t="str">
        <f t="shared" si="2"/>
        <v>Cement &amp; Cement Products</v>
      </c>
    </row>
    <row r="2550" hidden="1">
      <c r="A2550" s="3" t="s">
        <v>10589</v>
      </c>
      <c r="B2550" s="4">
        <v>532842.0</v>
      </c>
      <c r="C2550" s="3" t="s">
        <v>10590</v>
      </c>
      <c r="D2550" s="3" t="s">
        <v>10591</v>
      </c>
      <c r="E2550" s="3" t="s">
        <v>10592</v>
      </c>
      <c r="F2550" s="3" t="s">
        <v>19</v>
      </c>
      <c r="G2550" s="3" t="s">
        <v>112</v>
      </c>
      <c r="H2550" s="3">
        <v>10.0</v>
      </c>
      <c r="I2550" s="3" t="s">
        <v>10589</v>
      </c>
      <c r="J2550" s="3" t="s">
        <v>22</v>
      </c>
      <c r="K2550" s="3" t="s">
        <v>23</v>
      </c>
      <c r="L2550" s="3" t="s">
        <v>24</v>
      </c>
      <c r="M2550" s="3" t="s">
        <v>25</v>
      </c>
      <c r="N2550" s="3" t="s">
        <v>52</v>
      </c>
      <c r="O2550" s="5">
        <v>949.7023245</v>
      </c>
      <c r="P2550" s="6" t="str">
        <f t="shared" si="2"/>
        <v>Chemicals &amp; Petrochemicals</v>
      </c>
    </row>
    <row r="2551">
      <c r="A2551" s="3" t="s">
        <v>10593</v>
      </c>
      <c r="B2551" s="4">
        <v>543396.0</v>
      </c>
      <c r="C2551" s="3" t="s">
        <v>10594</v>
      </c>
      <c r="D2551" s="3" t="s">
        <v>10595</v>
      </c>
      <c r="E2551" s="3" t="s">
        <v>10596</v>
      </c>
      <c r="F2551" s="3" t="s">
        <v>19</v>
      </c>
      <c r="G2551" s="3" t="s">
        <v>20</v>
      </c>
      <c r="H2551" s="3">
        <v>1.0</v>
      </c>
      <c r="I2551" s="3" t="s">
        <v>10597</v>
      </c>
      <c r="J2551" s="3" t="s">
        <v>22</v>
      </c>
      <c r="K2551" s="3" t="s">
        <v>204</v>
      </c>
      <c r="L2551" s="3" t="s">
        <v>204</v>
      </c>
      <c r="M2551" s="3" t="s">
        <v>3234</v>
      </c>
      <c r="N2551" s="3" t="s">
        <v>3234</v>
      </c>
      <c r="O2551" s="5">
        <v>26081.4474613</v>
      </c>
      <c r="P2551" s="6" t="str">
        <f t="shared" si="2"/>
        <v>Financial Technology (Fintech)</v>
      </c>
    </row>
    <row r="2552" hidden="1">
      <c r="A2552" s="3" t="s">
        <v>10598</v>
      </c>
      <c r="B2552" s="4">
        <v>532845.0</v>
      </c>
      <c r="C2552" s="3" t="s">
        <v>10599</v>
      </c>
      <c r="D2552" s="3" t="s">
        <v>10600</v>
      </c>
      <c r="E2552" s="3" t="s">
        <v>10601</v>
      </c>
      <c r="F2552" s="3" t="s">
        <v>19</v>
      </c>
      <c r="G2552" s="3" t="s">
        <v>112</v>
      </c>
      <c r="H2552" s="3">
        <v>10.0</v>
      </c>
      <c r="I2552" s="3" t="s">
        <v>10598</v>
      </c>
      <c r="J2552" s="3" t="s">
        <v>22</v>
      </c>
      <c r="K2552" s="3" t="s">
        <v>58</v>
      </c>
      <c r="L2552" s="3" t="s">
        <v>73</v>
      </c>
      <c r="M2552" s="3" t="s">
        <v>74</v>
      </c>
      <c r="N2552" s="3" t="s">
        <v>75</v>
      </c>
      <c r="O2552" s="5">
        <v>49.611326</v>
      </c>
      <c r="P2552" s="6" t="str">
        <f t="shared" si="2"/>
        <v>Leisure Services</v>
      </c>
    </row>
    <row r="2553" hidden="1">
      <c r="A2553" s="3" t="s">
        <v>10602</v>
      </c>
      <c r="B2553" s="4">
        <v>532847.0</v>
      </c>
      <c r="C2553" s="3" t="s">
        <v>10603</v>
      </c>
      <c r="D2553" s="3" t="s">
        <v>10604</v>
      </c>
      <c r="E2553" s="3" t="s">
        <v>10605</v>
      </c>
      <c r="F2553" s="3" t="s">
        <v>19</v>
      </c>
      <c r="G2553" s="3" t="s">
        <v>112</v>
      </c>
      <c r="H2553" s="3">
        <v>10.0</v>
      </c>
      <c r="I2553" s="3" t="s">
        <v>10602</v>
      </c>
      <c r="J2553" s="3" t="s">
        <v>22</v>
      </c>
      <c r="K2553" s="3" t="s">
        <v>97</v>
      </c>
      <c r="L2553" s="3" t="s">
        <v>98</v>
      </c>
      <c r="M2553" s="3" t="s">
        <v>100</v>
      </c>
      <c r="N2553" s="3" t="s">
        <v>1909</v>
      </c>
      <c r="O2553" s="5">
        <v>182.954669</v>
      </c>
      <c r="P2553" s="6" t="str">
        <f t="shared" si="2"/>
        <v>Industrial Products</v>
      </c>
    </row>
    <row r="2554" hidden="1">
      <c r="A2554" s="3" t="s">
        <v>10606</v>
      </c>
      <c r="B2554" s="4">
        <v>532848.0</v>
      </c>
      <c r="C2554" s="3" t="s">
        <v>10607</v>
      </c>
      <c r="D2554" s="3" t="s">
        <v>10608</v>
      </c>
      <c r="E2554" s="3" t="s">
        <v>10609</v>
      </c>
      <c r="F2554" s="3" t="s">
        <v>19</v>
      </c>
      <c r="G2554" s="3" t="s">
        <v>20</v>
      </c>
      <c r="H2554" s="3">
        <v>1.0</v>
      </c>
      <c r="I2554" s="3" t="s">
        <v>10606</v>
      </c>
      <c r="J2554" s="3" t="s">
        <v>22</v>
      </c>
      <c r="K2554" s="3" t="s">
        <v>58</v>
      </c>
      <c r="L2554" s="3" t="s">
        <v>73</v>
      </c>
      <c r="M2554" s="3" t="s">
        <v>74</v>
      </c>
      <c r="N2554" s="3" t="s">
        <v>2446</v>
      </c>
      <c r="O2554" s="5">
        <v>3468.0914865</v>
      </c>
      <c r="P2554" s="6" t="str">
        <f t="shared" si="2"/>
        <v>Leisure Services</v>
      </c>
    </row>
    <row r="2555" hidden="1">
      <c r="A2555" s="3" t="s">
        <v>10610</v>
      </c>
      <c r="B2555" s="4">
        <v>532850.0</v>
      </c>
      <c r="C2555" s="3" t="s">
        <v>10611</v>
      </c>
      <c r="D2555" s="3" t="s">
        <v>10612</v>
      </c>
      <c r="E2555" s="3" t="s">
        <v>10613</v>
      </c>
      <c r="F2555" s="3" t="s">
        <v>19</v>
      </c>
      <c r="G2555" s="3" t="s">
        <v>112</v>
      </c>
      <c r="H2555" s="3">
        <v>2.0</v>
      </c>
      <c r="I2555" s="3" t="s">
        <v>10610</v>
      </c>
      <c r="J2555" s="3" t="s">
        <v>22</v>
      </c>
      <c r="K2555" s="3" t="s">
        <v>97</v>
      </c>
      <c r="L2555" s="3" t="s">
        <v>98</v>
      </c>
      <c r="M2555" s="3" t="s">
        <v>99</v>
      </c>
      <c r="N2555" s="3" t="s">
        <v>100</v>
      </c>
      <c r="O2555" s="5">
        <v>2007.6152173</v>
      </c>
      <c r="P2555" s="6" t="str">
        <f t="shared" si="2"/>
        <v>Industrial Products</v>
      </c>
    </row>
    <row r="2556" hidden="1">
      <c r="A2556" s="3" t="s">
        <v>10614</v>
      </c>
      <c r="B2556" s="4">
        <v>532851.0</v>
      </c>
      <c r="C2556" s="3" t="s">
        <v>10615</v>
      </c>
      <c r="D2556" s="3" t="s">
        <v>10616</v>
      </c>
      <c r="E2556" s="3" t="s">
        <v>10617</v>
      </c>
      <c r="F2556" s="3" t="s">
        <v>19</v>
      </c>
      <c r="G2556" s="3" t="s">
        <v>112</v>
      </c>
      <c r="H2556" s="3">
        <v>10.0</v>
      </c>
      <c r="I2556" s="3" t="s">
        <v>10614</v>
      </c>
      <c r="J2556" s="3" t="s">
        <v>22</v>
      </c>
      <c r="K2556" s="3" t="s">
        <v>23</v>
      </c>
      <c r="L2556" s="3" t="s">
        <v>24</v>
      </c>
      <c r="M2556" s="3" t="s">
        <v>91</v>
      </c>
      <c r="N2556" s="3" t="s">
        <v>252</v>
      </c>
      <c r="O2556" s="5">
        <v>2095.1838223</v>
      </c>
      <c r="P2556" s="6" t="str">
        <f t="shared" si="2"/>
        <v>Fertilizers &amp; Agrochemicals</v>
      </c>
    </row>
    <row r="2557" hidden="1">
      <c r="A2557" s="3" t="s">
        <v>10618</v>
      </c>
      <c r="B2557" s="4">
        <v>532853.0</v>
      </c>
      <c r="C2557" s="3" t="s">
        <v>10619</v>
      </c>
      <c r="D2557" s="3" t="s">
        <v>10620</v>
      </c>
      <c r="E2557" s="3" t="s">
        <v>10621</v>
      </c>
      <c r="F2557" s="3" t="s">
        <v>19</v>
      </c>
      <c r="G2557" s="3" t="s">
        <v>112</v>
      </c>
      <c r="H2557" s="3">
        <v>10.0</v>
      </c>
      <c r="I2557" s="3" t="s">
        <v>10618</v>
      </c>
      <c r="J2557" s="3" t="s">
        <v>22</v>
      </c>
      <c r="K2557" s="3" t="s">
        <v>23</v>
      </c>
      <c r="L2557" s="3" t="s">
        <v>24</v>
      </c>
      <c r="M2557" s="3" t="s">
        <v>25</v>
      </c>
      <c r="N2557" s="3" t="s">
        <v>368</v>
      </c>
      <c r="O2557" s="5">
        <v>516.6424995</v>
      </c>
      <c r="P2557" s="6" t="str">
        <f t="shared" si="2"/>
        <v>Chemicals &amp; Petrochemicals</v>
      </c>
    </row>
    <row r="2558" hidden="1">
      <c r="A2558" s="3" t="s">
        <v>10622</v>
      </c>
      <c r="B2558" s="4">
        <v>532855.0</v>
      </c>
      <c r="C2558" s="3" t="s">
        <v>10623</v>
      </c>
      <c r="D2558" s="3" t="s">
        <v>10624</v>
      </c>
      <c r="E2558" s="3" t="s">
        <v>10625</v>
      </c>
      <c r="F2558" s="3" t="s">
        <v>19</v>
      </c>
      <c r="G2558" s="3" t="s">
        <v>44</v>
      </c>
      <c r="H2558" s="3">
        <v>10.0</v>
      </c>
      <c r="I2558" s="3" t="s">
        <v>10622</v>
      </c>
      <c r="J2558" s="3" t="s">
        <v>22</v>
      </c>
      <c r="K2558" s="3" t="s">
        <v>204</v>
      </c>
      <c r="L2558" s="3" t="s">
        <v>204</v>
      </c>
      <c r="M2558" s="3" t="s">
        <v>378</v>
      </c>
      <c r="N2558" s="3" t="s">
        <v>384</v>
      </c>
      <c r="O2558" s="5">
        <v>117.8658586</v>
      </c>
      <c r="P2558" s="6" t="str">
        <f t="shared" si="2"/>
        <v>Finance</v>
      </c>
    </row>
    <row r="2559">
      <c r="A2559" s="3" t="s">
        <v>10626</v>
      </c>
      <c r="B2559" s="4">
        <v>543412.0</v>
      </c>
      <c r="C2559" s="3" t="s">
        <v>10627</v>
      </c>
      <c r="D2559" s="3" t="s">
        <v>10628</v>
      </c>
      <c r="E2559" s="3" t="s">
        <v>10629</v>
      </c>
      <c r="F2559" s="3" t="s">
        <v>19</v>
      </c>
      <c r="G2559" s="3" t="s">
        <v>20</v>
      </c>
      <c r="H2559" s="3">
        <v>10.0</v>
      </c>
      <c r="I2559" s="3" t="s">
        <v>10630</v>
      </c>
      <c r="J2559" s="3" t="s">
        <v>22</v>
      </c>
      <c r="K2559" s="3" t="s">
        <v>204</v>
      </c>
      <c r="L2559" s="3" t="s">
        <v>204</v>
      </c>
      <c r="M2559" s="3" t="s">
        <v>9536</v>
      </c>
      <c r="N2559" s="3" t="s">
        <v>10227</v>
      </c>
      <c r="O2559" s="5">
        <v>32950.6997181</v>
      </c>
      <c r="P2559" s="6" t="str">
        <f t="shared" si="2"/>
        <v>Insurance</v>
      </c>
    </row>
    <row r="2560" hidden="1">
      <c r="A2560" s="3" t="s">
        <v>1704</v>
      </c>
      <c r="B2560" s="4">
        <v>543516.0</v>
      </c>
      <c r="C2560" s="3" t="s">
        <v>10631</v>
      </c>
      <c r="D2560" s="3" t="s">
        <v>10632</v>
      </c>
      <c r="E2560" s="3" t="s">
        <v>10633</v>
      </c>
      <c r="F2560" s="3" t="s">
        <v>19</v>
      </c>
      <c r="G2560" s="3" t="s">
        <v>2428</v>
      </c>
      <c r="H2560" s="3">
        <v>10.0</v>
      </c>
      <c r="I2560" s="3" t="s">
        <v>10634</v>
      </c>
      <c r="J2560" s="3" t="s">
        <v>22</v>
      </c>
      <c r="K2560" s="3" t="s">
        <v>1673</v>
      </c>
      <c r="L2560" s="3" t="s">
        <v>1673</v>
      </c>
      <c r="M2560" s="3" t="s">
        <v>1674</v>
      </c>
      <c r="N2560" s="3" t="s">
        <v>1915</v>
      </c>
      <c r="O2560" s="5">
        <v>9.7065901</v>
      </c>
      <c r="P2560" s="6" t="str">
        <f t="shared" si="2"/>
        <v>Commercial Services &amp; Supplies</v>
      </c>
    </row>
    <row r="2561" hidden="1">
      <c r="A2561" s="3" t="s">
        <v>10635</v>
      </c>
      <c r="B2561" s="4">
        <v>532864.0</v>
      </c>
      <c r="C2561" s="3" t="s">
        <v>10636</v>
      </c>
      <c r="D2561" s="3" t="s">
        <v>10637</v>
      </c>
      <c r="E2561" s="3" t="s">
        <v>10638</v>
      </c>
      <c r="F2561" s="3" t="s">
        <v>19</v>
      </c>
      <c r="G2561" s="3" t="s">
        <v>112</v>
      </c>
      <c r="H2561" s="3">
        <v>2.0</v>
      </c>
      <c r="I2561" s="3" t="s">
        <v>10635</v>
      </c>
      <c r="J2561" s="3" t="s">
        <v>22</v>
      </c>
      <c r="K2561" s="3" t="s">
        <v>97</v>
      </c>
      <c r="L2561" s="3" t="s">
        <v>98</v>
      </c>
      <c r="M2561" s="3" t="s">
        <v>100</v>
      </c>
      <c r="N2561" s="3" t="s">
        <v>1909</v>
      </c>
      <c r="O2561" s="5">
        <v>1284.4915263</v>
      </c>
      <c r="P2561" s="6" t="str">
        <f t="shared" si="2"/>
        <v>Industrial Products</v>
      </c>
    </row>
    <row r="2562" hidden="1">
      <c r="A2562" s="3" t="s">
        <v>10639</v>
      </c>
      <c r="B2562" s="4">
        <v>532867.0</v>
      </c>
      <c r="C2562" s="3" t="s">
        <v>10640</v>
      </c>
      <c r="D2562" s="3" t="s">
        <v>10641</v>
      </c>
      <c r="E2562" s="3" t="s">
        <v>10642</v>
      </c>
      <c r="F2562" s="3" t="s">
        <v>19</v>
      </c>
      <c r="G2562" s="3" t="s">
        <v>86</v>
      </c>
      <c r="H2562" s="3">
        <v>10.0</v>
      </c>
      <c r="I2562" s="3" t="s">
        <v>10639</v>
      </c>
      <c r="J2562" s="3" t="s">
        <v>22</v>
      </c>
      <c r="K2562" s="3" t="s">
        <v>58</v>
      </c>
      <c r="L2562" s="3" t="s">
        <v>73</v>
      </c>
      <c r="M2562" s="3" t="s">
        <v>988</v>
      </c>
      <c r="N2562" s="3" t="s">
        <v>989</v>
      </c>
      <c r="O2562" s="5">
        <v>2824.0383345</v>
      </c>
      <c r="P2562" s="6" t="str">
        <f t="shared" si="2"/>
        <v>Retailing</v>
      </c>
    </row>
    <row r="2563">
      <c r="A2563" s="3" t="s">
        <v>1738</v>
      </c>
      <c r="B2563" s="4">
        <v>543415.0</v>
      </c>
      <c r="C2563" s="3" t="s">
        <v>10643</v>
      </c>
      <c r="D2563" s="3" t="s">
        <v>10644</v>
      </c>
      <c r="E2563" s="3" t="s">
        <v>10645</v>
      </c>
      <c r="F2563" s="3" t="s">
        <v>19</v>
      </c>
      <c r="G2563" s="3" t="s">
        <v>20</v>
      </c>
      <c r="H2563" s="3">
        <v>5.0</v>
      </c>
      <c r="I2563" s="3" t="s">
        <v>10646</v>
      </c>
      <c r="J2563" s="3" t="s">
        <v>22</v>
      </c>
      <c r="K2563" s="3" t="s">
        <v>204</v>
      </c>
      <c r="L2563" s="3" t="s">
        <v>204</v>
      </c>
      <c r="M2563" s="3" t="s">
        <v>205</v>
      </c>
      <c r="N2563" s="3" t="s">
        <v>10647</v>
      </c>
      <c r="O2563" s="5">
        <v>16191.8198</v>
      </c>
      <c r="P2563" s="6" t="str">
        <f t="shared" si="2"/>
        <v>Capital Markets</v>
      </c>
    </row>
    <row r="2564" hidden="1">
      <c r="A2564" s="3" t="s">
        <v>10648</v>
      </c>
      <c r="B2564" s="4">
        <v>532869.0</v>
      </c>
      <c r="C2564" s="3" t="s">
        <v>10649</v>
      </c>
      <c r="D2564" s="3" t="s">
        <v>10650</v>
      </c>
      <c r="E2564" s="3" t="s">
        <v>10651</v>
      </c>
      <c r="F2564" s="3" t="s">
        <v>19</v>
      </c>
      <c r="G2564" s="3" t="s">
        <v>86</v>
      </c>
      <c r="H2564" s="3">
        <v>10.0</v>
      </c>
      <c r="I2564" s="3" t="s">
        <v>10648</v>
      </c>
      <c r="J2564" s="3" t="s">
        <v>22</v>
      </c>
      <c r="K2564" s="3" t="s">
        <v>97</v>
      </c>
      <c r="L2564" s="3" t="s">
        <v>965</v>
      </c>
      <c r="M2564" s="3" t="s">
        <v>965</v>
      </c>
      <c r="N2564" s="3" t="s">
        <v>966</v>
      </c>
      <c r="O2564" s="5">
        <v>161.8488111</v>
      </c>
      <c r="P2564" s="6" t="str">
        <f t="shared" si="2"/>
        <v>Civil Construction</v>
      </c>
    </row>
    <row r="2565" hidden="1">
      <c r="A2565" s="3" t="s">
        <v>10652</v>
      </c>
      <c r="B2565" s="4">
        <v>532870.0</v>
      </c>
      <c r="C2565" s="3" t="s">
        <v>10653</v>
      </c>
      <c r="D2565" s="3" t="s">
        <v>10654</v>
      </c>
      <c r="E2565" s="3" t="s">
        <v>10655</v>
      </c>
      <c r="F2565" s="3" t="s">
        <v>19</v>
      </c>
      <c r="G2565" s="3" t="s">
        <v>86</v>
      </c>
      <c r="H2565" s="3">
        <v>10.0</v>
      </c>
      <c r="I2565" s="3" t="s">
        <v>10652</v>
      </c>
      <c r="J2565" s="3" t="s">
        <v>22</v>
      </c>
      <c r="K2565" s="3" t="s">
        <v>23</v>
      </c>
      <c r="L2565" s="3" t="s">
        <v>65</v>
      </c>
      <c r="M2565" s="3" t="s">
        <v>106</v>
      </c>
      <c r="N2565" s="3" t="s">
        <v>107</v>
      </c>
      <c r="O2565" s="5">
        <v>54.6075729</v>
      </c>
      <c r="P2565" s="6" t="str">
        <f t="shared" si="2"/>
        <v>Ferrous Metals</v>
      </c>
    </row>
    <row r="2566">
      <c r="A2566" s="3" t="s">
        <v>10656</v>
      </c>
      <c r="B2566" s="4">
        <v>543526.0</v>
      </c>
      <c r="C2566" s="3" t="s">
        <v>10657</v>
      </c>
      <c r="D2566" s="3" t="s">
        <v>10658</v>
      </c>
      <c r="E2566" s="3" t="s">
        <v>10659</v>
      </c>
      <c r="F2566" s="3" t="s">
        <v>19</v>
      </c>
      <c r="G2566" s="3" t="s">
        <v>20</v>
      </c>
      <c r="H2566" s="3">
        <v>10.0</v>
      </c>
      <c r="I2566" s="3" t="s">
        <v>10660</v>
      </c>
      <c r="J2566" s="3" t="s">
        <v>22</v>
      </c>
      <c r="K2566" s="3" t="s">
        <v>204</v>
      </c>
      <c r="L2566" s="3" t="s">
        <v>204</v>
      </c>
      <c r="M2566" s="3" t="s">
        <v>9536</v>
      </c>
      <c r="N2566" s="3" t="s">
        <v>9537</v>
      </c>
      <c r="O2566" s="5">
        <v>620771.6763005</v>
      </c>
      <c r="P2566" s="6" t="str">
        <f t="shared" si="2"/>
        <v>Insurance</v>
      </c>
    </row>
    <row r="2567" hidden="1">
      <c r="A2567" s="3" t="s">
        <v>10661</v>
      </c>
      <c r="B2567" s="4">
        <v>532875.0</v>
      </c>
      <c r="C2567" s="3" t="s">
        <v>10662</v>
      </c>
      <c r="D2567" s="3" t="s">
        <v>10663</v>
      </c>
      <c r="E2567" s="3" t="s">
        <v>10664</v>
      </c>
      <c r="F2567" s="3" t="s">
        <v>19</v>
      </c>
      <c r="G2567" s="3" t="s">
        <v>112</v>
      </c>
      <c r="H2567" s="3">
        <v>5.0</v>
      </c>
      <c r="I2567" s="3" t="s">
        <v>10661</v>
      </c>
      <c r="J2567" s="3" t="s">
        <v>22</v>
      </c>
      <c r="K2567" s="3" t="s">
        <v>473</v>
      </c>
      <c r="L2567" s="3" t="s">
        <v>473</v>
      </c>
      <c r="M2567" s="3" t="s">
        <v>1538</v>
      </c>
      <c r="N2567" s="3" t="s">
        <v>1539</v>
      </c>
      <c r="O2567" s="5">
        <v>1048.2556364</v>
      </c>
      <c r="P2567" s="6" t="str">
        <f t="shared" si="2"/>
        <v>IT - Services</v>
      </c>
    </row>
    <row r="2568" hidden="1">
      <c r="A2568" s="3" t="s">
        <v>10665</v>
      </c>
      <c r="B2568" s="4">
        <v>532878.0</v>
      </c>
      <c r="C2568" s="3" t="s">
        <v>10666</v>
      </c>
      <c r="D2568" s="3" t="s">
        <v>10667</v>
      </c>
      <c r="E2568" s="3" t="s">
        <v>10668</v>
      </c>
      <c r="F2568" s="3" t="s">
        <v>19</v>
      </c>
      <c r="G2568" s="3" t="s">
        <v>112</v>
      </c>
      <c r="H2568" s="3">
        <v>10.0</v>
      </c>
      <c r="I2568" s="3" t="s">
        <v>10665</v>
      </c>
      <c r="J2568" s="3" t="s">
        <v>22</v>
      </c>
      <c r="K2568" s="3" t="s">
        <v>45</v>
      </c>
      <c r="L2568" s="3" t="s">
        <v>45</v>
      </c>
      <c r="M2568" s="3" t="s">
        <v>46</v>
      </c>
      <c r="N2568" s="3" t="s">
        <v>47</v>
      </c>
      <c r="O2568" s="5">
        <v>184.9456227</v>
      </c>
      <c r="P2568" s="6" t="str">
        <f t="shared" si="2"/>
        <v>Pharmaceuticals</v>
      </c>
    </row>
    <row r="2569" hidden="1">
      <c r="A2569" s="3" t="s">
        <v>10669</v>
      </c>
      <c r="B2569" s="4">
        <v>532879.0</v>
      </c>
      <c r="C2569" s="3" t="s">
        <v>10670</v>
      </c>
      <c r="D2569" s="3" t="s">
        <v>10671</v>
      </c>
      <c r="E2569" s="3" t="s">
        <v>10672</v>
      </c>
      <c r="F2569" s="3" t="s">
        <v>19</v>
      </c>
      <c r="G2569" s="3" t="s">
        <v>72</v>
      </c>
      <c r="H2569" s="3">
        <v>10.0</v>
      </c>
      <c r="I2569" s="3" t="s">
        <v>10669</v>
      </c>
      <c r="J2569" s="3" t="s">
        <v>22</v>
      </c>
      <c r="K2569" s="3" t="s">
        <v>145</v>
      </c>
      <c r="L2569" s="3" t="s">
        <v>145</v>
      </c>
      <c r="M2569" s="3" t="s">
        <v>146</v>
      </c>
      <c r="N2569" s="3" t="s">
        <v>147</v>
      </c>
      <c r="O2569" s="5">
        <v>200.658626</v>
      </c>
      <c r="P2569" s="6" t="str">
        <f t="shared" si="2"/>
        <v>Agricultural Food &amp; other Products</v>
      </c>
    </row>
    <row r="2570" hidden="1">
      <c r="A2570" s="3" t="s">
        <v>10673</v>
      </c>
      <c r="B2570" s="4">
        <v>532880.0</v>
      </c>
      <c r="C2570" s="3" t="s">
        <v>10674</v>
      </c>
      <c r="D2570" s="3" t="s">
        <v>10675</v>
      </c>
      <c r="E2570" s="3" t="s">
        <v>10676</v>
      </c>
      <c r="F2570" s="3" t="s">
        <v>19</v>
      </c>
      <c r="G2570" s="3" t="s">
        <v>112</v>
      </c>
      <c r="H2570" s="3">
        <v>10.0</v>
      </c>
      <c r="I2570" s="3" t="s">
        <v>10673</v>
      </c>
      <c r="J2570" s="3" t="s">
        <v>22</v>
      </c>
      <c r="K2570" s="3" t="s">
        <v>58</v>
      </c>
      <c r="L2570" s="3" t="s">
        <v>59</v>
      </c>
      <c r="M2570" s="3" t="s">
        <v>59</v>
      </c>
      <c r="N2570" s="3" t="s">
        <v>60</v>
      </c>
      <c r="O2570" s="5">
        <v>2142.72027</v>
      </c>
      <c r="P2570" s="6" t="str">
        <f t="shared" si="2"/>
        <v>Residential, Commercial Projects</v>
      </c>
    </row>
    <row r="2571" hidden="1">
      <c r="A2571" s="3" t="s">
        <v>10677</v>
      </c>
      <c r="B2571" s="4">
        <v>532884.0</v>
      </c>
      <c r="C2571" s="3" t="s">
        <v>10678</v>
      </c>
      <c r="D2571" s="3" t="s">
        <v>10679</v>
      </c>
      <c r="E2571" s="3" t="s">
        <v>10678</v>
      </c>
      <c r="F2571" s="3" t="s">
        <v>19</v>
      </c>
      <c r="G2571" s="3" t="s">
        <v>112</v>
      </c>
      <c r="H2571" s="3">
        <v>2.0</v>
      </c>
      <c r="I2571" s="3" t="s">
        <v>10677</v>
      </c>
      <c r="J2571" s="3" t="s">
        <v>22</v>
      </c>
      <c r="K2571" s="3" t="s">
        <v>23</v>
      </c>
      <c r="L2571" s="3" t="s">
        <v>24</v>
      </c>
      <c r="M2571" s="3" t="s">
        <v>25</v>
      </c>
      <c r="N2571" s="3" t="s">
        <v>480</v>
      </c>
      <c r="O2571" s="5">
        <v>2119.5334372</v>
      </c>
      <c r="P2571" s="6" t="str">
        <f t="shared" si="2"/>
        <v>Chemicals &amp; Petrochemicals</v>
      </c>
    </row>
    <row r="2572">
      <c r="A2572" s="3" t="s">
        <v>9978</v>
      </c>
      <c r="B2572" s="4">
        <v>543527.0</v>
      </c>
      <c r="C2572" s="3" t="s">
        <v>10680</v>
      </c>
      <c r="D2572" s="3" t="s">
        <v>10681</v>
      </c>
      <c r="E2572" s="3" t="s">
        <v>10682</v>
      </c>
      <c r="F2572" s="3" t="s">
        <v>19</v>
      </c>
      <c r="G2572" s="3" t="s">
        <v>112</v>
      </c>
      <c r="H2572" s="3">
        <v>5.0</v>
      </c>
      <c r="I2572" s="3" t="s">
        <v>10683</v>
      </c>
      <c r="J2572" s="3" t="s">
        <v>22</v>
      </c>
      <c r="K2572" s="3" t="s">
        <v>204</v>
      </c>
      <c r="L2572" s="3" t="s">
        <v>204</v>
      </c>
      <c r="M2572" s="3" t="s">
        <v>205</v>
      </c>
      <c r="N2572" s="3" t="s">
        <v>10647</v>
      </c>
      <c r="O2572" s="5">
        <v>8282.2677857</v>
      </c>
      <c r="P2572" s="6" t="str">
        <f t="shared" si="2"/>
        <v>Capital Markets</v>
      </c>
    </row>
    <row r="2573" hidden="1">
      <c r="A2573" s="3" t="s">
        <v>10684</v>
      </c>
      <c r="B2573" s="4">
        <v>532886.0</v>
      </c>
      <c r="C2573" s="3" t="s">
        <v>10685</v>
      </c>
      <c r="D2573" s="3" t="s">
        <v>10686</v>
      </c>
      <c r="E2573" s="3" t="s">
        <v>10687</v>
      </c>
      <c r="F2573" s="3" t="s">
        <v>19</v>
      </c>
      <c r="G2573" s="3" t="s">
        <v>112</v>
      </c>
      <c r="H2573" s="3">
        <v>10.0</v>
      </c>
      <c r="I2573" s="3" t="s">
        <v>10684</v>
      </c>
      <c r="J2573" s="3" t="s">
        <v>22</v>
      </c>
      <c r="K2573" s="3" t="s">
        <v>58</v>
      </c>
      <c r="L2573" s="3" t="s">
        <v>80</v>
      </c>
      <c r="M2573" s="3" t="s">
        <v>81</v>
      </c>
      <c r="N2573" s="3" t="s">
        <v>82</v>
      </c>
      <c r="O2573" s="5">
        <v>198.5826715</v>
      </c>
      <c r="P2573" s="6" t="str">
        <f t="shared" si="2"/>
        <v>Textiles &amp; Apparels</v>
      </c>
    </row>
    <row r="2574" hidden="1">
      <c r="A2574" s="3" t="s">
        <v>10688</v>
      </c>
      <c r="B2574" s="4">
        <v>532888.0</v>
      </c>
      <c r="C2574" s="3" t="s">
        <v>10689</v>
      </c>
      <c r="D2574" s="3" t="s">
        <v>10690</v>
      </c>
      <c r="E2574" s="3" t="s">
        <v>10691</v>
      </c>
      <c r="F2574" s="3" t="s">
        <v>19</v>
      </c>
      <c r="G2574" s="3" t="s">
        <v>112</v>
      </c>
      <c r="H2574" s="3">
        <v>10.0</v>
      </c>
      <c r="I2574" s="3" t="s">
        <v>10688</v>
      </c>
      <c r="J2574" s="3" t="s">
        <v>22</v>
      </c>
      <c r="K2574" s="3" t="s">
        <v>58</v>
      </c>
      <c r="L2574" s="3" t="s">
        <v>211</v>
      </c>
      <c r="M2574" s="3" t="s">
        <v>211</v>
      </c>
      <c r="N2574" s="3" t="s">
        <v>971</v>
      </c>
      <c r="O2574" s="5">
        <v>958.1196404</v>
      </c>
      <c r="P2574" s="6" t="str">
        <f t="shared" si="2"/>
        <v>Consumer Durables</v>
      </c>
    </row>
    <row r="2575">
      <c r="A2575" s="3" t="s">
        <v>1762</v>
      </c>
      <c r="B2575" s="4">
        <v>543596.0</v>
      </c>
      <c r="C2575" s="3" t="s">
        <v>10692</v>
      </c>
      <c r="D2575" s="3" t="s">
        <v>10693</v>
      </c>
      <c r="E2575" s="3" t="s">
        <v>10694</v>
      </c>
      <c r="F2575" s="3" t="s">
        <v>19</v>
      </c>
      <c r="G2575" s="3" t="s">
        <v>20</v>
      </c>
      <c r="H2575" s="3">
        <v>10.0</v>
      </c>
      <c r="I2575" s="3" t="s">
        <v>10695</v>
      </c>
      <c r="J2575" s="3" t="s">
        <v>22</v>
      </c>
      <c r="K2575" s="3" t="s">
        <v>204</v>
      </c>
      <c r="L2575" s="3" t="s">
        <v>204</v>
      </c>
      <c r="M2575" s="3" t="s">
        <v>9428</v>
      </c>
      <c r="N2575" s="3" t="s">
        <v>9429</v>
      </c>
      <c r="O2575" s="5">
        <v>7614.4467</v>
      </c>
      <c r="P2575" s="6" t="str">
        <f t="shared" si="2"/>
        <v>Private Sector Bank</v>
      </c>
    </row>
    <row r="2576" hidden="1">
      <c r="A2576" s="3" t="s">
        <v>10696</v>
      </c>
      <c r="B2576" s="4">
        <v>532890.0</v>
      </c>
      <c r="C2576" s="3" t="s">
        <v>10697</v>
      </c>
      <c r="D2576" s="3" t="s">
        <v>10698</v>
      </c>
      <c r="E2576" s="3" t="s">
        <v>10699</v>
      </c>
      <c r="F2576" s="3" t="s">
        <v>19</v>
      </c>
      <c r="G2576" s="3" t="s">
        <v>112</v>
      </c>
      <c r="H2576" s="3">
        <v>1.0</v>
      </c>
      <c r="I2576" s="3" t="s">
        <v>10696</v>
      </c>
      <c r="J2576" s="3" t="s">
        <v>22</v>
      </c>
      <c r="K2576" s="3" t="s">
        <v>45</v>
      </c>
      <c r="L2576" s="3" t="s">
        <v>45</v>
      </c>
      <c r="M2576" s="3" t="s">
        <v>4488</v>
      </c>
      <c r="N2576" s="3" t="s">
        <v>6244</v>
      </c>
      <c r="O2576" s="5">
        <v>311.5461476</v>
      </c>
      <c r="P2576" s="6" t="str">
        <f t="shared" si="2"/>
        <v>Healthcare Services</v>
      </c>
    </row>
    <row r="2577">
      <c r="A2577" s="3" t="s">
        <v>1888</v>
      </c>
      <c r="B2577" s="4">
        <v>543663.0</v>
      </c>
      <c r="C2577" s="3" t="s">
        <v>10700</v>
      </c>
      <c r="D2577" s="3" t="s">
        <v>10701</v>
      </c>
      <c r="E2577" s="3" t="s">
        <v>10702</v>
      </c>
      <c r="F2577" s="3" t="s">
        <v>19</v>
      </c>
      <c r="G2577" s="3" t="s">
        <v>20</v>
      </c>
      <c r="H2577" s="3">
        <v>1.0</v>
      </c>
      <c r="I2577" s="3" t="s">
        <v>10703</v>
      </c>
      <c r="J2577" s="3" t="s">
        <v>22</v>
      </c>
      <c r="K2577" s="3" t="s">
        <v>204</v>
      </c>
      <c r="L2577" s="3" t="s">
        <v>204</v>
      </c>
      <c r="M2577" s="3" t="s">
        <v>378</v>
      </c>
      <c r="N2577" s="3" t="s">
        <v>379</v>
      </c>
      <c r="O2577" s="5">
        <v>23300.9967262</v>
      </c>
      <c r="P2577" s="6" t="str">
        <f t="shared" si="2"/>
        <v>Non Banking Financial Company (NBFC)</v>
      </c>
    </row>
    <row r="2578">
      <c r="A2578" s="3" t="s">
        <v>9986</v>
      </c>
      <c r="B2578" s="4">
        <v>543720.0</v>
      </c>
      <c r="C2578" s="3" t="s">
        <v>10704</v>
      </c>
      <c r="D2578" s="3" t="s">
        <v>10705</v>
      </c>
      <c r="E2578" s="3" t="s">
        <v>10706</v>
      </c>
      <c r="F2578" s="3" t="s">
        <v>19</v>
      </c>
      <c r="G2578" s="3" t="s">
        <v>20</v>
      </c>
      <c r="H2578" s="3">
        <v>10.0</v>
      </c>
      <c r="I2578" s="3" t="s">
        <v>10707</v>
      </c>
      <c r="J2578" s="3" t="s">
        <v>22</v>
      </c>
      <c r="K2578" s="3" t="s">
        <v>204</v>
      </c>
      <c r="L2578" s="3" t="s">
        <v>204</v>
      </c>
      <c r="M2578" s="3" t="s">
        <v>205</v>
      </c>
      <c r="N2578" s="3" t="s">
        <v>10492</v>
      </c>
      <c r="O2578" s="5">
        <v>12561.8749794</v>
      </c>
      <c r="P2578" s="6" t="str">
        <f t="shared" si="2"/>
        <v>Capital Markets</v>
      </c>
    </row>
    <row r="2579" hidden="1">
      <c r="A2579" s="3" t="s">
        <v>10708</v>
      </c>
      <c r="B2579" s="4">
        <v>532893.0</v>
      </c>
      <c r="C2579" s="3" t="s">
        <v>10709</v>
      </c>
      <c r="D2579" s="3" t="s">
        <v>10710</v>
      </c>
      <c r="E2579" s="3" t="s">
        <v>10711</v>
      </c>
      <c r="F2579" s="3" t="s">
        <v>19</v>
      </c>
      <c r="G2579" s="3" t="s">
        <v>44</v>
      </c>
      <c r="H2579" s="3">
        <v>1.0</v>
      </c>
      <c r="I2579" s="3" t="s">
        <v>10708</v>
      </c>
      <c r="J2579" s="3" t="s">
        <v>22</v>
      </c>
      <c r="K2579" s="3" t="s">
        <v>58</v>
      </c>
      <c r="L2579" s="3" t="s">
        <v>80</v>
      </c>
      <c r="M2579" s="3" t="s">
        <v>81</v>
      </c>
      <c r="N2579" s="3" t="s">
        <v>82</v>
      </c>
      <c r="O2579" s="5">
        <v>283.60458</v>
      </c>
      <c r="P2579" s="6" t="str">
        <f t="shared" si="2"/>
        <v>Textiles &amp; Apparels</v>
      </c>
    </row>
    <row r="2580" hidden="1">
      <c r="A2580" s="3" t="s">
        <v>10712</v>
      </c>
      <c r="B2580" s="4">
        <v>532894.0</v>
      </c>
      <c r="C2580" s="3" t="s">
        <v>10713</v>
      </c>
      <c r="D2580" s="3" t="s">
        <v>10714</v>
      </c>
      <c r="E2580" s="3" t="s">
        <v>10715</v>
      </c>
      <c r="F2580" s="3" t="s">
        <v>19</v>
      </c>
      <c r="G2580" s="3" t="s">
        <v>112</v>
      </c>
      <c r="H2580" s="3">
        <v>10.0</v>
      </c>
      <c r="I2580" s="3" t="s">
        <v>10712</v>
      </c>
      <c r="J2580" s="3" t="s">
        <v>22</v>
      </c>
      <c r="K2580" s="3" t="s">
        <v>1647</v>
      </c>
      <c r="L2580" s="3" t="s">
        <v>1648</v>
      </c>
      <c r="M2580" s="3" t="s">
        <v>1648</v>
      </c>
      <c r="N2580" s="3" t="s">
        <v>1649</v>
      </c>
      <c r="O2580" s="5">
        <v>332.1818109</v>
      </c>
      <c r="P2580" s="6" t="str">
        <f t="shared" si="2"/>
        <v>Power</v>
      </c>
    </row>
    <row r="2581" hidden="1">
      <c r="A2581" s="3" t="s">
        <v>10716</v>
      </c>
      <c r="B2581" s="4">
        <v>532895.0</v>
      </c>
      <c r="C2581" s="3" t="s">
        <v>10717</v>
      </c>
      <c r="D2581" s="3" t="s">
        <v>10718</v>
      </c>
      <c r="E2581" s="3" t="s">
        <v>10719</v>
      </c>
      <c r="F2581" s="3" t="s">
        <v>19</v>
      </c>
      <c r="G2581" s="3" t="s">
        <v>112</v>
      </c>
      <c r="H2581" s="3">
        <v>5.0</v>
      </c>
      <c r="I2581" s="3" t="s">
        <v>10716</v>
      </c>
      <c r="J2581" s="3" t="s">
        <v>22</v>
      </c>
      <c r="K2581" s="3" t="s">
        <v>204</v>
      </c>
      <c r="L2581" s="3" t="s">
        <v>204</v>
      </c>
      <c r="M2581" s="3" t="s">
        <v>378</v>
      </c>
      <c r="N2581" s="3" t="s">
        <v>384</v>
      </c>
      <c r="O2581" s="5">
        <v>30.8719305</v>
      </c>
      <c r="P2581" s="6" t="str">
        <f t="shared" si="2"/>
        <v>Finance</v>
      </c>
    </row>
    <row r="2582" hidden="1">
      <c r="A2582" s="3" t="s">
        <v>10720</v>
      </c>
      <c r="B2582" s="4">
        <v>532896.0</v>
      </c>
      <c r="C2582" s="3" t="s">
        <v>10721</v>
      </c>
      <c r="D2582" s="3" t="s">
        <v>10722</v>
      </c>
      <c r="E2582" s="3" t="s">
        <v>10723</v>
      </c>
      <c r="F2582" s="3" t="s">
        <v>19</v>
      </c>
      <c r="G2582" s="3" t="s">
        <v>112</v>
      </c>
      <c r="H2582" s="3">
        <v>10.0</v>
      </c>
      <c r="I2582" s="3" t="s">
        <v>10720</v>
      </c>
      <c r="J2582" s="3" t="s">
        <v>22</v>
      </c>
      <c r="K2582" s="3" t="s">
        <v>23</v>
      </c>
      <c r="L2582" s="3" t="s">
        <v>32</v>
      </c>
      <c r="M2582" s="3" t="s">
        <v>33</v>
      </c>
      <c r="N2582" s="3" t="s">
        <v>34</v>
      </c>
      <c r="O2582" s="5">
        <v>324.1298035</v>
      </c>
      <c r="P2582" s="6" t="str">
        <f t="shared" si="2"/>
        <v>Paper, Forest &amp; Jute Products</v>
      </c>
    </row>
    <row r="2583">
      <c r="A2583" s="3" t="s">
        <v>10724</v>
      </c>
      <c r="B2583" s="4">
        <v>543940.0</v>
      </c>
      <c r="C2583" s="3" t="s">
        <v>10725</v>
      </c>
      <c r="D2583" s="3" t="s">
        <v>10726</v>
      </c>
      <c r="E2583" s="3" t="s">
        <v>10727</v>
      </c>
      <c r="F2583" s="3" t="s">
        <v>19</v>
      </c>
      <c r="G2583" s="3" t="s">
        <v>112</v>
      </c>
      <c r="H2583" s="3">
        <v>10.0</v>
      </c>
      <c r="I2583" s="3" t="s">
        <v>10728</v>
      </c>
      <c r="J2583" s="3" t="s">
        <v>22</v>
      </c>
      <c r="K2583" s="3" t="s">
        <v>204</v>
      </c>
      <c r="L2583" s="3" t="s">
        <v>204</v>
      </c>
      <c r="M2583" s="3" t="s">
        <v>378</v>
      </c>
      <c r="N2583" s="3" t="s">
        <v>379</v>
      </c>
      <c r="O2583" s="5">
        <v>227156.0213591</v>
      </c>
      <c r="P2583" s="6" t="str">
        <f t="shared" si="2"/>
        <v>Non Banking Financial Company (NBFC)</v>
      </c>
    </row>
    <row r="2584" hidden="1">
      <c r="A2584" s="3" t="s">
        <v>10729</v>
      </c>
      <c r="B2584" s="4">
        <v>532899.0</v>
      </c>
      <c r="C2584" s="3" t="s">
        <v>10730</v>
      </c>
      <c r="D2584" s="3" t="s">
        <v>10731</v>
      </c>
      <c r="E2584" s="3" t="s">
        <v>10732</v>
      </c>
      <c r="F2584" s="3" t="s">
        <v>19</v>
      </c>
      <c r="G2584" s="3" t="s">
        <v>20</v>
      </c>
      <c r="H2584" s="3">
        <v>2.0</v>
      </c>
      <c r="I2584" s="3" t="s">
        <v>10729</v>
      </c>
      <c r="J2584" s="3" t="s">
        <v>22</v>
      </c>
      <c r="K2584" s="3" t="s">
        <v>145</v>
      </c>
      <c r="L2584" s="3" t="s">
        <v>145</v>
      </c>
      <c r="M2584" s="3" t="s">
        <v>146</v>
      </c>
      <c r="N2584" s="3" t="s">
        <v>2645</v>
      </c>
      <c r="O2584" s="5">
        <v>4791.1401452</v>
      </c>
      <c r="P2584" s="6" t="str">
        <f t="shared" si="2"/>
        <v>Agricultural Food &amp; other Products</v>
      </c>
    </row>
    <row r="2585">
      <c r="A2585" s="3" t="s">
        <v>9990</v>
      </c>
      <c r="B2585" s="4">
        <v>543942.0</v>
      </c>
      <c r="C2585" s="3" t="s">
        <v>10733</v>
      </c>
      <c r="D2585" s="3" t="s">
        <v>10734</v>
      </c>
      <c r="E2585" s="3" t="s">
        <v>10735</v>
      </c>
      <c r="F2585" s="3" t="s">
        <v>19</v>
      </c>
      <c r="G2585" s="3" t="s">
        <v>112</v>
      </c>
      <c r="H2585" s="3">
        <v>10.0</v>
      </c>
      <c r="I2585" s="3" t="s">
        <v>10736</v>
      </c>
      <c r="J2585" s="3" t="s">
        <v>22</v>
      </c>
      <c r="K2585" s="3" t="s">
        <v>204</v>
      </c>
      <c r="L2585" s="3" t="s">
        <v>204</v>
      </c>
      <c r="M2585" s="3" t="s">
        <v>9428</v>
      </c>
      <c r="N2585" s="6" t="s">
        <v>9429</v>
      </c>
      <c r="O2585" s="5">
        <v>5628.2993202</v>
      </c>
      <c r="P2585" s="6" t="str">
        <f t="shared" si="2"/>
        <v>Private Sector Bank</v>
      </c>
    </row>
    <row r="2586" hidden="1">
      <c r="A2586" s="3" t="s">
        <v>10737</v>
      </c>
      <c r="B2586" s="4">
        <v>532904.0</v>
      </c>
      <c r="C2586" s="3" t="s">
        <v>10738</v>
      </c>
      <c r="D2586" s="3" t="s">
        <v>10739</v>
      </c>
      <c r="E2586" s="3" t="s">
        <v>10740</v>
      </c>
      <c r="F2586" s="3" t="s">
        <v>19</v>
      </c>
      <c r="G2586" s="3" t="s">
        <v>57</v>
      </c>
      <c r="H2586" s="3">
        <v>10.0</v>
      </c>
      <c r="I2586" s="3" t="s">
        <v>10737</v>
      </c>
      <c r="J2586" s="3" t="s">
        <v>22</v>
      </c>
      <c r="K2586" s="3" t="s">
        <v>97</v>
      </c>
      <c r="L2586" s="3" t="s">
        <v>965</v>
      </c>
      <c r="M2586" s="3" t="s">
        <v>965</v>
      </c>
      <c r="N2586" s="3" t="s">
        <v>966</v>
      </c>
      <c r="O2586" s="5">
        <v>248.5919554</v>
      </c>
      <c r="P2586" s="6" t="str">
        <f t="shared" si="2"/>
        <v>Civil Construction</v>
      </c>
    </row>
    <row r="2587" hidden="1">
      <c r="A2587" s="3" t="s">
        <v>10741</v>
      </c>
      <c r="B2587" s="4">
        <v>532906.0</v>
      </c>
      <c r="C2587" s="3" t="s">
        <v>10742</v>
      </c>
      <c r="D2587" s="3" t="s">
        <v>10743</v>
      </c>
      <c r="E2587" s="3" t="s">
        <v>10744</v>
      </c>
      <c r="F2587" s="3" t="s">
        <v>19</v>
      </c>
      <c r="G2587" s="3" t="s">
        <v>112</v>
      </c>
      <c r="H2587" s="3">
        <v>5.0</v>
      </c>
      <c r="I2587" s="3" t="s">
        <v>10741</v>
      </c>
      <c r="J2587" s="3" t="s">
        <v>22</v>
      </c>
      <c r="K2587" s="3" t="s">
        <v>23</v>
      </c>
      <c r="L2587" s="3" t="s">
        <v>65</v>
      </c>
      <c r="M2587" s="3" t="s">
        <v>66</v>
      </c>
      <c r="N2587" s="3" t="s">
        <v>286</v>
      </c>
      <c r="O2587" s="5">
        <v>775.2701777</v>
      </c>
      <c r="P2587" s="6" t="str">
        <f t="shared" si="2"/>
        <v>Non - Ferrous Metals</v>
      </c>
    </row>
    <row r="2588" hidden="1">
      <c r="A2588" s="3" t="s">
        <v>10745</v>
      </c>
      <c r="B2588" s="4">
        <v>532907.0</v>
      </c>
      <c r="C2588" s="3" t="s">
        <v>10746</v>
      </c>
      <c r="D2588" s="3" t="s">
        <v>10747</v>
      </c>
      <c r="E2588" s="3" t="s">
        <v>10748</v>
      </c>
      <c r="F2588" s="3" t="s">
        <v>19</v>
      </c>
      <c r="G2588" s="3" t="s">
        <v>57</v>
      </c>
      <c r="H2588" s="3">
        <v>10.0</v>
      </c>
      <c r="I2588" s="3" t="s">
        <v>10745</v>
      </c>
      <c r="J2588" s="3" t="s">
        <v>22</v>
      </c>
      <c r="K2588" s="3" t="s">
        <v>97</v>
      </c>
      <c r="L2588" s="3" t="s">
        <v>965</v>
      </c>
      <c r="M2588" s="3" t="s">
        <v>965</v>
      </c>
      <c r="N2588" s="3" t="s">
        <v>966</v>
      </c>
      <c r="O2588" s="5">
        <v>272.7232503</v>
      </c>
      <c r="P2588" s="6" t="str">
        <f t="shared" si="2"/>
        <v>Civil Construction</v>
      </c>
    </row>
    <row r="2589" hidden="1">
      <c r="A2589" s="3" t="s">
        <v>9369</v>
      </c>
      <c r="B2589" s="4">
        <v>512344.0</v>
      </c>
      <c r="C2589" s="3" t="s">
        <v>10749</v>
      </c>
      <c r="D2589" s="3" t="s">
        <v>10750</v>
      </c>
      <c r="E2589" s="3" t="s">
        <v>10751</v>
      </c>
      <c r="F2589" s="3" t="s">
        <v>19</v>
      </c>
      <c r="G2589" s="3" t="s">
        <v>72</v>
      </c>
      <c r="H2589" s="3">
        <v>10.0</v>
      </c>
      <c r="I2589" s="3" t="s">
        <v>3811</v>
      </c>
      <c r="J2589" s="3" t="s">
        <v>22</v>
      </c>
      <c r="K2589" s="3" t="s">
        <v>1673</v>
      </c>
      <c r="L2589" s="3" t="s">
        <v>1673</v>
      </c>
      <c r="M2589" s="3" t="s">
        <v>1674</v>
      </c>
      <c r="N2589" s="3" t="s">
        <v>1915</v>
      </c>
      <c r="O2589" s="5">
        <v>9.5395481</v>
      </c>
      <c r="P2589" s="6" t="str">
        <f t="shared" si="2"/>
        <v>Commercial Services &amp; Supplies</v>
      </c>
    </row>
    <row r="2590">
      <c r="A2590" s="3" t="s">
        <v>9995</v>
      </c>
      <c r="B2590" s="4">
        <v>543959.0</v>
      </c>
      <c r="C2590" s="3" t="s">
        <v>10752</v>
      </c>
      <c r="D2590" s="3" t="s">
        <v>10753</v>
      </c>
      <c r="E2590" s="3" t="s">
        <v>10754</v>
      </c>
      <c r="F2590" s="3" t="s">
        <v>19</v>
      </c>
      <c r="G2590" s="3" t="s">
        <v>112</v>
      </c>
      <c r="H2590" s="3">
        <v>10.0</v>
      </c>
      <c r="I2590" s="3" t="s">
        <v>10755</v>
      </c>
      <c r="J2590" s="3" t="s">
        <v>22</v>
      </c>
      <c r="K2590" s="3" t="s">
        <v>204</v>
      </c>
      <c r="L2590" s="3" t="s">
        <v>204</v>
      </c>
      <c r="M2590" s="3" t="s">
        <v>378</v>
      </c>
      <c r="N2590" s="3" t="s">
        <v>379</v>
      </c>
      <c r="O2590" s="5">
        <v>8731.8385596</v>
      </c>
      <c r="P2590" s="6" t="str">
        <f t="shared" si="2"/>
        <v>Non Banking Financial Company (NBFC)</v>
      </c>
    </row>
    <row r="2591" hidden="1">
      <c r="A2591" s="3" t="s">
        <v>10756</v>
      </c>
      <c r="B2591" s="4">
        <v>532916.0</v>
      </c>
      <c r="C2591" s="3" t="s">
        <v>10757</v>
      </c>
      <c r="D2591" s="3" t="s">
        <v>10758</v>
      </c>
      <c r="E2591" s="3" t="s">
        <v>10759</v>
      </c>
      <c r="F2591" s="3" t="s">
        <v>19</v>
      </c>
      <c r="G2591" s="3" t="s">
        <v>112</v>
      </c>
      <c r="H2591" s="3">
        <v>10.0</v>
      </c>
      <c r="I2591" s="3" t="s">
        <v>10756</v>
      </c>
      <c r="J2591" s="3" t="s">
        <v>22</v>
      </c>
      <c r="K2591" s="3" t="s">
        <v>23</v>
      </c>
      <c r="L2591" s="3" t="s">
        <v>162</v>
      </c>
      <c r="M2591" s="3" t="s">
        <v>163</v>
      </c>
      <c r="N2591" s="3" t="s">
        <v>163</v>
      </c>
      <c r="O2591" s="5">
        <v>144.2391219</v>
      </c>
      <c r="P2591" s="6" t="str">
        <f t="shared" si="2"/>
        <v>Cement &amp; Cement Products</v>
      </c>
    </row>
    <row r="2592" hidden="1">
      <c r="A2592" s="3" t="s">
        <v>10760</v>
      </c>
      <c r="B2592" s="4">
        <v>532918.0</v>
      </c>
      <c r="C2592" s="3" t="s">
        <v>10761</v>
      </c>
      <c r="D2592" s="3" t="s">
        <v>10762</v>
      </c>
      <c r="E2592" s="3" t="s">
        <v>10763</v>
      </c>
      <c r="F2592" s="3" t="s">
        <v>19</v>
      </c>
      <c r="G2592" s="3" t="s">
        <v>44</v>
      </c>
      <c r="H2592" s="3">
        <v>10.0</v>
      </c>
      <c r="I2592" s="3" t="s">
        <v>10760</v>
      </c>
      <c r="J2592" s="3" t="s">
        <v>22</v>
      </c>
      <c r="K2592" s="3" t="s">
        <v>97</v>
      </c>
      <c r="L2592" s="3" t="s">
        <v>98</v>
      </c>
      <c r="M2592" s="3" t="s">
        <v>100</v>
      </c>
      <c r="N2592" s="3" t="s">
        <v>612</v>
      </c>
      <c r="O2592" s="5">
        <v>77.72623</v>
      </c>
      <c r="P2592" s="6" t="str">
        <f t="shared" si="2"/>
        <v>Industrial Products</v>
      </c>
    </row>
    <row r="2593" hidden="1">
      <c r="A2593" s="3" t="s">
        <v>10764</v>
      </c>
      <c r="B2593" s="4">
        <v>535204.0</v>
      </c>
      <c r="C2593" s="3" t="s">
        <v>10765</v>
      </c>
      <c r="D2593" s="3" t="s">
        <v>10766</v>
      </c>
      <c r="E2593" s="3" t="s">
        <v>10767</v>
      </c>
      <c r="F2593" s="3" t="s">
        <v>19</v>
      </c>
      <c r="G2593" s="3" t="s">
        <v>44</v>
      </c>
      <c r="H2593" s="3">
        <v>10.0</v>
      </c>
      <c r="I2593" s="3" t="s">
        <v>10768</v>
      </c>
      <c r="J2593" s="3" t="s">
        <v>22</v>
      </c>
      <c r="K2593" s="3" t="s">
        <v>1673</v>
      </c>
      <c r="L2593" s="3" t="s">
        <v>1673</v>
      </c>
      <c r="M2593" s="3" t="s">
        <v>1674</v>
      </c>
      <c r="N2593" s="3" t="s">
        <v>1915</v>
      </c>
      <c r="O2593" s="5">
        <v>8.998854</v>
      </c>
      <c r="P2593" s="6" t="str">
        <f t="shared" si="2"/>
        <v>Commercial Services &amp; Supplies</v>
      </c>
    </row>
    <row r="2594">
      <c r="A2594" s="3" t="s">
        <v>9999</v>
      </c>
      <c r="B2594" s="4">
        <v>543988.0</v>
      </c>
      <c r="C2594" s="3" t="s">
        <v>10769</v>
      </c>
      <c r="D2594" s="3" t="s">
        <v>10770</v>
      </c>
      <c r="E2594" s="3" t="s">
        <v>10771</v>
      </c>
      <c r="F2594" s="3" t="s">
        <v>19</v>
      </c>
      <c r="G2594" s="3" t="s">
        <v>112</v>
      </c>
      <c r="H2594" s="3">
        <v>10.0</v>
      </c>
      <c r="I2594" s="3" t="s">
        <v>10772</v>
      </c>
      <c r="J2594" s="3" t="s">
        <v>22</v>
      </c>
      <c r="K2594" s="3" t="s">
        <v>204</v>
      </c>
      <c r="L2594" s="3" t="s">
        <v>204</v>
      </c>
      <c r="M2594" s="3" t="s">
        <v>205</v>
      </c>
      <c r="N2594" s="3" t="s">
        <v>2109</v>
      </c>
      <c r="O2594" s="5">
        <v>17995.9400406</v>
      </c>
      <c r="P2594" s="6" t="str">
        <f t="shared" si="2"/>
        <v>Capital Markets</v>
      </c>
    </row>
    <row r="2595" hidden="1">
      <c r="A2595" s="3" t="s">
        <v>10773</v>
      </c>
      <c r="B2595" s="4">
        <v>532923.0</v>
      </c>
      <c r="C2595" s="3" t="s">
        <v>10774</v>
      </c>
      <c r="D2595" s="3" t="s">
        <v>10775</v>
      </c>
      <c r="E2595" s="3" t="s">
        <v>10776</v>
      </c>
      <c r="F2595" s="3" t="s">
        <v>19</v>
      </c>
      <c r="G2595" s="3" t="s">
        <v>112</v>
      </c>
      <c r="H2595" s="3">
        <v>2.0</v>
      </c>
      <c r="I2595" s="3" t="s">
        <v>10773</v>
      </c>
      <c r="J2595" s="3" t="s">
        <v>22</v>
      </c>
      <c r="K2595" s="3" t="s">
        <v>58</v>
      </c>
      <c r="L2595" s="3" t="s">
        <v>211</v>
      </c>
      <c r="M2595" s="3" t="s">
        <v>211</v>
      </c>
      <c r="N2595" s="3" t="s">
        <v>947</v>
      </c>
      <c r="O2595" s="5">
        <v>979.1328684</v>
      </c>
      <c r="P2595" s="6" t="str">
        <f t="shared" si="2"/>
        <v>Consumer Durables</v>
      </c>
    </row>
    <row r="2596" hidden="1">
      <c r="A2596" s="3" t="s">
        <v>10777</v>
      </c>
      <c r="B2596" s="4">
        <v>532924.0</v>
      </c>
      <c r="C2596" s="3" t="s">
        <v>10778</v>
      </c>
      <c r="D2596" s="3" t="s">
        <v>10779</v>
      </c>
      <c r="E2596" s="3" t="s">
        <v>10780</v>
      </c>
      <c r="F2596" s="3" t="s">
        <v>19</v>
      </c>
      <c r="G2596" s="3" t="s">
        <v>112</v>
      </c>
      <c r="H2596" s="3">
        <v>10.0</v>
      </c>
      <c r="I2596" s="3" t="s">
        <v>10777</v>
      </c>
      <c r="J2596" s="3" t="s">
        <v>22</v>
      </c>
      <c r="K2596" s="3" t="s">
        <v>58</v>
      </c>
      <c r="L2596" s="3" t="s">
        <v>59</v>
      </c>
      <c r="M2596" s="3" t="s">
        <v>59</v>
      </c>
      <c r="N2596" s="3" t="s">
        <v>60</v>
      </c>
      <c r="O2596" s="5">
        <v>3289.7726938</v>
      </c>
      <c r="P2596" s="6" t="str">
        <f t="shared" si="2"/>
        <v>Residential, Commercial Projects</v>
      </c>
    </row>
    <row r="2597" hidden="1">
      <c r="A2597" s="3" t="s">
        <v>10781</v>
      </c>
      <c r="B2597" s="4">
        <v>532925.0</v>
      </c>
      <c r="C2597" s="3" t="s">
        <v>10782</v>
      </c>
      <c r="D2597" s="3" t="s">
        <v>10783</v>
      </c>
      <c r="E2597" s="3" t="s">
        <v>10784</v>
      </c>
      <c r="F2597" s="3" t="s">
        <v>19</v>
      </c>
      <c r="G2597" s="3" t="s">
        <v>112</v>
      </c>
      <c r="H2597" s="3">
        <v>1000.0</v>
      </c>
      <c r="I2597" s="3" t="s">
        <v>10781</v>
      </c>
      <c r="J2597" s="3" t="s">
        <v>22</v>
      </c>
      <c r="K2597" s="3" t="s">
        <v>58</v>
      </c>
      <c r="L2597" s="3" t="s">
        <v>73</v>
      </c>
      <c r="M2597" s="3" t="s">
        <v>74</v>
      </c>
      <c r="N2597" s="3" t="s">
        <v>75</v>
      </c>
      <c r="O2597" s="5">
        <v>27.411264</v>
      </c>
      <c r="P2597" s="6" t="str">
        <f t="shared" si="2"/>
        <v>Leisure Services</v>
      </c>
    </row>
    <row r="2598">
      <c r="A2598" s="3" t="s">
        <v>9377</v>
      </c>
      <c r="B2598" s="4">
        <v>544026.0</v>
      </c>
      <c r="C2598" s="3" t="s">
        <v>10785</v>
      </c>
      <c r="D2598" s="3" t="s">
        <v>10786</v>
      </c>
      <c r="E2598" s="3" t="s">
        <v>10787</v>
      </c>
      <c r="F2598" s="3" t="s">
        <v>19</v>
      </c>
      <c r="G2598" s="3" t="s">
        <v>112</v>
      </c>
      <c r="H2598" s="3">
        <v>10.0</v>
      </c>
      <c r="I2598" s="3" t="s">
        <v>10788</v>
      </c>
      <c r="J2598" s="3" t="s">
        <v>22</v>
      </c>
      <c r="K2598" s="3" t="s">
        <v>204</v>
      </c>
      <c r="L2598" s="3" t="s">
        <v>204</v>
      </c>
      <c r="M2598" s="3" t="s">
        <v>378</v>
      </c>
      <c r="N2598" s="3" t="s">
        <v>6960</v>
      </c>
      <c r="O2598" s="5">
        <v>56815.6753283</v>
      </c>
      <c r="P2598" s="6" t="str">
        <f t="shared" si="2"/>
        <v>Finance</v>
      </c>
    </row>
    <row r="2599" hidden="1">
      <c r="A2599" s="3" t="s">
        <v>10789</v>
      </c>
      <c r="B2599" s="4">
        <v>526525.0</v>
      </c>
      <c r="C2599" s="3" t="s">
        <v>10790</v>
      </c>
      <c r="D2599" s="3" t="s">
        <v>10791</v>
      </c>
      <c r="E2599" s="3" t="s">
        <v>10792</v>
      </c>
      <c r="F2599" s="3" t="s">
        <v>19</v>
      </c>
      <c r="G2599" s="3" t="s">
        <v>72</v>
      </c>
      <c r="H2599" s="3">
        <v>10.0</v>
      </c>
      <c r="I2599" s="3" t="s">
        <v>6866</v>
      </c>
      <c r="J2599" s="3" t="s">
        <v>22</v>
      </c>
      <c r="K2599" s="3" t="s">
        <v>1673</v>
      </c>
      <c r="L2599" s="3" t="s">
        <v>1673</v>
      </c>
      <c r="M2599" s="3" t="s">
        <v>1674</v>
      </c>
      <c r="N2599" s="3" t="s">
        <v>1915</v>
      </c>
      <c r="O2599" s="5">
        <v>8.8664345</v>
      </c>
      <c r="P2599" s="6" t="str">
        <f t="shared" si="2"/>
        <v>Commercial Services &amp; Supplies</v>
      </c>
    </row>
    <row r="2600">
      <c r="A2600" s="3" t="s">
        <v>10793</v>
      </c>
      <c r="B2600" s="4">
        <v>544044.0</v>
      </c>
      <c r="C2600" s="3" t="s">
        <v>10794</v>
      </c>
      <c r="D2600" s="3" t="s">
        <v>10795</v>
      </c>
      <c r="E2600" s="3" t="s">
        <v>10796</v>
      </c>
      <c r="F2600" s="3" t="s">
        <v>19</v>
      </c>
      <c r="G2600" s="3" t="s">
        <v>112</v>
      </c>
      <c r="H2600" s="3">
        <v>5.0</v>
      </c>
      <c r="I2600" s="3" t="s">
        <v>10797</v>
      </c>
      <c r="J2600" s="3" t="s">
        <v>22</v>
      </c>
      <c r="K2600" s="3" t="s">
        <v>204</v>
      </c>
      <c r="L2600" s="3" t="s">
        <v>204</v>
      </c>
      <c r="M2600" s="3" t="s">
        <v>378</v>
      </c>
      <c r="N2600" s="3" t="s">
        <v>3066</v>
      </c>
      <c r="O2600" s="5">
        <v>7740.32802</v>
      </c>
      <c r="P2600" s="6" t="str">
        <f t="shared" si="2"/>
        <v>Finance</v>
      </c>
    </row>
    <row r="2601">
      <c r="A2601" s="3" t="s">
        <v>1927</v>
      </c>
      <c r="B2601" s="4">
        <v>544118.0</v>
      </c>
      <c r="C2601" s="3" t="s">
        <v>10798</v>
      </c>
      <c r="D2601" s="3" t="s">
        <v>10799</v>
      </c>
      <c r="E2601" s="3" t="s">
        <v>10800</v>
      </c>
      <c r="F2601" s="3" t="s">
        <v>19</v>
      </c>
      <c r="G2601" s="3" t="s">
        <v>112</v>
      </c>
      <c r="H2601" s="3">
        <v>10.0</v>
      </c>
      <c r="I2601" s="3" t="s">
        <v>10801</v>
      </c>
      <c r="J2601" s="3" t="s">
        <v>22</v>
      </c>
      <c r="K2601" s="3" t="s">
        <v>204</v>
      </c>
      <c r="L2601" s="3" t="s">
        <v>204</v>
      </c>
      <c r="M2601" s="3" t="s">
        <v>9428</v>
      </c>
      <c r="N2601" s="7" t="s">
        <v>9429</v>
      </c>
      <c r="O2601" s="5">
        <v>6876.3866768</v>
      </c>
      <c r="P2601" s="6" t="str">
        <f t="shared" si="2"/>
        <v>Private Sector Bank</v>
      </c>
    </row>
    <row r="2602" hidden="1">
      <c r="A2602" s="3" t="s">
        <v>10802</v>
      </c>
      <c r="B2602" s="4">
        <v>532930.0</v>
      </c>
      <c r="C2602" s="3" t="s">
        <v>10803</v>
      </c>
      <c r="D2602" s="3" t="s">
        <v>10804</v>
      </c>
      <c r="E2602" s="3" t="s">
        <v>10805</v>
      </c>
      <c r="F2602" s="3" t="s">
        <v>19</v>
      </c>
      <c r="G2602" s="3" t="s">
        <v>86</v>
      </c>
      <c r="H2602" s="3">
        <v>10.0</v>
      </c>
      <c r="I2602" s="3" t="s">
        <v>10802</v>
      </c>
      <c r="J2602" s="3" t="s">
        <v>22</v>
      </c>
      <c r="K2602" s="3" t="s">
        <v>97</v>
      </c>
      <c r="L2602" s="3" t="s">
        <v>965</v>
      </c>
      <c r="M2602" s="3" t="s">
        <v>965</v>
      </c>
      <c r="N2602" s="3" t="s">
        <v>966</v>
      </c>
      <c r="O2602" s="5">
        <v>285.209995</v>
      </c>
      <c r="P2602" s="6" t="str">
        <f t="shared" si="2"/>
        <v>Civil Construction</v>
      </c>
    </row>
    <row r="2603" hidden="1">
      <c r="A2603" s="3" t="s">
        <v>10806</v>
      </c>
      <c r="B2603" s="4">
        <v>532931.0</v>
      </c>
      <c r="C2603" s="3" t="s">
        <v>10807</v>
      </c>
      <c r="D2603" s="3" t="s">
        <v>10808</v>
      </c>
      <c r="E2603" s="3" t="s">
        <v>10809</v>
      </c>
      <c r="F2603" s="3" t="s">
        <v>19</v>
      </c>
      <c r="G2603" s="3" t="s">
        <v>112</v>
      </c>
      <c r="H2603" s="3">
        <v>10.0</v>
      </c>
      <c r="I2603" s="3" t="s">
        <v>10806</v>
      </c>
      <c r="J2603" s="3" t="s">
        <v>22</v>
      </c>
      <c r="K2603" s="3" t="s">
        <v>23</v>
      </c>
      <c r="L2603" s="3" t="s">
        <v>162</v>
      </c>
      <c r="M2603" s="3" t="s">
        <v>163</v>
      </c>
      <c r="N2603" s="3" t="s">
        <v>163</v>
      </c>
      <c r="O2603" s="5">
        <v>99.7260673</v>
      </c>
      <c r="P2603" s="6" t="str">
        <f t="shared" si="2"/>
        <v>Cement &amp; Cement Products</v>
      </c>
    </row>
    <row r="2604" hidden="1">
      <c r="A2604" s="3" t="s">
        <v>10810</v>
      </c>
      <c r="B2604" s="4">
        <v>532932.0</v>
      </c>
      <c r="C2604" s="3" t="s">
        <v>10811</v>
      </c>
      <c r="D2604" s="3" t="s">
        <v>10812</v>
      </c>
      <c r="E2604" s="3" t="s">
        <v>10813</v>
      </c>
      <c r="F2604" s="3" t="s">
        <v>19</v>
      </c>
      <c r="G2604" s="3" t="s">
        <v>112</v>
      </c>
      <c r="H2604" s="3">
        <v>2.0</v>
      </c>
      <c r="I2604" s="3" t="s">
        <v>10810</v>
      </c>
      <c r="J2604" s="3" t="s">
        <v>22</v>
      </c>
      <c r="K2604" s="3" t="s">
        <v>97</v>
      </c>
      <c r="L2604" s="3" t="s">
        <v>98</v>
      </c>
      <c r="M2604" s="3" t="s">
        <v>100</v>
      </c>
      <c r="N2604" s="3" t="s">
        <v>612</v>
      </c>
      <c r="O2604" s="5">
        <v>640.0478342</v>
      </c>
      <c r="P2604" s="6" t="str">
        <f t="shared" si="2"/>
        <v>Industrial Products</v>
      </c>
    </row>
    <row r="2605" hidden="1">
      <c r="A2605" s="3" t="s">
        <v>10814</v>
      </c>
      <c r="B2605" s="4">
        <v>532933.0</v>
      </c>
      <c r="C2605" s="3" t="s">
        <v>10815</v>
      </c>
      <c r="D2605" s="3" t="s">
        <v>10816</v>
      </c>
      <c r="E2605" s="3" t="s">
        <v>10817</v>
      </c>
      <c r="F2605" s="3" t="s">
        <v>19</v>
      </c>
      <c r="G2605" s="3" t="s">
        <v>44</v>
      </c>
      <c r="H2605" s="3">
        <v>10.0</v>
      </c>
      <c r="I2605" s="3" t="s">
        <v>10814</v>
      </c>
      <c r="J2605" s="3" t="s">
        <v>22</v>
      </c>
      <c r="K2605" s="3" t="s">
        <v>58</v>
      </c>
      <c r="L2605" s="3" t="s">
        <v>133</v>
      </c>
      <c r="M2605" s="3" t="s">
        <v>134</v>
      </c>
      <c r="N2605" s="3" t="s">
        <v>135</v>
      </c>
      <c r="O2605" s="5">
        <v>113.2758345</v>
      </c>
      <c r="P2605" s="6" t="str">
        <f t="shared" si="2"/>
        <v>Auto Components &amp; Equipments</v>
      </c>
    </row>
    <row r="2606" hidden="1">
      <c r="A2606" s="3" t="s">
        <v>10818</v>
      </c>
      <c r="B2606" s="4">
        <v>532934.0</v>
      </c>
      <c r="C2606" s="3" t="s">
        <v>10819</v>
      </c>
      <c r="D2606" s="3" t="s">
        <v>10820</v>
      </c>
      <c r="E2606" s="3" t="s">
        <v>10819</v>
      </c>
      <c r="F2606" s="3" t="s">
        <v>19</v>
      </c>
      <c r="G2606" s="3" t="s">
        <v>112</v>
      </c>
      <c r="H2606" s="3">
        <v>10.0</v>
      </c>
      <c r="I2606" s="3" t="s">
        <v>10818</v>
      </c>
      <c r="J2606" s="3" t="s">
        <v>22</v>
      </c>
      <c r="K2606" s="3" t="s">
        <v>58</v>
      </c>
      <c r="L2606" s="3" t="s">
        <v>133</v>
      </c>
      <c r="M2606" s="3" t="s">
        <v>134</v>
      </c>
      <c r="N2606" s="3" t="s">
        <v>135</v>
      </c>
      <c r="O2606" s="5">
        <v>308.442401</v>
      </c>
      <c r="P2606" s="6" t="str">
        <f t="shared" si="2"/>
        <v>Auto Components &amp; Equipments</v>
      </c>
    </row>
    <row r="2607" hidden="1">
      <c r="A2607" s="3" t="s">
        <v>10821</v>
      </c>
      <c r="B2607" s="4">
        <v>532935.0</v>
      </c>
      <c r="C2607" s="3" t="s">
        <v>10822</v>
      </c>
      <c r="D2607" s="3" t="s">
        <v>10823</v>
      </c>
      <c r="E2607" s="3" t="s">
        <v>10824</v>
      </c>
      <c r="F2607" s="3" t="s">
        <v>19</v>
      </c>
      <c r="G2607" s="3" t="s">
        <v>112</v>
      </c>
      <c r="H2607" s="3">
        <v>10.0</v>
      </c>
      <c r="I2607" s="3" t="s">
        <v>10821</v>
      </c>
      <c r="J2607" s="3" t="s">
        <v>22</v>
      </c>
      <c r="K2607" s="3" t="s">
        <v>23</v>
      </c>
      <c r="L2607" s="3" t="s">
        <v>24</v>
      </c>
      <c r="M2607" s="3" t="s">
        <v>91</v>
      </c>
      <c r="N2607" s="3" t="s">
        <v>92</v>
      </c>
      <c r="O2607" s="5">
        <v>348.2526235</v>
      </c>
      <c r="P2607" s="6" t="str">
        <f t="shared" si="2"/>
        <v>Fertilizers &amp; Agrochemicals</v>
      </c>
    </row>
    <row r="2608" hidden="1">
      <c r="A2608" s="3" t="s">
        <v>10825</v>
      </c>
      <c r="B2608" s="4">
        <v>532937.0</v>
      </c>
      <c r="C2608" s="3" t="s">
        <v>10826</v>
      </c>
      <c r="D2608" s="3" t="s">
        <v>10827</v>
      </c>
      <c r="E2608" s="3" t="s">
        <v>10828</v>
      </c>
      <c r="F2608" s="3" t="s">
        <v>19</v>
      </c>
      <c r="G2608" s="3" t="s">
        <v>112</v>
      </c>
      <c r="H2608" s="3">
        <v>1.0</v>
      </c>
      <c r="I2608" s="3" t="s">
        <v>10825</v>
      </c>
      <c r="J2608" s="3" t="s">
        <v>22</v>
      </c>
      <c r="K2608" s="3" t="s">
        <v>23</v>
      </c>
      <c r="L2608" s="3" t="s">
        <v>32</v>
      </c>
      <c r="M2608" s="3" t="s">
        <v>33</v>
      </c>
      <c r="N2608" s="3" t="s">
        <v>34</v>
      </c>
      <c r="O2608" s="5">
        <v>1504.8090351</v>
      </c>
      <c r="P2608" s="6" t="str">
        <f t="shared" si="2"/>
        <v>Paper, Forest &amp; Jute Products</v>
      </c>
    </row>
    <row r="2609">
      <c r="A2609" s="3" t="s">
        <v>10829</v>
      </c>
      <c r="B2609" s="4">
        <v>544176.0</v>
      </c>
      <c r="C2609" s="3" t="s">
        <v>10830</v>
      </c>
      <c r="D2609" s="3" t="s">
        <v>10831</v>
      </c>
      <c r="E2609" s="3" t="s">
        <v>10832</v>
      </c>
      <c r="F2609" s="3" t="s">
        <v>19</v>
      </c>
      <c r="G2609" s="3" t="s">
        <v>112</v>
      </c>
      <c r="H2609" s="3">
        <v>10.0</v>
      </c>
      <c r="I2609" s="3" t="s">
        <v>10833</v>
      </c>
      <c r="J2609" s="3" t="s">
        <v>22</v>
      </c>
      <c r="K2609" s="3" t="s">
        <v>204</v>
      </c>
      <c r="L2609" s="3" t="s">
        <v>204</v>
      </c>
      <c r="M2609" s="3" t="s">
        <v>378</v>
      </c>
      <c r="N2609" s="3" t="s">
        <v>3066</v>
      </c>
      <c r="O2609" s="5">
        <v>18206.0486619</v>
      </c>
      <c r="P2609" s="6" t="str">
        <f t="shared" si="2"/>
        <v>Finance</v>
      </c>
    </row>
    <row r="2610">
      <c r="A2610" s="3" t="s">
        <v>10834</v>
      </c>
      <c r="B2610" s="4">
        <v>544179.0</v>
      </c>
      <c r="C2610" s="3" t="s">
        <v>10835</v>
      </c>
      <c r="D2610" s="3" t="s">
        <v>10836</v>
      </c>
      <c r="E2610" s="3" t="s">
        <v>10837</v>
      </c>
      <c r="F2610" s="3" t="s">
        <v>19</v>
      </c>
      <c r="G2610" s="3" t="s">
        <v>112</v>
      </c>
      <c r="H2610" s="3">
        <v>10.0</v>
      </c>
      <c r="I2610" s="3" t="s">
        <v>10838</v>
      </c>
      <c r="J2610" s="3" t="s">
        <v>22</v>
      </c>
      <c r="K2610" s="3" t="s">
        <v>204</v>
      </c>
      <c r="L2610" s="3" t="s">
        <v>204</v>
      </c>
      <c r="M2610" s="3" t="s">
        <v>9536</v>
      </c>
      <c r="N2610" s="3" t="s">
        <v>10227</v>
      </c>
      <c r="O2610" s="5">
        <v>30502.4142055</v>
      </c>
      <c r="P2610" s="6" t="str">
        <f t="shared" si="2"/>
        <v>Insurance</v>
      </c>
    </row>
    <row r="2611" hidden="1">
      <c r="A2611" s="3" t="s">
        <v>10839</v>
      </c>
      <c r="B2611" s="4">
        <v>532941.0</v>
      </c>
      <c r="C2611" s="3" t="s">
        <v>10840</v>
      </c>
      <c r="D2611" s="3" t="s">
        <v>10841</v>
      </c>
      <c r="E2611" s="3" t="s">
        <v>10842</v>
      </c>
      <c r="F2611" s="3" t="s">
        <v>19</v>
      </c>
      <c r="G2611" s="3" t="s">
        <v>86</v>
      </c>
      <c r="H2611" s="3">
        <v>10.0</v>
      </c>
      <c r="I2611" s="3" t="s">
        <v>10839</v>
      </c>
      <c r="J2611" s="3" t="s">
        <v>22</v>
      </c>
      <c r="K2611" s="3" t="s">
        <v>97</v>
      </c>
      <c r="L2611" s="3" t="s">
        <v>98</v>
      </c>
      <c r="M2611" s="3" t="s">
        <v>100</v>
      </c>
      <c r="N2611" s="3" t="s">
        <v>1804</v>
      </c>
      <c r="O2611" s="5">
        <v>301.5009752</v>
      </c>
      <c r="P2611" s="6" t="str">
        <f t="shared" si="2"/>
        <v>Industrial Products</v>
      </c>
    </row>
    <row r="2612">
      <c r="A2612" s="3" t="s">
        <v>10843</v>
      </c>
      <c r="B2612" s="4">
        <v>590003.0</v>
      </c>
      <c r="C2612" s="3" t="s">
        <v>10844</v>
      </c>
      <c r="D2612" s="3" t="s">
        <v>10845</v>
      </c>
      <c r="E2612" s="3" t="s">
        <v>10846</v>
      </c>
      <c r="F2612" s="3" t="s">
        <v>19</v>
      </c>
      <c r="G2612" s="3" t="s">
        <v>112</v>
      </c>
      <c r="H2612" s="3">
        <v>2.0</v>
      </c>
      <c r="I2612" s="3" t="s">
        <v>10847</v>
      </c>
      <c r="J2612" s="3" t="s">
        <v>22</v>
      </c>
      <c r="K2612" s="3" t="s">
        <v>204</v>
      </c>
      <c r="L2612" s="3" t="s">
        <v>204</v>
      </c>
      <c r="M2612" s="3" t="s">
        <v>9428</v>
      </c>
      <c r="N2612" s="3" t="s">
        <v>9429</v>
      </c>
      <c r="O2612" s="5">
        <v>16686.5396342</v>
      </c>
      <c r="P2612" s="6" t="str">
        <f t="shared" si="2"/>
        <v>Private Sector Bank</v>
      </c>
    </row>
    <row r="2613" hidden="1">
      <c r="A2613" s="3" t="s">
        <v>10848</v>
      </c>
      <c r="B2613" s="4">
        <v>532944.0</v>
      </c>
      <c r="C2613" s="3" t="s">
        <v>10849</v>
      </c>
      <c r="D2613" s="3" t="s">
        <v>10850</v>
      </c>
      <c r="E2613" s="3" t="s">
        <v>10849</v>
      </c>
      <c r="F2613" s="3" t="s">
        <v>19</v>
      </c>
      <c r="G2613" s="3" t="s">
        <v>112</v>
      </c>
      <c r="H2613" s="3">
        <v>10.0</v>
      </c>
      <c r="I2613" s="3" t="s">
        <v>10848</v>
      </c>
      <c r="J2613" s="3" t="s">
        <v>22</v>
      </c>
      <c r="K2613" s="3" t="s">
        <v>189</v>
      </c>
      <c r="L2613" s="3" t="s">
        <v>189</v>
      </c>
      <c r="M2613" s="3" t="s">
        <v>291</v>
      </c>
      <c r="N2613" s="3" t="s">
        <v>423</v>
      </c>
      <c r="O2613" s="5">
        <v>765.618597</v>
      </c>
      <c r="P2613" s="6" t="str">
        <f t="shared" si="2"/>
        <v>Telecom - Services</v>
      </c>
    </row>
    <row r="2614" hidden="1">
      <c r="A2614" s="3" t="s">
        <v>10851</v>
      </c>
      <c r="B2614" s="4">
        <v>532945.0</v>
      </c>
      <c r="C2614" s="3" t="s">
        <v>10852</v>
      </c>
      <c r="D2614" s="3" t="s">
        <v>10853</v>
      </c>
      <c r="E2614" s="3" t="s">
        <v>10854</v>
      </c>
      <c r="F2614" s="3" t="s">
        <v>19</v>
      </c>
      <c r="G2614" s="3" t="s">
        <v>112</v>
      </c>
      <c r="H2614" s="3">
        <v>10.0</v>
      </c>
      <c r="I2614" s="3" t="s">
        <v>10851</v>
      </c>
      <c r="J2614" s="3" t="s">
        <v>22</v>
      </c>
      <c r="K2614" s="3" t="s">
        <v>97</v>
      </c>
      <c r="L2614" s="3" t="s">
        <v>965</v>
      </c>
      <c r="M2614" s="3" t="s">
        <v>965</v>
      </c>
      <c r="N2614" s="3" t="s">
        <v>966</v>
      </c>
      <c r="O2614" s="5">
        <v>3072.5237561</v>
      </c>
      <c r="P2614" s="6" t="str">
        <f t="shared" si="2"/>
        <v>Civil Construction</v>
      </c>
    </row>
    <row r="2615" hidden="1">
      <c r="A2615" s="3" t="s">
        <v>10855</v>
      </c>
      <c r="B2615" s="4">
        <v>532946.0</v>
      </c>
      <c r="C2615" s="3" t="s">
        <v>10856</v>
      </c>
      <c r="D2615" s="3" t="s">
        <v>10857</v>
      </c>
      <c r="E2615" s="3" t="s">
        <v>10858</v>
      </c>
      <c r="F2615" s="3" t="s">
        <v>19</v>
      </c>
      <c r="G2615" s="3" t="s">
        <v>112</v>
      </c>
      <c r="H2615" s="3">
        <v>10.0</v>
      </c>
      <c r="I2615" s="3" t="s">
        <v>10855</v>
      </c>
      <c r="J2615" s="3" t="s">
        <v>22</v>
      </c>
      <c r="K2615" s="3" t="s">
        <v>58</v>
      </c>
      <c r="L2615" s="3" t="s">
        <v>80</v>
      </c>
      <c r="M2615" s="3" t="s">
        <v>81</v>
      </c>
      <c r="N2615" s="3" t="s">
        <v>944</v>
      </c>
      <c r="O2615" s="5">
        <v>61.1011581</v>
      </c>
      <c r="P2615" s="6" t="str">
        <f t="shared" si="2"/>
        <v>Textiles &amp; Apparels</v>
      </c>
    </row>
    <row r="2616" hidden="1">
      <c r="A2616" s="3" t="s">
        <v>10859</v>
      </c>
      <c r="B2616" s="4">
        <v>532947.0</v>
      </c>
      <c r="C2616" s="3" t="s">
        <v>10860</v>
      </c>
      <c r="D2616" s="3" t="s">
        <v>10861</v>
      </c>
      <c r="E2616" s="3" t="s">
        <v>10862</v>
      </c>
      <c r="F2616" s="3" t="s">
        <v>19</v>
      </c>
      <c r="G2616" s="3" t="s">
        <v>20</v>
      </c>
      <c r="H2616" s="3">
        <v>1.0</v>
      </c>
      <c r="I2616" s="3" t="s">
        <v>10859</v>
      </c>
      <c r="J2616" s="3" t="s">
        <v>22</v>
      </c>
      <c r="K2616" s="3" t="s">
        <v>97</v>
      </c>
      <c r="L2616" s="3" t="s">
        <v>965</v>
      </c>
      <c r="M2616" s="3" t="s">
        <v>965</v>
      </c>
      <c r="N2616" s="3" t="s">
        <v>966</v>
      </c>
      <c r="O2616" s="5">
        <v>1.0</v>
      </c>
      <c r="P2616" s="6" t="str">
        <f t="shared" si="2"/>
        <v>Civil Construction</v>
      </c>
    </row>
    <row r="2617" hidden="1">
      <c r="A2617" s="3" t="s">
        <v>10863</v>
      </c>
      <c r="B2617" s="4">
        <v>532951.0</v>
      </c>
      <c r="C2617" s="3" t="s">
        <v>10864</v>
      </c>
      <c r="D2617" s="3" t="s">
        <v>10865</v>
      </c>
      <c r="E2617" s="3" t="s">
        <v>10866</v>
      </c>
      <c r="F2617" s="3" t="s">
        <v>19</v>
      </c>
      <c r="G2617" s="3" t="s">
        <v>86</v>
      </c>
      <c r="H2617" s="3">
        <v>10.0</v>
      </c>
      <c r="I2617" s="3" t="s">
        <v>10863</v>
      </c>
      <c r="J2617" s="3" t="s">
        <v>22</v>
      </c>
      <c r="K2617" s="3" t="s">
        <v>473</v>
      </c>
      <c r="L2617" s="3" t="s">
        <v>473</v>
      </c>
      <c r="M2617" s="3" t="s">
        <v>1538</v>
      </c>
      <c r="N2617" s="3" t="s">
        <v>1539</v>
      </c>
      <c r="O2617" s="5">
        <v>243.4933125</v>
      </c>
      <c r="P2617" s="6" t="str">
        <f t="shared" si="2"/>
        <v>IT - Services</v>
      </c>
    </row>
    <row r="2618" hidden="1">
      <c r="A2618" s="3" t="s">
        <v>10867</v>
      </c>
      <c r="B2618" s="4">
        <v>532952.0</v>
      </c>
      <c r="C2618" s="3" t="s">
        <v>10868</v>
      </c>
      <c r="D2618" s="3" t="s">
        <v>10869</v>
      </c>
      <c r="E2618" s="3" t="s">
        <v>10870</v>
      </c>
      <c r="F2618" s="3" t="s">
        <v>19</v>
      </c>
      <c r="G2618" s="3" t="s">
        <v>112</v>
      </c>
      <c r="H2618" s="3">
        <v>5.0</v>
      </c>
      <c r="I2618" s="3" t="s">
        <v>10867</v>
      </c>
      <c r="J2618" s="3" t="s">
        <v>22</v>
      </c>
      <c r="K2618" s="3" t="s">
        <v>204</v>
      </c>
      <c r="L2618" s="3" t="s">
        <v>204</v>
      </c>
      <c r="M2618" s="3" t="s">
        <v>378</v>
      </c>
      <c r="N2618" s="3" t="s">
        <v>384</v>
      </c>
      <c r="O2618" s="5">
        <v>526.5435783</v>
      </c>
      <c r="P2618" s="6" t="str">
        <f t="shared" si="2"/>
        <v>Finance</v>
      </c>
    </row>
    <row r="2619">
      <c r="A2619" s="3" t="s">
        <v>1940</v>
      </c>
      <c r="B2619" s="4">
        <v>590071.0</v>
      </c>
      <c r="C2619" s="3" t="s">
        <v>10871</v>
      </c>
      <c r="D2619" s="3" t="s">
        <v>10872</v>
      </c>
      <c r="E2619" s="3" t="s">
        <v>10873</v>
      </c>
      <c r="F2619" s="3" t="s">
        <v>19</v>
      </c>
      <c r="G2619" s="3" t="s">
        <v>112</v>
      </c>
      <c r="H2619" s="3">
        <v>10.0</v>
      </c>
      <c r="I2619" s="3" t="s">
        <v>10874</v>
      </c>
      <c r="J2619" s="3" t="s">
        <v>22</v>
      </c>
      <c r="K2619" s="3" t="s">
        <v>204</v>
      </c>
      <c r="L2619" s="3" t="s">
        <v>204</v>
      </c>
      <c r="M2619" s="3" t="s">
        <v>378</v>
      </c>
      <c r="N2619" s="3" t="s">
        <v>379</v>
      </c>
      <c r="O2619" s="5">
        <v>50340.3449874</v>
      </c>
      <c r="P2619" s="6" t="str">
        <f t="shared" si="2"/>
        <v>Non Banking Financial Company (NBFC)</v>
      </c>
    </row>
    <row r="2620">
      <c r="A2620" s="3" t="s">
        <v>10006</v>
      </c>
      <c r="B2620" s="4" t="s">
        <v>10875</v>
      </c>
      <c r="C2620" s="3" t="s">
        <v>10875</v>
      </c>
      <c r="D2620" s="3" t="s">
        <v>10875</v>
      </c>
      <c r="E2620" s="3" t="s">
        <v>10875</v>
      </c>
      <c r="F2620" s="3" t="s">
        <v>19</v>
      </c>
      <c r="I2620" s="3" t="s">
        <v>10876</v>
      </c>
      <c r="J2620" s="3" t="s">
        <v>22</v>
      </c>
      <c r="K2620" s="3" t="s">
        <v>204</v>
      </c>
      <c r="L2620" s="3" t="s">
        <v>204</v>
      </c>
      <c r="M2620" s="3" t="s">
        <v>205</v>
      </c>
      <c r="N2620" s="3" t="s">
        <v>10080</v>
      </c>
      <c r="O2620" s="5">
        <v>33542.2813983</v>
      </c>
      <c r="P2620" s="6" t="str">
        <f t="shared" si="2"/>
        <v>Capital Markets</v>
      </c>
    </row>
    <row r="2621" hidden="1">
      <c r="A2621" s="3" t="s">
        <v>10877</v>
      </c>
      <c r="B2621" s="4">
        <v>532957.0</v>
      </c>
      <c r="C2621" s="3" t="s">
        <v>10878</v>
      </c>
      <c r="D2621" s="3" t="s">
        <v>10879</v>
      </c>
      <c r="E2621" s="3" t="s">
        <v>10878</v>
      </c>
      <c r="F2621" s="3" t="s">
        <v>19</v>
      </c>
      <c r="G2621" s="3" t="s">
        <v>72</v>
      </c>
      <c r="H2621" s="3">
        <v>10.0</v>
      </c>
      <c r="I2621" s="3" t="s">
        <v>10877</v>
      </c>
      <c r="J2621" s="3" t="s">
        <v>22</v>
      </c>
      <c r="K2621" s="3" t="s">
        <v>58</v>
      </c>
      <c r="L2621" s="3" t="s">
        <v>80</v>
      </c>
      <c r="M2621" s="3" t="s">
        <v>81</v>
      </c>
      <c r="N2621" s="3" t="s">
        <v>82</v>
      </c>
      <c r="O2621" s="5">
        <v>100.1505928</v>
      </c>
      <c r="P2621" s="6" t="str">
        <f t="shared" si="2"/>
        <v>Textiles &amp; Apparels</v>
      </c>
    </row>
    <row r="2622" hidden="1">
      <c r="A2622" s="3" t="s">
        <v>10880</v>
      </c>
      <c r="B2622" s="4">
        <v>532960.0</v>
      </c>
      <c r="C2622" s="3" t="s">
        <v>10881</v>
      </c>
      <c r="D2622" s="3" t="s">
        <v>10882</v>
      </c>
      <c r="E2622" s="3" t="s">
        <v>10883</v>
      </c>
      <c r="F2622" s="3" t="s">
        <v>19</v>
      </c>
      <c r="G2622" s="3" t="s">
        <v>20</v>
      </c>
      <c r="H2622" s="3">
        <v>2.0</v>
      </c>
      <c r="I2622" s="3" t="s">
        <v>10880</v>
      </c>
      <c r="J2622" s="3" t="s">
        <v>22</v>
      </c>
      <c r="K2622" s="3" t="s">
        <v>204</v>
      </c>
      <c r="L2622" s="3" t="s">
        <v>204</v>
      </c>
      <c r="M2622" s="3" t="s">
        <v>378</v>
      </c>
      <c r="N2622" s="3" t="s">
        <v>468</v>
      </c>
      <c r="O2622" s="5">
        <v>3249.1851973</v>
      </c>
      <c r="P2622" s="6" t="str">
        <f t="shared" si="2"/>
        <v>Finance</v>
      </c>
    </row>
    <row r="2623">
      <c r="A2623" s="3" t="s">
        <v>10884</v>
      </c>
      <c r="B2623" s="4" t="s">
        <v>10885</v>
      </c>
      <c r="C2623" s="3" t="s">
        <v>10886</v>
      </c>
      <c r="D2623" s="3" t="s">
        <v>10885</v>
      </c>
      <c r="E2623" s="3" t="s">
        <v>10886</v>
      </c>
      <c r="F2623" s="3" t="s">
        <v>19</v>
      </c>
      <c r="I2623" s="3" t="s">
        <v>10887</v>
      </c>
      <c r="J2623" s="3" t="s">
        <v>22</v>
      </c>
      <c r="K2623" s="3" t="s">
        <v>204</v>
      </c>
      <c r="L2623" s="3" t="s">
        <v>204</v>
      </c>
      <c r="M2623" s="3" t="s">
        <v>205</v>
      </c>
      <c r="N2623" s="3" t="s">
        <v>10492</v>
      </c>
      <c r="O2623" s="5">
        <v>23779.2127947</v>
      </c>
      <c r="P2623" s="6" t="str">
        <f t="shared" si="2"/>
        <v>Capital Markets</v>
      </c>
    </row>
    <row r="2624" hidden="1">
      <c r="A2624" s="3" t="s">
        <v>10888</v>
      </c>
      <c r="B2624" s="4">
        <v>532967.0</v>
      </c>
      <c r="C2624" s="3" t="s">
        <v>10889</v>
      </c>
      <c r="D2624" s="3" t="s">
        <v>10890</v>
      </c>
      <c r="E2624" s="3" t="s">
        <v>10891</v>
      </c>
      <c r="F2624" s="3" t="s">
        <v>19</v>
      </c>
      <c r="G2624" s="3" t="s">
        <v>20</v>
      </c>
      <c r="H2624" s="3">
        <v>10.0</v>
      </c>
      <c r="I2624" s="3" t="s">
        <v>10888</v>
      </c>
      <c r="J2624" s="3" t="s">
        <v>22</v>
      </c>
      <c r="K2624" s="3" t="s">
        <v>23</v>
      </c>
      <c r="L2624" s="3" t="s">
        <v>24</v>
      </c>
      <c r="M2624" s="3" t="s">
        <v>25</v>
      </c>
      <c r="N2624" s="3" t="s">
        <v>368</v>
      </c>
      <c r="O2624" s="5">
        <v>1711.7264385</v>
      </c>
      <c r="P2624" s="6" t="str">
        <f t="shared" si="2"/>
        <v>Chemicals &amp; Petrochemicals</v>
      </c>
    </row>
    <row r="2625" hidden="1">
      <c r="A2625" s="3" t="s">
        <v>10892</v>
      </c>
      <c r="B2625" s="4">
        <v>532974.0</v>
      </c>
      <c r="C2625" s="3" t="s">
        <v>10893</v>
      </c>
      <c r="D2625" s="3" t="s">
        <v>10894</v>
      </c>
      <c r="E2625" s="3" t="s">
        <v>10895</v>
      </c>
      <c r="F2625" s="3" t="s">
        <v>19</v>
      </c>
      <c r="G2625" s="3" t="s">
        <v>112</v>
      </c>
      <c r="H2625" s="3">
        <v>1.0</v>
      </c>
      <c r="I2625" s="3" t="s">
        <v>10892</v>
      </c>
      <c r="J2625" s="3" t="s">
        <v>22</v>
      </c>
      <c r="K2625" s="3" t="s">
        <v>204</v>
      </c>
      <c r="L2625" s="3" t="s">
        <v>204</v>
      </c>
      <c r="M2625" s="3" t="s">
        <v>205</v>
      </c>
      <c r="N2625" s="3" t="s">
        <v>2109</v>
      </c>
      <c r="O2625" s="5">
        <v>936.4620418</v>
      </c>
      <c r="P2625" s="6" t="str">
        <f t="shared" si="2"/>
        <v>Capital Markets</v>
      </c>
    </row>
    <row r="2626" hidden="1">
      <c r="A2626" s="3" t="s">
        <v>10896</v>
      </c>
      <c r="B2626" s="4">
        <v>532975.0</v>
      </c>
      <c r="C2626" s="3" t="s">
        <v>10897</v>
      </c>
      <c r="D2626" s="3" t="s">
        <v>10898</v>
      </c>
      <c r="E2626" s="3" t="s">
        <v>10899</v>
      </c>
      <c r="F2626" s="3" t="s">
        <v>19</v>
      </c>
      <c r="G2626" s="3" t="s">
        <v>57</v>
      </c>
      <c r="H2626" s="3">
        <v>5.0</v>
      </c>
      <c r="I2626" s="3" t="s">
        <v>10896</v>
      </c>
      <c r="J2626" s="3" t="s">
        <v>22</v>
      </c>
      <c r="K2626" s="3" t="s">
        <v>189</v>
      </c>
      <c r="L2626" s="3" t="s">
        <v>189</v>
      </c>
      <c r="M2626" s="3" t="s">
        <v>190</v>
      </c>
      <c r="N2626" s="3" t="s">
        <v>190</v>
      </c>
      <c r="O2626" s="5">
        <v>50.32127</v>
      </c>
      <c r="P2626" s="6" t="str">
        <f t="shared" si="2"/>
        <v>Telecom - Equipment &amp; Accessories</v>
      </c>
    </row>
    <row r="2627">
      <c r="A2627" s="3" t="s">
        <v>677</v>
      </c>
      <c r="B2627" s="4" t="s">
        <v>10900</v>
      </c>
      <c r="C2627" s="3" t="s">
        <v>10901</v>
      </c>
      <c r="D2627" s="3" t="s">
        <v>10900</v>
      </c>
      <c r="E2627" s="3" t="s">
        <v>10901</v>
      </c>
      <c r="F2627" s="3" t="s">
        <v>19</v>
      </c>
      <c r="I2627" s="3" t="s">
        <v>10902</v>
      </c>
      <c r="J2627" s="3" t="s">
        <v>22</v>
      </c>
      <c r="K2627" s="3" t="s">
        <v>204</v>
      </c>
      <c r="L2627" s="3" t="s">
        <v>204</v>
      </c>
      <c r="M2627" s="3" t="s">
        <v>378</v>
      </c>
      <c r="N2627" s="3" t="s">
        <v>379</v>
      </c>
      <c r="O2627" s="5">
        <v>5943.157295</v>
      </c>
      <c r="P2627" s="6" t="str">
        <f t="shared" si="2"/>
        <v>Non Banking Financial Company (NBFC)</v>
      </c>
    </row>
    <row r="2628">
      <c r="A2628" s="3" t="s">
        <v>1953</v>
      </c>
      <c r="B2628" s="4">
        <v>500087.0</v>
      </c>
      <c r="C2628" s="3" t="s">
        <v>10903</v>
      </c>
      <c r="D2628" s="3" t="s">
        <v>10904</v>
      </c>
      <c r="E2628" s="3" t="s">
        <v>10905</v>
      </c>
      <c r="F2628" s="3" t="s">
        <v>19</v>
      </c>
      <c r="G2628" s="3" t="s">
        <v>20</v>
      </c>
      <c r="H2628" s="3">
        <v>2.0</v>
      </c>
      <c r="I2628" s="3" t="s">
        <v>236</v>
      </c>
      <c r="J2628" s="3" t="s">
        <v>22</v>
      </c>
      <c r="K2628" s="3" t="s">
        <v>45</v>
      </c>
      <c r="L2628" s="3" t="s">
        <v>45</v>
      </c>
      <c r="M2628" s="3" t="s">
        <v>46</v>
      </c>
      <c r="N2628" s="3" t="s">
        <v>47</v>
      </c>
      <c r="O2628" s="5">
        <v>120094.697865</v>
      </c>
      <c r="P2628" s="6" t="str">
        <f t="shared" si="2"/>
        <v>Pharmaceuticals</v>
      </c>
    </row>
    <row r="2629">
      <c r="A2629" s="3" t="s">
        <v>10011</v>
      </c>
      <c r="B2629" s="4">
        <v>500124.0</v>
      </c>
      <c r="C2629" s="3" t="s">
        <v>10906</v>
      </c>
      <c r="D2629" s="3" t="s">
        <v>10907</v>
      </c>
      <c r="E2629" s="3" t="s">
        <v>10908</v>
      </c>
      <c r="F2629" s="3" t="s">
        <v>19</v>
      </c>
      <c r="G2629" s="3" t="s">
        <v>20</v>
      </c>
      <c r="H2629" s="3">
        <v>5.0</v>
      </c>
      <c r="I2629" s="3" t="s">
        <v>338</v>
      </c>
      <c r="J2629" s="3" t="s">
        <v>22</v>
      </c>
      <c r="K2629" s="3" t="s">
        <v>45</v>
      </c>
      <c r="L2629" s="3" t="s">
        <v>45</v>
      </c>
      <c r="M2629" s="3" t="s">
        <v>46</v>
      </c>
      <c r="N2629" s="3" t="s">
        <v>47</v>
      </c>
      <c r="O2629" s="5">
        <v>108512.6032396</v>
      </c>
      <c r="P2629" s="6" t="str">
        <f t="shared" si="2"/>
        <v>Pharmaceuticals</v>
      </c>
    </row>
    <row r="2630" hidden="1">
      <c r="A2630" s="3" t="s">
        <v>10909</v>
      </c>
      <c r="B2630" s="4">
        <v>532980.0</v>
      </c>
      <c r="C2630" s="3" t="s">
        <v>10910</v>
      </c>
      <c r="D2630" s="3" t="s">
        <v>10911</v>
      </c>
      <c r="E2630" s="3" t="s">
        <v>10912</v>
      </c>
      <c r="F2630" s="3" t="s">
        <v>19</v>
      </c>
      <c r="G2630" s="3" t="s">
        <v>86</v>
      </c>
      <c r="H2630" s="3">
        <v>2.0</v>
      </c>
      <c r="I2630" s="3" t="s">
        <v>10909</v>
      </c>
      <c r="J2630" s="3" t="s">
        <v>22</v>
      </c>
      <c r="K2630" s="3" t="s">
        <v>145</v>
      </c>
      <c r="L2630" s="3" t="s">
        <v>145</v>
      </c>
      <c r="M2630" s="3" t="s">
        <v>146</v>
      </c>
      <c r="N2630" s="3" t="s">
        <v>575</v>
      </c>
      <c r="O2630" s="5">
        <v>386.672325</v>
      </c>
      <c r="P2630" s="6" t="str">
        <f t="shared" si="2"/>
        <v>Agricultural Food &amp; other Products</v>
      </c>
    </row>
    <row r="2631" hidden="1">
      <c r="A2631" s="3" t="s">
        <v>10913</v>
      </c>
      <c r="B2631" s="4">
        <v>532983.0</v>
      </c>
      <c r="C2631" s="3" t="s">
        <v>10914</v>
      </c>
      <c r="D2631" s="3" t="s">
        <v>10915</v>
      </c>
      <c r="E2631" s="3" t="s">
        <v>10916</v>
      </c>
      <c r="F2631" s="3" t="s">
        <v>19</v>
      </c>
      <c r="G2631" s="3" t="s">
        <v>112</v>
      </c>
      <c r="H2631" s="3">
        <v>8.0</v>
      </c>
      <c r="I2631" s="3" t="s">
        <v>10913</v>
      </c>
      <c r="J2631" s="3" t="s">
        <v>22</v>
      </c>
      <c r="K2631" s="3" t="s">
        <v>45</v>
      </c>
      <c r="L2631" s="3" t="s">
        <v>45</v>
      </c>
      <c r="M2631" s="3" t="s">
        <v>46</v>
      </c>
      <c r="N2631" s="3" t="s">
        <v>47</v>
      </c>
      <c r="O2631" s="5">
        <v>2709.457765</v>
      </c>
      <c r="P2631" s="6" t="str">
        <f t="shared" si="2"/>
        <v>Pharmaceuticals</v>
      </c>
    </row>
    <row r="2632" hidden="1">
      <c r="A2632" s="3" t="s">
        <v>10917</v>
      </c>
      <c r="B2632" s="4">
        <v>532985.0</v>
      </c>
      <c r="C2632" s="3" t="s">
        <v>10918</v>
      </c>
      <c r="D2632" s="3" t="s">
        <v>10919</v>
      </c>
      <c r="E2632" s="3" t="s">
        <v>10920</v>
      </c>
      <c r="F2632" s="3" t="s">
        <v>19</v>
      </c>
      <c r="G2632" s="3" t="s">
        <v>20</v>
      </c>
      <c r="H2632" s="3">
        <v>1.0</v>
      </c>
      <c r="I2632" s="3" t="s">
        <v>10917</v>
      </c>
      <c r="J2632" s="3" t="s">
        <v>22</v>
      </c>
      <c r="K2632" s="3" t="s">
        <v>204</v>
      </c>
      <c r="L2632" s="3" t="s">
        <v>204</v>
      </c>
      <c r="M2632" s="3" t="s">
        <v>205</v>
      </c>
      <c r="N2632" s="3" t="s">
        <v>10921</v>
      </c>
      <c r="O2632" s="5">
        <v>1.0</v>
      </c>
      <c r="P2632" s="6" t="str">
        <f t="shared" si="2"/>
        <v>Capital Markets</v>
      </c>
    </row>
    <row r="2633" hidden="1">
      <c r="A2633" s="3" t="s">
        <v>10922</v>
      </c>
      <c r="B2633" s="4">
        <v>532986.0</v>
      </c>
      <c r="C2633" s="3" t="s">
        <v>10923</v>
      </c>
      <c r="D2633" s="3" t="s">
        <v>10924</v>
      </c>
      <c r="E2633" s="3" t="s">
        <v>10925</v>
      </c>
      <c r="F2633" s="3" t="s">
        <v>19</v>
      </c>
      <c r="G2633" s="3" t="s">
        <v>112</v>
      </c>
      <c r="H2633" s="3">
        <v>10.0</v>
      </c>
      <c r="I2633" s="3" t="s">
        <v>10922</v>
      </c>
      <c r="J2633" s="3" t="s">
        <v>22</v>
      </c>
      <c r="K2633" s="3" t="s">
        <v>97</v>
      </c>
      <c r="L2633" s="3" t="s">
        <v>965</v>
      </c>
      <c r="M2633" s="3" t="s">
        <v>965</v>
      </c>
      <c r="N2633" s="3" t="s">
        <v>966</v>
      </c>
      <c r="O2633" s="5">
        <v>206.4596899</v>
      </c>
      <c r="P2633" s="6" t="str">
        <f t="shared" si="2"/>
        <v>Civil Construction</v>
      </c>
    </row>
    <row r="2634" hidden="1">
      <c r="A2634" s="3" t="s">
        <v>10926</v>
      </c>
      <c r="B2634" s="4">
        <v>532987.0</v>
      </c>
      <c r="C2634" s="3" t="s">
        <v>10927</v>
      </c>
      <c r="D2634" s="3" t="s">
        <v>10928</v>
      </c>
      <c r="E2634" s="3" t="s">
        <v>10929</v>
      </c>
      <c r="F2634" s="3" t="s">
        <v>19</v>
      </c>
      <c r="G2634" s="3" t="s">
        <v>112</v>
      </c>
      <c r="H2634" s="3">
        <v>10.0</v>
      </c>
      <c r="I2634" s="3" t="s">
        <v>10926</v>
      </c>
      <c r="J2634" s="3" t="s">
        <v>22</v>
      </c>
      <c r="K2634" s="3" t="s">
        <v>58</v>
      </c>
      <c r="L2634" s="3" t="s">
        <v>133</v>
      </c>
      <c r="M2634" s="3" t="s">
        <v>134</v>
      </c>
      <c r="N2634" s="3" t="s">
        <v>135</v>
      </c>
      <c r="O2634" s="5">
        <v>756.2627475</v>
      </c>
      <c r="P2634" s="6" t="str">
        <f t="shared" si="2"/>
        <v>Auto Components &amp; Equipments</v>
      </c>
    </row>
    <row r="2635" hidden="1">
      <c r="A2635" s="3" t="s">
        <v>10930</v>
      </c>
      <c r="B2635" s="4">
        <v>532988.0</v>
      </c>
      <c r="C2635" s="3" t="s">
        <v>10931</v>
      </c>
      <c r="D2635" s="3" t="s">
        <v>10932</v>
      </c>
      <c r="E2635" s="3" t="s">
        <v>10933</v>
      </c>
      <c r="F2635" s="3" t="s">
        <v>19</v>
      </c>
      <c r="G2635" s="3" t="s">
        <v>112</v>
      </c>
      <c r="H2635" s="3">
        <v>10.0</v>
      </c>
      <c r="I2635" s="3" t="s">
        <v>10930</v>
      </c>
      <c r="J2635" s="3" t="s">
        <v>22</v>
      </c>
      <c r="K2635" s="3" t="s">
        <v>58</v>
      </c>
      <c r="L2635" s="3" t="s">
        <v>133</v>
      </c>
      <c r="M2635" s="3" t="s">
        <v>134</v>
      </c>
      <c r="N2635" s="3" t="s">
        <v>135</v>
      </c>
      <c r="O2635" s="5">
        <v>294.7944196</v>
      </c>
      <c r="P2635" s="6" t="str">
        <f t="shared" si="2"/>
        <v>Auto Components &amp; Equipments</v>
      </c>
    </row>
    <row r="2636" hidden="1">
      <c r="A2636" s="3" t="s">
        <v>10934</v>
      </c>
      <c r="B2636" s="4">
        <v>532992.0</v>
      </c>
      <c r="C2636" s="3" t="s">
        <v>10935</v>
      </c>
      <c r="D2636" s="3" t="s">
        <v>10936</v>
      </c>
      <c r="E2636" s="3" t="s">
        <v>10937</v>
      </c>
      <c r="F2636" s="3" t="s">
        <v>19</v>
      </c>
      <c r="G2636" s="3" t="s">
        <v>44</v>
      </c>
      <c r="H2636" s="3">
        <v>2.0</v>
      </c>
      <c r="I2636" s="3" t="s">
        <v>10934</v>
      </c>
      <c r="J2636" s="3" t="s">
        <v>22</v>
      </c>
      <c r="K2636" s="3" t="s">
        <v>58</v>
      </c>
      <c r="L2636" s="3" t="s">
        <v>73</v>
      </c>
      <c r="M2636" s="3" t="s">
        <v>74</v>
      </c>
      <c r="N2636" s="3" t="s">
        <v>75</v>
      </c>
      <c r="O2636" s="5">
        <v>189.7272578</v>
      </c>
      <c r="P2636" s="6" t="str">
        <f t="shared" si="2"/>
        <v>Leisure Services</v>
      </c>
    </row>
    <row r="2637" hidden="1">
      <c r="A2637" s="3" t="s">
        <v>10938</v>
      </c>
      <c r="B2637" s="4">
        <v>532993.0</v>
      </c>
      <c r="C2637" s="3" t="s">
        <v>10939</v>
      </c>
      <c r="D2637" s="3" t="s">
        <v>10940</v>
      </c>
      <c r="E2637" s="3" t="s">
        <v>10941</v>
      </c>
      <c r="F2637" s="3" t="s">
        <v>19</v>
      </c>
      <c r="G2637" s="3" t="s">
        <v>86</v>
      </c>
      <c r="H2637" s="3">
        <v>10.0</v>
      </c>
      <c r="I2637" s="3" t="s">
        <v>10938</v>
      </c>
      <c r="J2637" s="3" t="s">
        <v>22</v>
      </c>
      <c r="K2637" s="3" t="s">
        <v>97</v>
      </c>
      <c r="L2637" s="3" t="s">
        <v>98</v>
      </c>
      <c r="M2637" s="3" t="s">
        <v>100</v>
      </c>
      <c r="N2637" s="3" t="s">
        <v>7867</v>
      </c>
      <c r="O2637" s="5">
        <v>371.1274938</v>
      </c>
      <c r="P2637" s="6" t="str">
        <f t="shared" si="2"/>
        <v>Industrial Products</v>
      </c>
    </row>
    <row r="2638" hidden="1">
      <c r="A2638" s="3" t="s">
        <v>10942</v>
      </c>
      <c r="B2638" s="4">
        <v>532994.0</v>
      </c>
      <c r="C2638" s="3" t="s">
        <v>10943</v>
      </c>
      <c r="D2638" s="3" t="s">
        <v>10944</v>
      </c>
      <c r="E2638" s="3" t="s">
        <v>10945</v>
      </c>
      <c r="F2638" s="3" t="s">
        <v>19</v>
      </c>
      <c r="G2638" s="3" t="s">
        <v>86</v>
      </c>
      <c r="H2638" s="3">
        <v>10.0</v>
      </c>
      <c r="I2638" s="3" t="s">
        <v>10942</v>
      </c>
      <c r="J2638" s="3" t="s">
        <v>22</v>
      </c>
      <c r="K2638" s="3" t="s">
        <v>58</v>
      </c>
      <c r="L2638" s="3" t="s">
        <v>211</v>
      </c>
      <c r="M2638" s="3" t="s">
        <v>211</v>
      </c>
      <c r="N2638" s="3" t="s">
        <v>1444</v>
      </c>
      <c r="O2638" s="5">
        <v>198.2473925</v>
      </c>
      <c r="P2638" s="6" t="str">
        <f t="shared" si="2"/>
        <v>Consumer Durables</v>
      </c>
    </row>
    <row r="2639" hidden="1">
      <c r="A2639" s="3" t="s">
        <v>10946</v>
      </c>
      <c r="B2639" s="4">
        <v>532998.0</v>
      </c>
      <c r="C2639" s="3" t="s">
        <v>10947</v>
      </c>
      <c r="D2639" s="3" t="s">
        <v>10948</v>
      </c>
      <c r="E2639" s="3" t="s">
        <v>10949</v>
      </c>
      <c r="F2639" s="3" t="s">
        <v>19</v>
      </c>
      <c r="G2639" s="3" t="s">
        <v>112</v>
      </c>
      <c r="H2639" s="3">
        <v>10.0</v>
      </c>
      <c r="I2639" s="3" t="s">
        <v>10946</v>
      </c>
      <c r="J2639" s="3" t="s">
        <v>22</v>
      </c>
      <c r="K2639" s="3" t="s">
        <v>45</v>
      </c>
      <c r="L2639" s="3" t="s">
        <v>45</v>
      </c>
      <c r="M2639" s="3" t="s">
        <v>4488</v>
      </c>
      <c r="N2639" s="3" t="s">
        <v>5801</v>
      </c>
      <c r="O2639" s="5">
        <v>118.6493664</v>
      </c>
      <c r="P2639" s="6" t="str">
        <f t="shared" si="2"/>
        <v>Healthcare Services</v>
      </c>
    </row>
    <row r="2640" hidden="1">
      <c r="A2640" s="3" t="s">
        <v>10950</v>
      </c>
      <c r="B2640" s="4">
        <v>533001.0</v>
      </c>
      <c r="C2640" s="3" t="s">
        <v>10951</v>
      </c>
      <c r="D2640" s="3" t="s">
        <v>10952</v>
      </c>
      <c r="E2640" s="3" t="s">
        <v>10953</v>
      </c>
      <c r="F2640" s="3" t="s">
        <v>19</v>
      </c>
      <c r="G2640" s="3" t="s">
        <v>86</v>
      </c>
      <c r="H2640" s="3">
        <v>10.0</v>
      </c>
      <c r="I2640" s="3" t="s">
        <v>10950</v>
      </c>
      <c r="J2640" s="3" t="s">
        <v>22</v>
      </c>
      <c r="K2640" s="3" t="s">
        <v>97</v>
      </c>
      <c r="L2640" s="3" t="s">
        <v>98</v>
      </c>
      <c r="M2640" s="3" t="s">
        <v>99</v>
      </c>
      <c r="N2640" s="3" t="s">
        <v>100</v>
      </c>
      <c r="O2640" s="5">
        <v>228.6631859</v>
      </c>
      <c r="P2640" s="6" t="str">
        <f t="shared" si="2"/>
        <v>Industrial Products</v>
      </c>
    </row>
    <row r="2641" hidden="1">
      <c r="A2641" s="3" t="s">
        <v>10954</v>
      </c>
      <c r="B2641" s="4">
        <v>533007.0</v>
      </c>
      <c r="C2641" s="3" t="s">
        <v>10955</v>
      </c>
      <c r="D2641" s="3" t="s">
        <v>10956</v>
      </c>
      <c r="E2641" s="3" t="s">
        <v>10957</v>
      </c>
      <c r="F2641" s="3" t="s">
        <v>19</v>
      </c>
      <c r="G2641" s="3" t="s">
        <v>86</v>
      </c>
      <c r="H2641" s="3">
        <v>1.0</v>
      </c>
      <c r="I2641" s="3" t="s">
        <v>10954</v>
      </c>
      <c r="J2641" s="3" t="s">
        <v>22</v>
      </c>
      <c r="K2641" s="3" t="s">
        <v>58</v>
      </c>
      <c r="L2641" s="3" t="s">
        <v>133</v>
      </c>
      <c r="M2641" s="3" t="s">
        <v>134</v>
      </c>
      <c r="N2641" s="3" t="s">
        <v>135</v>
      </c>
      <c r="O2641" s="5">
        <v>287.6280351</v>
      </c>
      <c r="P2641" s="6" t="str">
        <f t="shared" si="2"/>
        <v>Auto Components &amp; Equipments</v>
      </c>
    </row>
    <row r="2642" hidden="1">
      <c r="A2642" s="3" t="s">
        <v>10958</v>
      </c>
      <c r="B2642" s="4">
        <v>533012.0</v>
      </c>
      <c r="C2642" s="3" t="s">
        <v>10959</v>
      </c>
      <c r="D2642" s="3" t="s">
        <v>10960</v>
      </c>
      <c r="E2642" s="3" t="s">
        <v>10961</v>
      </c>
      <c r="F2642" s="3" t="s">
        <v>19</v>
      </c>
      <c r="G2642" s="3" t="s">
        <v>112</v>
      </c>
      <c r="H2642" s="3">
        <v>1.0</v>
      </c>
      <c r="I2642" s="3" t="s">
        <v>10958</v>
      </c>
      <c r="J2642" s="3" t="s">
        <v>22</v>
      </c>
      <c r="K2642" s="3" t="s">
        <v>58</v>
      </c>
      <c r="L2642" s="3" t="s">
        <v>59</v>
      </c>
      <c r="M2642" s="3" t="s">
        <v>59</v>
      </c>
      <c r="N2642" s="3" t="s">
        <v>3578</v>
      </c>
      <c r="O2642" s="5">
        <v>119.2092356</v>
      </c>
      <c r="P2642" s="6" t="str">
        <f t="shared" si="2"/>
        <v>Realty</v>
      </c>
    </row>
    <row r="2643" hidden="1">
      <c r="A2643" s="3" t="s">
        <v>10962</v>
      </c>
      <c r="B2643" s="4">
        <v>542803.0</v>
      </c>
      <c r="C2643" s="3" t="s">
        <v>10963</v>
      </c>
      <c r="D2643" s="3" t="s">
        <v>10964</v>
      </c>
      <c r="E2643" s="3" t="s">
        <v>10965</v>
      </c>
      <c r="F2643" s="3" t="s">
        <v>19</v>
      </c>
      <c r="G2643" s="3" t="s">
        <v>44</v>
      </c>
      <c r="H2643" s="3">
        <v>10.0</v>
      </c>
      <c r="I2643" s="3" t="s">
        <v>10966</v>
      </c>
      <c r="J2643" s="3" t="s">
        <v>22</v>
      </c>
      <c r="K2643" s="3" t="s">
        <v>1673</v>
      </c>
      <c r="L2643" s="3" t="s">
        <v>1673</v>
      </c>
      <c r="M2643" s="3" t="s">
        <v>1674</v>
      </c>
      <c r="N2643" s="3" t="s">
        <v>1915</v>
      </c>
      <c r="O2643" s="5">
        <v>8.6005047</v>
      </c>
      <c r="P2643" s="6" t="str">
        <f t="shared" si="2"/>
        <v>Commercial Services &amp; Supplies</v>
      </c>
    </row>
    <row r="2644" hidden="1">
      <c r="A2644" s="3" t="s">
        <v>10967</v>
      </c>
      <c r="B2644" s="4">
        <v>533018.0</v>
      </c>
      <c r="C2644" s="3" t="s">
        <v>10968</v>
      </c>
      <c r="D2644" s="3" t="s">
        <v>10969</v>
      </c>
      <c r="E2644" s="3" t="s">
        <v>10970</v>
      </c>
      <c r="F2644" s="3" t="s">
        <v>19</v>
      </c>
      <c r="G2644" s="3" t="s">
        <v>72</v>
      </c>
      <c r="H2644" s="3">
        <v>1000.0</v>
      </c>
      <c r="I2644" s="3" t="s">
        <v>10967</v>
      </c>
      <c r="J2644" s="3" t="s">
        <v>22</v>
      </c>
      <c r="K2644" s="3" t="s">
        <v>58</v>
      </c>
      <c r="L2644" s="3" t="s">
        <v>80</v>
      </c>
      <c r="M2644" s="3" t="s">
        <v>81</v>
      </c>
      <c r="N2644" s="3" t="s">
        <v>82</v>
      </c>
      <c r="O2644" s="5">
        <v>11.9414588</v>
      </c>
      <c r="P2644" s="6" t="str">
        <f t="shared" si="2"/>
        <v>Textiles &amp; Apparels</v>
      </c>
    </row>
    <row r="2645" hidden="1">
      <c r="A2645" s="3" t="s">
        <v>10971</v>
      </c>
      <c r="B2645" s="4">
        <v>533019.0</v>
      </c>
      <c r="C2645" s="3" t="s">
        <v>10972</v>
      </c>
      <c r="D2645" s="3" t="s">
        <v>10973</v>
      </c>
      <c r="E2645" s="3" t="s">
        <v>10972</v>
      </c>
      <c r="F2645" s="3" t="s">
        <v>19</v>
      </c>
      <c r="G2645" s="3" t="s">
        <v>72</v>
      </c>
      <c r="H2645" s="3">
        <v>1000.0</v>
      </c>
      <c r="I2645" s="3" t="s">
        <v>10971</v>
      </c>
      <c r="J2645" s="3" t="s">
        <v>22</v>
      </c>
      <c r="K2645" s="3" t="s">
        <v>23</v>
      </c>
      <c r="L2645" s="3" t="s">
        <v>32</v>
      </c>
      <c r="M2645" s="3" t="s">
        <v>33</v>
      </c>
      <c r="N2645" s="3" t="s">
        <v>34</v>
      </c>
      <c r="O2645" s="5">
        <v>5.612618</v>
      </c>
      <c r="P2645" s="6" t="str">
        <f t="shared" si="2"/>
        <v>Paper, Forest &amp; Jute Products</v>
      </c>
    </row>
    <row r="2646" hidden="1">
      <c r="A2646" s="3" t="s">
        <v>10974</v>
      </c>
      <c r="B2646" s="4">
        <v>533022.0</v>
      </c>
      <c r="C2646" s="3" t="s">
        <v>10975</v>
      </c>
      <c r="D2646" s="3" t="s">
        <v>10976</v>
      </c>
      <c r="E2646" s="3" t="s">
        <v>10977</v>
      </c>
      <c r="F2646" s="3" t="s">
        <v>19</v>
      </c>
      <c r="G2646" s="3" t="s">
        <v>112</v>
      </c>
      <c r="H2646" s="3">
        <v>5.0</v>
      </c>
      <c r="I2646" s="3" t="s">
        <v>10974</v>
      </c>
      <c r="J2646" s="3" t="s">
        <v>22</v>
      </c>
      <c r="K2646" s="3" t="s">
        <v>23</v>
      </c>
      <c r="L2646" s="3" t="s">
        <v>65</v>
      </c>
      <c r="M2646" s="3" t="s">
        <v>522</v>
      </c>
      <c r="N2646" s="3" t="s">
        <v>523</v>
      </c>
      <c r="O2646" s="5">
        <v>774.7433188</v>
      </c>
      <c r="P2646" s="6" t="str">
        <f t="shared" si="2"/>
        <v>Minerals &amp; Mining</v>
      </c>
    </row>
    <row r="2647">
      <c r="A2647" s="3" t="s">
        <v>2003</v>
      </c>
      <c r="B2647" s="4">
        <v>500126.0</v>
      </c>
      <c r="C2647" s="3" t="s">
        <v>10978</v>
      </c>
      <c r="D2647" s="3" t="s">
        <v>10979</v>
      </c>
      <c r="E2647" s="3" t="s">
        <v>10980</v>
      </c>
      <c r="F2647" s="3" t="s">
        <v>19</v>
      </c>
      <c r="G2647" s="3" t="s">
        <v>20</v>
      </c>
      <c r="H2647" s="3">
        <v>10.0</v>
      </c>
      <c r="I2647" s="3" t="s">
        <v>347</v>
      </c>
      <c r="J2647" s="3" t="s">
        <v>22</v>
      </c>
      <c r="K2647" s="3" t="s">
        <v>45</v>
      </c>
      <c r="L2647" s="3" t="s">
        <v>45</v>
      </c>
      <c r="M2647" s="3" t="s">
        <v>46</v>
      </c>
      <c r="N2647" s="3" t="s">
        <v>47</v>
      </c>
      <c r="O2647" s="5">
        <v>8393.1074388</v>
      </c>
      <c r="P2647" s="6" t="str">
        <f t="shared" si="2"/>
        <v>Pharmaceuticals</v>
      </c>
    </row>
    <row r="2648" hidden="1">
      <c r="A2648" s="3" t="s">
        <v>10981</v>
      </c>
      <c r="B2648" s="4">
        <v>533029.0</v>
      </c>
      <c r="C2648" s="3" t="s">
        <v>10982</v>
      </c>
      <c r="D2648" s="3" t="s">
        <v>10983</v>
      </c>
      <c r="E2648" s="3" t="s">
        <v>10984</v>
      </c>
      <c r="F2648" s="3" t="s">
        <v>19</v>
      </c>
      <c r="G2648" s="3" t="s">
        <v>112</v>
      </c>
      <c r="H2648" s="3">
        <v>10.0</v>
      </c>
      <c r="I2648" s="3" t="s">
        <v>10981</v>
      </c>
      <c r="J2648" s="3" t="s">
        <v>22</v>
      </c>
      <c r="K2648" s="3" t="s">
        <v>23</v>
      </c>
      <c r="L2648" s="3" t="s">
        <v>24</v>
      </c>
      <c r="M2648" s="3" t="s">
        <v>25</v>
      </c>
      <c r="N2648" s="3" t="s">
        <v>26</v>
      </c>
      <c r="O2648" s="5">
        <v>144.0921525</v>
      </c>
      <c r="P2648" s="6" t="str">
        <f t="shared" si="2"/>
        <v>Specialty Chemicals</v>
      </c>
    </row>
    <row r="2649">
      <c r="A2649" s="3" t="s">
        <v>10985</v>
      </c>
      <c r="B2649" s="4">
        <v>500257.0</v>
      </c>
      <c r="C2649" s="3" t="s">
        <v>10986</v>
      </c>
      <c r="D2649" s="3" t="s">
        <v>10987</v>
      </c>
      <c r="E2649" s="3" t="s">
        <v>10988</v>
      </c>
      <c r="F2649" s="3" t="s">
        <v>19</v>
      </c>
      <c r="G2649" s="3" t="s">
        <v>20</v>
      </c>
      <c r="H2649" s="3">
        <v>2.0</v>
      </c>
      <c r="I2649" s="3" t="s">
        <v>683</v>
      </c>
      <c r="J2649" s="3" t="s">
        <v>22</v>
      </c>
      <c r="K2649" s="3" t="s">
        <v>45</v>
      </c>
      <c r="L2649" s="3" t="s">
        <v>45</v>
      </c>
      <c r="M2649" s="3" t="s">
        <v>46</v>
      </c>
      <c r="N2649" s="3" t="s">
        <v>47</v>
      </c>
      <c r="O2649" s="5">
        <v>75159.4007042</v>
      </c>
      <c r="P2649" s="6" t="str">
        <f t="shared" si="2"/>
        <v>Pharmaceuticals</v>
      </c>
    </row>
    <row r="2650" hidden="1">
      <c r="A2650" s="3" t="s">
        <v>10989</v>
      </c>
      <c r="B2650" s="4">
        <v>533047.0</v>
      </c>
      <c r="C2650" s="3" t="s">
        <v>10990</v>
      </c>
      <c r="D2650" s="3" t="s">
        <v>10991</v>
      </c>
      <c r="E2650" s="3" t="s">
        <v>10992</v>
      </c>
      <c r="F2650" s="3" t="s">
        <v>19</v>
      </c>
      <c r="G2650" s="3" t="s">
        <v>112</v>
      </c>
      <c r="H2650" s="3">
        <v>10.0</v>
      </c>
      <c r="I2650" s="3" t="s">
        <v>10989</v>
      </c>
      <c r="J2650" s="3" t="s">
        <v>22</v>
      </c>
      <c r="K2650" s="3" t="s">
        <v>23</v>
      </c>
      <c r="L2650" s="3" t="s">
        <v>65</v>
      </c>
      <c r="M2650" s="3" t="s">
        <v>106</v>
      </c>
      <c r="N2650" s="3" t="s">
        <v>4039</v>
      </c>
      <c r="O2650" s="5">
        <v>3984.260171</v>
      </c>
      <c r="P2650" s="6" t="str">
        <f t="shared" si="2"/>
        <v>Ferrous Metals</v>
      </c>
    </row>
    <row r="2651" hidden="1">
      <c r="A2651" s="3" t="s">
        <v>10993</v>
      </c>
      <c r="B2651" s="4">
        <v>533048.0</v>
      </c>
      <c r="C2651" s="3" t="s">
        <v>10994</v>
      </c>
      <c r="D2651" s="3" t="s">
        <v>10995</v>
      </c>
      <c r="E2651" s="3" t="s">
        <v>10996</v>
      </c>
      <c r="F2651" s="3" t="s">
        <v>19</v>
      </c>
      <c r="G2651" s="3" t="s">
        <v>112</v>
      </c>
      <c r="H2651" s="3">
        <v>1.0</v>
      </c>
      <c r="I2651" s="3" t="s">
        <v>10993</v>
      </c>
      <c r="J2651" s="3" t="s">
        <v>22</v>
      </c>
      <c r="K2651" s="3" t="s">
        <v>97</v>
      </c>
      <c r="L2651" s="3" t="s">
        <v>965</v>
      </c>
      <c r="M2651" s="3" t="s">
        <v>965</v>
      </c>
      <c r="N2651" s="3" t="s">
        <v>966</v>
      </c>
      <c r="O2651" s="5">
        <v>139.1943956</v>
      </c>
      <c r="P2651" s="6" t="str">
        <f t="shared" si="2"/>
        <v>Civil Construction</v>
      </c>
    </row>
    <row r="2652" hidden="1">
      <c r="A2652" s="3" t="s">
        <v>10997</v>
      </c>
      <c r="B2652" s="4">
        <v>533056.0</v>
      </c>
      <c r="C2652" s="3" t="s">
        <v>10998</v>
      </c>
      <c r="D2652" s="3" t="s">
        <v>10999</v>
      </c>
      <c r="E2652" s="3" t="s">
        <v>11000</v>
      </c>
      <c r="F2652" s="3" t="s">
        <v>19</v>
      </c>
      <c r="G2652" s="3" t="s">
        <v>44</v>
      </c>
      <c r="H2652" s="3">
        <v>10.0</v>
      </c>
      <c r="I2652" s="3" t="s">
        <v>10997</v>
      </c>
      <c r="J2652" s="3" t="s">
        <v>22</v>
      </c>
      <c r="K2652" s="3" t="s">
        <v>473</v>
      </c>
      <c r="L2652" s="3" t="s">
        <v>473</v>
      </c>
      <c r="M2652" s="3" t="s">
        <v>1538</v>
      </c>
      <c r="N2652" s="3" t="s">
        <v>1539</v>
      </c>
      <c r="O2652" s="5">
        <v>123.4919913</v>
      </c>
      <c r="P2652" s="6" t="str">
        <f t="shared" si="2"/>
        <v>IT - Services</v>
      </c>
    </row>
    <row r="2653" hidden="1">
      <c r="A2653" s="3" t="s">
        <v>11001</v>
      </c>
      <c r="B2653" s="4">
        <v>533078.0</v>
      </c>
      <c r="C2653" s="3" t="s">
        <v>11002</v>
      </c>
      <c r="D2653" s="3" t="s">
        <v>11003</v>
      </c>
      <c r="E2653" s="3" t="s">
        <v>11004</v>
      </c>
      <c r="F2653" s="3" t="s">
        <v>19</v>
      </c>
      <c r="G2653" s="3" t="s">
        <v>72</v>
      </c>
      <c r="H2653" s="3">
        <v>10.0</v>
      </c>
      <c r="I2653" s="3" t="s">
        <v>11001</v>
      </c>
      <c r="J2653" s="3" t="s">
        <v>22</v>
      </c>
      <c r="K2653" s="3" t="s">
        <v>58</v>
      </c>
      <c r="L2653" s="3" t="s">
        <v>59</v>
      </c>
      <c r="M2653" s="3" t="s">
        <v>59</v>
      </c>
      <c r="N2653" s="3" t="s">
        <v>60</v>
      </c>
      <c r="O2653" s="5">
        <v>54.8994355</v>
      </c>
      <c r="P2653" s="6" t="str">
        <f t="shared" si="2"/>
        <v>Residential, Commercial Projects</v>
      </c>
    </row>
    <row r="2654" hidden="1">
      <c r="A2654" s="3" t="s">
        <v>11005</v>
      </c>
      <c r="B2654" s="4">
        <v>533080.0</v>
      </c>
      <c r="C2654" s="3" t="s">
        <v>11006</v>
      </c>
      <c r="D2654" s="3" t="s">
        <v>11007</v>
      </c>
      <c r="E2654" s="3" t="s">
        <v>11006</v>
      </c>
      <c r="F2654" s="3" t="s">
        <v>19</v>
      </c>
      <c r="G2654" s="3" t="s">
        <v>20</v>
      </c>
      <c r="H2654" s="3">
        <v>5.0</v>
      </c>
      <c r="I2654" s="3" t="s">
        <v>11005</v>
      </c>
      <c r="J2654" s="3" t="s">
        <v>22</v>
      </c>
      <c r="K2654" s="3" t="s">
        <v>97</v>
      </c>
      <c r="L2654" s="3" t="s">
        <v>98</v>
      </c>
      <c r="M2654" s="3" t="s">
        <v>100</v>
      </c>
      <c r="N2654" s="3" t="s">
        <v>373</v>
      </c>
      <c r="O2654" s="5">
        <v>2661.321728</v>
      </c>
      <c r="P2654" s="6" t="str">
        <f t="shared" si="2"/>
        <v>Industrial Products</v>
      </c>
    </row>
    <row r="2655">
      <c r="A2655" s="3" t="s">
        <v>2026</v>
      </c>
      <c r="B2655" s="4">
        <v>500420.0</v>
      </c>
      <c r="C2655" s="3" t="s">
        <v>11008</v>
      </c>
      <c r="D2655" s="3" t="s">
        <v>11009</v>
      </c>
      <c r="E2655" s="3" t="s">
        <v>11010</v>
      </c>
      <c r="F2655" s="3" t="s">
        <v>19</v>
      </c>
      <c r="G2655" s="3" t="s">
        <v>20</v>
      </c>
      <c r="H2655" s="3">
        <v>5.0</v>
      </c>
      <c r="I2655" s="3" t="s">
        <v>1013</v>
      </c>
      <c r="J2655" s="3" t="s">
        <v>22</v>
      </c>
      <c r="K2655" s="3" t="s">
        <v>45</v>
      </c>
      <c r="L2655" s="3" t="s">
        <v>45</v>
      </c>
      <c r="M2655" s="3" t="s">
        <v>46</v>
      </c>
      <c r="N2655" s="3" t="s">
        <v>47</v>
      </c>
      <c r="O2655" s="5">
        <v>96413.2067628</v>
      </c>
      <c r="P2655" s="6" t="str">
        <f t="shared" si="2"/>
        <v>Pharmaceuticals</v>
      </c>
    </row>
    <row r="2656" hidden="1">
      <c r="A2656" s="3" t="s">
        <v>5257</v>
      </c>
      <c r="B2656" s="4">
        <v>503675.0</v>
      </c>
      <c r="C2656" s="3" t="s">
        <v>11011</v>
      </c>
      <c r="D2656" s="3" t="s">
        <v>11012</v>
      </c>
      <c r="E2656" s="3" t="s">
        <v>11011</v>
      </c>
      <c r="F2656" s="3" t="s">
        <v>19</v>
      </c>
      <c r="G2656" s="3" t="s">
        <v>72</v>
      </c>
      <c r="H2656" s="3">
        <v>2.0</v>
      </c>
      <c r="I2656" s="3" t="s">
        <v>1668</v>
      </c>
      <c r="J2656" s="3" t="s">
        <v>22</v>
      </c>
      <c r="K2656" s="3" t="s">
        <v>1673</v>
      </c>
      <c r="L2656" s="3" t="s">
        <v>1673</v>
      </c>
      <c r="M2656" s="3" t="s">
        <v>1674</v>
      </c>
      <c r="N2656" s="3" t="s">
        <v>1675</v>
      </c>
      <c r="O2656" s="5">
        <v>8.5767502</v>
      </c>
      <c r="P2656" s="6" t="str">
        <f t="shared" si="2"/>
        <v>Commercial Services &amp; Supplies</v>
      </c>
    </row>
    <row r="2657" hidden="1">
      <c r="A2657" s="3" t="s">
        <v>11013</v>
      </c>
      <c r="B2657" s="4">
        <v>533093.0</v>
      </c>
      <c r="C2657" s="3" t="s">
        <v>11014</v>
      </c>
      <c r="D2657" s="3" t="s">
        <v>11015</v>
      </c>
      <c r="E2657" s="3" t="s">
        <v>11016</v>
      </c>
      <c r="F2657" s="3" t="s">
        <v>19</v>
      </c>
      <c r="G2657" s="3" t="s">
        <v>86</v>
      </c>
      <c r="H2657" s="3">
        <v>10.0</v>
      </c>
      <c r="I2657" s="3" t="s">
        <v>11013</v>
      </c>
      <c r="J2657" s="3" t="s">
        <v>22</v>
      </c>
      <c r="K2657" s="3" t="s">
        <v>145</v>
      </c>
      <c r="L2657" s="3" t="s">
        <v>145</v>
      </c>
      <c r="M2657" s="3" t="s">
        <v>146</v>
      </c>
      <c r="N2657" s="3" t="s">
        <v>575</v>
      </c>
      <c r="O2657" s="5">
        <v>77.49404</v>
      </c>
      <c r="P2657" s="6" t="str">
        <f t="shared" si="2"/>
        <v>Agricultural Food &amp; other Products</v>
      </c>
    </row>
    <row r="2658">
      <c r="A2658" s="3" t="s">
        <v>10016</v>
      </c>
      <c r="B2658" s="4">
        <v>500488.0</v>
      </c>
      <c r="C2658" s="3" t="s">
        <v>11017</v>
      </c>
      <c r="D2658" s="3" t="s">
        <v>11018</v>
      </c>
      <c r="E2658" s="3" t="s">
        <v>11019</v>
      </c>
      <c r="F2658" s="3" t="s">
        <v>19</v>
      </c>
      <c r="G2658" s="3" t="s">
        <v>20</v>
      </c>
      <c r="H2658" s="3">
        <v>10.0</v>
      </c>
      <c r="I2658" s="3" t="s">
        <v>1116</v>
      </c>
      <c r="J2658" s="3" t="s">
        <v>22</v>
      </c>
      <c r="K2658" s="3" t="s">
        <v>45</v>
      </c>
      <c r="L2658" s="3" t="s">
        <v>45</v>
      </c>
      <c r="M2658" s="3" t="s">
        <v>46</v>
      </c>
      <c r="N2658" s="3" t="s">
        <v>47</v>
      </c>
      <c r="O2658" s="5">
        <v>59030.1144996</v>
      </c>
      <c r="P2658" s="6" t="str">
        <f t="shared" si="2"/>
        <v>Pharmaceuticals</v>
      </c>
    </row>
    <row r="2659">
      <c r="A2659" s="3" t="s">
        <v>11020</v>
      </c>
      <c r="B2659" s="4">
        <v>500660.0</v>
      </c>
      <c r="C2659" s="3" t="s">
        <v>11021</v>
      </c>
      <c r="D2659" s="3" t="s">
        <v>11022</v>
      </c>
      <c r="E2659" s="3" t="s">
        <v>11023</v>
      </c>
      <c r="F2659" s="3" t="s">
        <v>19</v>
      </c>
      <c r="G2659" s="3" t="s">
        <v>20</v>
      </c>
      <c r="H2659" s="3">
        <v>10.0</v>
      </c>
      <c r="I2659" s="3" t="s">
        <v>1196</v>
      </c>
      <c r="J2659" s="3" t="s">
        <v>22</v>
      </c>
      <c r="K2659" s="3" t="s">
        <v>45</v>
      </c>
      <c r="L2659" s="3" t="s">
        <v>45</v>
      </c>
      <c r="M2659" s="3" t="s">
        <v>46</v>
      </c>
      <c r="N2659" s="3" t="s">
        <v>47</v>
      </c>
      <c r="O2659" s="5">
        <v>45739.5633904</v>
      </c>
      <c r="P2659" s="6" t="str">
        <f t="shared" si="2"/>
        <v>Pharmaceuticals</v>
      </c>
    </row>
    <row r="2660">
      <c r="A2660" s="3" t="s">
        <v>11024</v>
      </c>
      <c r="B2660" s="4">
        <v>500674.0</v>
      </c>
      <c r="C2660" s="3" t="s">
        <v>11025</v>
      </c>
      <c r="D2660" s="3" t="s">
        <v>11026</v>
      </c>
      <c r="E2660" s="3" t="s">
        <v>11025</v>
      </c>
      <c r="F2660" s="3" t="s">
        <v>19</v>
      </c>
      <c r="G2660" s="3" t="s">
        <v>20</v>
      </c>
      <c r="H2660" s="3">
        <v>10.0</v>
      </c>
      <c r="I2660" s="3" t="s">
        <v>1209</v>
      </c>
      <c r="J2660" s="3" t="s">
        <v>22</v>
      </c>
      <c r="K2660" s="3" t="s">
        <v>45</v>
      </c>
      <c r="L2660" s="3" t="s">
        <v>45</v>
      </c>
      <c r="M2660" s="3" t="s">
        <v>46</v>
      </c>
      <c r="N2660" s="3" t="s">
        <v>47</v>
      </c>
      <c r="O2660" s="5">
        <v>15216.07536</v>
      </c>
      <c r="P2660" s="6" t="str">
        <f t="shared" si="2"/>
        <v>Pharmaceuticals</v>
      </c>
    </row>
    <row r="2661" hidden="1">
      <c r="A2661" s="3" t="s">
        <v>11027</v>
      </c>
      <c r="B2661" s="4">
        <v>533101.0</v>
      </c>
      <c r="C2661" s="3" t="s">
        <v>11028</v>
      </c>
      <c r="D2661" s="3" t="s">
        <v>11029</v>
      </c>
      <c r="E2661" s="3" t="s">
        <v>11030</v>
      </c>
      <c r="F2661" s="3" t="s">
        <v>19</v>
      </c>
      <c r="G2661" s="3" t="s">
        <v>44</v>
      </c>
      <c r="H2661" s="3">
        <v>10.0</v>
      </c>
      <c r="I2661" s="3" t="s">
        <v>11027</v>
      </c>
      <c r="J2661" s="3" t="s">
        <v>22</v>
      </c>
      <c r="K2661" s="3" t="s">
        <v>58</v>
      </c>
      <c r="L2661" s="3" t="s">
        <v>80</v>
      </c>
      <c r="M2661" s="3" t="s">
        <v>81</v>
      </c>
      <c r="N2661" s="3" t="s">
        <v>82</v>
      </c>
      <c r="O2661" s="5">
        <v>45.434029</v>
      </c>
      <c r="P2661" s="6" t="str">
        <f t="shared" si="2"/>
        <v>Textiles &amp; Apparels</v>
      </c>
    </row>
    <row r="2662" hidden="1">
      <c r="A2662" s="3" t="s">
        <v>11031</v>
      </c>
      <c r="B2662" s="4">
        <v>533104.0</v>
      </c>
      <c r="C2662" s="3" t="s">
        <v>11032</v>
      </c>
      <c r="D2662" s="3" t="s">
        <v>11033</v>
      </c>
      <c r="E2662" s="3" t="s">
        <v>11034</v>
      </c>
      <c r="F2662" s="3" t="s">
        <v>19</v>
      </c>
      <c r="G2662" s="3" t="s">
        <v>20</v>
      </c>
      <c r="H2662" s="3">
        <v>10.0</v>
      </c>
      <c r="I2662" s="3" t="s">
        <v>11031</v>
      </c>
      <c r="J2662" s="3" t="s">
        <v>22</v>
      </c>
      <c r="K2662" s="3" t="s">
        <v>145</v>
      </c>
      <c r="L2662" s="3" t="s">
        <v>145</v>
      </c>
      <c r="M2662" s="3" t="s">
        <v>2558</v>
      </c>
      <c r="N2662" s="3" t="s">
        <v>2559</v>
      </c>
      <c r="O2662" s="5">
        <v>2377.1984837</v>
      </c>
      <c r="P2662" s="6" t="str">
        <f t="shared" si="2"/>
        <v>Beverages</v>
      </c>
    </row>
    <row r="2663">
      <c r="A2663" s="3" t="s">
        <v>6257</v>
      </c>
      <c r="B2663" s="4">
        <v>500680.0</v>
      </c>
      <c r="C2663" s="3" t="s">
        <v>11035</v>
      </c>
      <c r="D2663" s="3" t="s">
        <v>11036</v>
      </c>
      <c r="E2663" s="3" t="s">
        <v>11037</v>
      </c>
      <c r="F2663" s="3" t="s">
        <v>19</v>
      </c>
      <c r="G2663" s="3" t="s">
        <v>20</v>
      </c>
      <c r="H2663" s="3">
        <v>10.0</v>
      </c>
      <c r="I2663" s="3" t="s">
        <v>1214</v>
      </c>
      <c r="J2663" s="3" t="s">
        <v>22</v>
      </c>
      <c r="K2663" s="3" t="s">
        <v>45</v>
      </c>
      <c r="L2663" s="3" t="s">
        <v>45</v>
      </c>
      <c r="M2663" s="3" t="s">
        <v>46</v>
      </c>
      <c r="N2663" s="3" t="s">
        <v>47</v>
      </c>
      <c r="O2663" s="5">
        <v>20701.10757</v>
      </c>
      <c r="P2663" s="6" t="str">
        <f t="shared" si="2"/>
        <v>Pharmaceuticals</v>
      </c>
    </row>
    <row r="2664" hidden="1">
      <c r="A2664" s="3" t="s">
        <v>11038</v>
      </c>
      <c r="B2664" s="4">
        <v>533108.0</v>
      </c>
      <c r="C2664" s="3" t="s">
        <v>11039</v>
      </c>
      <c r="D2664" s="3" t="s">
        <v>11040</v>
      </c>
      <c r="E2664" s="3" t="s">
        <v>11041</v>
      </c>
      <c r="F2664" s="3" t="s">
        <v>19</v>
      </c>
      <c r="G2664" s="3" t="s">
        <v>44</v>
      </c>
      <c r="H2664" s="3">
        <v>1.0</v>
      </c>
      <c r="I2664" s="3" t="s">
        <v>11038</v>
      </c>
      <c r="J2664" s="3" t="s">
        <v>22</v>
      </c>
      <c r="K2664" s="3" t="s">
        <v>58</v>
      </c>
      <c r="L2664" s="3" t="s">
        <v>80</v>
      </c>
      <c r="M2664" s="3" t="s">
        <v>81</v>
      </c>
      <c r="N2664" s="3" t="s">
        <v>2471</v>
      </c>
      <c r="O2664" s="5">
        <v>283.9685584</v>
      </c>
      <c r="P2664" s="6" t="str">
        <f t="shared" si="2"/>
        <v>Textiles &amp; Apparels</v>
      </c>
    </row>
    <row r="2665" hidden="1">
      <c r="A2665" s="3" t="s">
        <v>11042</v>
      </c>
      <c r="B2665" s="4">
        <v>533110.0</v>
      </c>
      <c r="C2665" s="3" t="s">
        <v>11043</v>
      </c>
      <c r="D2665" s="3" t="s">
        <v>11044</v>
      </c>
      <c r="E2665" s="3" t="s">
        <v>11045</v>
      </c>
      <c r="F2665" s="3" t="s">
        <v>19</v>
      </c>
      <c r="G2665" s="3" t="s">
        <v>72</v>
      </c>
      <c r="H2665" s="3">
        <v>10.0</v>
      </c>
      <c r="I2665" s="3" t="s">
        <v>11042</v>
      </c>
      <c r="J2665" s="3" t="s">
        <v>22</v>
      </c>
      <c r="K2665" s="3" t="s">
        <v>97</v>
      </c>
      <c r="L2665" s="3" t="s">
        <v>98</v>
      </c>
      <c r="M2665" s="3" t="s">
        <v>100</v>
      </c>
      <c r="N2665" s="3" t="s">
        <v>612</v>
      </c>
      <c r="O2665" s="5">
        <v>1.0</v>
      </c>
      <c r="P2665" s="6" t="str">
        <f t="shared" si="2"/>
        <v>Industrial Products</v>
      </c>
    </row>
    <row r="2666" hidden="1">
      <c r="A2666" s="3" t="s">
        <v>11046</v>
      </c>
      <c r="B2666" s="4">
        <v>533121.0</v>
      </c>
      <c r="C2666" s="3" t="s">
        <v>11047</v>
      </c>
      <c r="D2666" s="3" t="s">
        <v>11048</v>
      </c>
      <c r="E2666" s="3" t="s">
        <v>11049</v>
      </c>
      <c r="F2666" s="3" t="s">
        <v>19</v>
      </c>
      <c r="G2666" s="3" t="s">
        <v>112</v>
      </c>
      <c r="H2666" s="3">
        <v>10.0</v>
      </c>
      <c r="I2666" s="3" t="s">
        <v>11046</v>
      </c>
      <c r="J2666" s="3" t="s">
        <v>22</v>
      </c>
      <c r="K2666" s="3" t="s">
        <v>473</v>
      </c>
      <c r="L2666" s="3" t="s">
        <v>473</v>
      </c>
      <c r="M2666" s="3" t="s">
        <v>1538</v>
      </c>
      <c r="N2666" s="3" t="s">
        <v>1539</v>
      </c>
      <c r="O2666" s="5">
        <v>1937.0411797</v>
      </c>
      <c r="P2666" s="6" t="str">
        <f t="shared" si="2"/>
        <v>IT - Services</v>
      </c>
    </row>
    <row r="2667">
      <c r="A2667" s="3" t="s">
        <v>11050</v>
      </c>
      <c r="B2667" s="4">
        <v>506820.0</v>
      </c>
      <c r="C2667" s="3" t="s">
        <v>11051</v>
      </c>
      <c r="D2667" s="3" t="s">
        <v>11052</v>
      </c>
      <c r="E2667" s="3" t="s">
        <v>11053</v>
      </c>
      <c r="F2667" s="3" t="s">
        <v>19</v>
      </c>
      <c r="G2667" s="3" t="s">
        <v>20</v>
      </c>
      <c r="H2667" s="3">
        <v>2.0</v>
      </c>
      <c r="I2667" s="3" t="s">
        <v>2500</v>
      </c>
      <c r="J2667" s="3" t="s">
        <v>22</v>
      </c>
      <c r="K2667" s="3" t="s">
        <v>45</v>
      </c>
      <c r="L2667" s="3" t="s">
        <v>45</v>
      </c>
      <c r="M2667" s="3" t="s">
        <v>46</v>
      </c>
      <c r="N2667" s="3" t="s">
        <v>47</v>
      </c>
      <c r="O2667" s="5">
        <v>15625.6537993</v>
      </c>
      <c r="P2667" s="6" t="str">
        <f t="shared" si="2"/>
        <v>Pharmaceuticals</v>
      </c>
    </row>
    <row r="2668" hidden="1">
      <c r="A2668" s="3" t="s">
        <v>11054</v>
      </c>
      <c r="B2668" s="4">
        <v>533137.0</v>
      </c>
      <c r="C2668" s="3" t="s">
        <v>11055</v>
      </c>
      <c r="D2668" s="3" t="s">
        <v>11056</v>
      </c>
      <c r="E2668" s="3" t="s">
        <v>11057</v>
      </c>
      <c r="F2668" s="3" t="s">
        <v>19</v>
      </c>
      <c r="G2668" s="3" t="s">
        <v>112</v>
      </c>
      <c r="H2668" s="3">
        <v>10.0</v>
      </c>
      <c r="I2668" s="3" t="s">
        <v>11054</v>
      </c>
      <c r="J2668" s="3" t="s">
        <v>22</v>
      </c>
      <c r="K2668" s="3" t="s">
        <v>58</v>
      </c>
      <c r="L2668" s="3" t="s">
        <v>182</v>
      </c>
      <c r="M2668" s="3" t="s">
        <v>1168</v>
      </c>
      <c r="N2668" s="3" t="s">
        <v>1169</v>
      </c>
      <c r="O2668" s="5">
        <v>2625.9362689</v>
      </c>
      <c r="P2668" s="6" t="str">
        <f t="shared" si="2"/>
        <v>Entertainment</v>
      </c>
    </row>
    <row r="2669" hidden="1">
      <c r="A2669" s="3" t="s">
        <v>11058</v>
      </c>
      <c r="B2669" s="4">
        <v>533138.0</v>
      </c>
      <c r="C2669" s="3" t="s">
        <v>11059</v>
      </c>
      <c r="D2669" s="3" t="s">
        <v>11060</v>
      </c>
      <c r="E2669" s="3" t="s">
        <v>11059</v>
      </c>
      <c r="F2669" s="3" t="s">
        <v>19</v>
      </c>
      <c r="G2669" s="3" t="s">
        <v>112</v>
      </c>
      <c r="H2669" s="3">
        <v>10.0</v>
      </c>
      <c r="I2669" s="3" t="s">
        <v>11058</v>
      </c>
      <c r="J2669" s="3" t="s">
        <v>22</v>
      </c>
      <c r="K2669" s="3" t="s">
        <v>23</v>
      </c>
      <c r="L2669" s="3" t="s">
        <v>24</v>
      </c>
      <c r="M2669" s="3" t="s">
        <v>91</v>
      </c>
      <c r="N2669" s="3" t="s">
        <v>252</v>
      </c>
      <c r="O2669" s="5">
        <v>2735.3140844</v>
      </c>
      <c r="P2669" s="6" t="str">
        <f t="shared" si="2"/>
        <v>Fertilizers &amp; Agrochemicals</v>
      </c>
    </row>
    <row r="2670" hidden="1">
      <c r="A2670" s="3" t="s">
        <v>11061</v>
      </c>
      <c r="B2670" s="4">
        <v>533146.0</v>
      </c>
      <c r="C2670" s="3" t="s">
        <v>11062</v>
      </c>
      <c r="D2670" s="3" t="s">
        <v>11063</v>
      </c>
      <c r="E2670" s="3" t="s">
        <v>11062</v>
      </c>
      <c r="F2670" s="3" t="s">
        <v>19</v>
      </c>
      <c r="G2670" s="3" t="s">
        <v>112</v>
      </c>
      <c r="H2670" s="3">
        <v>2.0</v>
      </c>
      <c r="I2670" s="3" t="s">
        <v>11061</v>
      </c>
      <c r="J2670" s="3" t="s">
        <v>22</v>
      </c>
      <c r="K2670" s="3" t="s">
        <v>473</v>
      </c>
      <c r="L2670" s="3" t="s">
        <v>473</v>
      </c>
      <c r="M2670" s="3" t="s">
        <v>474</v>
      </c>
      <c r="N2670" s="3" t="s">
        <v>475</v>
      </c>
      <c r="O2670" s="5">
        <v>1911.7932318</v>
      </c>
      <c r="P2670" s="6" t="str">
        <f t="shared" si="2"/>
        <v>IT - Hardware</v>
      </c>
    </row>
    <row r="2671">
      <c r="A2671" s="3" t="s">
        <v>11064</v>
      </c>
      <c r="B2671" s="4">
        <v>506943.0</v>
      </c>
      <c r="C2671" s="3" t="s">
        <v>11065</v>
      </c>
      <c r="D2671" s="3" t="s">
        <v>11066</v>
      </c>
      <c r="E2671" s="3" t="s">
        <v>11067</v>
      </c>
      <c r="F2671" s="3" t="s">
        <v>19</v>
      </c>
      <c r="G2671" s="3" t="s">
        <v>20</v>
      </c>
      <c r="H2671" s="3">
        <v>1.0</v>
      </c>
      <c r="I2671" s="3" t="s">
        <v>2533</v>
      </c>
      <c r="J2671" s="3" t="s">
        <v>22</v>
      </c>
      <c r="K2671" s="3" t="s">
        <v>45</v>
      </c>
      <c r="L2671" s="3" t="s">
        <v>45</v>
      </c>
      <c r="M2671" s="3" t="s">
        <v>46</v>
      </c>
      <c r="N2671" s="3" t="s">
        <v>47</v>
      </c>
      <c r="O2671" s="5">
        <v>27229.1251327</v>
      </c>
      <c r="P2671" s="6" t="str">
        <f t="shared" si="2"/>
        <v>Pharmaceuticals</v>
      </c>
    </row>
    <row r="2672" hidden="1">
      <c r="A2672" s="3" t="s">
        <v>11068</v>
      </c>
      <c r="B2672" s="4">
        <v>533149.0</v>
      </c>
      <c r="C2672" s="3" t="s">
        <v>11069</v>
      </c>
      <c r="D2672" s="3" t="s">
        <v>11070</v>
      </c>
      <c r="E2672" s="3" t="s">
        <v>11071</v>
      </c>
      <c r="F2672" s="3" t="s">
        <v>19</v>
      </c>
      <c r="G2672" s="3" t="s">
        <v>72</v>
      </c>
      <c r="H2672" s="3">
        <v>10.0</v>
      </c>
      <c r="I2672" s="3" t="s">
        <v>11068</v>
      </c>
      <c r="J2672" s="3" t="s">
        <v>22</v>
      </c>
      <c r="K2672" s="3" t="s">
        <v>204</v>
      </c>
      <c r="L2672" s="3" t="s">
        <v>204</v>
      </c>
      <c r="M2672" s="3" t="s">
        <v>378</v>
      </c>
      <c r="N2672" s="3" t="s">
        <v>468</v>
      </c>
      <c r="O2672" s="5">
        <v>15.78797</v>
      </c>
      <c r="P2672" s="6" t="str">
        <f t="shared" si="2"/>
        <v>Finance</v>
      </c>
    </row>
    <row r="2673">
      <c r="A2673" s="3" t="s">
        <v>2090</v>
      </c>
      <c r="B2673" s="4">
        <v>508869.0</v>
      </c>
      <c r="C2673" s="3" t="s">
        <v>11072</v>
      </c>
      <c r="D2673" s="3" t="s">
        <v>11073</v>
      </c>
      <c r="E2673" s="3" t="s">
        <v>11074</v>
      </c>
      <c r="F2673" s="3" t="s">
        <v>19</v>
      </c>
      <c r="G2673" s="3" t="s">
        <v>20</v>
      </c>
      <c r="H2673" s="3">
        <v>5.0</v>
      </c>
      <c r="I2673" s="3" t="s">
        <v>2837</v>
      </c>
      <c r="J2673" s="3" t="s">
        <v>22</v>
      </c>
      <c r="K2673" s="3" t="s">
        <v>45</v>
      </c>
      <c r="L2673" s="3" t="s">
        <v>45</v>
      </c>
      <c r="M2673" s="3" t="s">
        <v>4488</v>
      </c>
      <c r="N2673" s="3" t="s">
        <v>5801</v>
      </c>
      <c r="O2673" s="5">
        <v>88933.602</v>
      </c>
      <c r="P2673" s="6" t="str">
        <f t="shared" si="2"/>
        <v>Healthcare Services</v>
      </c>
    </row>
    <row r="2674">
      <c r="A2674" s="3" t="s">
        <v>2113</v>
      </c>
      <c r="B2674" s="4">
        <v>524372.0</v>
      </c>
      <c r="C2674" s="3" t="s">
        <v>11075</v>
      </c>
      <c r="D2674" s="3" t="s">
        <v>11076</v>
      </c>
      <c r="E2674" s="3" t="s">
        <v>11077</v>
      </c>
      <c r="F2674" s="3" t="s">
        <v>19</v>
      </c>
      <c r="G2674" s="3" t="s">
        <v>112</v>
      </c>
      <c r="H2674" s="3">
        <v>10.0</v>
      </c>
      <c r="I2674" s="3" t="s">
        <v>6235</v>
      </c>
      <c r="J2674" s="3" t="s">
        <v>22</v>
      </c>
      <c r="K2674" s="3" t="s">
        <v>45</v>
      </c>
      <c r="L2674" s="3" t="s">
        <v>45</v>
      </c>
      <c r="M2674" s="3" t="s">
        <v>46</v>
      </c>
      <c r="N2674" s="3" t="s">
        <v>47</v>
      </c>
      <c r="O2674" s="5">
        <v>5673.3453018</v>
      </c>
      <c r="P2674" s="6" t="str">
        <f t="shared" si="2"/>
        <v>Pharmaceuticals</v>
      </c>
    </row>
    <row r="2675" hidden="1">
      <c r="A2675" s="3" t="s">
        <v>11078</v>
      </c>
      <c r="B2675" s="4">
        <v>533152.0</v>
      </c>
      <c r="C2675" s="3" t="s">
        <v>11079</v>
      </c>
      <c r="D2675" s="3" t="s">
        <v>11080</v>
      </c>
      <c r="E2675" s="3" t="s">
        <v>11079</v>
      </c>
      <c r="F2675" s="3" t="s">
        <v>19</v>
      </c>
      <c r="G2675" s="3" t="s">
        <v>112</v>
      </c>
      <c r="H2675" s="3">
        <v>10.0</v>
      </c>
      <c r="I2675" s="3" t="s">
        <v>11078</v>
      </c>
      <c r="J2675" s="3" t="s">
        <v>22</v>
      </c>
      <c r="K2675" s="3" t="s">
        <v>97</v>
      </c>
      <c r="L2675" s="3" t="s">
        <v>965</v>
      </c>
      <c r="M2675" s="3" t="s">
        <v>965</v>
      </c>
      <c r="N2675" s="3" t="s">
        <v>966</v>
      </c>
      <c r="O2675" s="5">
        <v>696.56136</v>
      </c>
      <c r="P2675" s="6" t="str">
        <f t="shared" si="2"/>
        <v>Civil Construction</v>
      </c>
    </row>
    <row r="2676">
      <c r="A2676" s="3" t="s">
        <v>2117</v>
      </c>
      <c r="B2676" s="4">
        <v>524404.0</v>
      </c>
      <c r="C2676" s="3" t="s">
        <v>11081</v>
      </c>
      <c r="D2676" s="3" t="s">
        <v>11082</v>
      </c>
      <c r="E2676" s="3" t="s">
        <v>11083</v>
      </c>
      <c r="F2676" s="3" t="s">
        <v>19</v>
      </c>
      <c r="G2676" s="3" t="s">
        <v>20</v>
      </c>
      <c r="H2676" s="3">
        <v>1.0</v>
      </c>
      <c r="I2676" s="3" t="s">
        <v>6253</v>
      </c>
      <c r="J2676" s="3" t="s">
        <v>22</v>
      </c>
      <c r="K2676" s="3" t="s">
        <v>45</v>
      </c>
      <c r="L2676" s="3" t="s">
        <v>45</v>
      </c>
      <c r="M2676" s="3" t="s">
        <v>46</v>
      </c>
      <c r="N2676" s="3" t="s">
        <v>47</v>
      </c>
      <c r="O2676" s="5">
        <v>7269.1651348</v>
      </c>
      <c r="P2676" s="6" t="str">
        <f t="shared" si="2"/>
        <v>Pharmaceuticals</v>
      </c>
    </row>
    <row r="2677" hidden="1">
      <c r="A2677" s="3" t="s">
        <v>11084</v>
      </c>
      <c r="B2677" s="4">
        <v>533156.0</v>
      </c>
      <c r="C2677" s="3" t="s">
        <v>11085</v>
      </c>
      <c r="D2677" s="3" t="s">
        <v>11086</v>
      </c>
      <c r="E2677" s="3" t="s">
        <v>11087</v>
      </c>
      <c r="F2677" s="3" t="s">
        <v>19</v>
      </c>
      <c r="G2677" s="3" t="s">
        <v>112</v>
      </c>
      <c r="H2677" s="3">
        <v>10.0</v>
      </c>
      <c r="I2677" s="3" t="s">
        <v>11084</v>
      </c>
      <c r="J2677" s="3" t="s">
        <v>22</v>
      </c>
      <c r="K2677" s="3" t="s">
        <v>97</v>
      </c>
      <c r="L2677" s="3" t="s">
        <v>965</v>
      </c>
      <c r="M2677" s="3" t="s">
        <v>965</v>
      </c>
      <c r="N2677" s="3" t="s">
        <v>966</v>
      </c>
      <c r="O2677" s="5">
        <v>1587.5550506</v>
      </c>
      <c r="P2677" s="6" t="str">
        <f t="shared" si="2"/>
        <v>Civil Construction</v>
      </c>
    </row>
    <row r="2678" hidden="1">
      <c r="A2678" s="3" t="s">
        <v>11088</v>
      </c>
      <c r="B2678" s="4">
        <v>533158.0</v>
      </c>
      <c r="C2678" s="3" t="s">
        <v>11089</v>
      </c>
      <c r="D2678" s="3" t="s">
        <v>11090</v>
      </c>
      <c r="E2678" s="3" t="s">
        <v>11091</v>
      </c>
      <c r="F2678" s="3" t="s">
        <v>19</v>
      </c>
      <c r="G2678" s="3" t="s">
        <v>112</v>
      </c>
      <c r="H2678" s="3">
        <v>10.0</v>
      </c>
      <c r="I2678" s="3" t="s">
        <v>11088</v>
      </c>
      <c r="J2678" s="3" t="s">
        <v>22</v>
      </c>
      <c r="K2678" s="3" t="s">
        <v>58</v>
      </c>
      <c r="L2678" s="3" t="s">
        <v>211</v>
      </c>
      <c r="M2678" s="3" t="s">
        <v>211</v>
      </c>
      <c r="N2678" s="3" t="s">
        <v>947</v>
      </c>
      <c r="O2678" s="5">
        <v>4802.2454368</v>
      </c>
      <c r="P2678" s="6" t="str">
        <f t="shared" si="2"/>
        <v>Consumer Durables</v>
      </c>
    </row>
    <row r="2679">
      <c r="A2679" s="3" t="s">
        <v>2160</v>
      </c>
      <c r="B2679" s="4">
        <v>524494.0</v>
      </c>
      <c r="C2679" s="3" t="s">
        <v>11092</v>
      </c>
      <c r="D2679" s="3" t="s">
        <v>11093</v>
      </c>
      <c r="E2679" s="3" t="s">
        <v>11094</v>
      </c>
      <c r="F2679" s="3" t="s">
        <v>19</v>
      </c>
      <c r="G2679" s="3" t="s">
        <v>20</v>
      </c>
      <c r="H2679" s="3">
        <v>1.0</v>
      </c>
      <c r="I2679" s="3" t="s">
        <v>6300</v>
      </c>
      <c r="J2679" s="3" t="s">
        <v>22</v>
      </c>
      <c r="K2679" s="3" t="s">
        <v>45</v>
      </c>
      <c r="L2679" s="3" t="s">
        <v>45</v>
      </c>
      <c r="M2679" s="3" t="s">
        <v>46</v>
      </c>
      <c r="N2679" s="3" t="s">
        <v>47</v>
      </c>
      <c r="O2679" s="5">
        <v>28908.3801022</v>
      </c>
      <c r="P2679" s="6" t="str">
        <f t="shared" si="2"/>
        <v>Pharmaceuticals</v>
      </c>
    </row>
    <row r="2680" hidden="1">
      <c r="A2680" s="3" t="s">
        <v>11095</v>
      </c>
      <c r="B2680" s="4">
        <v>533161.0</v>
      </c>
      <c r="C2680" s="3" t="s">
        <v>11096</v>
      </c>
      <c r="D2680" s="3" t="s">
        <v>11097</v>
      </c>
      <c r="E2680" s="3" t="s">
        <v>11098</v>
      </c>
      <c r="F2680" s="3" t="s">
        <v>19</v>
      </c>
      <c r="G2680" s="3" t="s">
        <v>112</v>
      </c>
      <c r="H2680" s="3">
        <v>10.0</v>
      </c>
      <c r="I2680" s="3" t="s">
        <v>11095</v>
      </c>
      <c r="J2680" s="3" t="s">
        <v>22</v>
      </c>
      <c r="K2680" s="3" t="s">
        <v>97</v>
      </c>
      <c r="L2680" s="3" t="s">
        <v>98</v>
      </c>
      <c r="M2680" s="3" t="s">
        <v>100</v>
      </c>
      <c r="N2680" s="3" t="s">
        <v>373</v>
      </c>
      <c r="O2680" s="5">
        <v>198.4406546</v>
      </c>
      <c r="P2680" s="6" t="str">
        <f t="shared" si="2"/>
        <v>Industrial Products</v>
      </c>
    </row>
    <row r="2681" hidden="1">
      <c r="A2681" s="3" t="s">
        <v>11099</v>
      </c>
      <c r="B2681" s="4">
        <v>533162.0</v>
      </c>
      <c r="C2681" s="3" t="s">
        <v>11100</v>
      </c>
      <c r="D2681" s="3" t="s">
        <v>11101</v>
      </c>
      <c r="E2681" s="3" t="s">
        <v>11102</v>
      </c>
      <c r="F2681" s="3" t="s">
        <v>19</v>
      </c>
      <c r="G2681" s="3" t="s">
        <v>112</v>
      </c>
      <c r="H2681" s="3">
        <v>2.0</v>
      </c>
      <c r="I2681" s="3" t="s">
        <v>11099</v>
      </c>
      <c r="J2681" s="3" t="s">
        <v>22</v>
      </c>
      <c r="K2681" s="3" t="s">
        <v>58</v>
      </c>
      <c r="L2681" s="3" t="s">
        <v>182</v>
      </c>
      <c r="M2681" s="3" t="s">
        <v>1168</v>
      </c>
      <c r="N2681" s="3" t="s">
        <v>1169</v>
      </c>
      <c r="O2681" s="5">
        <v>4118.2667598</v>
      </c>
      <c r="P2681" s="6" t="str">
        <f t="shared" si="2"/>
        <v>Entertainment</v>
      </c>
    </row>
    <row r="2682" hidden="1">
      <c r="A2682" s="3" t="s">
        <v>11103</v>
      </c>
      <c r="B2682" s="4">
        <v>533164.0</v>
      </c>
      <c r="C2682" s="3" t="s">
        <v>11104</v>
      </c>
      <c r="D2682" s="3" t="s">
        <v>11105</v>
      </c>
      <c r="E2682" s="3" t="s">
        <v>11106</v>
      </c>
      <c r="F2682" s="3" t="s">
        <v>19</v>
      </c>
      <c r="G2682" s="3" t="s">
        <v>112</v>
      </c>
      <c r="H2682" s="3">
        <v>10.0</v>
      </c>
      <c r="I2682" s="3" t="s">
        <v>11103</v>
      </c>
      <c r="J2682" s="3" t="s">
        <v>22</v>
      </c>
      <c r="K2682" s="3" t="s">
        <v>97</v>
      </c>
      <c r="L2682" s="3" t="s">
        <v>98</v>
      </c>
      <c r="M2682" s="3" t="s">
        <v>100</v>
      </c>
      <c r="N2682" s="3" t="s">
        <v>580</v>
      </c>
      <c r="O2682" s="5">
        <v>223.7051531</v>
      </c>
      <c r="P2682" s="6" t="str">
        <f t="shared" si="2"/>
        <v>Industrial Products</v>
      </c>
    </row>
    <row r="2683" hidden="1">
      <c r="A2683" s="3" t="s">
        <v>11107</v>
      </c>
      <c r="B2683" s="4">
        <v>533166.0</v>
      </c>
      <c r="C2683" s="3" t="s">
        <v>11108</v>
      </c>
      <c r="D2683" s="3" t="s">
        <v>11109</v>
      </c>
      <c r="E2683" s="3" t="s">
        <v>11110</v>
      </c>
      <c r="F2683" s="3" t="s">
        <v>19</v>
      </c>
      <c r="G2683" s="3" t="s">
        <v>112</v>
      </c>
      <c r="H2683" s="3">
        <v>1.0</v>
      </c>
      <c r="I2683" s="3" t="s">
        <v>11107</v>
      </c>
      <c r="J2683" s="3" t="s">
        <v>22</v>
      </c>
      <c r="K2683" s="3" t="s">
        <v>145</v>
      </c>
      <c r="L2683" s="3" t="s">
        <v>145</v>
      </c>
      <c r="M2683" s="3" t="s">
        <v>1757</v>
      </c>
      <c r="N2683" s="3" t="s">
        <v>5735</v>
      </c>
      <c r="O2683" s="5">
        <v>151.9195884</v>
      </c>
      <c r="P2683" s="6" t="str">
        <f t="shared" si="2"/>
        <v>Household Products</v>
      </c>
    </row>
    <row r="2684" hidden="1">
      <c r="A2684" s="3" t="s">
        <v>11111</v>
      </c>
      <c r="B2684" s="4">
        <v>533168.0</v>
      </c>
      <c r="C2684" s="3" t="s">
        <v>11112</v>
      </c>
      <c r="D2684" s="3" t="s">
        <v>11113</v>
      </c>
      <c r="E2684" s="3" t="s">
        <v>11114</v>
      </c>
      <c r="F2684" s="3" t="s">
        <v>19</v>
      </c>
      <c r="G2684" s="3" t="s">
        <v>112</v>
      </c>
      <c r="H2684" s="3">
        <v>2.0</v>
      </c>
      <c r="I2684" s="3" t="s">
        <v>11111</v>
      </c>
      <c r="J2684" s="3" t="s">
        <v>22</v>
      </c>
      <c r="K2684" s="3" t="s">
        <v>97</v>
      </c>
      <c r="L2684" s="3" t="s">
        <v>98</v>
      </c>
      <c r="M2684" s="3" t="s">
        <v>806</v>
      </c>
      <c r="N2684" s="3" t="s">
        <v>806</v>
      </c>
      <c r="O2684" s="5">
        <v>2146.607892</v>
      </c>
      <c r="P2684" s="6" t="str">
        <f t="shared" si="2"/>
        <v>Aerospace &amp; Defense</v>
      </c>
    </row>
    <row r="2685">
      <c r="A2685" s="3" t="s">
        <v>11115</v>
      </c>
      <c r="B2685" s="4">
        <v>524558.0</v>
      </c>
      <c r="C2685" s="3" t="s">
        <v>11116</v>
      </c>
      <c r="D2685" s="3" t="s">
        <v>11117</v>
      </c>
      <c r="E2685" s="3" t="s">
        <v>11118</v>
      </c>
      <c r="F2685" s="3" t="s">
        <v>19</v>
      </c>
      <c r="G2685" s="3" t="s">
        <v>20</v>
      </c>
      <c r="H2685" s="3">
        <v>10.0</v>
      </c>
      <c r="I2685" s="3" t="s">
        <v>6357</v>
      </c>
      <c r="J2685" s="3" t="s">
        <v>22</v>
      </c>
      <c r="K2685" s="3" t="s">
        <v>45</v>
      </c>
      <c r="L2685" s="3" t="s">
        <v>45</v>
      </c>
      <c r="M2685" s="3" t="s">
        <v>46</v>
      </c>
      <c r="N2685" s="3" t="s">
        <v>47</v>
      </c>
      <c r="O2685" s="5">
        <v>9425.5422</v>
      </c>
      <c r="P2685" s="6" t="str">
        <f t="shared" si="2"/>
        <v>Pharmaceuticals</v>
      </c>
    </row>
    <row r="2686" hidden="1">
      <c r="A2686" s="3" t="s">
        <v>11119</v>
      </c>
      <c r="B2686" s="4">
        <v>533170.0</v>
      </c>
      <c r="C2686" s="3" t="s">
        <v>11120</v>
      </c>
      <c r="D2686" s="3" t="s">
        <v>11121</v>
      </c>
      <c r="E2686" s="3" t="s">
        <v>11122</v>
      </c>
      <c r="F2686" s="3" t="s">
        <v>19</v>
      </c>
      <c r="G2686" s="3" t="s">
        <v>44</v>
      </c>
      <c r="H2686" s="3">
        <v>10.0</v>
      </c>
      <c r="I2686" s="3" t="s">
        <v>11119</v>
      </c>
      <c r="J2686" s="3" t="s">
        <v>22</v>
      </c>
      <c r="K2686" s="3" t="s">
        <v>204</v>
      </c>
      <c r="L2686" s="3" t="s">
        <v>204</v>
      </c>
      <c r="M2686" s="3" t="s">
        <v>378</v>
      </c>
      <c r="N2686" s="3" t="s">
        <v>463</v>
      </c>
      <c r="O2686" s="5">
        <v>127.2463</v>
      </c>
      <c r="P2686" s="6" t="str">
        <f t="shared" si="2"/>
        <v>Finance</v>
      </c>
    </row>
    <row r="2687" hidden="1">
      <c r="A2687" s="3" t="s">
        <v>11123</v>
      </c>
      <c r="B2687" s="4">
        <v>533177.0</v>
      </c>
      <c r="C2687" s="3" t="s">
        <v>11124</v>
      </c>
      <c r="D2687" s="3" t="s">
        <v>11125</v>
      </c>
      <c r="E2687" s="3" t="s">
        <v>11126</v>
      </c>
      <c r="F2687" s="3" t="s">
        <v>19</v>
      </c>
      <c r="G2687" s="3" t="s">
        <v>57</v>
      </c>
      <c r="H2687" s="3">
        <v>10.0</v>
      </c>
      <c r="I2687" s="3" t="s">
        <v>11123</v>
      </c>
      <c r="J2687" s="3" t="s">
        <v>22</v>
      </c>
      <c r="K2687" s="3" t="s">
        <v>97</v>
      </c>
      <c r="L2687" s="3" t="s">
        <v>965</v>
      </c>
      <c r="M2687" s="3" t="s">
        <v>965</v>
      </c>
      <c r="N2687" s="3" t="s">
        <v>966</v>
      </c>
      <c r="O2687" s="5">
        <v>243.3441627</v>
      </c>
      <c r="P2687" s="6" t="str">
        <f t="shared" si="2"/>
        <v>Civil Construction</v>
      </c>
    </row>
    <row r="2688">
      <c r="A2688" s="3" t="s">
        <v>11127</v>
      </c>
      <c r="B2688" s="4">
        <v>524715.0</v>
      </c>
      <c r="C2688" s="3" t="s">
        <v>11128</v>
      </c>
      <c r="D2688" s="3" t="s">
        <v>11129</v>
      </c>
      <c r="E2688" s="3" t="s">
        <v>11130</v>
      </c>
      <c r="F2688" s="3" t="s">
        <v>19</v>
      </c>
      <c r="G2688" s="3" t="s">
        <v>20</v>
      </c>
      <c r="H2688" s="3">
        <v>1.0</v>
      </c>
      <c r="I2688" s="3" t="s">
        <v>6498</v>
      </c>
      <c r="J2688" s="3" t="s">
        <v>22</v>
      </c>
      <c r="K2688" s="3" t="s">
        <v>45</v>
      </c>
      <c r="L2688" s="3" t="s">
        <v>45</v>
      </c>
      <c r="M2688" s="3" t="s">
        <v>46</v>
      </c>
      <c r="N2688" s="3" t="s">
        <v>47</v>
      </c>
      <c r="O2688" s="5">
        <v>366655.2779206</v>
      </c>
      <c r="P2688" s="6" t="str">
        <f t="shared" si="2"/>
        <v>Pharmaceuticals</v>
      </c>
    </row>
    <row r="2689" hidden="1">
      <c r="A2689" s="3" t="s">
        <v>11131</v>
      </c>
      <c r="B2689" s="4">
        <v>533181.0</v>
      </c>
      <c r="C2689" s="3" t="s">
        <v>11132</v>
      </c>
      <c r="D2689" s="3" t="s">
        <v>11133</v>
      </c>
      <c r="E2689" s="3" t="s">
        <v>11134</v>
      </c>
      <c r="F2689" s="3" t="s">
        <v>19</v>
      </c>
      <c r="G2689" s="3" t="s">
        <v>112</v>
      </c>
      <c r="H2689" s="3">
        <v>10.0</v>
      </c>
      <c r="I2689" s="3" t="s">
        <v>11131</v>
      </c>
      <c r="J2689" s="3" t="s">
        <v>22</v>
      </c>
      <c r="K2689" s="3" t="s">
        <v>58</v>
      </c>
      <c r="L2689" s="3" t="s">
        <v>73</v>
      </c>
      <c r="M2689" s="3" t="s">
        <v>988</v>
      </c>
      <c r="N2689" s="3" t="s">
        <v>2246</v>
      </c>
      <c r="O2689" s="5">
        <v>201.5604718</v>
      </c>
      <c r="P2689" s="6" t="str">
        <f t="shared" si="2"/>
        <v>Retailing</v>
      </c>
    </row>
    <row r="2690" hidden="1">
      <c r="A2690" s="3" t="s">
        <v>11135</v>
      </c>
      <c r="B2690" s="4">
        <v>533189.0</v>
      </c>
      <c r="C2690" s="3" t="s">
        <v>11136</v>
      </c>
      <c r="D2690" s="3" t="s">
        <v>11137</v>
      </c>
      <c r="E2690" s="3" t="s">
        <v>11138</v>
      </c>
      <c r="F2690" s="3" t="s">
        <v>19</v>
      </c>
      <c r="G2690" s="3" t="s">
        <v>57</v>
      </c>
      <c r="H2690" s="3">
        <v>1.0</v>
      </c>
      <c r="I2690" s="3" t="s">
        <v>11135</v>
      </c>
      <c r="J2690" s="3" t="s">
        <v>22</v>
      </c>
      <c r="K2690" s="3" t="s">
        <v>58</v>
      </c>
      <c r="L2690" s="3" t="s">
        <v>211</v>
      </c>
      <c r="M2690" s="3" t="s">
        <v>211</v>
      </c>
      <c r="N2690" s="3" t="s">
        <v>947</v>
      </c>
      <c r="O2690" s="5">
        <v>32.216345</v>
      </c>
      <c r="P2690" s="6" t="str">
        <f t="shared" si="2"/>
        <v>Consumer Durables</v>
      </c>
    </row>
    <row r="2691" hidden="1">
      <c r="A2691" s="3" t="s">
        <v>11139</v>
      </c>
      <c r="B2691" s="4">
        <v>533192.0</v>
      </c>
      <c r="C2691" s="3" t="s">
        <v>11140</v>
      </c>
      <c r="D2691" s="3" t="s">
        <v>11141</v>
      </c>
      <c r="E2691" s="3" t="s">
        <v>11142</v>
      </c>
      <c r="F2691" s="3" t="s">
        <v>19</v>
      </c>
      <c r="G2691" s="3" t="s">
        <v>112</v>
      </c>
      <c r="H2691" s="3">
        <v>1.0</v>
      </c>
      <c r="I2691" s="3" t="s">
        <v>11139</v>
      </c>
      <c r="J2691" s="3" t="s">
        <v>22</v>
      </c>
      <c r="K2691" s="3" t="s">
        <v>145</v>
      </c>
      <c r="L2691" s="3" t="s">
        <v>145</v>
      </c>
      <c r="M2691" s="3" t="s">
        <v>146</v>
      </c>
      <c r="N2691" s="3" t="s">
        <v>147</v>
      </c>
      <c r="O2691" s="5">
        <v>514.3177916</v>
      </c>
      <c r="P2691" s="6" t="str">
        <f t="shared" si="2"/>
        <v>Agricultural Food &amp; other Products</v>
      </c>
    </row>
    <row r="2692" hidden="1">
      <c r="A2692" s="3" t="s">
        <v>11143</v>
      </c>
      <c r="B2692" s="4">
        <v>533193.0</v>
      </c>
      <c r="C2692" s="3" t="s">
        <v>11144</v>
      </c>
      <c r="D2692" s="3" t="s">
        <v>11145</v>
      </c>
      <c r="E2692" s="3" t="s">
        <v>11146</v>
      </c>
      <c r="F2692" s="3" t="s">
        <v>19</v>
      </c>
      <c r="G2692" s="3" t="s">
        <v>112</v>
      </c>
      <c r="H2692" s="3">
        <v>10.0</v>
      </c>
      <c r="I2692" s="3" t="s">
        <v>11143</v>
      </c>
      <c r="J2692" s="3" t="s">
        <v>22</v>
      </c>
      <c r="K2692" s="3" t="s">
        <v>97</v>
      </c>
      <c r="L2692" s="3" t="s">
        <v>98</v>
      </c>
      <c r="M2692" s="3" t="s">
        <v>1747</v>
      </c>
      <c r="N2692" s="3" t="s">
        <v>1748</v>
      </c>
      <c r="O2692" s="5">
        <v>1314.9452381</v>
      </c>
      <c r="P2692" s="6" t="str">
        <f t="shared" si="2"/>
        <v>Electrical Equipment</v>
      </c>
    </row>
    <row r="2693" hidden="1">
      <c r="A2693" s="3" t="s">
        <v>11147</v>
      </c>
      <c r="B2693" s="4">
        <v>533202.0</v>
      </c>
      <c r="C2693" s="3" t="s">
        <v>11148</v>
      </c>
      <c r="D2693" s="3" t="s">
        <v>11149</v>
      </c>
      <c r="E2693" s="3" t="s">
        <v>11150</v>
      </c>
      <c r="F2693" s="3" t="s">
        <v>19</v>
      </c>
      <c r="G2693" s="3" t="s">
        <v>72</v>
      </c>
      <c r="H2693" s="3">
        <v>10.0</v>
      </c>
      <c r="I2693" s="3" t="s">
        <v>11147</v>
      </c>
      <c r="J2693" s="3" t="s">
        <v>22</v>
      </c>
      <c r="K2693" s="3" t="s">
        <v>58</v>
      </c>
      <c r="L2693" s="3" t="s">
        <v>59</v>
      </c>
      <c r="M2693" s="3" t="s">
        <v>59</v>
      </c>
      <c r="N2693" s="3" t="s">
        <v>60</v>
      </c>
      <c r="O2693" s="5">
        <v>58.18701</v>
      </c>
      <c r="P2693" s="6" t="str">
        <f t="shared" si="2"/>
        <v>Residential, Commercial Projects</v>
      </c>
    </row>
    <row r="2694" hidden="1">
      <c r="A2694" s="3" t="s">
        <v>11151</v>
      </c>
      <c r="B2694" s="4">
        <v>533203.0</v>
      </c>
      <c r="C2694" s="3" t="s">
        <v>11152</v>
      </c>
      <c r="D2694" s="3" t="s">
        <v>11153</v>
      </c>
      <c r="E2694" s="3" t="s">
        <v>11154</v>
      </c>
      <c r="F2694" s="3" t="s">
        <v>19</v>
      </c>
      <c r="G2694" s="3" t="s">
        <v>86</v>
      </c>
      <c r="H2694" s="3">
        <v>10.0</v>
      </c>
      <c r="I2694" s="3" t="s">
        <v>11151</v>
      </c>
      <c r="J2694" s="3" t="s">
        <v>22</v>
      </c>
      <c r="K2694" s="3" t="s">
        <v>97</v>
      </c>
      <c r="L2694" s="3" t="s">
        <v>98</v>
      </c>
      <c r="M2694" s="3" t="s">
        <v>1747</v>
      </c>
      <c r="N2694" s="3" t="s">
        <v>1767</v>
      </c>
      <c r="O2694" s="5">
        <v>24.6629541</v>
      </c>
      <c r="P2694" s="6" t="str">
        <f t="shared" si="2"/>
        <v>Heavy Electrical Equipment</v>
      </c>
    </row>
    <row r="2695">
      <c r="A2695" s="3" t="s">
        <v>11155</v>
      </c>
      <c r="B2695" s="4">
        <v>524742.0</v>
      </c>
      <c r="C2695" s="3" t="s">
        <v>11156</v>
      </c>
      <c r="D2695" s="3" t="s">
        <v>11157</v>
      </c>
      <c r="E2695" s="3" t="s">
        <v>11158</v>
      </c>
      <c r="F2695" s="3" t="s">
        <v>19</v>
      </c>
      <c r="G2695" s="3" t="s">
        <v>20</v>
      </c>
      <c r="H2695" s="3">
        <v>2.0</v>
      </c>
      <c r="I2695" s="3" t="s">
        <v>6524</v>
      </c>
      <c r="J2695" s="3" t="s">
        <v>22</v>
      </c>
      <c r="K2695" s="3" t="s">
        <v>45</v>
      </c>
      <c r="L2695" s="3" t="s">
        <v>45</v>
      </c>
      <c r="M2695" s="3" t="s">
        <v>46</v>
      </c>
      <c r="N2695" s="3" t="s">
        <v>47</v>
      </c>
      <c r="O2695" s="5">
        <v>11185.571678</v>
      </c>
      <c r="P2695" s="6" t="str">
        <f t="shared" si="2"/>
        <v>Pharmaceuticals</v>
      </c>
    </row>
    <row r="2696" hidden="1">
      <c r="A2696" s="3" t="s">
        <v>11159</v>
      </c>
      <c r="B2696" s="4">
        <v>533208.0</v>
      </c>
      <c r="C2696" s="3" t="s">
        <v>11160</v>
      </c>
      <c r="D2696" s="3" t="s">
        <v>11161</v>
      </c>
      <c r="E2696" s="3" t="s">
        <v>11162</v>
      </c>
      <c r="F2696" s="3" t="s">
        <v>19</v>
      </c>
      <c r="G2696" s="3" t="s">
        <v>112</v>
      </c>
      <c r="H2696" s="3">
        <v>2.0</v>
      </c>
      <c r="I2696" s="3" t="s">
        <v>11159</v>
      </c>
      <c r="J2696" s="3" t="s">
        <v>22</v>
      </c>
      <c r="K2696" s="3" t="s">
        <v>23</v>
      </c>
      <c r="L2696" s="3" t="s">
        <v>32</v>
      </c>
      <c r="M2696" s="3" t="s">
        <v>33</v>
      </c>
      <c r="N2696" s="3" t="s">
        <v>34</v>
      </c>
      <c r="O2696" s="5">
        <v>826.0157735</v>
      </c>
      <c r="P2696" s="6" t="str">
        <f t="shared" si="2"/>
        <v>Paper, Forest &amp; Jute Products</v>
      </c>
    </row>
    <row r="2697" hidden="1">
      <c r="A2697" s="3" t="s">
        <v>11163</v>
      </c>
      <c r="B2697" s="4">
        <v>533210.0</v>
      </c>
      <c r="C2697" s="3" t="s">
        <v>11164</v>
      </c>
      <c r="D2697" s="3" t="s">
        <v>11165</v>
      </c>
      <c r="E2697" s="3" t="s">
        <v>11164</v>
      </c>
      <c r="F2697" s="3" t="s">
        <v>19</v>
      </c>
      <c r="G2697" s="3" t="s">
        <v>112</v>
      </c>
      <c r="H2697" s="3">
        <v>1.0</v>
      </c>
      <c r="I2697" s="3" t="s">
        <v>11163</v>
      </c>
      <c r="J2697" s="3" t="s">
        <v>22</v>
      </c>
      <c r="K2697" s="3" t="s">
        <v>145</v>
      </c>
      <c r="L2697" s="3" t="s">
        <v>145</v>
      </c>
      <c r="M2697" s="3" t="s">
        <v>146</v>
      </c>
      <c r="N2697" s="3" t="s">
        <v>575</v>
      </c>
      <c r="O2697" s="5">
        <v>537.8694477</v>
      </c>
      <c r="P2697" s="6" t="str">
        <f t="shared" si="2"/>
        <v>Agricultural Food &amp; other Products</v>
      </c>
    </row>
    <row r="2698" hidden="1">
      <c r="A2698" s="3" t="s">
        <v>11166</v>
      </c>
      <c r="B2698" s="4">
        <v>533212.0</v>
      </c>
      <c r="C2698" s="3" t="s">
        <v>11167</v>
      </c>
      <c r="D2698" s="3" t="s">
        <v>11168</v>
      </c>
      <c r="E2698" s="3" t="s">
        <v>11169</v>
      </c>
      <c r="F2698" s="3" t="s">
        <v>19</v>
      </c>
      <c r="G2698" s="3" t="s">
        <v>44</v>
      </c>
      <c r="H2698" s="3">
        <v>10.0</v>
      </c>
      <c r="I2698" s="3" t="s">
        <v>11166</v>
      </c>
      <c r="J2698" s="3" t="s">
        <v>22</v>
      </c>
      <c r="K2698" s="3" t="s">
        <v>45</v>
      </c>
      <c r="L2698" s="3" t="s">
        <v>45</v>
      </c>
      <c r="M2698" s="3" t="s">
        <v>7249</v>
      </c>
      <c r="N2698" s="3" t="s">
        <v>7250</v>
      </c>
      <c r="O2698" s="5">
        <v>57.3945654</v>
      </c>
      <c r="P2698" s="6" t="str">
        <f t="shared" si="2"/>
        <v>Healthcare Equipment &amp; Supplies</v>
      </c>
    </row>
    <row r="2699" hidden="1">
      <c r="A2699" s="3" t="s">
        <v>11170</v>
      </c>
      <c r="B2699" s="4">
        <v>533217.0</v>
      </c>
      <c r="C2699" s="3" t="s">
        <v>11171</v>
      </c>
      <c r="D2699" s="3" t="s">
        <v>11172</v>
      </c>
      <c r="E2699" s="3" t="s">
        <v>11173</v>
      </c>
      <c r="F2699" s="3" t="s">
        <v>19</v>
      </c>
      <c r="G2699" s="3" t="s">
        <v>112</v>
      </c>
      <c r="H2699" s="3">
        <v>10.0</v>
      </c>
      <c r="I2699" s="3" t="s">
        <v>11170</v>
      </c>
      <c r="J2699" s="3" t="s">
        <v>22</v>
      </c>
      <c r="K2699" s="3" t="s">
        <v>58</v>
      </c>
      <c r="L2699" s="3" t="s">
        <v>182</v>
      </c>
      <c r="M2699" s="3" t="s">
        <v>183</v>
      </c>
      <c r="N2699" s="3" t="s">
        <v>184</v>
      </c>
      <c r="O2699" s="5">
        <v>729.3100883</v>
      </c>
      <c r="P2699" s="6" t="str">
        <f t="shared" si="2"/>
        <v>Media</v>
      </c>
    </row>
    <row r="2700" hidden="1">
      <c r="A2700" s="3" t="s">
        <v>11174</v>
      </c>
      <c r="B2700" s="4">
        <v>533218.0</v>
      </c>
      <c r="C2700" s="3" t="s">
        <v>11175</v>
      </c>
      <c r="D2700" s="3" t="s">
        <v>11176</v>
      </c>
      <c r="E2700" s="3" t="s">
        <v>11177</v>
      </c>
      <c r="F2700" s="3" t="s">
        <v>19</v>
      </c>
      <c r="G2700" s="3" t="s">
        <v>112</v>
      </c>
      <c r="H2700" s="3">
        <v>2.0</v>
      </c>
      <c r="I2700" s="3" t="s">
        <v>11174</v>
      </c>
      <c r="J2700" s="3" t="s">
        <v>22</v>
      </c>
      <c r="K2700" s="3" t="s">
        <v>58</v>
      </c>
      <c r="L2700" s="3" t="s">
        <v>59</v>
      </c>
      <c r="M2700" s="3" t="s">
        <v>59</v>
      </c>
      <c r="N2700" s="3" t="s">
        <v>60</v>
      </c>
      <c r="O2700" s="5">
        <v>387.7485</v>
      </c>
      <c r="P2700" s="6" t="str">
        <f t="shared" si="2"/>
        <v>Residential, Commercial Projects</v>
      </c>
    </row>
    <row r="2701" hidden="1">
      <c r="A2701" s="3" t="s">
        <v>11178</v>
      </c>
      <c r="B2701" s="4">
        <v>533227.0</v>
      </c>
      <c r="C2701" s="3" t="s">
        <v>11179</v>
      </c>
      <c r="D2701" s="3" t="s">
        <v>11180</v>
      </c>
      <c r="E2701" s="3" t="s">
        <v>11181</v>
      </c>
      <c r="F2701" s="3" t="s">
        <v>19</v>
      </c>
      <c r="G2701" s="3" t="s">
        <v>112</v>
      </c>
      <c r="H2701" s="3">
        <v>10.0</v>
      </c>
      <c r="I2701" s="3" t="s">
        <v>11178</v>
      </c>
      <c r="J2701" s="3" t="s">
        <v>22</v>
      </c>
      <c r="K2701" s="3" t="s">
        <v>58</v>
      </c>
      <c r="L2701" s="3" t="s">
        <v>73</v>
      </c>
      <c r="M2701" s="3" t="s">
        <v>74</v>
      </c>
      <c r="N2701" s="3" t="s">
        <v>75</v>
      </c>
      <c r="O2701" s="5">
        <v>249.26256</v>
      </c>
      <c r="P2701" s="6" t="str">
        <f t="shared" si="2"/>
        <v>Leisure Services</v>
      </c>
    </row>
    <row r="2702" hidden="1">
      <c r="A2702" s="3" t="s">
        <v>11182</v>
      </c>
      <c r="B2702" s="4">
        <v>533229.0</v>
      </c>
      <c r="C2702" s="3" t="s">
        <v>11183</v>
      </c>
      <c r="D2702" s="3" t="s">
        <v>11184</v>
      </c>
      <c r="E2702" s="3" t="s">
        <v>11185</v>
      </c>
      <c r="F2702" s="3" t="s">
        <v>19</v>
      </c>
      <c r="G2702" s="3" t="s">
        <v>20</v>
      </c>
      <c r="H2702" s="3">
        <v>1.0</v>
      </c>
      <c r="I2702" s="3" t="s">
        <v>11182</v>
      </c>
      <c r="J2702" s="3" t="s">
        <v>22</v>
      </c>
      <c r="K2702" s="3" t="s">
        <v>145</v>
      </c>
      <c r="L2702" s="3" t="s">
        <v>145</v>
      </c>
      <c r="M2702" s="3" t="s">
        <v>2790</v>
      </c>
      <c r="N2702" s="3" t="s">
        <v>2791</v>
      </c>
      <c r="O2702" s="5">
        <v>3669.1566469</v>
      </c>
      <c r="P2702" s="6" t="str">
        <f t="shared" si="2"/>
        <v>Personal Products</v>
      </c>
    </row>
    <row r="2703" hidden="1">
      <c r="A2703" s="3" t="s">
        <v>11186</v>
      </c>
      <c r="B2703" s="4">
        <v>533239.0</v>
      </c>
      <c r="C2703" s="3" t="s">
        <v>11187</v>
      </c>
      <c r="D2703" s="3" t="s">
        <v>11188</v>
      </c>
      <c r="E2703" s="3" t="s">
        <v>11189</v>
      </c>
      <c r="F2703" s="3" t="s">
        <v>19</v>
      </c>
      <c r="G2703" s="3" t="s">
        <v>86</v>
      </c>
      <c r="H2703" s="3">
        <v>1.0</v>
      </c>
      <c r="I2703" s="3" t="s">
        <v>11186</v>
      </c>
      <c r="J2703" s="3" t="s">
        <v>22</v>
      </c>
      <c r="K2703" s="3" t="s">
        <v>97</v>
      </c>
      <c r="L2703" s="3" t="s">
        <v>98</v>
      </c>
      <c r="M2703" s="3" t="s">
        <v>100</v>
      </c>
      <c r="N2703" s="3" t="s">
        <v>612</v>
      </c>
      <c r="O2703" s="5">
        <v>148.7129032</v>
      </c>
      <c r="P2703" s="6" t="str">
        <f t="shared" si="2"/>
        <v>Industrial Products</v>
      </c>
    </row>
    <row r="2704" hidden="1">
      <c r="A2704" s="3" t="s">
        <v>11190</v>
      </c>
      <c r="B2704" s="4">
        <v>535205.0</v>
      </c>
      <c r="C2704" s="3" t="s">
        <v>11191</v>
      </c>
      <c r="D2704" s="3" t="s">
        <v>11192</v>
      </c>
      <c r="E2704" s="3" t="s">
        <v>11193</v>
      </c>
      <c r="F2704" s="3" t="s">
        <v>19</v>
      </c>
      <c r="G2704" s="3" t="s">
        <v>72</v>
      </c>
      <c r="H2704" s="3">
        <v>10.0</v>
      </c>
      <c r="I2704" s="3" t="s">
        <v>11194</v>
      </c>
      <c r="J2704" s="3" t="s">
        <v>22</v>
      </c>
      <c r="K2704" s="3" t="s">
        <v>1673</v>
      </c>
      <c r="L2704" s="3" t="s">
        <v>1673</v>
      </c>
      <c r="M2704" s="3" t="s">
        <v>1674</v>
      </c>
      <c r="N2704" s="3" t="s">
        <v>1915</v>
      </c>
      <c r="O2704" s="5">
        <v>8.5620313</v>
      </c>
      <c r="P2704" s="6" t="str">
        <f t="shared" si="2"/>
        <v>Commercial Services &amp; Supplies</v>
      </c>
    </row>
    <row r="2705" hidden="1">
      <c r="A2705" s="3" t="s">
        <v>11195</v>
      </c>
      <c r="B2705" s="4">
        <v>533252.0</v>
      </c>
      <c r="C2705" s="3" t="s">
        <v>11196</v>
      </c>
      <c r="D2705" s="3" t="s">
        <v>11197</v>
      </c>
      <c r="E2705" s="3" t="s">
        <v>11198</v>
      </c>
      <c r="F2705" s="3" t="s">
        <v>19</v>
      </c>
      <c r="G2705" s="3" t="s">
        <v>112</v>
      </c>
      <c r="H2705" s="3">
        <v>10.0</v>
      </c>
      <c r="I2705" s="3" t="s">
        <v>11195</v>
      </c>
      <c r="J2705" s="3" t="s">
        <v>22</v>
      </c>
      <c r="K2705" s="3" t="s">
        <v>204</v>
      </c>
      <c r="L2705" s="3" t="s">
        <v>204</v>
      </c>
      <c r="M2705" s="3" t="s">
        <v>378</v>
      </c>
      <c r="N2705" s="3" t="s">
        <v>384</v>
      </c>
      <c r="O2705" s="5">
        <v>282.0400745</v>
      </c>
      <c r="P2705" s="6" t="str">
        <f t="shared" si="2"/>
        <v>Finance</v>
      </c>
    </row>
    <row r="2706" hidden="1">
      <c r="A2706" s="3" t="s">
        <v>11199</v>
      </c>
      <c r="B2706" s="4">
        <v>533259.0</v>
      </c>
      <c r="C2706" s="3" t="s">
        <v>11200</v>
      </c>
      <c r="D2706" s="3" t="s">
        <v>11201</v>
      </c>
      <c r="E2706" s="3" t="s">
        <v>11202</v>
      </c>
      <c r="F2706" s="3" t="s">
        <v>19</v>
      </c>
      <c r="G2706" s="3" t="s">
        <v>112</v>
      </c>
      <c r="H2706" s="3">
        <v>10.0</v>
      </c>
      <c r="I2706" s="3" t="s">
        <v>11199</v>
      </c>
      <c r="J2706" s="3" t="s">
        <v>22</v>
      </c>
      <c r="K2706" s="3" t="s">
        <v>45</v>
      </c>
      <c r="L2706" s="3" t="s">
        <v>45</v>
      </c>
      <c r="M2706" s="3" t="s">
        <v>4488</v>
      </c>
      <c r="N2706" s="3" t="s">
        <v>4489</v>
      </c>
      <c r="O2706" s="5">
        <v>1083.6984787</v>
      </c>
      <c r="P2706" s="6" t="str">
        <f t="shared" si="2"/>
        <v>Healthcare Services</v>
      </c>
    </row>
    <row r="2707" hidden="1">
      <c r="A2707" s="3" t="s">
        <v>11203</v>
      </c>
      <c r="B2707" s="4">
        <v>533260.0</v>
      </c>
      <c r="C2707" s="3" t="s">
        <v>11204</v>
      </c>
      <c r="D2707" s="3" t="s">
        <v>11205</v>
      </c>
      <c r="E2707" s="3" t="s">
        <v>11206</v>
      </c>
      <c r="F2707" s="3" t="s">
        <v>19</v>
      </c>
      <c r="G2707" s="3" t="s">
        <v>112</v>
      </c>
      <c r="H2707" s="3">
        <v>10.0</v>
      </c>
      <c r="I2707" s="3" t="s">
        <v>11203</v>
      </c>
      <c r="J2707" s="3" t="s">
        <v>22</v>
      </c>
      <c r="K2707" s="3" t="s">
        <v>58</v>
      </c>
      <c r="L2707" s="3" t="s">
        <v>73</v>
      </c>
      <c r="M2707" s="3" t="s">
        <v>800</v>
      </c>
      <c r="N2707" s="3" t="s">
        <v>801</v>
      </c>
      <c r="O2707" s="5">
        <v>725.757816</v>
      </c>
      <c r="P2707" s="6" t="str">
        <f t="shared" si="2"/>
        <v>Other Consumer Services</v>
      </c>
    </row>
    <row r="2708" hidden="1">
      <c r="A2708" s="3" t="s">
        <v>11207</v>
      </c>
      <c r="B2708" s="4">
        <v>533261.0</v>
      </c>
      <c r="C2708" s="3" t="s">
        <v>11208</v>
      </c>
      <c r="D2708" s="3" t="s">
        <v>11209</v>
      </c>
      <c r="E2708" s="3" t="s">
        <v>11210</v>
      </c>
      <c r="F2708" s="3" t="s">
        <v>19</v>
      </c>
      <c r="G2708" s="3" t="s">
        <v>112</v>
      </c>
      <c r="H2708" s="3">
        <v>10.0</v>
      </c>
      <c r="I2708" s="3" t="s">
        <v>11207</v>
      </c>
      <c r="J2708" s="3" t="s">
        <v>22</v>
      </c>
      <c r="K2708" s="3" t="s">
        <v>58</v>
      </c>
      <c r="L2708" s="3" t="s">
        <v>182</v>
      </c>
      <c r="M2708" s="3" t="s">
        <v>1168</v>
      </c>
      <c r="N2708" s="3" t="s">
        <v>1568</v>
      </c>
      <c r="O2708" s="5">
        <v>193.7888797</v>
      </c>
      <c r="P2708" s="6" t="str">
        <f t="shared" si="2"/>
        <v>Entertainment</v>
      </c>
    </row>
    <row r="2709" hidden="1">
      <c r="A2709" s="3" t="s">
        <v>11211</v>
      </c>
      <c r="B2709" s="4">
        <v>533262.0</v>
      </c>
      <c r="C2709" s="3" t="s">
        <v>11212</v>
      </c>
      <c r="D2709" s="3" t="s">
        <v>11213</v>
      </c>
      <c r="E2709" s="3" t="s">
        <v>11214</v>
      </c>
      <c r="F2709" s="3" t="s">
        <v>19</v>
      </c>
      <c r="G2709" s="3" t="s">
        <v>112</v>
      </c>
      <c r="H2709" s="3">
        <v>10.0</v>
      </c>
      <c r="I2709" s="3" t="s">
        <v>11211</v>
      </c>
      <c r="J2709" s="3" t="s">
        <v>22</v>
      </c>
      <c r="K2709" s="3" t="s">
        <v>97</v>
      </c>
      <c r="L2709" s="3" t="s">
        <v>965</v>
      </c>
      <c r="M2709" s="3" t="s">
        <v>965</v>
      </c>
      <c r="N2709" s="3" t="s">
        <v>966</v>
      </c>
      <c r="O2709" s="5">
        <v>4115.5379655</v>
      </c>
      <c r="P2709" s="6" t="str">
        <f t="shared" si="2"/>
        <v>Civil Construction</v>
      </c>
    </row>
    <row r="2710" hidden="1">
      <c r="A2710" s="3" t="s">
        <v>11215</v>
      </c>
      <c r="B2710" s="4">
        <v>533263.0</v>
      </c>
      <c r="C2710" s="3" t="s">
        <v>11216</v>
      </c>
      <c r="D2710" s="3" t="s">
        <v>11217</v>
      </c>
      <c r="E2710" s="3" t="s">
        <v>11218</v>
      </c>
      <c r="F2710" s="3" t="s">
        <v>19</v>
      </c>
      <c r="G2710" s="3" t="s">
        <v>112</v>
      </c>
      <c r="H2710" s="3">
        <v>10.0</v>
      </c>
      <c r="I2710" s="3" t="s">
        <v>11215</v>
      </c>
      <c r="J2710" s="3" t="s">
        <v>22</v>
      </c>
      <c r="K2710" s="3" t="s">
        <v>1647</v>
      </c>
      <c r="L2710" s="3" t="s">
        <v>1648</v>
      </c>
      <c r="M2710" s="3" t="s">
        <v>1648</v>
      </c>
      <c r="N2710" s="3" t="s">
        <v>1649</v>
      </c>
      <c r="O2710" s="5">
        <v>2030.5853726</v>
      </c>
      <c r="P2710" s="6" t="str">
        <f t="shared" si="2"/>
        <v>Power</v>
      </c>
    </row>
    <row r="2711" hidden="1">
      <c r="A2711" s="3" t="s">
        <v>11219</v>
      </c>
      <c r="B2711" s="4">
        <v>533267.0</v>
      </c>
      <c r="C2711" s="3" t="s">
        <v>11220</v>
      </c>
      <c r="D2711" s="3" t="s">
        <v>11221</v>
      </c>
      <c r="E2711" s="3" t="s">
        <v>11222</v>
      </c>
      <c r="F2711" s="3" t="s">
        <v>19</v>
      </c>
      <c r="G2711" s="3" t="s">
        <v>112</v>
      </c>
      <c r="H2711" s="3">
        <v>2.0</v>
      </c>
      <c r="I2711" s="3" t="s">
        <v>11219</v>
      </c>
      <c r="J2711" s="3" t="s">
        <v>22</v>
      </c>
      <c r="K2711" s="3" t="s">
        <v>58</v>
      </c>
      <c r="L2711" s="3" t="s">
        <v>80</v>
      </c>
      <c r="M2711" s="3" t="s">
        <v>81</v>
      </c>
      <c r="N2711" s="3" t="s">
        <v>944</v>
      </c>
      <c r="O2711" s="5">
        <v>2056.6470344</v>
      </c>
      <c r="P2711" s="6" t="str">
        <f t="shared" si="2"/>
        <v>Textiles &amp; Apparels</v>
      </c>
    </row>
    <row r="2712" hidden="1">
      <c r="A2712" s="3" t="s">
        <v>11223</v>
      </c>
      <c r="B2712" s="4">
        <v>533268.0</v>
      </c>
      <c r="C2712" s="3" t="s">
        <v>11224</v>
      </c>
      <c r="D2712" s="3" t="s">
        <v>11225</v>
      </c>
      <c r="E2712" s="3" t="s">
        <v>11226</v>
      </c>
      <c r="F2712" s="3" t="s">
        <v>19</v>
      </c>
      <c r="G2712" s="3" t="s">
        <v>72</v>
      </c>
      <c r="H2712" s="3">
        <v>10.0</v>
      </c>
      <c r="I2712" s="3" t="s">
        <v>11223</v>
      </c>
      <c r="J2712" s="3" t="s">
        <v>22</v>
      </c>
      <c r="K2712" s="3" t="s">
        <v>58</v>
      </c>
      <c r="L2712" s="3" t="s">
        <v>182</v>
      </c>
      <c r="M2712" s="3" t="s">
        <v>1168</v>
      </c>
      <c r="N2712" s="3" t="s">
        <v>1169</v>
      </c>
      <c r="O2712" s="5">
        <v>11.279364</v>
      </c>
      <c r="P2712" s="6" t="str">
        <f t="shared" si="2"/>
        <v>Entertainment</v>
      </c>
    </row>
    <row r="2713">
      <c r="A2713" s="3" t="s">
        <v>11227</v>
      </c>
      <c r="B2713" s="4">
        <v>524804.0</v>
      </c>
      <c r="C2713" s="3" t="s">
        <v>11228</v>
      </c>
      <c r="D2713" s="3" t="s">
        <v>11229</v>
      </c>
      <c r="E2713" s="3" t="s">
        <v>11230</v>
      </c>
      <c r="F2713" s="3" t="s">
        <v>19</v>
      </c>
      <c r="G2713" s="3" t="s">
        <v>20</v>
      </c>
      <c r="H2713" s="3">
        <v>1.0</v>
      </c>
      <c r="I2713" s="3" t="s">
        <v>6553</v>
      </c>
      <c r="J2713" s="3" t="s">
        <v>22</v>
      </c>
      <c r="K2713" s="3" t="s">
        <v>45</v>
      </c>
      <c r="L2713" s="3" t="s">
        <v>45</v>
      </c>
      <c r="M2713" s="3" t="s">
        <v>46</v>
      </c>
      <c r="N2713" s="3" t="s">
        <v>47</v>
      </c>
      <c r="O2713" s="5">
        <v>72240.6351707</v>
      </c>
      <c r="P2713" s="6" t="str">
        <f t="shared" si="2"/>
        <v>Pharmaceuticals</v>
      </c>
    </row>
    <row r="2714" hidden="1">
      <c r="A2714" s="3" t="s">
        <v>11231</v>
      </c>
      <c r="B2714" s="4">
        <v>533270.0</v>
      </c>
      <c r="C2714" s="3" t="s">
        <v>11232</v>
      </c>
      <c r="D2714" s="3" t="s">
        <v>11233</v>
      </c>
      <c r="E2714" s="3" t="s">
        <v>11234</v>
      </c>
      <c r="F2714" s="3" t="s">
        <v>19</v>
      </c>
      <c r="G2714" s="3" t="s">
        <v>112</v>
      </c>
      <c r="H2714" s="3">
        <v>10.0</v>
      </c>
      <c r="I2714" s="3" t="s">
        <v>11231</v>
      </c>
      <c r="J2714" s="3" t="s">
        <v>22</v>
      </c>
      <c r="K2714" s="3" t="s">
        <v>97</v>
      </c>
      <c r="L2714" s="3" t="s">
        <v>98</v>
      </c>
      <c r="M2714" s="3" t="s">
        <v>100</v>
      </c>
      <c r="N2714" s="3" t="s">
        <v>612</v>
      </c>
      <c r="O2714" s="5">
        <v>756.8126043</v>
      </c>
      <c r="P2714" s="6" t="str">
        <f t="shared" si="2"/>
        <v>Industrial Products</v>
      </c>
    </row>
    <row r="2715">
      <c r="A2715" s="3" t="s">
        <v>11235</v>
      </c>
      <c r="B2715" s="4">
        <v>524816.0</v>
      </c>
      <c r="C2715" s="3" t="s">
        <v>11236</v>
      </c>
      <c r="D2715" s="3" t="s">
        <v>11237</v>
      </c>
      <c r="E2715" s="3" t="s">
        <v>11238</v>
      </c>
      <c r="F2715" s="3" t="s">
        <v>19</v>
      </c>
      <c r="G2715" s="3" t="s">
        <v>20</v>
      </c>
      <c r="H2715" s="3">
        <v>2.0</v>
      </c>
      <c r="I2715" s="3" t="s">
        <v>6562</v>
      </c>
      <c r="J2715" s="3" t="s">
        <v>22</v>
      </c>
      <c r="K2715" s="3" t="s">
        <v>45</v>
      </c>
      <c r="L2715" s="3" t="s">
        <v>45</v>
      </c>
      <c r="M2715" s="3" t="s">
        <v>46</v>
      </c>
      <c r="N2715" s="3" t="s">
        <v>47</v>
      </c>
      <c r="O2715" s="5">
        <v>21412.9178353</v>
      </c>
      <c r="P2715" s="6" t="str">
        <f t="shared" si="2"/>
        <v>Pharmaceuticals</v>
      </c>
    </row>
    <row r="2716">
      <c r="A2716" s="3" t="s">
        <v>11239</v>
      </c>
      <c r="B2716" s="4">
        <v>530019.0</v>
      </c>
      <c r="C2716" s="3" t="s">
        <v>11240</v>
      </c>
      <c r="D2716" s="3" t="s">
        <v>11241</v>
      </c>
      <c r="E2716" s="3" t="s">
        <v>11242</v>
      </c>
      <c r="F2716" s="3" t="s">
        <v>19</v>
      </c>
      <c r="G2716" s="3" t="s">
        <v>20</v>
      </c>
      <c r="H2716" s="3">
        <v>1.0</v>
      </c>
      <c r="I2716" s="3" t="s">
        <v>7269</v>
      </c>
      <c r="J2716" s="3" t="s">
        <v>22</v>
      </c>
      <c r="K2716" s="3" t="s">
        <v>45</v>
      </c>
      <c r="L2716" s="3" t="s">
        <v>45</v>
      </c>
      <c r="M2716" s="3" t="s">
        <v>46</v>
      </c>
      <c r="N2716" s="3" t="s">
        <v>47</v>
      </c>
      <c r="O2716" s="5">
        <v>11676.4084</v>
      </c>
      <c r="P2716" s="6" t="str">
        <f t="shared" si="2"/>
        <v>Pharmaceuticals</v>
      </c>
    </row>
    <row r="2717">
      <c r="A2717" s="3" t="s">
        <v>2176</v>
      </c>
      <c r="B2717" s="4">
        <v>530549.0</v>
      </c>
      <c r="C2717" s="3" t="s">
        <v>11243</v>
      </c>
      <c r="D2717" s="3" t="s">
        <v>11244</v>
      </c>
      <c r="E2717" s="3" t="s">
        <v>11245</v>
      </c>
      <c r="F2717" s="3" t="s">
        <v>19</v>
      </c>
      <c r="G2717" s="3" t="s">
        <v>20</v>
      </c>
      <c r="H2717" s="3">
        <v>1.0</v>
      </c>
      <c r="I2717" s="3" t="s">
        <v>7708</v>
      </c>
      <c r="J2717" s="3" t="s">
        <v>22</v>
      </c>
      <c r="K2717" s="3" t="s">
        <v>45</v>
      </c>
      <c r="L2717" s="3" t="s">
        <v>45</v>
      </c>
      <c r="M2717" s="3" t="s">
        <v>46</v>
      </c>
      <c r="N2717" s="3" t="s">
        <v>47</v>
      </c>
      <c r="O2717" s="5">
        <v>5667.0684378</v>
      </c>
      <c r="P2717" s="6" t="str">
        <f t="shared" si="2"/>
        <v>Pharmaceuticals</v>
      </c>
    </row>
    <row r="2718">
      <c r="A2718" s="3" t="s">
        <v>2188</v>
      </c>
      <c r="B2718" s="4">
        <v>531599.0</v>
      </c>
      <c r="C2718" s="3" t="s">
        <v>11246</v>
      </c>
      <c r="D2718" s="3" t="s">
        <v>11247</v>
      </c>
      <c r="E2718" s="3" t="s">
        <v>11248</v>
      </c>
      <c r="F2718" s="3" t="s">
        <v>19</v>
      </c>
      <c r="G2718" s="3" t="s">
        <v>20</v>
      </c>
      <c r="H2718" s="3">
        <v>1.0</v>
      </c>
      <c r="I2718" s="3" t="s">
        <v>8782</v>
      </c>
      <c r="J2718" s="3" t="s">
        <v>22</v>
      </c>
      <c r="K2718" s="3" t="s">
        <v>45</v>
      </c>
      <c r="L2718" s="3" t="s">
        <v>45</v>
      </c>
      <c r="M2718" s="3" t="s">
        <v>46</v>
      </c>
      <c r="N2718" s="3" t="s">
        <v>47</v>
      </c>
      <c r="O2718" s="5">
        <v>7618.26362</v>
      </c>
      <c r="P2718" s="6" t="str">
        <f t="shared" si="2"/>
        <v>Pharmaceuticals</v>
      </c>
    </row>
    <row r="2719" hidden="1">
      <c r="A2719" s="3" t="s">
        <v>11249</v>
      </c>
      <c r="B2719" s="4">
        <v>533275.0</v>
      </c>
      <c r="C2719" s="3" t="s">
        <v>11250</v>
      </c>
      <c r="D2719" s="3" t="s">
        <v>11251</v>
      </c>
      <c r="E2719" s="3" t="s">
        <v>11252</v>
      </c>
      <c r="F2719" s="3" t="s">
        <v>19</v>
      </c>
      <c r="G2719" s="3" t="s">
        <v>112</v>
      </c>
      <c r="H2719" s="3">
        <v>1.0</v>
      </c>
      <c r="I2719" s="3" t="s">
        <v>11249</v>
      </c>
      <c r="J2719" s="3" t="s">
        <v>22</v>
      </c>
      <c r="K2719" s="3" t="s">
        <v>97</v>
      </c>
      <c r="L2719" s="3" t="s">
        <v>98</v>
      </c>
      <c r="M2719" s="3" t="s">
        <v>100</v>
      </c>
      <c r="N2719" s="3" t="s">
        <v>612</v>
      </c>
      <c r="O2719" s="5">
        <v>166.8968</v>
      </c>
      <c r="P2719" s="6" t="str">
        <f t="shared" si="2"/>
        <v>Industrial Products</v>
      </c>
    </row>
    <row r="2720">
      <c r="A2720" s="3" t="s">
        <v>6304</v>
      </c>
      <c r="B2720" s="4">
        <v>531768.0</v>
      </c>
      <c r="C2720" s="3" t="s">
        <v>11253</v>
      </c>
      <c r="D2720" s="3" t="s">
        <v>11254</v>
      </c>
      <c r="E2720" s="3" t="s">
        <v>11255</v>
      </c>
      <c r="F2720" s="3" t="s">
        <v>19</v>
      </c>
      <c r="G2720" s="3" t="s">
        <v>20</v>
      </c>
      <c r="H2720" s="3">
        <v>5.0</v>
      </c>
      <c r="I2720" s="3" t="s">
        <v>8950</v>
      </c>
      <c r="J2720" s="3" t="s">
        <v>22</v>
      </c>
      <c r="K2720" s="3" t="s">
        <v>45</v>
      </c>
      <c r="L2720" s="3" t="s">
        <v>45</v>
      </c>
      <c r="M2720" s="3" t="s">
        <v>7249</v>
      </c>
      <c r="N2720" s="3" t="s">
        <v>7250</v>
      </c>
      <c r="O2720" s="5">
        <v>18435.3059731</v>
      </c>
      <c r="P2720" s="6" t="str">
        <f t="shared" si="2"/>
        <v>Healthcare Equipment &amp; Supplies</v>
      </c>
    </row>
    <row r="2721">
      <c r="A2721" s="3" t="s">
        <v>682</v>
      </c>
      <c r="B2721" s="4">
        <v>532296.0</v>
      </c>
      <c r="C2721" s="3" t="s">
        <v>11256</v>
      </c>
      <c r="D2721" s="3" t="s">
        <v>11257</v>
      </c>
      <c r="E2721" s="3" t="s">
        <v>11258</v>
      </c>
      <c r="F2721" s="3" t="s">
        <v>19</v>
      </c>
      <c r="G2721" s="3" t="s">
        <v>20</v>
      </c>
      <c r="H2721" s="3">
        <v>1.0</v>
      </c>
      <c r="I2721" s="3" t="s">
        <v>9532</v>
      </c>
      <c r="J2721" s="3" t="s">
        <v>22</v>
      </c>
      <c r="K2721" s="3" t="s">
        <v>45</v>
      </c>
      <c r="L2721" s="3" t="s">
        <v>45</v>
      </c>
      <c r="M2721" s="3" t="s">
        <v>46</v>
      </c>
      <c r="N2721" s="3" t="s">
        <v>47</v>
      </c>
      <c r="O2721" s="5">
        <v>35093.0841952</v>
      </c>
      <c r="P2721" s="6" t="str">
        <f t="shared" si="2"/>
        <v>Pharmaceuticals</v>
      </c>
    </row>
    <row r="2722" hidden="1">
      <c r="A2722" s="3" t="s">
        <v>11259</v>
      </c>
      <c r="B2722" s="4">
        <v>533284.0</v>
      </c>
      <c r="C2722" s="3" t="s">
        <v>11260</v>
      </c>
      <c r="D2722" s="3" t="s">
        <v>11261</v>
      </c>
      <c r="E2722" s="3" t="s">
        <v>11262</v>
      </c>
      <c r="F2722" s="3" t="s">
        <v>19</v>
      </c>
      <c r="G2722" s="3" t="s">
        <v>112</v>
      </c>
      <c r="H2722" s="3">
        <v>10.0</v>
      </c>
      <c r="I2722" s="3" t="s">
        <v>11259</v>
      </c>
      <c r="J2722" s="3" t="s">
        <v>22</v>
      </c>
      <c r="K2722" s="3" t="s">
        <v>97</v>
      </c>
      <c r="L2722" s="3" t="s">
        <v>965</v>
      </c>
      <c r="M2722" s="3" t="s">
        <v>965</v>
      </c>
      <c r="N2722" s="3" t="s">
        <v>966</v>
      </c>
      <c r="O2722" s="5">
        <v>516.960587</v>
      </c>
      <c r="P2722" s="6" t="str">
        <f t="shared" si="2"/>
        <v>Civil Construction</v>
      </c>
    </row>
    <row r="2723" hidden="1">
      <c r="A2723" s="3" t="s">
        <v>11263</v>
      </c>
      <c r="B2723" s="4">
        <v>533285.0</v>
      </c>
      <c r="C2723" s="3" t="s">
        <v>11264</v>
      </c>
      <c r="D2723" s="3" t="s">
        <v>11265</v>
      </c>
      <c r="E2723" s="3" t="s">
        <v>11266</v>
      </c>
      <c r="F2723" s="3" t="s">
        <v>19</v>
      </c>
      <c r="G2723" s="3" t="s">
        <v>72</v>
      </c>
      <c r="H2723" s="3">
        <v>10.0</v>
      </c>
      <c r="I2723" s="3" t="s">
        <v>11263</v>
      </c>
      <c r="J2723" s="3" t="s">
        <v>22</v>
      </c>
      <c r="K2723" s="3" t="s">
        <v>58</v>
      </c>
      <c r="L2723" s="3" t="s">
        <v>59</v>
      </c>
      <c r="M2723" s="3" t="s">
        <v>59</v>
      </c>
      <c r="N2723" s="3" t="s">
        <v>60</v>
      </c>
      <c r="O2723" s="5">
        <v>273.0588852</v>
      </c>
      <c r="P2723" s="6" t="str">
        <f t="shared" si="2"/>
        <v>Residential, Commercial Projects</v>
      </c>
    </row>
    <row r="2724">
      <c r="A2724" s="3" t="s">
        <v>687</v>
      </c>
      <c r="B2724" s="4">
        <v>532300.0</v>
      </c>
      <c r="C2724" s="3" t="s">
        <v>11267</v>
      </c>
      <c r="D2724" s="3" t="s">
        <v>11268</v>
      </c>
      <c r="E2724" s="3" t="s">
        <v>11269</v>
      </c>
      <c r="F2724" s="3" t="s">
        <v>19</v>
      </c>
      <c r="G2724" s="3" t="s">
        <v>20</v>
      </c>
      <c r="H2724" s="3">
        <v>5.0</v>
      </c>
      <c r="I2724" s="3" t="s">
        <v>9538</v>
      </c>
      <c r="J2724" s="3" t="s">
        <v>22</v>
      </c>
      <c r="K2724" s="3" t="s">
        <v>45</v>
      </c>
      <c r="L2724" s="3" t="s">
        <v>45</v>
      </c>
      <c r="M2724" s="3" t="s">
        <v>46</v>
      </c>
      <c r="N2724" s="3" t="s">
        <v>47</v>
      </c>
      <c r="O2724" s="5">
        <v>10961.40087</v>
      </c>
      <c r="P2724" s="6" t="str">
        <f t="shared" si="2"/>
        <v>Pharmaceuticals</v>
      </c>
    </row>
    <row r="2725" hidden="1">
      <c r="A2725" s="3" t="s">
        <v>11270</v>
      </c>
      <c r="B2725" s="4">
        <v>533287.0</v>
      </c>
      <c r="C2725" s="3" t="s">
        <v>11271</v>
      </c>
      <c r="D2725" s="3" t="s">
        <v>11272</v>
      </c>
      <c r="E2725" s="3" t="s">
        <v>11273</v>
      </c>
      <c r="F2725" s="3" t="s">
        <v>19</v>
      </c>
      <c r="G2725" s="3" t="s">
        <v>86</v>
      </c>
      <c r="H2725" s="3">
        <v>1.0</v>
      </c>
      <c r="I2725" s="3" t="s">
        <v>11270</v>
      </c>
      <c r="J2725" s="3" t="s">
        <v>22</v>
      </c>
      <c r="K2725" s="3" t="s">
        <v>58</v>
      </c>
      <c r="L2725" s="3" t="s">
        <v>73</v>
      </c>
      <c r="M2725" s="3" t="s">
        <v>800</v>
      </c>
      <c r="N2725" s="3" t="s">
        <v>801</v>
      </c>
      <c r="O2725" s="5">
        <v>246.8648583</v>
      </c>
      <c r="P2725" s="6" t="str">
        <f t="shared" si="2"/>
        <v>Other Consumer Services</v>
      </c>
    </row>
    <row r="2726" hidden="1">
      <c r="A2726" s="3" t="s">
        <v>4741</v>
      </c>
      <c r="B2726" s="4">
        <v>526574.0</v>
      </c>
      <c r="C2726" s="3" t="s">
        <v>11274</v>
      </c>
      <c r="D2726" s="3" t="s">
        <v>11275</v>
      </c>
      <c r="E2726" s="3" t="s">
        <v>11276</v>
      </c>
      <c r="F2726" s="3" t="s">
        <v>19</v>
      </c>
      <c r="G2726" s="3" t="s">
        <v>44</v>
      </c>
      <c r="H2726" s="3">
        <v>10.0</v>
      </c>
      <c r="I2726" s="3" t="s">
        <v>6895</v>
      </c>
      <c r="J2726" s="3" t="s">
        <v>22</v>
      </c>
      <c r="K2726" s="3" t="s">
        <v>1673</v>
      </c>
      <c r="L2726" s="3" t="s">
        <v>1673</v>
      </c>
      <c r="M2726" s="3" t="s">
        <v>1674</v>
      </c>
      <c r="N2726" s="3" t="s">
        <v>1915</v>
      </c>
      <c r="O2726" s="5">
        <v>8.4193976</v>
      </c>
      <c r="P2726" s="6" t="str">
        <f t="shared" si="2"/>
        <v>Commercial Services &amp; Supplies</v>
      </c>
    </row>
    <row r="2727" hidden="1">
      <c r="A2727" s="3" t="s">
        <v>11277</v>
      </c>
      <c r="B2727" s="4">
        <v>533292.0</v>
      </c>
      <c r="C2727" s="3" t="s">
        <v>11278</v>
      </c>
      <c r="D2727" s="3" t="s">
        <v>11279</v>
      </c>
      <c r="E2727" s="3" t="s">
        <v>11278</v>
      </c>
      <c r="F2727" s="3" t="s">
        <v>19</v>
      </c>
      <c r="G2727" s="3" t="s">
        <v>86</v>
      </c>
      <c r="H2727" s="3">
        <v>10.0</v>
      </c>
      <c r="I2727" s="3" t="s">
        <v>11277</v>
      </c>
      <c r="J2727" s="3" t="s">
        <v>22</v>
      </c>
      <c r="K2727" s="3" t="s">
        <v>97</v>
      </c>
      <c r="L2727" s="3" t="s">
        <v>965</v>
      </c>
      <c r="M2727" s="3" t="s">
        <v>965</v>
      </c>
      <c r="N2727" s="3" t="s">
        <v>966</v>
      </c>
      <c r="O2727" s="5">
        <v>371.5884839</v>
      </c>
      <c r="P2727" s="6" t="str">
        <f t="shared" si="2"/>
        <v>Civil Construction</v>
      </c>
    </row>
    <row r="2728">
      <c r="A2728" s="3" t="s">
        <v>11280</v>
      </c>
      <c r="B2728" s="4">
        <v>532321.0</v>
      </c>
      <c r="C2728" s="3" t="s">
        <v>11281</v>
      </c>
      <c r="D2728" s="3" t="s">
        <v>11282</v>
      </c>
      <c r="E2728" s="3" t="s">
        <v>11283</v>
      </c>
      <c r="F2728" s="3" t="s">
        <v>19</v>
      </c>
      <c r="G2728" s="3" t="s">
        <v>20</v>
      </c>
      <c r="H2728" s="3">
        <v>1.0</v>
      </c>
      <c r="I2728" s="3" t="s">
        <v>9571</v>
      </c>
      <c r="J2728" s="3" t="s">
        <v>22</v>
      </c>
      <c r="K2728" s="3" t="s">
        <v>45</v>
      </c>
      <c r="L2728" s="3" t="s">
        <v>45</v>
      </c>
      <c r="M2728" s="3" t="s">
        <v>46</v>
      </c>
      <c r="N2728" s="3" t="s">
        <v>47</v>
      </c>
      <c r="O2728" s="5">
        <v>111881.5815</v>
      </c>
      <c r="P2728" s="6" t="str">
        <f t="shared" si="2"/>
        <v>Pharmaceuticals</v>
      </c>
    </row>
    <row r="2729" hidden="1">
      <c r="A2729" s="3" t="s">
        <v>11284</v>
      </c>
      <c r="B2729" s="4">
        <v>533294.0</v>
      </c>
      <c r="C2729" s="3" t="s">
        <v>11285</v>
      </c>
      <c r="D2729" s="3" t="s">
        <v>11286</v>
      </c>
      <c r="E2729" s="3" t="s">
        <v>11287</v>
      </c>
      <c r="F2729" s="3" t="s">
        <v>19</v>
      </c>
      <c r="G2729" s="3" t="s">
        <v>86</v>
      </c>
      <c r="H2729" s="3">
        <v>10.0</v>
      </c>
      <c r="I2729" s="3" t="s">
        <v>11284</v>
      </c>
      <c r="J2729" s="3" t="s">
        <v>22</v>
      </c>
      <c r="K2729" s="3" t="s">
        <v>145</v>
      </c>
      <c r="L2729" s="3" t="s">
        <v>145</v>
      </c>
      <c r="M2729" s="3" t="s">
        <v>2558</v>
      </c>
      <c r="N2729" s="3" t="s">
        <v>2559</v>
      </c>
      <c r="O2729" s="5">
        <v>77.2863712</v>
      </c>
      <c r="P2729" s="6" t="str">
        <f t="shared" si="2"/>
        <v>Beverages</v>
      </c>
    </row>
    <row r="2730">
      <c r="A2730" s="3" t="s">
        <v>10023</v>
      </c>
      <c r="B2730" s="4">
        <v>532331.0</v>
      </c>
      <c r="C2730" s="3" t="s">
        <v>11288</v>
      </c>
      <c r="D2730" s="3" t="s">
        <v>11289</v>
      </c>
      <c r="E2730" s="3" t="s">
        <v>11290</v>
      </c>
      <c r="F2730" s="3" t="s">
        <v>19</v>
      </c>
      <c r="G2730" s="3" t="s">
        <v>20</v>
      </c>
      <c r="H2730" s="3">
        <v>2.0</v>
      </c>
      <c r="I2730" s="3" t="s">
        <v>9591</v>
      </c>
      <c r="J2730" s="3" t="s">
        <v>22</v>
      </c>
      <c r="K2730" s="3" t="s">
        <v>45</v>
      </c>
      <c r="L2730" s="3" t="s">
        <v>45</v>
      </c>
      <c r="M2730" s="3" t="s">
        <v>46</v>
      </c>
      <c r="N2730" s="3" t="s">
        <v>47</v>
      </c>
      <c r="O2730" s="5">
        <v>28691.7834314</v>
      </c>
      <c r="P2730" s="6" t="str">
        <f t="shared" si="2"/>
        <v>Pharmaceuticals</v>
      </c>
    </row>
    <row r="2731" hidden="1">
      <c r="A2731" s="3" t="s">
        <v>7676</v>
      </c>
      <c r="B2731" s="4">
        <v>531515.0</v>
      </c>
      <c r="C2731" s="3" t="s">
        <v>11291</v>
      </c>
      <c r="D2731" s="3" t="s">
        <v>11292</v>
      </c>
      <c r="E2731" s="3" t="s">
        <v>11293</v>
      </c>
      <c r="F2731" s="3" t="s">
        <v>19</v>
      </c>
      <c r="G2731" s="3" t="s">
        <v>72</v>
      </c>
      <c r="H2731" s="3">
        <v>10.0</v>
      </c>
      <c r="I2731" s="3" t="s">
        <v>8667</v>
      </c>
      <c r="J2731" s="3" t="s">
        <v>22</v>
      </c>
      <c r="K2731" s="3" t="s">
        <v>1673</v>
      </c>
      <c r="L2731" s="3" t="s">
        <v>1673</v>
      </c>
      <c r="M2731" s="3" t="s">
        <v>1674</v>
      </c>
      <c r="N2731" s="3" t="s">
        <v>1915</v>
      </c>
      <c r="O2731" s="5">
        <v>7.9146659</v>
      </c>
      <c r="P2731" s="6" t="str">
        <f t="shared" si="2"/>
        <v>Commercial Services &amp; Supplies</v>
      </c>
    </row>
    <row r="2732" hidden="1">
      <c r="A2732" s="3" t="s">
        <v>11294</v>
      </c>
      <c r="B2732" s="4">
        <v>533298.0</v>
      </c>
      <c r="C2732" s="3" t="s">
        <v>11295</v>
      </c>
      <c r="D2732" s="3" t="s">
        <v>11296</v>
      </c>
      <c r="E2732" s="3" t="s">
        <v>11295</v>
      </c>
      <c r="F2732" s="3" t="s">
        <v>19</v>
      </c>
      <c r="G2732" s="3" t="s">
        <v>86</v>
      </c>
      <c r="H2732" s="3">
        <v>5.0</v>
      </c>
      <c r="I2732" s="3" t="s">
        <v>11294</v>
      </c>
      <c r="J2732" s="3" t="s">
        <v>22</v>
      </c>
      <c r="K2732" s="3" t="s">
        <v>97</v>
      </c>
      <c r="L2732" s="3" t="s">
        <v>98</v>
      </c>
      <c r="M2732" s="3" t="s">
        <v>1747</v>
      </c>
      <c r="N2732" s="3" t="s">
        <v>1767</v>
      </c>
      <c r="O2732" s="5">
        <v>191.703068</v>
      </c>
      <c r="P2732" s="6" t="str">
        <f t="shared" si="2"/>
        <v>Heavy Electrical Equipment</v>
      </c>
    </row>
    <row r="2733" hidden="1">
      <c r="A2733" s="3" t="s">
        <v>11297</v>
      </c>
      <c r="B2733" s="4">
        <v>533301.0</v>
      </c>
      <c r="C2733" s="3" t="s">
        <v>11298</v>
      </c>
      <c r="D2733" s="3" t="s">
        <v>11299</v>
      </c>
      <c r="E2733" s="3" t="s">
        <v>11300</v>
      </c>
      <c r="F2733" s="3" t="s">
        <v>19</v>
      </c>
      <c r="G2733" s="3" t="s">
        <v>86</v>
      </c>
      <c r="H2733" s="3">
        <v>1.0</v>
      </c>
      <c r="I2733" s="3" t="s">
        <v>11297</v>
      </c>
      <c r="J2733" s="3" t="s">
        <v>22</v>
      </c>
      <c r="K2733" s="3" t="s">
        <v>58</v>
      </c>
      <c r="L2733" s="3" t="s">
        <v>80</v>
      </c>
      <c r="M2733" s="3" t="s">
        <v>81</v>
      </c>
      <c r="N2733" s="3" t="s">
        <v>82</v>
      </c>
      <c r="O2733" s="5">
        <v>154.6133364</v>
      </c>
      <c r="P2733" s="6" t="str">
        <f t="shared" si="2"/>
        <v>Textiles &amp; Apparels</v>
      </c>
    </row>
    <row r="2734" hidden="1">
      <c r="A2734" s="3" t="s">
        <v>11301</v>
      </c>
      <c r="B2734" s="4">
        <v>533302.0</v>
      </c>
      <c r="C2734" s="3" t="s">
        <v>11302</v>
      </c>
      <c r="D2734" s="3" t="s">
        <v>11303</v>
      </c>
      <c r="E2734" s="3" t="s">
        <v>11304</v>
      </c>
      <c r="F2734" s="3" t="s">
        <v>19</v>
      </c>
      <c r="G2734" s="3" t="s">
        <v>112</v>
      </c>
      <c r="H2734" s="3">
        <v>10.0</v>
      </c>
      <c r="I2734" s="3" t="s">
        <v>11301</v>
      </c>
      <c r="J2734" s="3" t="s">
        <v>22</v>
      </c>
      <c r="K2734" s="3" t="s">
        <v>204</v>
      </c>
      <c r="L2734" s="3" t="s">
        <v>204</v>
      </c>
      <c r="M2734" s="3" t="s">
        <v>378</v>
      </c>
      <c r="N2734" s="3" t="s">
        <v>384</v>
      </c>
      <c r="O2734" s="5">
        <v>2794.5696706</v>
      </c>
      <c r="P2734" s="6" t="str">
        <f t="shared" si="2"/>
        <v>Finance</v>
      </c>
    </row>
    <row r="2735" hidden="1">
      <c r="A2735" s="3" t="s">
        <v>11305</v>
      </c>
      <c r="B2735" s="4">
        <v>533303.0</v>
      </c>
      <c r="C2735" s="3" t="s">
        <v>11306</v>
      </c>
      <c r="D2735" s="3" t="s">
        <v>11307</v>
      </c>
      <c r="E2735" s="3" t="s">
        <v>11308</v>
      </c>
      <c r="F2735" s="3" t="s">
        <v>19</v>
      </c>
      <c r="G2735" s="3" t="s">
        <v>112</v>
      </c>
      <c r="H2735" s="3">
        <v>5.0</v>
      </c>
      <c r="I2735" s="3" t="s">
        <v>11305</v>
      </c>
      <c r="J2735" s="3" t="s">
        <v>22</v>
      </c>
      <c r="K2735" s="3" t="s">
        <v>204</v>
      </c>
      <c r="L2735" s="3" t="s">
        <v>204</v>
      </c>
      <c r="M2735" s="3" t="s">
        <v>378</v>
      </c>
      <c r="N2735" s="3" t="s">
        <v>463</v>
      </c>
      <c r="O2735" s="5">
        <v>2576.6599977</v>
      </c>
      <c r="P2735" s="6" t="str">
        <f t="shared" si="2"/>
        <v>Finance</v>
      </c>
    </row>
    <row r="2736" hidden="1">
      <c r="A2736" s="3" t="s">
        <v>11309</v>
      </c>
      <c r="B2736" s="4">
        <v>533306.0</v>
      </c>
      <c r="C2736" s="3" t="s">
        <v>11310</v>
      </c>
      <c r="D2736" s="3" t="s">
        <v>11311</v>
      </c>
      <c r="E2736" s="3" t="s">
        <v>11310</v>
      </c>
      <c r="F2736" s="3" t="s">
        <v>19</v>
      </c>
      <c r="G2736" s="3" t="s">
        <v>112</v>
      </c>
      <c r="H2736" s="3">
        <v>10.0</v>
      </c>
      <c r="I2736" s="3" t="s">
        <v>11309</v>
      </c>
      <c r="J2736" s="3" t="s">
        <v>22</v>
      </c>
      <c r="K2736" s="3" t="s">
        <v>204</v>
      </c>
      <c r="L2736" s="3" t="s">
        <v>204</v>
      </c>
      <c r="M2736" s="3" t="s">
        <v>378</v>
      </c>
      <c r="N2736" s="3" t="s">
        <v>379</v>
      </c>
      <c r="O2736" s="5">
        <v>1955.0458722</v>
      </c>
      <c r="P2736" s="6" t="str">
        <f t="shared" si="2"/>
        <v>Non Banking Financial Company (NBFC)</v>
      </c>
    </row>
    <row r="2737" hidden="1">
      <c r="A2737" s="3" t="s">
        <v>11312</v>
      </c>
      <c r="B2737" s="4">
        <v>533315.0</v>
      </c>
      <c r="C2737" s="3" t="s">
        <v>11313</v>
      </c>
      <c r="D2737" s="3" t="s">
        <v>11314</v>
      </c>
      <c r="E2737" s="3" t="s">
        <v>11315</v>
      </c>
      <c r="F2737" s="3" t="s">
        <v>19</v>
      </c>
      <c r="G2737" s="3" t="s">
        <v>44</v>
      </c>
      <c r="H2737" s="3">
        <v>10.0</v>
      </c>
      <c r="I2737" s="3" t="s">
        <v>11312</v>
      </c>
      <c r="J2737" s="3" t="s">
        <v>22</v>
      </c>
      <c r="K2737" s="3" t="s">
        <v>204</v>
      </c>
      <c r="L2737" s="3" t="s">
        <v>204</v>
      </c>
      <c r="M2737" s="3" t="s">
        <v>378</v>
      </c>
      <c r="N2737" s="3" t="s">
        <v>384</v>
      </c>
      <c r="O2737" s="5">
        <v>66.6727965</v>
      </c>
      <c r="P2737" s="6" t="str">
        <f t="shared" si="2"/>
        <v>Finance</v>
      </c>
    </row>
    <row r="2738" hidden="1">
      <c r="A2738" s="3" t="s">
        <v>11316</v>
      </c>
      <c r="B2738" s="4">
        <v>533316.0</v>
      </c>
      <c r="C2738" s="3" t="s">
        <v>11317</v>
      </c>
      <c r="D2738" s="3" t="s">
        <v>11318</v>
      </c>
      <c r="E2738" s="3" t="s">
        <v>11319</v>
      </c>
      <c r="F2738" s="3" t="s">
        <v>19</v>
      </c>
      <c r="G2738" s="3" t="s">
        <v>112</v>
      </c>
      <c r="H2738" s="3">
        <v>10.0</v>
      </c>
      <c r="I2738" s="3" t="s">
        <v>11316</v>
      </c>
      <c r="J2738" s="3" t="s">
        <v>22</v>
      </c>
      <c r="K2738" s="3" t="s">
        <v>204</v>
      </c>
      <c r="L2738" s="3" t="s">
        <v>204</v>
      </c>
      <c r="M2738" s="3" t="s">
        <v>378</v>
      </c>
      <c r="N2738" s="3" t="s">
        <v>384</v>
      </c>
      <c r="O2738" s="5">
        <v>857.5042424</v>
      </c>
      <c r="P2738" s="6" t="str">
        <f t="shared" si="2"/>
        <v>Finance</v>
      </c>
    </row>
    <row r="2739" hidden="1">
      <c r="A2739" s="3" t="s">
        <v>11320</v>
      </c>
      <c r="B2739" s="4">
        <v>533317.0</v>
      </c>
      <c r="C2739" s="3" t="s">
        <v>11321</v>
      </c>
      <c r="D2739" s="3" t="s">
        <v>11322</v>
      </c>
      <c r="E2739" s="3" t="s">
        <v>11323</v>
      </c>
      <c r="F2739" s="3" t="s">
        <v>19</v>
      </c>
      <c r="G2739" s="3" t="s">
        <v>57</v>
      </c>
      <c r="H2739" s="3">
        <v>10.0</v>
      </c>
      <c r="I2739" s="3" t="s">
        <v>11320</v>
      </c>
      <c r="J2739" s="3" t="s">
        <v>22</v>
      </c>
      <c r="K2739" s="3" t="s">
        <v>23</v>
      </c>
      <c r="L2739" s="3" t="s">
        <v>24</v>
      </c>
      <c r="M2739" s="3" t="s">
        <v>25</v>
      </c>
      <c r="N2739" s="3" t="s">
        <v>26</v>
      </c>
      <c r="O2739" s="5">
        <v>13.956865</v>
      </c>
      <c r="P2739" s="6" t="str">
        <f t="shared" si="2"/>
        <v>Specialty Chemicals</v>
      </c>
    </row>
    <row r="2740" hidden="1">
      <c r="A2740" s="3" t="s">
        <v>11324</v>
      </c>
      <c r="B2740" s="4">
        <v>533320.0</v>
      </c>
      <c r="C2740" s="3" t="s">
        <v>11325</v>
      </c>
      <c r="D2740" s="3" t="s">
        <v>11326</v>
      </c>
      <c r="E2740" s="3" t="s">
        <v>11327</v>
      </c>
      <c r="F2740" s="3" t="s">
        <v>19</v>
      </c>
      <c r="G2740" s="3" t="s">
        <v>112</v>
      </c>
      <c r="H2740" s="3">
        <v>10.0</v>
      </c>
      <c r="I2740" s="3" t="s">
        <v>11324</v>
      </c>
      <c r="J2740" s="3" t="s">
        <v>22</v>
      </c>
      <c r="K2740" s="3" t="s">
        <v>23</v>
      </c>
      <c r="L2740" s="3" t="s">
        <v>24</v>
      </c>
      <c r="M2740" s="3" t="s">
        <v>25</v>
      </c>
      <c r="N2740" s="3" t="s">
        <v>26</v>
      </c>
      <c r="O2740" s="5">
        <v>2436.4714475</v>
      </c>
      <c r="P2740" s="6" t="str">
        <f t="shared" si="2"/>
        <v>Specialty Chemicals</v>
      </c>
    </row>
    <row r="2741">
      <c r="A2741" s="3" t="s">
        <v>11328</v>
      </c>
      <c r="B2741" s="4">
        <v>532482.0</v>
      </c>
      <c r="C2741" s="3" t="s">
        <v>11329</v>
      </c>
      <c r="D2741" s="3" t="s">
        <v>11330</v>
      </c>
      <c r="E2741" s="3" t="s">
        <v>11331</v>
      </c>
      <c r="F2741" s="3" t="s">
        <v>19</v>
      </c>
      <c r="G2741" s="3" t="s">
        <v>20</v>
      </c>
      <c r="H2741" s="3">
        <v>1.0</v>
      </c>
      <c r="I2741" s="3" t="s">
        <v>9875</v>
      </c>
      <c r="J2741" s="3" t="s">
        <v>22</v>
      </c>
      <c r="K2741" s="3" t="s">
        <v>45</v>
      </c>
      <c r="L2741" s="3" t="s">
        <v>45</v>
      </c>
      <c r="M2741" s="3" t="s">
        <v>46</v>
      </c>
      <c r="N2741" s="3" t="s">
        <v>47</v>
      </c>
      <c r="O2741" s="5">
        <v>12132.2685337</v>
      </c>
      <c r="P2741" s="6" t="str">
        <f t="shared" si="2"/>
        <v>Pharmaceuticals</v>
      </c>
    </row>
    <row r="2742" hidden="1">
      <c r="A2742" s="3" t="s">
        <v>11332</v>
      </c>
      <c r="B2742" s="4">
        <v>533329.0</v>
      </c>
      <c r="C2742" s="3" t="s">
        <v>11333</v>
      </c>
      <c r="D2742" s="3" t="s">
        <v>11334</v>
      </c>
      <c r="E2742" s="3" t="s">
        <v>11335</v>
      </c>
      <c r="F2742" s="3" t="s">
        <v>19</v>
      </c>
      <c r="G2742" s="3" t="s">
        <v>112</v>
      </c>
      <c r="H2742" s="3">
        <v>2.0</v>
      </c>
      <c r="I2742" s="3" t="s">
        <v>11332</v>
      </c>
      <c r="J2742" s="3" t="s">
        <v>22</v>
      </c>
      <c r="K2742" s="3" t="s">
        <v>58</v>
      </c>
      <c r="L2742" s="3" t="s">
        <v>80</v>
      </c>
      <c r="M2742" s="3" t="s">
        <v>81</v>
      </c>
      <c r="N2742" s="3" t="s">
        <v>944</v>
      </c>
      <c r="O2742" s="5">
        <v>323.7616935</v>
      </c>
      <c r="P2742" s="6" t="str">
        <f t="shared" si="2"/>
        <v>Textiles &amp; Apparels</v>
      </c>
    </row>
    <row r="2743" hidden="1">
      <c r="A2743" s="3" t="s">
        <v>11336</v>
      </c>
      <c r="B2743" s="4">
        <v>533333.0</v>
      </c>
      <c r="C2743" s="3" t="s">
        <v>11337</v>
      </c>
      <c r="D2743" s="3" t="s">
        <v>11338</v>
      </c>
      <c r="E2743" s="3" t="s">
        <v>11339</v>
      </c>
      <c r="F2743" s="3" t="s">
        <v>19</v>
      </c>
      <c r="G2743" s="3" t="s">
        <v>20</v>
      </c>
      <c r="H2743" s="3">
        <v>2.0</v>
      </c>
      <c r="I2743" s="3" t="s">
        <v>11336</v>
      </c>
      <c r="J2743" s="3" t="s">
        <v>22</v>
      </c>
      <c r="K2743" s="3" t="s">
        <v>23</v>
      </c>
      <c r="L2743" s="3" t="s">
        <v>24</v>
      </c>
      <c r="M2743" s="3" t="s">
        <v>25</v>
      </c>
      <c r="N2743" s="3" t="s">
        <v>26</v>
      </c>
      <c r="O2743" s="5">
        <v>4373.9870714</v>
      </c>
      <c r="P2743" s="6" t="str">
        <f t="shared" si="2"/>
        <v>Specialty Chemicals</v>
      </c>
    </row>
    <row r="2744" hidden="1">
      <c r="A2744" s="3" t="s">
        <v>11340</v>
      </c>
      <c r="B2744" s="4">
        <v>533336.0</v>
      </c>
      <c r="C2744" s="3" t="s">
        <v>11341</v>
      </c>
      <c r="D2744" s="3" t="s">
        <v>11342</v>
      </c>
      <c r="E2744" s="3" t="s">
        <v>11343</v>
      </c>
      <c r="F2744" s="3" t="s">
        <v>19</v>
      </c>
      <c r="G2744" s="3" t="s">
        <v>112</v>
      </c>
      <c r="H2744" s="3">
        <v>10.0</v>
      </c>
      <c r="I2744" s="3" t="s">
        <v>11340</v>
      </c>
      <c r="J2744" s="3" t="s">
        <v>22</v>
      </c>
      <c r="K2744" s="3" t="s">
        <v>204</v>
      </c>
      <c r="L2744" s="3" t="s">
        <v>204</v>
      </c>
      <c r="M2744" s="3" t="s">
        <v>378</v>
      </c>
      <c r="N2744" s="3" t="s">
        <v>384</v>
      </c>
      <c r="O2744" s="5">
        <v>815.0745145</v>
      </c>
      <c r="P2744" s="6" t="str">
        <f t="shared" si="2"/>
        <v>Finance</v>
      </c>
    </row>
    <row r="2745">
      <c r="A2745" s="3" t="s">
        <v>11344</v>
      </c>
      <c r="B2745" s="4">
        <v>532488.0</v>
      </c>
      <c r="C2745" s="3" t="s">
        <v>11345</v>
      </c>
      <c r="D2745" s="3" t="s">
        <v>11346</v>
      </c>
      <c r="E2745" s="3" t="s">
        <v>11347</v>
      </c>
      <c r="F2745" s="3" t="s">
        <v>19</v>
      </c>
      <c r="G2745" s="3" t="s">
        <v>20</v>
      </c>
      <c r="H2745" s="3">
        <v>2.0</v>
      </c>
      <c r="I2745" s="3" t="s">
        <v>9891</v>
      </c>
      <c r="J2745" s="3" t="s">
        <v>22</v>
      </c>
      <c r="K2745" s="3" t="s">
        <v>45</v>
      </c>
      <c r="L2745" s="3" t="s">
        <v>45</v>
      </c>
      <c r="M2745" s="3" t="s">
        <v>46</v>
      </c>
      <c r="N2745" s="3" t="s">
        <v>47</v>
      </c>
      <c r="O2745" s="5">
        <v>121384.9362952</v>
      </c>
      <c r="P2745" s="6" t="str">
        <f t="shared" si="2"/>
        <v>Pharmaceuticals</v>
      </c>
    </row>
    <row r="2746" hidden="1">
      <c r="A2746" s="3" t="s">
        <v>11348</v>
      </c>
      <c r="B2746" s="4">
        <v>533343.0</v>
      </c>
      <c r="C2746" s="3" t="s">
        <v>11349</v>
      </c>
      <c r="D2746" s="3" t="s">
        <v>11350</v>
      </c>
      <c r="E2746" s="3" t="s">
        <v>11351</v>
      </c>
      <c r="F2746" s="3" t="s">
        <v>19</v>
      </c>
      <c r="G2746" s="3" t="s">
        <v>112</v>
      </c>
      <c r="H2746" s="3">
        <v>10.0</v>
      </c>
      <c r="I2746" s="3" t="s">
        <v>11348</v>
      </c>
      <c r="J2746" s="3" t="s">
        <v>22</v>
      </c>
      <c r="K2746" s="3" t="s">
        <v>58</v>
      </c>
      <c r="L2746" s="3" t="s">
        <v>80</v>
      </c>
      <c r="M2746" s="3" t="s">
        <v>81</v>
      </c>
      <c r="N2746" s="3" t="s">
        <v>944</v>
      </c>
      <c r="O2746" s="5">
        <v>198.9396815</v>
      </c>
      <c r="P2746" s="6" t="str">
        <f t="shared" si="2"/>
        <v>Textiles &amp; Apparels</v>
      </c>
    </row>
    <row r="2747" hidden="1">
      <c r="A2747" s="3" t="s">
        <v>11352</v>
      </c>
      <c r="B2747" s="4">
        <v>533344.0</v>
      </c>
      <c r="C2747" s="3" t="s">
        <v>11353</v>
      </c>
      <c r="D2747" s="3" t="s">
        <v>11354</v>
      </c>
      <c r="E2747" s="3" t="s">
        <v>11355</v>
      </c>
      <c r="F2747" s="3" t="s">
        <v>19</v>
      </c>
      <c r="G2747" s="3" t="s">
        <v>112</v>
      </c>
      <c r="H2747" s="3">
        <v>10.0</v>
      </c>
      <c r="I2747" s="3" t="s">
        <v>11352</v>
      </c>
      <c r="J2747" s="3" t="s">
        <v>22</v>
      </c>
      <c r="K2747" s="3" t="s">
        <v>204</v>
      </c>
      <c r="L2747" s="3" t="s">
        <v>204</v>
      </c>
      <c r="M2747" s="3" t="s">
        <v>378</v>
      </c>
      <c r="N2747" s="3" t="s">
        <v>379</v>
      </c>
      <c r="O2747" s="5">
        <v>2822.6443145</v>
      </c>
      <c r="P2747" s="6" t="str">
        <f t="shared" si="2"/>
        <v>Non Banking Financial Company (NBFC)</v>
      </c>
    </row>
    <row r="2748">
      <c r="A2748" s="3" t="s">
        <v>10060</v>
      </c>
      <c r="B2748" s="4">
        <v>532523.0</v>
      </c>
      <c r="C2748" s="3" t="s">
        <v>11356</v>
      </c>
      <c r="D2748" s="3" t="s">
        <v>11357</v>
      </c>
      <c r="E2748" s="3" t="s">
        <v>11358</v>
      </c>
      <c r="F2748" s="3" t="s">
        <v>19</v>
      </c>
      <c r="G2748" s="3" t="s">
        <v>20</v>
      </c>
      <c r="H2748" s="3">
        <v>5.0</v>
      </c>
      <c r="I2748" s="3" t="s">
        <v>9947</v>
      </c>
      <c r="J2748" s="3" t="s">
        <v>22</v>
      </c>
      <c r="K2748" s="3" t="s">
        <v>45</v>
      </c>
      <c r="L2748" s="3" t="s">
        <v>45</v>
      </c>
      <c r="M2748" s="3" t="s">
        <v>46</v>
      </c>
      <c r="N2748" s="3" t="s">
        <v>47</v>
      </c>
      <c r="O2748" s="5">
        <v>42566.1183458</v>
      </c>
      <c r="P2748" s="6" t="str">
        <f t="shared" si="2"/>
        <v>Pharmaceuticals</v>
      </c>
    </row>
    <row r="2749" hidden="1">
      <c r="A2749" s="3" t="s">
        <v>11359</v>
      </c>
      <c r="B2749" s="4">
        <v>533407.0</v>
      </c>
      <c r="C2749" s="3" t="s">
        <v>11360</v>
      </c>
      <c r="D2749" s="3" t="s">
        <v>11361</v>
      </c>
      <c r="E2749" s="3" t="s">
        <v>11362</v>
      </c>
      <c r="F2749" s="3" t="s">
        <v>19</v>
      </c>
      <c r="G2749" s="3" t="s">
        <v>44</v>
      </c>
      <c r="H2749" s="3">
        <v>10.0</v>
      </c>
      <c r="I2749" s="3" t="s">
        <v>11359</v>
      </c>
      <c r="J2749" s="3" t="s">
        <v>22</v>
      </c>
      <c r="K2749" s="3" t="s">
        <v>58</v>
      </c>
      <c r="L2749" s="3" t="s">
        <v>80</v>
      </c>
      <c r="M2749" s="3" t="s">
        <v>81</v>
      </c>
      <c r="N2749" s="3" t="s">
        <v>82</v>
      </c>
      <c r="O2749" s="5">
        <v>85.272768</v>
      </c>
      <c r="P2749" s="6" t="str">
        <f t="shared" si="2"/>
        <v>Textiles &amp; Apparels</v>
      </c>
    </row>
    <row r="2750" hidden="1">
      <c r="A2750" s="3" t="s">
        <v>5081</v>
      </c>
      <c r="B2750" s="4">
        <v>532645.0</v>
      </c>
      <c r="C2750" s="3" t="s">
        <v>11363</v>
      </c>
      <c r="D2750" s="3" t="s">
        <v>11364</v>
      </c>
      <c r="E2750" s="3" t="s">
        <v>11365</v>
      </c>
      <c r="F2750" s="3" t="s">
        <v>19</v>
      </c>
      <c r="G2750" s="3" t="s">
        <v>72</v>
      </c>
      <c r="H2750" s="3">
        <v>10.0</v>
      </c>
      <c r="I2750" s="3" t="s">
        <v>10104</v>
      </c>
      <c r="J2750" s="3" t="s">
        <v>22</v>
      </c>
      <c r="K2750" s="3" t="s">
        <v>1673</v>
      </c>
      <c r="L2750" s="3" t="s">
        <v>1673</v>
      </c>
      <c r="M2750" s="3" t="s">
        <v>1674</v>
      </c>
      <c r="N2750" s="3" t="s">
        <v>1915</v>
      </c>
      <c r="O2750" s="5">
        <v>7.3169214</v>
      </c>
      <c r="P2750" s="6" t="str">
        <f t="shared" si="2"/>
        <v>Commercial Services &amp; Supplies</v>
      </c>
    </row>
    <row r="2751" hidden="1">
      <c r="A2751" s="3" t="s">
        <v>11366</v>
      </c>
      <c r="B2751" s="4">
        <v>533451.0</v>
      </c>
      <c r="C2751" s="3" t="s">
        <v>11367</v>
      </c>
      <c r="D2751" s="3" t="s">
        <v>11368</v>
      </c>
      <c r="E2751" s="3" t="s">
        <v>11369</v>
      </c>
      <c r="F2751" s="3" t="s">
        <v>19</v>
      </c>
      <c r="G2751" s="3" t="s">
        <v>112</v>
      </c>
      <c r="H2751" s="3">
        <v>10.0</v>
      </c>
      <c r="I2751" s="3" t="s">
        <v>11366</v>
      </c>
      <c r="J2751" s="3" t="s">
        <v>22</v>
      </c>
      <c r="K2751" s="3" t="s">
        <v>1647</v>
      </c>
      <c r="L2751" s="3" t="s">
        <v>1648</v>
      </c>
      <c r="M2751" s="3" t="s">
        <v>1648</v>
      </c>
      <c r="N2751" s="3" t="s">
        <v>1649</v>
      </c>
      <c r="O2751" s="5">
        <v>72.2614371</v>
      </c>
      <c r="P2751" s="6" t="str">
        <f t="shared" si="2"/>
        <v>Power</v>
      </c>
    </row>
    <row r="2752" hidden="1">
      <c r="A2752" s="3" t="s">
        <v>11370</v>
      </c>
      <c r="B2752" s="4">
        <v>533452.0</v>
      </c>
      <c r="C2752" s="3" t="s">
        <v>11371</v>
      </c>
      <c r="D2752" s="3" t="s">
        <v>11372</v>
      </c>
      <c r="E2752" s="3" t="s">
        <v>11373</v>
      </c>
      <c r="F2752" s="3" t="s">
        <v>19</v>
      </c>
      <c r="G2752" s="3" t="s">
        <v>86</v>
      </c>
      <c r="H2752" s="3">
        <v>10.0</v>
      </c>
      <c r="I2752" s="3" t="s">
        <v>11370</v>
      </c>
      <c r="J2752" s="3" t="s">
        <v>22</v>
      </c>
      <c r="K2752" s="3" t="s">
        <v>204</v>
      </c>
      <c r="L2752" s="3" t="s">
        <v>204</v>
      </c>
      <c r="M2752" s="3" t="s">
        <v>378</v>
      </c>
      <c r="N2752" s="3" t="s">
        <v>468</v>
      </c>
      <c r="O2752" s="5">
        <v>240.5738918</v>
      </c>
      <c r="P2752" s="6" t="str">
        <f t="shared" si="2"/>
        <v>Finance</v>
      </c>
    </row>
    <row r="2753" hidden="1">
      <c r="A2753" s="3" t="s">
        <v>11374</v>
      </c>
      <c r="B2753" s="4">
        <v>533470.0</v>
      </c>
      <c r="C2753" s="3" t="s">
        <v>11375</v>
      </c>
      <c r="D2753" s="3" t="s">
        <v>11376</v>
      </c>
      <c r="E2753" s="3" t="s">
        <v>11377</v>
      </c>
      <c r="F2753" s="3" t="s">
        <v>19</v>
      </c>
      <c r="G2753" s="3" t="s">
        <v>112</v>
      </c>
      <c r="H2753" s="3">
        <v>10.0</v>
      </c>
      <c r="I2753" s="3" t="s">
        <v>11374</v>
      </c>
      <c r="J2753" s="3" t="s">
        <v>22</v>
      </c>
      <c r="K2753" s="3" t="s">
        <v>58</v>
      </c>
      <c r="L2753" s="3" t="s">
        <v>211</v>
      </c>
      <c r="M2753" s="3" t="s">
        <v>211</v>
      </c>
      <c r="N2753" s="3" t="s">
        <v>1444</v>
      </c>
      <c r="O2753" s="5">
        <v>935.950068</v>
      </c>
      <c r="P2753" s="6" t="str">
        <f t="shared" si="2"/>
        <v>Consumer Durables</v>
      </c>
    </row>
    <row r="2754" hidden="1">
      <c r="A2754" s="3" t="s">
        <v>11378</v>
      </c>
      <c r="B2754" s="4">
        <v>533477.0</v>
      </c>
      <c r="C2754" s="3" t="s">
        <v>11379</v>
      </c>
      <c r="D2754" s="3" t="s">
        <v>11380</v>
      </c>
      <c r="E2754" s="3" t="s">
        <v>11381</v>
      </c>
      <c r="F2754" s="3" t="s">
        <v>19</v>
      </c>
      <c r="G2754" s="3" t="s">
        <v>112</v>
      </c>
      <c r="H2754" s="3">
        <v>5.0</v>
      </c>
      <c r="I2754" s="3" t="s">
        <v>11378</v>
      </c>
      <c r="J2754" s="3" t="s">
        <v>22</v>
      </c>
      <c r="K2754" s="3" t="s">
        <v>58</v>
      </c>
      <c r="L2754" s="3" t="s">
        <v>133</v>
      </c>
      <c r="M2754" s="3" t="s">
        <v>134</v>
      </c>
      <c r="N2754" s="3" t="s">
        <v>135</v>
      </c>
      <c r="O2754" s="5">
        <v>1187.463736</v>
      </c>
      <c r="P2754" s="6" t="str">
        <f t="shared" si="2"/>
        <v>Auto Components &amp; Equipments</v>
      </c>
    </row>
    <row r="2755" hidden="1">
      <c r="A2755" s="3" t="s">
        <v>11382</v>
      </c>
      <c r="B2755" s="4">
        <v>533482.0</v>
      </c>
      <c r="C2755" s="3" t="s">
        <v>11383</v>
      </c>
      <c r="D2755" s="3" t="s">
        <v>11384</v>
      </c>
      <c r="E2755" s="3" t="s">
        <v>11383</v>
      </c>
      <c r="F2755" s="3" t="s">
        <v>19</v>
      </c>
      <c r="G2755" s="3" t="s">
        <v>86</v>
      </c>
      <c r="H2755" s="3">
        <v>2.0</v>
      </c>
      <c r="I2755" s="3" t="s">
        <v>11382</v>
      </c>
      <c r="J2755" s="3" t="s">
        <v>22</v>
      </c>
      <c r="K2755" s="3" t="s">
        <v>97</v>
      </c>
      <c r="L2755" s="3" t="s">
        <v>965</v>
      </c>
      <c r="M2755" s="3" t="s">
        <v>965</v>
      </c>
      <c r="N2755" s="3" t="s">
        <v>966</v>
      </c>
      <c r="O2755" s="5">
        <v>39.4899322</v>
      </c>
      <c r="P2755" s="6" t="str">
        <f t="shared" si="2"/>
        <v>Civil Construction</v>
      </c>
    </row>
    <row r="2756" hidden="1">
      <c r="A2756" s="3" t="s">
        <v>11385</v>
      </c>
      <c r="B2756" s="4">
        <v>533506.0</v>
      </c>
      <c r="C2756" s="3" t="s">
        <v>11386</v>
      </c>
      <c r="D2756" s="3" t="s">
        <v>11387</v>
      </c>
      <c r="E2756" s="3" t="s">
        <v>11388</v>
      </c>
      <c r="F2756" s="3" t="s">
        <v>19</v>
      </c>
      <c r="G2756" s="3" t="s">
        <v>112</v>
      </c>
      <c r="H2756" s="3">
        <v>1.0</v>
      </c>
      <c r="I2756" s="3" t="s">
        <v>11385</v>
      </c>
      <c r="J2756" s="3" t="s">
        <v>22</v>
      </c>
      <c r="K2756" s="3" t="s">
        <v>204</v>
      </c>
      <c r="L2756" s="3" t="s">
        <v>204</v>
      </c>
      <c r="M2756" s="3" t="s">
        <v>205</v>
      </c>
      <c r="N2756" s="3" t="s">
        <v>2109</v>
      </c>
      <c r="O2756" s="5">
        <v>244.3488628</v>
      </c>
      <c r="P2756" s="6" t="str">
        <f t="shared" si="2"/>
        <v>Capital Markets</v>
      </c>
    </row>
    <row r="2757">
      <c r="A2757" s="3" t="s">
        <v>10072</v>
      </c>
      <c r="B2757" s="4">
        <v>532531.0</v>
      </c>
      <c r="C2757" s="3" t="s">
        <v>11389</v>
      </c>
      <c r="D2757" s="3" t="s">
        <v>11390</v>
      </c>
      <c r="E2757" s="3" t="s">
        <v>11391</v>
      </c>
      <c r="F2757" s="3" t="s">
        <v>19</v>
      </c>
      <c r="G2757" s="3" t="s">
        <v>20</v>
      </c>
      <c r="H2757" s="3">
        <v>10.0</v>
      </c>
      <c r="I2757" s="3" t="s">
        <v>9974</v>
      </c>
      <c r="J2757" s="3" t="s">
        <v>22</v>
      </c>
      <c r="K2757" s="3" t="s">
        <v>45</v>
      </c>
      <c r="L2757" s="3" t="s">
        <v>45</v>
      </c>
      <c r="M2757" s="3" t="s">
        <v>46</v>
      </c>
      <c r="N2757" s="3" t="s">
        <v>47</v>
      </c>
      <c r="O2757" s="5">
        <v>8714.5853657</v>
      </c>
      <c r="P2757" s="6" t="str">
        <f t="shared" si="2"/>
        <v>Pharmaceuticals</v>
      </c>
    </row>
    <row r="2758" hidden="1">
      <c r="A2758" s="3" t="s">
        <v>5089</v>
      </c>
      <c r="B2758" s="4">
        <v>512443.0</v>
      </c>
      <c r="C2758" s="3" t="s">
        <v>11392</v>
      </c>
      <c r="D2758" s="3" t="s">
        <v>11393</v>
      </c>
      <c r="E2758" s="3" t="s">
        <v>11394</v>
      </c>
      <c r="F2758" s="3" t="s">
        <v>19</v>
      </c>
      <c r="G2758" s="3" t="s">
        <v>72</v>
      </c>
      <c r="H2758" s="3">
        <v>10.0</v>
      </c>
      <c r="I2758" s="3" t="s">
        <v>3880</v>
      </c>
      <c r="J2758" s="3" t="s">
        <v>22</v>
      </c>
      <c r="K2758" s="3" t="s">
        <v>1673</v>
      </c>
      <c r="L2758" s="3" t="s">
        <v>1673</v>
      </c>
      <c r="M2758" s="3" t="s">
        <v>1674</v>
      </c>
      <c r="N2758" s="3" t="s">
        <v>1915</v>
      </c>
      <c r="O2758" s="5">
        <v>7.0133007</v>
      </c>
      <c r="P2758" s="6" t="str">
        <f t="shared" si="2"/>
        <v>Commercial Services &amp; Supplies</v>
      </c>
    </row>
    <row r="2759" hidden="1">
      <c r="A2759" s="3" t="s">
        <v>11395</v>
      </c>
      <c r="B2759" s="4">
        <v>533540.0</v>
      </c>
      <c r="C2759" s="3" t="s">
        <v>11396</v>
      </c>
      <c r="D2759" s="3" t="s">
        <v>11397</v>
      </c>
      <c r="E2759" s="3" t="s">
        <v>11398</v>
      </c>
      <c r="F2759" s="3" t="s">
        <v>19</v>
      </c>
      <c r="G2759" s="3" t="s">
        <v>112</v>
      </c>
      <c r="H2759" s="3">
        <v>10.0</v>
      </c>
      <c r="I2759" s="3" t="s">
        <v>11395</v>
      </c>
      <c r="J2759" s="3" t="s">
        <v>22</v>
      </c>
      <c r="K2759" s="3" t="s">
        <v>58</v>
      </c>
      <c r="L2759" s="3" t="s">
        <v>73</v>
      </c>
      <c r="M2759" s="3" t="s">
        <v>800</v>
      </c>
      <c r="N2759" s="3" t="s">
        <v>801</v>
      </c>
      <c r="O2759" s="5">
        <v>110.5748407</v>
      </c>
      <c r="P2759" s="6" t="str">
        <f t="shared" si="2"/>
        <v>Other Consumer Services</v>
      </c>
    </row>
    <row r="2760" hidden="1">
      <c r="A2760" s="3" t="s">
        <v>11399</v>
      </c>
      <c r="B2760" s="4">
        <v>533543.0</v>
      </c>
      <c r="C2760" s="3" t="s">
        <v>11400</v>
      </c>
      <c r="D2760" s="3" t="s">
        <v>11401</v>
      </c>
      <c r="E2760" s="3" t="s">
        <v>11402</v>
      </c>
      <c r="F2760" s="3" t="s">
        <v>19</v>
      </c>
      <c r="G2760" s="3" t="s">
        <v>86</v>
      </c>
      <c r="H2760" s="3">
        <v>10.0</v>
      </c>
      <c r="I2760" s="3" t="s">
        <v>11399</v>
      </c>
      <c r="J2760" s="3" t="s">
        <v>22</v>
      </c>
      <c r="K2760" s="3" t="s">
        <v>45</v>
      </c>
      <c r="L2760" s="3" t="s">
        <v>45</v>
      </c>
      <c r="M2760" s="3" t="s">
        <v>46</v>
      </c>
      <c r="N2760" s="3" t="s">
        <v>47</v>
      </c>
      <c r="O2760" s="5">
        <v>234.82865</v>
      </c>
      <c r="P2760" s="6" t="str">
        <f t="shared" si="2"/>
        <v>Pharmaceuticals</v>
      </c>
    </row>
    <row r="2761" hidden="1">
      <c r="A2761" s="3" t="s">
        <v>11403</v>
      </c>
      <c r="B2761" s="4">
        <v>533552.0</v>
      </c>
      <c r="C2761" s="3" t="s">
        <v>11404</v>
      </c>
      <c r="D2761" s="3" t="s">
        <v>11405</v>
      </c>
      <c r="E2761" s="3" t="s">
        <v>11406</v>
      </c>
      <c r="F2761" s="3" t="s">
        <v>19</v>
      </c>
      <c r="G2761" s="3" t="s">
        <v>112</v>
      </c>
      <c r="H2761" s="3">
        <v>1.0</v>
      </c>
      <c r="I2761" s="3" t="s">
        <v>11403</v>
      </c>
      <c r="J2761" s="3" t="s">
        <v>22</v>
      </c>
      <c r="K2761" s="3" t="s">
        <v>58</v>
      </c>
      <c r="L2761" s="3" t="s">
        <v>80</v>
      </c>
      <c r="M2761" s="3" t="s">
        <v>81</v>
      </c>
      <c r="N2761" s="3" t="s">
        <v>944</v>
      </c>
      <c r="O2761" s="5">
        <v>2223.0356712</v>
      </c>
      <c r="P2761" s="6" t="str">
        <f t="shared" si="2"/>
        <v>Textiles &amp; Apparels</v>
      </c>
    </row>
    <row r="2762">
      <c r="A2762" s="3" t="s">
        <v>11407</v>
      </c>
      <c r="B2762" s="4">
        <v>532843.0</v>
      </c>
      <c r="C2762" s="3" t="s">
        <v>11408</v>
      </c>
      <c r="D2762" s="3" t="s">
        <v>11409</v>
      </c>
      <c r="E2762" s="3" t="s">
        <v>11410</v>
      </c>
      <c r="F2762" s="3" t="s">
        <v>19</v>
      </c>
      <c r="G2762" s="3" t="s">
        <v>20</v>
      </c>
      <c r="H2762" s="3">
        <v>10.0</v>
      </c>
      <c r="I2762" s="3" t="s">
        <v>10593</v>
      </c>
      <c r="J2762" s="3" t="s">
        <v>22</v>
      </c>
      <c r="K2762" s="3" t="s">
        <v>45</v>
      </c>
      <c r="L2762" s="3" t="s">
        <v>45</v>
      </c>
      <c r="M2762" s="3" t="s">
        <v>4488</v>
      </c>
      <c r="N2762" s="3" t="s">
        <v>5801</v>
      </c>
      <c r="O2762" s="5">
        <v>35776.5754825</v>
      </c>
      <c r="P2762" s="6" t="str">
        <f t="shared" si="2"/>
        <v>Healthcare Services</v>
      </c>
    </row>
    <row r="2763">
      <c r="A2763" s="3" t="s">
        <v>11411</v>
      </c>
      <c r="B2763" s="4">
        <v>532872.0</v>
      </c>
      <c r="C2763" s="3" t="s">
        <v>11412</v>
      </c>
      <c r="D2763" s="3" t="s">
        <v>11413</v>
      </c>
      <c r="E2763" s="3" t="s">
        <v>11414</v>
      </c>
      <c r="F2763" s="3" t="s">
        <v>19</v>
      </c>
      <c r="G2763" s="3" t="s">
        <v>20</v>
      </c>
      <c r="H2763" s="3">
        <v>1.0</v>
      </c>
      <c r="I2763" s="3" t="s">
        <v>10656</v>
      </c>
      <c r="J2763" s="3" t="s">
        <v>22</v>
      </c>
      <c r="K2763" s="3" t="s">
        <v>45</v>
      </c>
      <c r="L2763" s="3" t="s">
        <v>45</v>
      </c>
      <c r="M2763" s="3" t="s">
        <v>46</v>
      </c>
      <c r="N2763" s="3" t="s">
        <v>47</v>
      </c>
      <c r="O2763" s="5">
        <v>7773.6850349</v>
      </c>
      <c r="P2763" s="6" t="str">
        <f t="shared" si="2"/>
        <v>Pharmaceuticals</v>
      </c>
    </row>
    <row r="2764" hidden="1">
      <c r="A2764" s="3" t="s">
        <v>11415</v>
      </c>
      <c r="B2764" s="4">
        <v>533576.0</v>
      </c>
      <c r="C2764" s="3" t="s">
        <v>11416</v>
      </c>
      <c r="D2764" s="3" t="s">
        <v>11417</v>
      </c>
      <c r="E2764" s="3" t="s">
        <v>11418</v>
      </c>
      <c r="F2764" s="3" t="s">
        <v>19</v>
      </c>
      <c r="G2764" s="3" t="s">
        <v>86</v>
      </c>
      <c r="H2764" s="3">
        <v>10.0</v>
      </c>
      <c r="I2764" s="3" t="s">
        <v>11415</v>
      </c>
      <c r="J2764" s="3" t="s">
        <v>22</v>
      </c>
      <c r="K2764" s="3" t="s">
        <v>23</v>
      </c>
      <c r="L2764" s="3" t="s">
        <v>65</v>
      </c>
      <c r="M2764" s="3" t="s">
        <v>106</v>
      </c>
      <c r="N2764" s="3" t="s">
        <v>177</v>
      </c>
      <c r="O2764" s="5">
        <v>96.9512787</v>
      </c>
      <c r="P2764" s="6" t="str">
        <f t="shared" si="2"/>
        <v>Ferrous Metals</v>
      </c>
    </row>
    <row r="2765">
      <c r="A2765" s="3" t="s">
        <v>2208</v>
      </c>
      <c r="B2765" s="4">
        <v>533573.0</v>
      </c>
      <c r="C2765" s="3" t="s">
        <v>11419</v>
      </c>
      <c r="D2765" s="3" t="s">
        <v>11420</v>
      </c>
      <c r="E2765" s="3" t="s">
        <v>11421</v>
      </c>
      <c r="F2765" s="3" t="s">
        <v>19</v>
      </c>
      <c r="G2765" s="3" t="s">
        <v>20</v>
      </c>
      <c r="H2765" s="3">
        <v>2.0</v>
      </c>
      <c r="I2765" s="3" t="s">
        <v>11411</v>
      </c>
      <c r="J2765" s="3" t="s">
        <v>22</v>
      </c>
      <c r="K2765" s="3" t="s">
        <v>45</v>
      </c>
      <c r="L2765" s="3" t="s">
        <v>45</v>
      </c>
      <c r="M2765" s="3" t="s">
        <v>46</v>
      </c>
      <c r="N2765" s="3" t="s">
        <v>47</v>
      </c>
      <c r="O2765" s="5">
        <v>17864.8162973</v>
      </c>
      <c r="P2765" s="6" t="str">
        <f t="shared" si="2"/>
        <v>Pharmaceuticals</v>
      </c>
    </row>
    <row r="2766" hidden="1">
      <c r="A2766" s="3" t="s">
        <v>7281</v>
      </c>
      <c r="B2766" s="4">
        <v>538452.0</v>
      </c>
      <c r="C2766" s="3" t="s">
        <v>11422</v>
      </c>
      <c r="D2766" s="3" t="s">
        <v>11423</v>
      </c>
      <c r="E2766" s="3" t="s">
        <v>11424</v>
      </c>
      <c r="F2766" s="3" t="s">
        <v>19</v>
      </c>
      <c r="G2766" s="3" t="s">
        <v>44</v>
      </c>
      <c r="H2766" s="3">
        <v>10.0</v>
      </c>
      <c r="I2766" s="3" t="s">
        <v>11425</v>
      </c>
      <c r="J2766" s="3" t="s">
        <v>22</v>
      </c>
      <c r="K2766" s="3" t="s">
        <v>1673</v>
      </c>
      <c r="L2766" s="3" t="s">
        <v>1673</v>
      </c>
      <c r="M2766" s="3" t="s">
        <v>1674</v>
      </c>
      <c r="N2766" s="3" t="s">
        <v>1915</v>
      </c>
      <c r="O2766" s="5">
        <v>6.9635021</v>
      </c>
      <c r="P2766" s="6" t="str">
        <f t="shared" si="2"/>
        <v>Commercial Services &amp; Supplies</v>
      </c>
    </row>
    <row r="2767" hidden="1">
      <c r="A2767" s="3" t="s">
        <v>11426</v>
      </c>
      <c r="B2767" s="4">
        <v>533608.0</v>
      </c>
      <c r="C2767" s="3" t="s">
        <v>11427</v>
      </c>
      <c r="D2767" s="3" t="s">
        <v>11428</v>
      </c>
      <c r="E2767" s="3" t="s">
        <v>11429</v>
      </c>
      <c r="F2767" s="3" t="s">
        <v>19</v>
      </c>
      <c r="G2767" s="3" t="s">
        <v>44</v>
      </c>
      <c r="H2767" s="3">
        <v>10.0</v>
      </c>
      <c r="I2767" s="3" t="s">
        <v>11426</v>
      </c>
      <c r="J2767" s="3" t="s">
        <v>22</v>
      </c>
      <c r="K2767" s="3" t="s">
        <v>97</v>
      </c>
      <c r="L2767" s="3" t="s">
        <v>98</v>
      </c>
      <c r="M2767" s="3" t="s">
        <v>100</v>
      </c>
      <c r="N2767" s="3" t="s">
        <v>373</v>
      </c>
      <c r="O2767" s="5">
        <v>247.4757365</v>
      </c>
      <c r="P2767" s="6" t="str">
        <f t="shared" si="2"/>
        <v>Industrial Products</v>
      </c>
    </row>
    <row r="2768" hidden="1">
      <c r="A2768" s="3" t="s">
        <v>11430</v>
      </c>
      <c r="B2768" s="4">
        <v>533629.0</v>
      </c>
      <c r="C2768" s="3" t="s">
        <v>11431</v>
      </c>
      <c r="D2768" s="3" t="s">
        <v>11432</v>
      </c>
      <c r="E2768" s="3" t="s">
        <v>11433</v>
      </c>
      <c r="F2768" s="3" t="s">
        <v>19</v>
      </c>
      <c r="G2768" s="3" t="s">
        <v>86</v>
      </c>
      <c r="H2768" s="3">
        <v>10.0</v>
      </c>
      <c r="I2768" s="3" t="s">
        <v>11430</v>
      </c>
      <c r="J2768" s="3" t="s">
        <v>22</v>
      </c>
      <c r="K2768" s="3" t="s">
        <v>97</v>
      </c>
      <c r="L2768" s="3" t="s">
        <v>98</v>
      </c>
      <c r="M2768" s="3" t="s">
        <v>100</v>
      </c>
      <c r="N2768" s="3" t="s">
        <v>580</v>
      </c>
      <c r="O2768" s="5">
        <v>50.4545448</v>
      </c>
      <c r="P2768" s="6" t="str">
        <f t="shared" si="2"/>
        <v>Industrial Products</v>
      </c>
    </row>
    <row r="2769" hidden="1">
      <c r="A2769" s="3" t="s">
        <v>11434</v>
      </c>
      <c r="B2769" s="4">
        <v>533632.0</v>
      </c>
      <c r="C2769" s="3" t="s">
        <v>11435</v>
      </c>
      <c r="D2769" s="3" t="s">
        <v>11436</v>
      </c>
      <c r="E2769" s="3" t="s">
        <v>11437</v>
      </c>
      <c r="F2769" s="3" t="s">
        <v>19</v>
      </c>
      <c r="G2769" s="3" t="s">
        <v>86</v>
      </c>
      <c r="H2769" s="3">
        <v>10.0</v>
      </c>
      <c r="I2769" s="3" t="s">
        <v>11434</v>
      </c>
      <c r="J2769" s="3" t="s">
        <v>22</v>
      </c>
      <c r="K2769" s="3" t="s">
        <v>204</v>
      </c>
      <c r="L2769" s="3" t="s">
        <v>204</v>
      </c>
      <c r="M2769" s="3" t="s">
        <v>205</v>
      </c>
      <c r="N2769" s="3" t="s">
        <v>2109</v>
      </c>
      <c r="O2769" s="5">
        <v>24.2826579</v>
      </c>
      <c r="P2769" s="6" t="str">
        <f t="shared" si="2"/>
        <v>Capital Markets</v>
      </c>
    </row>
    <row r="2770" hidden="1">
      <c r="A2770" s="3" t="s">
        <v>11438</v>
      </c>
      <c r="B2770" s="4">
        <v>533638.0</v>
      </c>
      <c r="C2770" s="3" t="s">
        <v>11439</v>
      </c>
      <c r="D2770" s="3" t="s">
        <v>11440</v>
      </c>
      <c r="E2770" s="3" t="s">
        <v>11441</v>
      </c>
      <c r="F2770" s="3" t="s">
        <v>19</v>
      </c>
      <c r="G2770" s="3" t="s">
        <v>86</v>
      </c>
      <c r="H2770" s="3">
        <v>10.0</v>
      </c>
      <c r="I2770" s="3" t="s">
        <v>11438</v>
      </c>
      <c r="J2770" s="3" t="s">
        <v>22</v>
      </c>
      <c r="K2770" s="3" t="s">
        <v>58</v>
      </c>
      <c r="L2770" s="3" t="s">
        <v>80</v>
      </c>
      <c r="M2770" s="3" t="s">
        <v>81</v>
      </c>
      <c r="N2770" s="3" t="s">
        <v>82</v>
      </c>
      <c r="O2770" s="5">
        <v>95.3436035</v>
      </c>
      <c r="P2770" s="6" t="str">
        <f t="shared" si="2"/>
        <v>Textiles &amp; Apparels</v>
      </c>
    </row>
    <row r="2771">
      <c r="A2771" s="3" t="s">
        <v>11442</v>
      </c>
      <c r="B2771" s="4">
        <v>539268.0</v>
      </c>
      <c r="C2771" s="3" t="s">
        <v>11443</v>
      </c>
      <c r="D2771" s="3" t="s">
        <v>11444</v>
      </c>
      <c r="E2771" s="3" t="s">
        <v>11445</v>
      </c>
      <c r="F2771" s="3" t="s">
        <v>19</v>
      </c>
      <c r="G2771" s="3" t="s">
        <v>20</v>
      </c>
      <c r="H2771" s="3">
        <v>10.0</v>
      </c>
      <c r="I2771" s="3" t="s">
        <v>11446</v>
      </c>
      <c r="J2771" s="3" t="s">
        <v>22</v>
      </c>
      <c r="K2771" s="3" t="s">
        <v>45</v>
      </c>
      <c r="L2771" s="3" t="s">
        <v>45</v>
      </c>
      <c r="M2771" s="3" t="s">
        <v>4488</v>
      </c>
      <c r="N2771" s="3" t="s">
        <v>6244</v>
      </c>
      <c r="O2771" s="5">
        <v>28623.179721</v>
      </c>
      <c r="P2771" s="6" t="str">
        <f t="shared" si="2"/>
        <v>Healthcare Services</v>
      </c>
    </row>
    <row r="2772" hidden="1">
      <c r="A2772" s="3" t="s">
        <v>11447</v>
      </c>
      <c r="B2772" s="4">
        <v>533676.0</v>
      </c>
      <c r="C2772" s="3" t="s">
        <v>11448</v>
      </c>
      <c r="D2772" s="3" t="s">
        <v>11449</v>
      </c>
      <c r="E2772" s="3" t="s">
        <v>11450</v>
      </c>
      <c r="F2772" s="3" t="s">
        <v>19</v>
      </c>
      <c r="G2772" s="3" t="s">
        <v>112</v>
      </c>
      <c r="H2772" s="3">
        <v>10.0</v>
      </c>
      <c r="I2772" s="3" t="s">
        <v>11447</v>
      </c>
      <c r="J2772" s="3" t="s">
        <v>22</v>
      </c>
      <c r="K2772" s="3" t="s">
        <v>204</v>
      </c>
      <c r="L2772" s="3" t="s">
        <v>204</v>
      </c>
      <c r="M2772" s="3" t="s">
        <v>205</v>
      </c>
      <c r="N2772" s="3" t="s">
        <v>2109</v>
      </c>
      <c r="O2772" s="5">
        <v>278.0024738</v>
      </c>
      <c r="P2772" s="6" t="str">
        <f t="shared" si="2"/>
        <v>Capital Markets</v>
      </c>
    </row>
    <row r="2773" hidden="1">
      <c r="A2773" s="3" t="s">
        <v>3133</v>
      </c>
      <c r="B2773" s="4">
        <v>542524.0</v>
      </c>
      <c r="C2773" s="3" t="s">
        <v>11451</v>
      </c>
      <c r="D2773" s="3" t="s">
        <v>11452</v>
      </c>
      <c r="E2773" s="3" t="s">
        <v>11453</v>
      </c>
      <c r="F2773" s="3" t="s">
        <v>19</v>
      </c>
      <c r="G2773" s="3" t="s">
        <v>72</v>
      </c>
      <c r="H2773" s="3">
        <v>10.0</v>
      </c>
      <c r="I2773" s="3" t="s">
        <v>11454</v>
      </c>
      <c r="J2773" s="3" t="s">
        <v>22</v>
      </c>
      <c r="K2773" s="3" t="s">
        <v>1673</v>
      </c>
      <c r="L2773" s="3" t="s">
        <v>1673</v>
      </c>
      <c r="M2773" s="3" t="s">
        <v>1674</v>
      </c>
      <c r="N2773" s="3" t="s">
        <v>1915</v>
      </c>
      <c r="O2773" s="5">
        <v>6.9291936</v>
      </c>
      <c r="P2773" s="6" t="str">
        <f t="shared" si="2"/>
        <v>Commercial Services &amp; Supplies</v>
      </c>
    </row>
    <row r="2774">
      <c r="A2774" s="3" t="s">
        <v>11455</v>
      </c>
      <c r="B2774" s="4">
        <v>539523.0</v>
      </c>
      <c r="C2774" s="3" t="s">
        <v>11456</v>
      </c>
      <c r="D2774" s="3" t="s">
        <v>11457</v>
      </c>
      <c r="E2774" s="3" t="s">
        <v>11458</v>
      </c>
      <c r="F2774" s="3" t="s">
        <v>19</v>
      </c>
      <c r="G2774" s="3" t="s">
        <v>20</v>
      </c>
      <c r="H2774" s="3">
        <v>2.0</v>
      </c>
      <c r="I2774" s="3" t="s">
        <v>11459</v>
      </c>
      <c r="J2774" s="3" t="s">
        <v>22</v>
      </c>
      <c r="K2774" s="3" t="s">
        <v>45</v>
      </c>
      <c r="L2774" s="3" t="s">
        <v>45</v>
      </c>
      <c r="M2774" s="3" t="s">
        <v>46</v>
      </c>
      <c r="N2774" s="3" t="s">
        <v>47</v>
      </c>
      <c r="O2774" s="5">
        <v>59781.3345413</v>
      </c>
      <c r="P2774" s="6" t="str">
        <f t="shared" si="2"/>
        <v>Pharmaceuticals</v>
      </c>
    </row>
    <row r="2775" hidden="1">
      <c r="A2775" s="3" t="s">
        <v>11460</v>
      </c>
      <c r="B2775" s="4">
        <v>533761.0</v>
      </c>
      <c r="C2775" s="3" t="s">
        <v>11461</v>
      </c>
      <c r="D2775" s="3" t="s">
        <v>11462</v>
      </c>
      <c r="E2775" s="3" t="s">
        <v>11463</v>
      </c>
      <c r="F2775" s="3" t="s">
        <v>19</v>
      </c>
      <c r="G2775" s="3" t="s">
        <v>86</v>
      </c>
      <c r="H2775" s="3">
        <v>10.0</v>
      </c>
      <c r="I2775" s="3" t="s">
        <v>11460</v>
      </c>
      <c r="J2775" s="3" t="s">
        <v>22</v>
      </c>
      <c r="K2775" s="3" t="s">
        <v>97</v>
      </c>
      <c r="L2775" s="3" t="s">
        <v>965</v>
      </c>
      <c r="M2775" s="3" t="s">
        <v>965</v>
      </c>
      <c r="N2775" s="3" t="s">
        <v>966</v>
      </c>
      <c r="O2775" s="5">
        <v>810.756104</v>
      </c>
      <c r="P2775" s="6" t="str">
        <f t="shared" si="2"/>
        <v>Civil Construction</v>
      </c>
    </row>
    <row r="2776" hidden="1">
      <c r="A2776" s="3" t="s">
        <v>6930</v>
      </c>
      <c r="B2776" s="4">
        <v>531240.0</v>
      </c>
      <c r="C2776" s="3" t="s">
        <v>11464</v>
      </c>
      <c r="D2776" s="3" t="s">
        <v>11465</v>
      </c>
      <c r="E2776" s="3" t="s">
        <v>11466</v>
      </c>
      <c r="F2776" s="3" t="s">
        <v>19</v>
      </c>
      <c r="G2776" s="3" t="s">
        <v>44</v>
      </c>
      <c r="H2776" s="3">
        <v>10.0</v>
      </c>
      <c r="I2776" s="3" t="s">
        <v>8294</v>
      </c>
      <c r="J2776" s="3" t="s">
        <v>22</v>
      </c>
      <c r="K2776" s="3" t="s">
        <v>1673</v>
      </c>
      <c r="L2776" s="3" t="s">
        <v>1673</v>
      </c>
      <c r="M2776" s="3" t="s">
        <v>1674</v>
      </c>
      <c r="N2776" s="3" t="s">
        <v>1915</v>
      </c>
      <c r="O2776" s="5">
        <v>6.8624759</v>
      </c>
      <c r="P2776" s="6" t="str">
        <f t="shared" si="2"/>
        <v>Commercial Services &amp; Supplies</v>
      </c>
    </row>
    <row r="2777" hidden="1">
      <c r="A2777" s="3" t="s">
        <v>11467</v>
      </c>
      <c r="B2777" s="4">
        <v>533941.0</v>
      </c>
      <c r="C2777" s="3" t="s">
        <v>11468</v>
      </c>
      <c r="D2777" s="3" t="s">
        <v>11469</v>
      </c>
      <c r="E2777" s="3" t="s">
        <v>11468</v>
      </c>
      <c r="F2777" s="3" t="s">
        <v>19</v>
      </c>
      <c r="G2777" s="3" t="s">
        <v>86</v>
      </c>
      <c r="H2777" s="3">
        <v>10.0</v>
      </c>
      <c r="I2777" s="3" t="s">
        <v>11467</v>
      </c>
      <c r="J2777" s="3" t="s">
        <v>22</v>
      </c>
      <c r="K2777" s="3" t="s">
        <v>58</v>
      </c>
      <c r="L2777" s="3" t="s">
        <v>80</v>
      </c>
      <c r="M2777" s="3" t="s">
        <v>81</v>
      </c>
      <c r="N2777" s="3" t="s">
        <v>944</v>
      </c>
      <c r="O2777" s="5">
        <v>292.705785</v>
      </c>
      <c r="P2777" s="6" t="str">
        <f t="shared" si="2"/>
        <v>Textiles &amp; Apparels</v>
      </c>
    </row>
    <row r="2778" hidden="1">
      <c r="A2778" s="3" t="s">
        <v>11470</v>
      </c>
      <c r="B2778" s="4">
        <v>533982.0</v>
      </c>
      <c r="C2778" s="3" t="s">
        <v>11471</v>
      </c>
      <c r="D2778" s="3" t="s">
        <v>11472</v>
      </c>
      <c r="E2778" s="3" t="s">
        <v>11473</v>
      </c>
      <c r="F2778" s="3" t="s">
        <v>19</v>
      </c>
      <c r="G2778" s="3" t="s">
        <v>86</v>
      </c>
      <c r="H2778" s="3">
        <v>10.0</v>
      </c>
      <c r="I2778" s="3" t="s">
        <v>11470</v>
      </c>
      <c r="J2778" s="3" t="s">
        <v>22</v>
      </c>
      <c r="K2778" s="3" t="s">
        <v>473</v>
      </c>
      <c r="L2778" s="3" t="s">
        <v>473</v>
      </c>
      <c r="M2778" s="3" t="s">
        <v>1538</v>
      </c>
      <c r="N2778" s="3" t="s">
        <v>1539</v>
      </c>
      <c r="O2778" s="5">
        <v>103.7310446</v>
      </c>
      <c r="P2778" s="6" t="str">
        <f t="shared" si="2"/>
        <v>IT - Services</v>
      </c>
    </row>
    <row r="2779" hidden="1">
      <c r="A2779" s="3" t="s">
        <v>11474</v>
      </c>
      <c r="B2779" s="4">
        <v>534060.0</v>
      </c>
      <c r="C2779" s="3" t="s">
        <v>11475</v>
      </c>
      <c r="D2779" s="3" t="s">
        <v>11476</v>
      </c>
      <c r="E2779" s="3" t="s">
        <v>11475</v>
      </c>
      <c r="F2779" s="3" t="s">
        <v>19</v>
      </c>
      <c r="G2779" s="3" t="s">
        <v>72</v>
      </c>
      <c r="H2779" s="3">
        <v>1.0</v>
      </c>
      <c r="I2779" s="3" t="s">
        <v>11474</v>
      </c>
      <c r="J2779" s="3" t="s">
        <v>22</v>
      </c>
      <c r="K2779" s="3" t="s">
        <v>204</v>
      </c>
      <c r="L2779" s="3" t="s">
        <v>204</v>
      </c>
      <c r="M2779" s="3" t="s">
        <v>378</v>
      </c>
      <c r="N2779" s="3" t="s">
        <v>379</v>
      </c>
      <c r="O2779" s="5">
        <v>234.5155912</v>
      </c>
      <c r="P2779" s="6" t="str">
        <f t="shared" si="2"/>
        <v>Non Banking Financial Company (NBFC)</v>
      </c>
    </row>
    <row r="2780" hidden="1">
      <c r="A2780" s="3" t="s">
        <v>11477</v>
      </c>
      <c r="B2780" s="4">
        <v>534063.0</v>
      </c>
      <c r="C2780" s="3" t="s">
        <v>11478</v>
      </c>
      <c r="D2780" s="3" t="s">
        <v>11479</v>
      </c>
      <c r="E2780" s="3" t="s">
        <v>11480</v>
      </c>
      <c r="F2780" s="3" t="s">
        <v>19</v>
      </c>
      <c r="G2780" s="3" t="s">
        <v>44</v>
      </c>
      <c r="H2780" s="3">
        <v>10.0</v>
      </c>
      <c r="I2780" s="3" t="s">
        <v>11477</v>
      </c>
      <c r="J2780" s="3" t="s">
        <v>22</v>
      </c>
      <c r="K2780" s="3" t="s">
        <v>204</v>
      </c>
      <c r="L2780" s="3" t="s">
        <v>204</v>
      </c>
      <c r="M2780" s="3" t="s">
        <v>378</v>
      </c>
      <c r="N2780" s="3" t="s">
        <v>468</v>
      </c>
      <c r="O2780" s="5">
        <v>100.7034435</v>
      </c>
      <c r="P2780" s="6" t="str">
        <f t="shared" si="2"/>
        <v>Finance</v>
      </c>
    </row>
    <row r="2781" hidden="1">
      <c r="A2781" s="3" t="s">
        <v>11481</v>
      </c>
      <c r="B2781" s="4">
        <v>534064.0</v>
      </c>
      <c r="C2781" s="3" t="s">
        <v>11482</v>
      </c>
      <c r="D2781" s="3" t="s">
        <v>11483</v>
      </c>
      <c r="E2781" s="3" t="s">
        <v>11484</v>
      </c>
      <c r="F2781" s="3" t="s">
        <v>19</v>
      </c>
      <c r="G2781" s="3" t="s">
        <v>44</v>
      </c>
      <c r="H2781" s="3">
        <v>1.0</v>
      </c>
      <c r="I2781" s="3" t="s">
        <v>11481</v>
      </c>
      <c r="J2781" s="3" t="s">
        <v>22</v>
      </c>
      <c r="K2781" s="3" t="s">
        <v>97</v>
      </c>
      <c r="L2781" s="3" t="s">
        <v>98</v>
      </c>
      <c r="M2781" s="3" t="s">
        <v>100</v>
      </c>
      <c r="N2781" s="3" t="s">
        <v>612</v>
      </c>
      <c r="O2781" s="5">
        <v>1109.615148</v>
      </c>
      <c r="P2781" s="6" t="str">
        <f t="shared" si="2"/>
        <v>Industrial Products</v>
      </c>
    </row>
    <row r="2782">
      <c r="A2782" s="3" t="s">
        <v>11485</v>
      </c>
      <c r="B2782" s="4">
        <v>539524.0</v>
      </c>
      <c r="C2782" s="3" t="s">
        <v>11486</v>
      </c>
      <c r="D2782" s="3" t="s">
        <v>11487</v>
      </c>
      <c r="E2782" s="3" t="s">
        <v>11488</v>
      </c>
      <c r="F2782" s="3" t="s">
        <v>19</v>
      </c>
      <c r="G2782" s="3" t="s">
        <v>20</v>
      </c>
      <c r="H2782" s="3">
        <v>10.0</v>
      </c>
      <c r="I2782" s="3" t="s">
        <v>11489</v>
      </c>
      <c r="J2782" s="3" t="s">
        <v>22</v>
      </c>
      <c r="K2782" s="3" t="s">
        <v>45</v>
      </c>
      <c r="L2782" s="3" t="s">
        <v>45</v>
      </c>
      <c r="M2782" s="3" t="s">
        <v>4488</v>
      </c>
      <c r="N2782" s="3" t="s">
        <v>4489</v>
      </c>
      <c r="O2782" s="5">
        <v>23279.0819885</v>
      </c>
      <c r="P2782" s="6" t="str">
        <f t="shared" si="2"/>
        <v>Healthcare Services</v>
      </c>
    </row>
    <row r="2783">
      <c r="A2783" s="3" t="s">
        <v>10079</v>
      </c>
      <c r="B2783" s="4">
        <v>539551.0</v>
      </c>
      <c r="C2783" s="3" t="s">
        <v>11490</v>
      </c>
      <c r="D2783" s="3" t="s">
        <v>11491</v>
      </c>
      <c r="E2783" s="3" t="s">
        <v>11492</v>
      </c>
      <c r="F2783" s="3" t="s">
        <v>19</v>
      </c>
      <c r="G2783" s="3" t="s">
        <v>20</v>
      </c>
      <c r="H2783" s="3">
        <v>10.0</v>
      </c>
      <c r="I2783" s="3" t="s">
        <v>11493</v>
      </c>
      <c r="J2783" s="3" t="s">
        <v>22</v>
      </c>
      <c r="K2783" s="3" t="s">
        <v>45</v>
      </c>
      <c r="L2783" s="3" t="s">
        <v>45</v>
      </c>
      <c r="M2783" s="3" t="s">
        <v>4488</v>
      </c>
      <c r="N2783" s="3" t="s">
        <v>5801</v>
      </c>
      <c r="O2783" s="5">
        <v>24688.7623434</v>
      </c>
      <c r="P2783" s="6" t="str">
        <f t="shared" si="2"/>
        <v>Healthcare Services</v>
      </c>
    </row>
    <row r="2784" hidden="1">
      <c r="A2784" s="3" t="s">
        <v>11494</v>
      </c>
      <c r="B2784" s="4">
        <v>534109.0</v>
      </c>
      <c r="C2784" s="3" t="s">
        <v>11495</v>
      </c>
      <c r="D2784" s="3" t="s">
        <v>11496</v>
      </c>
      <c r="E2784" s="3" t="s">
        <v>11497</v>
      </c>
      <c r="F2784" s="3" t="s">
        <v>19</v>
      </c>
      <c r="G2784" s="3" t="s">
        <v>6293</v>
      </c>
      <c r="H2784" s="3">
        <v>10.0</v>
      </c>
      <c r="I2784" s="3" t="s">
        <v>11494</v>
      </c>
      <c r="J2784" s="3" t="s">
        <v>22</v>
      </c>
      <c r="K2784" s="3" t="s">
        <v>204</v>
      </c>
      <c r="L2784" s="3" t="s">
        <v>204</v>
      </c>
      <c r="M2784" s="3" t="s">
        <v>378</v>
      </c>
      <c r="N2784" s="3" t="s">
        <v>379</v>
      </c>
      <c r="O2784" s="5">
        <v>11.22652</v>
      </c>
      <c r="P2784" s="6" t="str">
        <f t="shared" si="2"/>
        <v>Non Banking Financial Company (NBFC)</v>
      </c>
    </row>
    <row r="2785">
      <c r="A2785" s="3" t="s">
        <v>11498</v>
      </c>
      <c r="B2785" s="4">
        <v>539787.0</v>
      </c>
      <c r="C2785" s="3" t="s">
        <v>11499</v>
      </c>
      <c r="D2785" s="3" t="s">
        <v>11500</v>
      </c>
      <c r="E2785" s="3" t="s">
        <v>11501</v>
      </c>
      <c r="F2785" s="3" t="s">
        <v>19</v>
      </c>
      <c r="G2785" s="3" t="s">
        <v>112</v>
      </c>
      <c r="H2785" s="3">
        <v>10.0</v>
      </c>
      <c r="I2785" s="3" t="s">
        <v>11502</v>
      </c>
      <c r="J2785" s="3" t="s">
        <v>22</v>
      </c>
      <c r="K2785" s="3" t="s">
        <v>45</v>
      </c>
      <c r="L2785" s="3" t="s">
        <v>45</v>
      </c>
      <c r="M2785" s="3" t="s">
        <v>4488</v>
      </c>
      <c r="N2785" s="3" t="s">
        <v>5801</v>
      </c>
      <c r="O2785" s="5">
        <v>5326.7661886</v>
      </c>
      <c r="P2785" s="6" t="str">
        <f t="shared" si="2"/>
        <v>Healthcare Services</v>
      </c>
    </row>
    <row r="2786" hidden="1">
      <c r="A2786" s="3" t="s">
        <v>11503</v>
      </c>
      <c r="B2786" s="4">
        <v>534190.0</v>
      </c>
      <c r="C2786" s="3" t="s">
        <v>11504</v>
      </c>
      <c r="D2786" s="3" t="s">
        <v>11505</v>
      </c>
      <c r="E2786" s="3" t="s">
        <v>11506</v>
      </c>
      <c r="F2786" s="3" t="s">
        <v>19</v>
      </c>
      <c r="G2786" s="3" t="s">
        <v>44</v>
      </c>
      <c r="H2786" s="3">
        <v>10.0</v>
      </c>
      <c r="I2786" s="3" t="s">
        <v>11503</v>
      </c>
      <c r="J2786" s="3" t="s">
        <v>22</v>
      </c>
      <c r="K2786" s="3" t="s">
        <v>58</v>
      </c>
      <c r="L2786" s="3" t="s">
        <v>211</v>
      </c>
      <c r="M2786" s="3" t="s">
        <v>211</v>
      </c>
      <c r="N2786" s="3" t="s">
        <v>6778</v>
      </c>
      <c r="O2786" s="5">
        <v>5.4049384</v>
      </c>
      <c r="P2786" s="6" t="str">
        <f t="shared" si="2"/>
        <v>Consumer Durables</v>
      </c>
    </row>
    <row r="2787">
      <c r="A2787" s="3" t="s">
        <v>11507</v>
      </c>
      <c r="B2787" s="4">
        <v>540222.0</v>
      </c>
      <c r="C2787" s="3" t="s">
        <v>11508</v>
      </c>
      <c r="D2787" s="3" t="s">
        <v>11509</v>
      </c>
      <c r="E2787" s="3" t="s">
        <v>11510</v>
      </c>
      <c r="F2787" s="3" t="s">
        <v>19</v>
      </c>
      <c r="G2787" s="3" t="s">
        <v>20</v>
      </c>
      <c r="H2787" s="3">
        <v>2.0</v>
      </c>
      <c r="I2787" s="3" t="s">
        <v>11511</v>
      </c>
      <c r="J2787" s="3" t="s">
        <v>22</v>
      </c>
      <c r="K2787" s="3" t="s">
        <v>45</v>
      </c>
      <c r="L2787" s="3" t="s">
        <v>45</v>
      </c>
      <c r="M2787" s="3" t="s">
        <v>46</v>
      </c>
      <c r="N2787" s="3" t="s">
        <v>47</v>
      </c>
      <c r="O2787" s="5">
        <v>23226.0283512</v>
      </c>
      <c r="P2787" s="6" t="str">
        <f t="shared" si="2"/>
        <v>Pharmaceuticals</v>
      </c>
    </row>
    <row r="2788" hidden="1">
      <c r="A2788" s="3" t="s">
        <v>11512</v>
      </c>
      <c r="B2788" s="4">
        <v>534312.0</v>
      </c>
      <c r="C2788" s="3" t="s">
        <v>11513</v>
      </c>
      <c r="D2788" s="3" t="s">
        <v>11514</v>
      </c>
      <c r="E2788" s="3" t="s">
        <v>11515</v>
      </c>
      <c r="F2788" s="3" t="s">
        <v>19</v>
      </c>
      <c r="G2788" s="3" t="s">
        <v>86</v>
      </c>
      <c r="H2788" s="3">
        <v>10.0</v>
      </c>
      <c r="I2788" s="3" t="s">
        <v>11512</v>
      </c>
      <c r="J2788" s="3" t="s">
        <v>22</v>
      </c>
      <c r="K2788" s="3" t="s">
        <v>58</v>
      </c>
      <c r="L2788" s="3" t="s">
        <v>73</v>
      </c>
      <c r="M2788" s="3" t="s">
        <v>800</v>
      </c>
      <c r="N2788" s="3" t="s">
        <v>801</v>
      </c>
      <c r="O2788" s="5">
        <v>23.1927939</v>
      </c>
      <c r="P2788" s="6" t="str">
        <f t="shared" si="2"/>
        <v>Other Consumer Services</v>
      </c>
    </row>
    <row r="2789" hidden="1">
      <c r="A2789" s="3" t="s">
        <v>11516</v>
      </c>
      <c r="B2789" s="4">
        <v>534328.0</v>
      </c>
      <c r="C2789" s="3" t="s">
        <v>11517</v>
      </c>
      <c r="D2789" s="3" t="s">
        <v>11518</v>
      </c>
      <c r="E2789" s="3" t="s">
        <v>11519</v>
      </c>
      <c r="F2789" s="3" t="s">
        <v>19</v>
      </c>
      <c r="G2789" s="3" t="s">
        <v>112</v>
      </c>
      <c r="H2789" s="3">
        <v>2.0</v>
      </c>
      <c r="I2789" s="3" t="s">
        <v>11516</v>
      </c>
      <c r="J2789" s="3" t="s">
        <v>22</v>
      </c>
      <c r="K2789" s="3" t="s">
        <v>204</v>
      </c>
      <c r="L2789" s="3" t="s">
        <v>204</v>
      </c>
      <c r="M2789" s="3" t="s">
        <v>378</v>
      </c>
      <c r="N2789" s="3" t="s">
        <v>384</v>
      </c>
      <c r="O2789" s="5">
        <v>1065.2777448</v>
      </c>
      <c r="P2789" s="6" t="str">
        <f t="shared" si="2"/>
        <v>Finance</v>
      </c>
    </row>
    <row r="2790" hidden="1">
      <c r="A2790" s="3" t="s">
        <v>11520</v>
      </c>
      <c r="B2790" s="4">
        <v>534338.0</v>
      </c>
      <c r="C2790" s="3" t="s">
        <v>11521</v>
      </c>
      <c r="D2790" s="3" t="s">
        <v>11522</v>
      </c>
      <c r="E2790" s="3" t="s">
        <v>11523</v>
      </c>
      <c r="F2790" s="3" t="s">
        <v>19</v>
      </c>
      <c r="G2790" s="3" t="s">
        <v>44</v>
      </c>
      <c r="H2790" s="3">
        <v>10.0</v>
      </c>
      <c r="I2790" s="3" t="s">
        <v>11520</v>
      </c>
      <c r="J2790" s="3" t="s">
        <v>22</v>
      </c>
      <c r="K2790" s="3" t="s">
        <v>58</v>
      </c>
      <c r="L2790" s="3" t="s">
        <v>59</v>
      </c>
      <c r="M2790" s="3" t="s">
        <v>59</v>
      </c>
      <c r="N2790" s="3" t="s">
        <v>60</v>
      </c>
      <c r="O2790" s="5">
        <v>114.6076239</v>
      </c>
      <c r="P2790" s="6" t="str">
        <f t="shared" si="2"/>
        <v>Residential, Commercial Projects</v>
      </c>
    </row>
    <row r="2791" hidden="1">
      <c r="A2791" s="3" t="s">
        <v>11524</v>
      </c>
      <c r="B2791" s="4">
        <v>534369.0</v>
      </c>
      <c r="C2791" s="3" t="s">
        <v>11525</v>
      </c>
      <c r="D2791" s="3" t="s">
        <v>11526</v>
      </c>
      <c r="E2791" s="3" t="s">
        <v>11527</v>
      </c>
      <c r="F2791" s="3" t="s">
        <v>19</v>
      </c>
      <c r="G2791" s="3" t="s">
        <v>112</v>
      </c>
      <c r="H2791" s="3">
        <v>10.0</v>
      </c>
      <c r="I2791" s="3" t="s">
        <v>11524</v>
      </c>
      <c r="J2791" s="3" t="s">
        <v>22</v>
      </c>
      <c r="K2791" s="3" t="s">
        <v>58</v>
      </c>
      <c r="L2791" s="3" t="s">
        <v>211</v>
      </c>
      <c r="M2791" s="3" t="s">
        <v>211</v>
      </c>
      <c r="N2791" s="3" t="s">
        <v>947</v>
      </c>
      <c r="O2791" s="5">
        <v>858.1419917</v>
      </c>
      <c r="P2791" s="6" t="str">
        <f t="shared" si="2"/>
        <v>Consumer Durables</v>
      </c>
    </row>
    <row r="2792" hidden="1">
      <c r="A2792" s="3" t="s">
        <v>11528</v>
      </c>
      <c r="B2792" s="4">
        <v>534392.0</v>
      </c>
      <c r="C2792" s="3" t="s">
        <v>11529</v>
      </c>
      <c r="D2792" s="3" t="s">
        <v>11530</v>
      </c>
      <c r="E2792" s="3" t="s">
        <v>11531</v>
      </c>
      <c r="F2792" s="3" t="s">
        <v>19</v>
      </c>
      <c r="G2792" s="3" t="s">
        <v>112</v>
      </c>
      <c r="H2792" s="3">
        <v>10.0</v>
      </c>
      <c r="I2792" s="3" t="s">
        <v>11528</v>
      </c>
      <c r="J2792" s="3" t="s">
        <v>22</v>
      </c>
      <c r="K2792" s="3" t="s">
        <v>97</v>
      </c>
      <c r="L2792" s="3" t="s">
        <v>98</v>
      </c>
      <c r="M2792" s="3" t="s">
        <v>100</v>
      </c>
      <c r="N2792" s="3" t="s">
        <v>612</v>
      </c>
      <c r="O2792" s="5">
        <v>2562.510935</v>
      </c>
      <c r="P2792" s="6" t="str">
        <f t="shared" si="2"/>
        <v>Industrial Products</v>
      </c>
    </row>
    <row r="2793" hidden="1">
      <c r="A2793" s="3" t="s">
        <v>11532</v>
      </c>
      <c r="B2793" s="4">
        <v>534422.0</v>
      </c>
      <c r="C2793" s="3" t="s">
        <v>11533</v>
      </c>
      <c r="D2793" s="3" t="s">
        <v>11534</v>
      </c>
      <c r="E2793" s="3" t="s">
        <v>11533</v>
      </c>
      <c r="F2793" s="3" t="s">
        <v>19</v>
      </c>
      <c r="G2793" s="3" t="s">
        <v>44</v>
      </c>
      <c r="H2793" s="3">
        <v>10.0</v>
      </c>
      <c r="I2793" s="3" t="s">
        <v>11532</v>
      </c>
      <c r="J2793" s="3" t="s">
        <v>22</v>
      </c>
      <c r="K2793" s="3" t="s">
        <v>45</v>
      </c>
      <c r="L2793" s="3" t="s">
        <v>45</v>
      </c>
      <c r="M2793" s="3" t="s">
        <v>4488</v>
      </c>
      <c r="N2793" s="3" t="s">
        <v>4489</v>
      </c>
      <c r="O2793" s="5">
        <v>6.8906204</v>
      </c>
      <c r="P2793" s="6" t="str">
        <f t="shared" si="2"/>
        <v>Healthcare Services</v>
      </c>
    </row>
    <row r="2794" hidden="1">
      <c r="A2794" s="3" t="s">
        <v>11535</v>
      </c>
      <c r="B2794" s="4">
        <v>534425.0</v>
      </c>
      <c r="C2794" s="3" t="s">
        <v>11536</v>
      </c>
      <c r="D2794" s="3" t="s">
        <v>11537</v>
      </c>
      <c r="E2794" s="3" t="s">
        <v>11538</v>
      </c>
      <c r="F2794" s="3" t="s">
        <v>19</v>
      </c>
      <c r="G2794" s="3" t="s">
        <v>112</v>
      </c>
      <c r="H2794" s="3">
        <v>10.0</v>
      </c>
      <c r="I2794" s="3" t="s">
        <v>11535</v>
      </c>
      <c r="J2794" s="3" t="s">
        <v>22</v>
      </c>
      <c r="K2794" s="3" t="s">
        <v>58</v>
      </c>
      <c r="L2794" s="3" t="s">
        <v>73</v>
      </c>
      <c r="M2794" s="3" t="s">
        <v>74</v>
      </c>
      <c r="N2794" s="3" t="s">
        <v>1162</v>
      </c>
      <c r="O2794" s="5">
        <v>844.1377978</v>
      </c>
      <c r="P2794" s="6" t="str">
        <f t="shared" si="2"/>
        <v>Leisure Services</v>
      </c>
    </row>
    <row r="2795" hidden="1">
      <c r="A2795" s="3" t="s">
        <v>11539</v>
      </c>
      <c r="B2795" s="4">
        <v>534532.0</v>
      </c>
      <c r="C2795" s="3" t="s">
        <v>11540</v>
      </c>
      <c r="D2795" s="3" t="s">
        <v>11541</v>
      </c>
      <c r="E2795" s="3" t="s">
        <v>11542</v>
      </c>
      <c r="F2795" s="3" t="s">
        <v>19</v>
      </c>
      <c r="G2795" s="3" t="s">
        <v>112</v>
      </c>
      <c r="H2795" s="3">
        <v>10.0</v>
      </c>
      <c r="I2795" s="3" t="s">
        <v>11539</v>
      </c>
      <c r="J2795" s="3" t="s">
        <v>22</v>
      </c>
      <c r="K2795" s="3" t="s">
        <v>58</v>
      </c>
      <c r="L2795" s="3" t="s">
        <v>211</v>
      </c>
      <c r="M2795" s="3" t="s">
        <v>211</v>
      </c>
      <c r="N2795" s="3" t="s">
        <v>947</v>
      </c>
      <c r="O2795" s="5">
        <v>17.3556793</v>
      </c>
      <c r="P2795" s="6" t="str">
        <f t="shared" si="2"/>
        <v>Consumer Durables</v>
      </c>
    </row>
    <row r="2796">
      <c r="A2796" s="3" t="s">
        <v>2245</v>
      </c>
      <c r="B2796" s="4">
        <v>540596.0</v>
      </c>
      <c r="C2796" s="3" t="s">
        <v>11543</v>
      </c>
      <c r="D2796" s="3" t="s">
        <v>11544</v>
      </c>
      <c r="E2796" s="3" t="s">
        <v>11545</v>
      </c>
      <c r="F2796" s="3" t="s">
        <v>19</v>
      </c>
      <c r="G2796" s="3" t="s">
        <v>20</v>
      </c>
      <c r="H2796" s="3">
        <v>1.0</v>
      </c>
      <c r="I2796" s="3" t="s">
        <v>11546</v>
      </c>
      <c r="J2796" s="3" t="s">
        <v>22</v>
      </c>
      <c r="K2796" s="3" t="s">
        <v>45</v>
      </c>
      <c r="L2796" s="3" t="s">
        <v>45</v>
      </c>
      <c r="M2796" s="3" t="s">
        <v>46</v>
      </c>
      <c r="N2796" s="3" t="s">
        <v>47</v>
      </c>
      <c r="O2796" s="5">
        <v>13946.4883482</v>
      </c>
      <c r="P2796" s="6" t="str">
        <f t="shared" si="2"/>
        <v>Pharmaceuticals</v>
      </c>
    </row>
    <row r="2797" hidden="1">
      <c r="A2797" s="3" t="s">
        <v>11547</v>
      </c>
      <c r="B2797" s="4">
        <v>534598.0</v>
      </c>
      <c r="C2797" s="3" t="s">
        <v>11548</v>
      </c>
      <c r="D2797" s="3" t="s">
        <v>11549</v>
      </c>
      <c r="E2797" s="3" t="s">
        <v>11550</v>
      </c>
      <c r="F2797" s="3" t="s">
        <v>19</v>
      </c>
      <c r="G2797" s="3" t="s">
        <v>86</v>
      </c>
      <c r="H2797" s="3">
        <v>10.0</v>
      </c>
      <c r="I2797" s="3" t="s">
        <v>11547</v>
      </c>
      <c r="J2797" s="3" t="s">
        <v>22</v>
      </c>
      <c r="K2797" s="3" t="s">
        <v>97</v>
      </c>
      <c r="L2797" s="3" t="s">
        <v>98</v>
      </c>
      <c r="M2797" s="3" t="s">
        <v>100</v>
      </c>
      <c r="N2797" s="3" t="s">
        <v>862</v>
      </c>
      <c r="O2797" s="5">
        <v>143.7075738</v>
      </c>
      <c r="P2797" s="6" t="str">
        <f t="shared" si="2"/>
        <v>Industrial Products</v>
      </c>
    </row>
    <row r="2798" hidden="1">
      <c r="A2798" s="3" t="s">
        <v>11551</v>
      </c>
      <c r="B2798" s="4">
        <v>534600.0</v>
      </c>
      <c r="C2798" s="3" t="s">
        <v>11552</v>
      </c>
      <c r="D2798" s="3" t="s">
        <v>11553</v>
      </c>
      <c r="E2798" s="3" t="s">
        <v>11554</v>
      </c>
      <c r="F2798" s="3" t="s">
        <v>19</v>
      </c>
      <c r="G2798" s="3" t="s">
        <v>20</v>
      </c>
      <c r="H2798" s="3">
        <v>2.0</v>
      </c>
      <c r="I2798" s="3" t="s">
        <v>11551</v>
      </c>
      <c r="J2798" s="3" t="s">
        <v>22</v>
      </c>
      <c r="K2798" s="3" t="s">
        <v>97</v>
      </c>
      <c r="L2798" s="3" t="s">
        <v>98</v>
      </c>
      <c r="M2798" s="3" t="s">
        <v>100</v>
      </c>
      <c r="N2798" s="3" t="s">
        <v>612</v>
      </c>
      <c r="O2798" s="5">
        <v>3954.2455521</v>
      </c>
      <c r="P2798" s="6" t="str">
        <f t="shared" si="2"/>
        <v>Industrial Products</v>
      </c>
    </row>
    <row r="2799" hidden="1">
      <c r="A2799" s="3" t="s">
        <v>11555</v>
      </c>
      <c r="B2799" s="4">
        <v>534612.0</v>
      </c>
      <c r="C2799" s="3" t="s">
        <v>11556</v>
      </c>
      <c r="D2799" s="3" t="s">
        <v>11557</v>
      </c>
      <c r="E2799" s="3" t="s">
        <v>11558</v>
      </c>
      <c r="F2799" s="3" t="s">
        <v>19</v>
      </c>
      <c r="G2799" s="3" t="s">
        <v>44</v>
      </c>
      <c r="H2799" s="3">
        <v>5.0</v>
      </c>
      <c r="I2799" s="3" t="s">
        <v>11555</v>
      </c>
      <c r="J2799" s="3" t="s">
        <v>22</v>
      </c>
      <c r="K2799" s="3" t="s">
        <v>1647</v>
      </c>
      <c r="L2799" s="3" t="s">
        <v>1648</v>
      </c>
      <c r="M2799" s="3" t="s">
        <v>1648</v>
      </c>
      <c r="N2799" s="3" t="s">
        <v>1649</v>
      </c>
      <c r="O2799" s="5">
        <v>65.924249</v>
      </c>
      <c r="P2799" s="6" t="str">
        <f t="shared" si="2"/>
        <v>Power</v>
      </c>
    </row>
    <row r="2800" hidden="1">
      <c r="A2800" s="3" t="s">
        <v>3795</v>
      </c>
      <c r="B2800" s="4">
        <v>526865.0</v>
      </c>
      <c r="C2800" s="3" t="s">
        <v>11559</v>
      </c>
      <c r="D2800" s="3" t="s">
        <v>11560</v>
      </c>
      <c r="E2800" s="3" t="s">
        <v>11561</v>
      </c>
      <c r="F2800" s="3" t="s">
        <v>19</v>
      </c>
      <c r="G2800" s="3" t="s">
        <v>72</v>
      </c>
      <c r="H2800" s="3">
        <v>10.0</v>
      </c>
      <c r="I2800" s="3" t="s">
        <v>7132</v>
      </c>
      <c r="J2800" s="3" t="s">
        <v>22</v>
      </c>
      <c r="K2800" s="3" t="s">
        <v>1673</v>
      </c>
      <c r="L2800" s="3" t="s">
        <v>1673</v>
      </c>
      <c r="M2800" s="3" t="s">
        <v>1674</v>
      </c>
      <c r="N2800" s="3" t="s">
        <v>1915</v>
      </c>
      <c r="O2800" s="5">
        <v>5.9686173</v>
      </c>
      <c r="P2800" s="6" t="str">
        <f t="shared" si="2"/>
        <v>Commercial Services &amp; Supplies</v>
      </c>
    </row>
    <row r="2801">
      <c r="A2801" s="3" t="s">
        <v>11562</v>
      </c>
      <c r="B2801" s="4">
        <v>540975.0</v>
      </c>
      <c r="C2801" s="3" t="s">
        <v>11563</v>
      </c>
      <c r="D2801" s="3" t="s">
        <v>11564</v>
      </c>
      <c r="E2801" s="3" t="s">
        <v>11565</v>
      </c>
      <c r="F2801" s="3" t="s">
        <v>19</v>
      </c>
      <c r="G2801" s="3" t="s">
        <v>20</v>
      </c>
      <c r="H2801" s="3">
        <v>10.0</v>
      </c>
      <c r="I2801" s="3" t="s">
        <v>11566</v>
      </c>
      <c r="J2801" s="3" t="s">
        <v>22</v>
      </c>
      <c r="K2801" s="3" t="s">
        <v>45</v>
      </c>
      <c r="L2801" s="3" t="s">
        <v>45</v>
      </c>
      <c r="M2801" s="3" t="s">
        <v>4488</v>
      </c>
      <c r="N2801" s="3" t="s">
        <v>5801</v>
      </c>
      <c r="O2801" s="5">
        <v>17144.5611083</v>
      </c>
      <c r="P2801" s="6" t="str">
        <f t="shared" si="2"/>
        <v>Healthcare Services</v>
      </c>
    </row>
    <row r="2802" hidden="1">
      <c r="A2802" s="3" t="s">
        <v>11567</v>
      </c>
      <c r="B2802" s="4">
        <v>534623.0</v>
      </c>
      <c r="C2802" s="3" t="s">
        <v>11568</v>
      </c>
      <c r="D2802" s="3" t="s">
        <v>11569</v>
      </c>
      <c r="E2802" s="3" t="s">
        <v>11570</v>
      </c>
      <c r="F2802" s="3" t="s">
        <v>19</v>
      </c>
      <c r="G2802" s="3" t="s">
        <v>72</v>
      </c>
      <c r="H2802" s="3">
        <v>10.0</v>
      </c>
      <c r="I2802" s="3" t="s">
        <v>11567</v>
      </c>
      <c r="J2802" s="3" t="s">
        <v>22</v>
      </c>
      <c r="K2802" s="3" t="s">
        <v>58</v>
      </c>
      <c r="L2802" s="3" t="s">
        <v>73</v>
      </c>
      <c r="M2802" s="3" t="s">
        <v>988</v>
      </c>
      <c r="N2802" s="3" t="s">
        <v>1614</v>
      </c>
      <c r="O2802" s="5">
        <v>35.3505587</v>
      </c>
      <c r="P2802" s="6" t="str">
        <f t="shared" si="2"/>
        <v>Retailing</v>
      </c>
    </row>
    <row r="2803" hidden="1">
      <c r="A2803" s="3" t="s">
        <v>11571</v>
      </c>
      <c r="B2803" s="4">
        <v>534639.0</v>
      </c>
      <c r="C2803" s="3" t="s">
        <v>11572</v>
      </c>
      <c r="D2803" s="3" t="s">
        <v>11573</v>
      </c>
      <c r="E2803" s="3" t="s">
        <v>11574</v>
      </c>
      <c r="F2803" s="3" t="s">
        <v>19</v>
      </c>
      <c r="G2803" s="3" t="s">
        <v>44</v>
      </c>
      <c r="H2803" s="3">
        <v>10.0</v>
      </c>
      <c r="I2803" s="3" t="s">
        <v>11571</v>
      </c>
      <c r="J2803" s="3" t="s">
        <v>22</v>
      </c>
      <c r="K2803" s="3" t="s">
        <v>97</v>
      </c>
      <c r="L2803" s="3" t="s">
        <v>98</v>
      </c>
      <c r="M2803" s="3" t="s">
        <v>100</v>
      </c>
      <c r="N2803" s="3" t="s">
        <v>373</v>
      </c>
      <c r="O2803" s="5">
        <v>7.8395984</v>
      </c>
      <c r="P2803" s="6" t="str">
        <f t="shared" si="2"/>
        <v>Industrial Products</v>
      </c>
    </row>
    <row r="2804" hidden="1">
      <c r="A2804" s="3" t="s">
        <v>11575</v>
      </c>
      <c r="B2804" s="4">
        <v>534659.0</v>
      </c>
      <c r="C2804" s="3" t="s">
        <v>11576</v>
      </c>
      <c r="D2804" s="3" t="s">
        <v>11577</v>
      </c>
      <c r="E2804" s="3" t="s">
        <v>11578</v>
      </c>
      <c r="F2804" s="3" t="s">
        <v>19</v>
      </c>
      <c r="G2804" s="3" t="s">
        <v>6293</v>
      </c>
      <c r="H2804" s="3">
        <v>10.0</v>
      </c>
      <c r="I2804" s="3" t="s">
        <v>11575</v>
      </c>
      <c r="J2804" s="3" t="s">
        <v>22</v>
      </c>
      <c r="K2804" s="3" t="s">
        <v>473</v>
      </c>
      <c r="L2804" s="3" t="s">
        <v>473</v>
      </c>
      <c r="M2804" s="3" t="s">
        <v>1391</v>
      </c>
      <c r="N2804" s="3" t="s">
        <v>1840</v>
      </c>
      <c r="O2804" s="5">
        <v>13.8611753</v>
      </c>
      <c r="P2804" s="6" t="str">
        <f t="shared" si="2"/>
        <v>Computers - Software &amp; Consulting</v>
      </c>
    </row>
    <row r="2805" hidden="1">
      <c r="A2805" s="3" t="s">
        <v>11579</v>
      </c>
      <c r="B2805" s="4">
        <v>534674.0</v>
      </c>
      <c r="C2805" s="3" t="s">
        <v>11580</v>
      </c>
      <c r="D2805" s="3" t="s">
        <v>11581</v>
      </c>
      <c r="E2805" s="3" t="s">
        <v>11582</v>
      </c>
      <c r="F2805" s="3" t="s">
        <v>19</v>
      </c>
      <c r="G2805" s="3" t="s">
        <v>86</v>
      </c>
      <c r="H2805" s="3">
        <v>1.0</v>
      </c>
      <c r="I2805" s="3" t="s">
        <v>11579</v>
      </c>
      <c r="J2805" s="3" t="s">
        <v>22</v>
      </c>
      <c r="K2805" s="3" t="s">
        <v>97</v>
      </c>
      <c r="L2805" s="3" t="s">
        <v>98</v>
      </c>
      <c r="M2805" s="3" t="s">
        <v>99</v>
      </c>
      <c r="N2805" s="3" t="s">
        <v>100</v>
      </c>
      <c r="O2805" s="5">
        <v>207.4123677</v>
      </c>
      <c r="P2805" s="6" t="str">
        <f t="shared" si="2"/>
        <v>Industrial Products</v>
      </c>
    </row>
    <row r="2806" hidden="1">
      <c r="A2806" s="3" t="s">
        <v>11583</v>
      </c>
      <c r="B2806" s="4">
        <v>534675.0</v>
      </c>
      <c r="C2806" s="3" t="s">
        <v>11584</v>
      </c>
      <c r="D2806" s="3" t="s">
        <v>11585</v>
      </c>
      <c r="E2806" s="3" t="s">
        <v>11586</v>
      </c>
      <c r="F2806" s="3" t="s">
        <v>19</v>
      </c>
      <c r="G2806" s="3" t="s">
        <v>112</v>
      </c>
      <c r="H2806" s="3">
        <v>2.0</v>
      </c>
      <c r="I2806" s="3" t="s">
        <v>11583</v>
      </c>
      <c r="J2806" s="3" t="s">
        <v>22</v>
      </c>
      <c r="K2806" s="3" t="s">
        <v>58</v>
      </c>
      <c r="L2806" s="3" t="s">
        <v>59</v>
      </c>
      <c r="M2806" s="3" t="s">
        <v>59</v>
      </c>
      <c r="N2806" s="3" t="s">
        <v>60</v>
      </c>
      <c r="O2806" s="5">
        <v>461.2682796</v>
      </c>
      <c r="P2806" s="6" t="str">
        <f t="shared" si="2"/>
        <v>Residential, Commercial Projects</v>
      </c>
    </row>
    <row r="2807" hidden="1">
      <c r="A2807" s="3" t="s">
        <v>11587</v>
      </c>
      <c r="B2807" s="4">
        <v>534680.0</v>
      </c>
      <c r="C2807" s="3" t="s">
        <v>11588</v>
      </c>
      <c r="D2807" s="3" t="s">
        <v>11589</v>
      </c>
      <c r="E2807" s="3" t="s">
        <v>11590</v>
      </c>
      <c r="F2807" s="3" t="s">
        <v>19</v>
      </c>
      <c r="G2807" s="3" t="s">
        <v>112</v>
      </c>
      <c r="H2807" s="3">
        <v>10.0</v>
      </c>
      <c r="I2807" s="3" t="s">
        <v>11587</v>
      </c>
      <c r="J2807" s="3" t="s">
        <v>22</v>
      </c>
      <c r="K2807" s="3" t="s">
        <v>204</v>
      </c>
      <c r="L2807" s="3" t="s">
        <v>204</v>
      </c>
      <c r="M2807" s="3" t="s">
        <v>378</v>
      </c>
      <c r="N2807" s="3" t="s">
        <v>3066</v>
      </c>
      <c r="O2807" s="5">
        <v>454.7124353</v>
      </c>
      <c r="P2807" s="6" t="str">
        <f t="shared" si="2"/>
        <v>Finance</v>
      </c>
    </row>
    <row r="2808" hidden="1">
      <c r="A2808" s="3" t="s">
        <v>11591</v>
      </c>
      <c r="B2808" s="4">
        <v>534691.0</v>
      </c>
      <c r="C2808" s="3" t="s">
        <v>11592</v>
      </c>
      <c r="D2808" s="3" t="s">
        <v>11593</v>
      </c>
      <c r="E2808" s="3" t="s">
        <v>11594</v>
      </c>
      <c r="F2808" s="3" t="s">
        <v>19</v>
      </c>
      <c r="G2808" s="3" t="s">
        <v>44</v>
      </c>
      <c r="H2808" s="3">
        <v>10.0</v>
      </c>
      <c r="I2808" s="3" t="s">
        <v>11591</v>
      </c>
      <c r="J2808" s="3" t="s">
        <v>22</v>
      </c>
      <c r="K2808" s="3" t="s">
        <v>204</v>
      </c>
      <c r="L2808" s="3" t="s">
        <v>204</v>
      </c>
      <c r="M2808" s="3" t="s">
        <v>378</v>
      </c>
      <c r="N2808" s="3" t="s">
        <v>468</v>
      </c>
      <c r="O2808" s="5">
        <v>24.8834856</v>
      </c>
      <c r="P2808" s="6" t="str">
        <f t="shared" si="2"/>
        <v>Finance</v>
      </c>
    </row>
    <row r="2809" hidden="1">
      <c r="A2809" s="3" t="s">
        <v>11595</v>
      </c>
      <c r="B2809" s="4">
        <v>534708.0</v>
      </c>
      <c r="C2809" s="3" t="s">
        <v>11596</v>
      </c>
      <c r="D2809" s="3" t="s">
        <v>11597</v>
      </c>
      <c r="E2809" s="3" t="s">
        <v>11598</v>
      </c>
      <c r="F2809" s="3" t="s">
        <v>19</v>
      </c>
      <c r="G2809" s="3" t="s">
        <v>2428</v>
      </c>
      <c r="H2809" s="3">
        <v>10.0</v>
      </c>
      <c r="I2809" s="3" t="s">
        <v>11595</v>
      </c>
      <c r="J2809" s="3" t="s">
        <v>22</v>
      </c>
      <c r="K2809" s="3" t="s">
        <v>58</v>
      </c>
      <c r="L2809" s="3" t="s">
        <v>73</v>
      </c>
      <c r="M2809" s="3" t="s">
        <v>988</v>
      </c>
      <c r="N2809" s="3" t="s">
        <v>1509</v>
      </c>
      <c r="O2809" s="5">
        <v>22.72426</v>
      </c>
      <c r="P2809" s="6" t="str">
        <f t="shared" si="2"/>
        <v>Retailing</v>
      </c>
    </row>
    <row r="2810" hidden="1">
      <c r="A2810" s="3" t="s">
        <v>11599</v>
      </c>
      <c r="B2810" s="4">
        <v>534732.0</v>
      </c>
      <c r="C2810" s="3" t="s">
        <v>11600</v>
      </c>
      <c r="D2810" s="3" t="s">
        <v>11601</v>
      </c>
      <c r="E2810" s="3" t="s">
        <v>11602</v>
      </c>
      <c r="F2810" s="3" t="s">
        <v>19</v>
      </c>
      <c r="G2810" s="3" t="s">
        <v>44</v>
      </c>
      <c r="H2810" s="3">
        <v>1.0</v>
      </c>
      <c r="I2810" s="3" t="s">
        <v>11599</v>
      </c>
      <c r="J2810" s="3" t="s">
        <v>22</v>
      </c>
      <c r="K2810" s="3" t="s">
        <v>204</v>
      </c>
      <c r="L2810" s="3" t="s">
        <v>204</v>
      </c>
      <c r="M2810" s="3" t="s">
        <v>378</v>
      </c>
      <c r="N2810" s="3" t="s">
        <v>468</v>
      </c>
      <c r="O2810" s="5">
        <v>294.7673967</v>
      </c>
      <c r="P2810" s="6" t="str">
        <f t="shared" si="2"/>
        <v>Finance</v>
      </c>
    </row>
    <row r="2811" hidden="1">
      <c r="A2811" s="3" t="s">
        <v>11603</v>
      </c>
      <c r="B2811" s="4">
        <v>534733.0</v>
      </c>
      <c r="C2811" s="3" t="s">
        <v>11604</v>
      </c>
      <c r="D2811" s="3" t="s">
        <v>11605</v>
      </c>
      <c r="E2811" s="3" t="s">
        <v>11606</v>
      </c>
      <c r="F2811" s="3" t="s">
        <v>19</v>
      </c>
      <c r="G2811" s="3" t="s">
        <v>72</v>
      </c>
      <c r="H2811" s="3">
        <v>1.0</v>
      </c>
      <c r="I2811" s="3" t="s">
        <v>11603</v>
      </c>
      <c r="J2811" s="3" t="s">
        <v>22</v>
      </c>
      <c r="K2811" s="3" t="s">
        <v>97</v>
      </c>
      <c r="L2811" s="3" t="s">
        <v>98</v>
      </c>
      <c r="M2811" s="3" t="s">
        <v>100</v>
      </c>
      <c r="N2811" s="3" t="s">
        <v>612</v>
      </c>
      <c r="O2811" s="5">
        <v>414.1172086</v>
      </c>
      <c r="P2811" s="6" t="str">
        <f t="shared" si="2"/>
        <v>Industrial Products</v>
      </c>
    </row>
    <row r="2812" hidden="1">
      <c r="A2812" s="3" t="s">
        <v>11607</v>
      </c>
      <c r="B2812" s="4">
        <v>534741.0</v>
      </c>
      <c r="C2812" s="3" t="s">
        <v>11608</v>
      </c>
      <c r="D2812" s="3" t="s">
        <v>11609</v>
      </c>
      <c r="E2812" s="3" t="s">
        <v>11608</v>
      </c>
      <c r="F2812" s="3" t="s">
        <v>19</v>
      </c>
      <c r="G2812" s="3" t="s">
        <v>44</v>
      </c>
      <c r="H2812" s="3">
        <v>1.0</v>
      </c>
      <c r="I2812" s="3" t="s">
        <v>11607</v>
      </c>
      <c r="J2812" s="3" t="s">
        <v>22</v>
      </c>
      <c r="K2812" s="3" t="s">
        <v>58</v>
      </c>
      <c r="L2812" s="3" t="s">
        <v>73</v>
      </c>
      <c r="M2812" s="3" t="s">
        <v>800</v>
      </c>
      <c r="N2812" s="3" t="s">
        <v>801</v>
      </c>
      <c r="O2812" s="5">
        <v>35.1291433</v>
      </c>
      <c r="P2812" s="6" t="str">
        <f t="shared" si="2"/>
        <v>Other Consumer Services</v>
      </c>
    </row>
    <row r="2813" hidden="1">
      <c r="A2813" s="3" t="s">
        <v>11610</v>
      </c>
      <c r="B2813" s="4">
        <v>534742.0</v>
      </c>
      <c r="C2813" s="3" t="s">
        <v>11611</v>
      </c>
      <c r="D2813" s="3" t="s">
        <v>11612</v>
      </c>
      <c r="E2813" s="3" t="s">
        <v>11613</v>
      </c>
      <c r="F2813" s="3" t="s">
        <v>19</v>
      </c>
      <c r="G2813" s="3" t="s">
        <v>112</v>
      </c>
      <c r="H2813" s="3">
        <v>10.0</v>
      </c>
      <c r="I2813" s="3" t="s">
        <v>11610</v>
      </c>
      <c r="J2813" s="3" t="s">
        <v>22</v>
      </c>
      <c r="K2813" s="3" t="s">
        <v>23</v>
      </c>
      <c r="L2813" s="3" t="s">
        <v>24</v>
      </c>
      <c r="M2813" s="3" t="s">
        <v>91</v>
      </c>
      <c r="N2813" s="3" t="s">
        <v>92</v>
      </c>
      <c r="O2813" s="5">
        <v>957.6977591</v>
      </c>
      <c r="P2813" s="6" t="str">
        <f t="shared" si="2"/>
        <v>Fertilizers &amp; Agrochemicals</v>
      </c>
    </row>
    <row r="2814" hidden="1">
      <c r="A2814" s="3" t="s">
        <v>11614</v>
      </c>
      <c r="B2814" s="4">
        <v>534748.0</v>
      </c>
      <c r="C2814" s="3" t="s">
        <v>11615</v>
      </c>
      <c r="D2814" s="3" t="s">
        <v>11616</v>
      </c>
      <c r="E2814" s="3" t="s">
        <v>11617</v>
      </c>
      <c r="F2814" s="3" t="s">
        <v>19</v>
      </c>
      <c r="G2814" s="3" t="s">
        <v>112</v>
      </c>
      <c r="H2814" s="3">
        <v>1.0</v>
      </c>
      <c r="I2814" s="3" t="s">
        <v>11614</v>
      </c>
      <c r="J2814" s="3" t="s">
        <v>22</v>
      </c>
      <c r="K2814" s="3" t="s">
        <v>97</v>
      </c>
      <c r="L2814" s="3" t="s">
        <v>98</v>
      </c>
      <c r="M2814" s="3" t="s">
        <v>100</v>
      </c>
      <c r="N2814" s="3" t="s">
        <v>612</v>
      </c>
      <c r="O2814" s="5">
        <v>1719.0447016</v>
      </c>
      <c r="P2814" s="6" t="str">
        <f t="shared" si="2"/>
        <v>Industrial Products</v>
      </c>
    </row>
    <row r="2815" hidden="1">
      <c r="A2815" s="3" t="s">
        <v>11618</v>
      </c>
      <c r="B2815" s="4">
        <v>534755.0</v>
      </c>
      <c r="C2815" s="3" t="s">
        <v>11619</v>
      </c>
      <c r="D2815" s="3" t="s">
        <v>11620</v>
      </c>
      <c r="E2815" s="3" t="s">
        <v>11621</v>
      </c>
      <c r="F2815" s="3" t="s">
        <v>19</v>
      </c>
      <c r="G2815" s="3" t="s">
        <v>44</v>
      </c>
      <c r="H2815" s="3">
        <v>2.0</v>
      </c>
      <c r="I2815" s="3" t="s">
        <v>11618</v>
      </c>
      <c r="J2815" s="3" t="s">
        <v>22</v>
      </c>
      <c r="K2815" s="3" t="s">
        <v>204</v>
      </c>
      <c r="L2815" s="3" t="s">
        <v>204</v>
      </c>
      <c r="M2815" s="3" t="s">
        <v>378</v>
      </c>
      <c r="N2815" s="3" t="s">
        <v>468</v>
      </c>
      <c r="O2815" s="5">
        <v>7.195975</v>
      </c>
      <c r="P2815" s="6" t="str">
        <f t="shared" si="2"/>
        <v>Finance</v>
      </c>
    </row>
    <row r="2816" hidden="1">
      <c r="A2816" s="3" t="s">
        <v>11622</v>
      </c>
      <c r="B2816" s="4">
        <v>534758.0</v>
      </c>
      <c r="C2816" s="3" t="s">
        <v>11623</v>
      </c>
      <c r="D2816" s="3" t="s">
        <v>11624</v>
      </c>
      <c r="E2816" s="3" t="s">
        <v>11625</v>
      </c>
      <c r="F2816" s="3" t="s">
        <v>19</v>
      </c>
      <c r="G2816" s="3" t="s">
        <v>20</v>
      </c>
      <c r="H2816" s="3">
        <v>10.0</v>
      </c>
      <c r="I2816" s="3" t="s">
        <v>11622</v>
      </c>
      <c r="J2816" s="3" t="s">
        <v>22</v>
      </c>
      <c r="K2816" s="3" t="s">
        <v>473</v>
      </c>
      <c r="L2816" s="3" t="s">
        <v>473</v>
      </c>
      <c r="M2816" s="3" t="s">
        <v>1538</v>
      </c>
      <c r="N2816" s="3" t="s">
        <v>1539</v>
      </c>
      <c r="O2816" s="5">
        <v>3715.386863</v>
      </c>
      <c r="P2816" s="6" t="str">
        <f t="shared" si="2"/>
        <v>IT - Services</v>
      </c>
    </row>
    <row r="2817" hidden="1">
      <c r="A2817" s="3" t="s">
        <v>11626</v>
      </c>
      <c r="B2817" s="4">
        <v>534796.0</v>
      </c>
      <c r="C2817" s="3" t="s">
        <v>11627</v>
      </c>
      <c r="D2817" s="3" t="s">
        <v>11628</v>
      </c>
      <c r="E2817" s="3" t="s">
        <v>11629</v>
      </c>
      <c r="F2817" s="3" t="s">
        <v>19</v>
      </c>
      <c r="G2817" s="3" t="s">
        <v>72</v>
      </c>
      <c r="H2817" s="3">
        <v>10.0</v>
      </c>
      <c r="I2817" s="3" t="s">
        <v>11626</v>
      </c>
      <c r="J2817" s="3" t="s">
        <v>22</v>
      </c>
      <c r="K2817" s="3" t="s">
        <v>97</v>
      </c>
      <c r="L2817" s="3" t="s">
        <v>98</v>
      </c>
      <c r="M2817" s="3" t="s">
        <v>100</v>
      </c>
      <c r="N2817" s="3" t="s">
        <v>580</v>
      </c>
      <c r="O2817" s="5">
        <v>1.0</v>
      </c>
      <c r="P2817" s="6" t="str">
        <f t="shared" si="2"/>
        <v>Industrial Products</v>
      </c>
    </row>
    <row r="2818" hidden="1">
      <c r="A2818" s="3" t="s">
        <v>11630</v>
      </c>
      <c r="B2818" s="4">
        <v>534804.0</v>
      </c>
      <c r="C2818" s="3" t="s">
        <v>11631</v>
      </c>
      <c r="D2818" s="3" t="s">
        <v>11632</v>
      </c>
      <c r="E2818" s="3" t="s">
        <v>11633</v>
      </c>
      <c r="F2818" s="3" t="s">
        <v>19</v>
      </c>
      <c r="G2818" s="3" t="s">
        <v>20</v>
      </c>
      <c r="H2818" s="3">
        <v>10.0</v>
      </c>
      <c r="I2818" s="3" t="s">
        <v>11630</v>
      </c>
      <c r="J2818" s="3" t="s">
        <v>22</v>
      </c>
      <c r="K2818" s="3" t="s">
        <v>204</v>
      </c>
      <c r="L2818" s="3" t="s">
        <v>204</v>
      </c>
      <c r="M2818" s="3" t="s">
        <v>205</v>
      </c>
      <c r="N2818" s="3" t="s">
        <v>9965</v>
      </c>
      <c r="O2818" s="5">
        <v>3157.7228639</v>
      </c>
      <c r="P2818" s="6" t="str">
        <f t="shared" si="2"/>
        <v>Capital Markets</v>
      </c>
    </row>
    <row r="2819" hidden="1">
      <c r="A2819" s="3" t="s">
        <v>11634</v>
      </c>
      <c r="B2819" s="4">
        <v>534809.0</v>
      </c>
      <c r="C2819" s="3" t="s">
        <v>11635</v>
      </c>
      <c r="D2819" s="3" t="s">
        <v>11636</v>
      </c>
      <c r="E2819" s="3" t="s">
        <v>11637</v>
      </c>
      <c r="F2819" s="3" t="s">
        <v>19</v>
      </c>
      <c r="G2819" s="3" t="s">
        <v>112</v>
      </c>
      <c r="H2819" s="3">
        <v>10.0</v>
      </c>
      <c r="I2819" s="3" t="s">
        <v>11634</v>
      </c>
      <c r="J2819" s="3" t="s">
        <v>22</v>
      </c>
      <c r="K2819" s="3" t="s">
        <v>58</v>
      </c>
      <c r="L2819" s="3" t="s">
        <v>211</v>
      </c>
      <c r="M2819" s="3" t="s">
        <v>211</v>
      </c>
      <c r="N2819" s="3" t="s">
        <v>947</v>
      </c>
      <c r="O2819" s="5">
        <v>2386.5928863</v>
      </c>
      <c r="P2819" s="6" t="str">
        <f t="shared" si="2"/>
        <v>Consumer Durables</v>
      </c>
    </row>
    <row r="2820">
      <c r="A2820" s="3" t="s">
        <v>11638</v>
      </c>
      <c r="B2820" s="4">
        <v>542650.0</v>
      </c>
      <c r="C2820" s="3" t="s">
        <v>11639</v>
      </c>
      <c r="D2820" s="3" t="s">
        <v>11640</v>
      </c>
      <c r="E2820" s="3" t="s">
        <v>11641</v>
      </c>
      <c r="F2820" s="3" t="s">
        <v>19</v>
      </c>
      <c r="G2820" s="3" t="s">
        <v>20</v>
      </c>
      <c r="H2820" s="3">
        <v>2.0</v>
      </c>
      <c r="I2820" s="3" t="s">
        <v>11642</v>
      </c>
      <c r="J2820" s="3" t="s">
        <v>22</v>
      </c>
      <c r="K2820" s="3" t="s">
        <v>45</v>
      </c>
      <c r="L2820" s="3" t="s">
        <v>45</v>
      </c>
      <c r="M2820" s="3" t="s">
        <v>4488</v>
      </c>
      <c r="N2820" s="3" t="s">
        <v>4489</v>
      </c>
      <c r="O2820" s="5">
        <v>10077.0862857</v>
      </c>
      <c r="P2820" s="6" t="str">
        <f t="shared" si="2"/>
        <v>Healthcare Services</v>
      </c>
    </row>
    <row r="2821">
      <c r="A2821" s="3" t="s">
        <v>2281</v>
      </c>
      <c r="B2821" s="4">
        <v>543064.0</v>
      </c>
      <c r="C2821" s="3" t="s">
        <v>11643</v>
      </c>
      <c r="D2821" s="3" t="s">
        <v>11644</v>
      </c>
      <c r="E2821" s="3" t="s">
        <v>11645</v>
      </c>
      <c r="F2821" s="3" t="s">
        <v>19</v>
      </c>
      <c r="G2821" s="3" t="s">
        <v>20</v>
      </c>
      <c r="H2821" s="3">
        <v>1.0</v>
      </c>
      <c r="I2821" s="3" t="s">
        <v>11646</v>
      </c>
      <c r="J2821" s="3" t="s">
        <v>22</v>
      </c>
      <c r="K2821" s="3" t="s">
        <v>45</v>
      </c>
      <c r="L2821" s="3" t="s">
        <v>45</v>
      </c>
      <c r="M2821" s="3" t="s">
        <v>46</v>
      </c>
      <c r="N2821" s="3" t="s">
        <v>47</v>
      </c>
      <c r="O2821" s="5">
        <v>20661.96288</v>
      </c>
      <c r="P2821" s="6" t="str">
        <f t="shared" si="2"/>
        <v>Pharmaceuticals</v>
      </c>
    </row>
    <row r="2822" hidden="1">
      <c r="A2822" s="3" t="s">
        <v>11647</v>
      </c>
      <c r="B2822" s="4">
        <v>535136.0</v>
      </c>
      <c r="C2822" s="3" t="s">
        <v>11648</v>
      </c>
      <c r="D2822" s="3" t="s">
        <v>11649</v>
      </c>
      <c r="E2822" s="3" t="s">
        <v>11650</v>
      </c>
      <c r="F2822" s="3" t="s">
        <v>19</v>
      </c>
      <c r="G2822" s="3" t="s">
        <v>86</v>
      </c>
      <c r="H2822" s="3">
        <v>10.0</v>
      </c>
      <c r="I2822" s="3" t="s">
        <v>11647</v>
      </c>
      <c r="J2822" s="3" t="s">
        <v>22</v>
      </c>
      <c r="K2822" s="3" t="s">
        <v>97</v>
      </c>
      <c r="L2822" s="3" t="s">
        <v>98</v>
      </c>
      <c r="M2822" s="3" t="s">
        <v>806</v>
      </c>
      <c r="N2822" s="3" t="s">
        <v>806</v>
      </c>
      <c r="O2822" s="5">
        <v>2574.368</v>
      </c>
      <c r="P2822" s="6" t="str">
        <f t="shared" si="2"/>
        <v>Aerospace &amp; Defense</v>
      </c>
    </row>
    <row r="2823" hidden="1">
      <c r="A2823" s="3" t="s">
        <v>10768</v>
      </c>
      <c r="B2823" s="4">
        <v>515127.0</v>
      </c>
      <c r="C2823" s="3" t="s">
        <v>11651</v>
      </c>
      <c r="D2823" s="3" t="s">
        <v>11652</v>
      </c>
      <c r="E2823" s="3" t="s">
        <v>11653</v>
      </c>
      <c r="F2823" s="3" t="s">
        <v>19</v>
      </c>
      <c r="G2823" s="3" t="s">
        <v>44</v>
      </c>
      <c r="H2823" s="3">
        <v>5.0</v>
      </c>
      <c r="I2823" s="3" t="s">
        <v>4604</v>
      </c>
      <c r="J2823" s="3" t="s">
        <v>22</v>
      </c>
      <c r="K2823" s="3" t="s">
        <v>1673</v>
      </c>
      <c r="L2823" s="3" t="s">
        <v>1673</v>
      </c>
      <c r="M2823" s="3" t="s">
        <v>1674</v>
      </c>
      <c r="N2823" s="3" t="s">
        <v>1915</v>
      </c>
      <c r="O2823" s="5">
        <v>5.9657642</v>
      </c>
      <c r="P2823" s="6" t="str">
        <f t="shared" si="2"/>
        <v>Commercial Services &amp; Supplies</v>
      </c>
    </row>
    <row r="2824" hidden="1">
      <c r="A2824" s="3" t="s">
        <v>11194</v>
      </c>
      <c r="B2824" s="4">
        <v>530571.0</v>
      </c>
      <c r="C2824" s="3" t="s">
        <v>11654</v>
      </c>
      <c r="D2824" s="3" t="s">
        <v>11655</v>
      </c>
      <c r="E2824" s="3" t="s">
        <v>11656</v>
      </c>
      <c r="F2824" s="3" t="s">
        <v>19</v>
      </c>
      <c r="G2824" s="3" t="s">
        <v>72</v>
      </c>
      <c r="H2824" s="3">
        <v>10.0</v>
      </c>
      <c r="I2824" s="3" t="s">
        <v>7724</v>
      </c>
      <c r="J2824" s="3" t="s">
        <v>22</v>
      </c>
      <c r="K2824" s="3" t="s">
        <v>1673</v>
      </c>
      <c r="L2824" s="3" t="s">
        <v>1673</v>
      </c>
      <c r="M2824" s="3" t="s">
        <v>1674</v>
      </c>
      <c r="N2824" s="3" t="s">
        <v>1675</v>
      </c>
      <c r="O2824" s="5">
        <v>5.8941937</v>
      </c>
      <c r="P2824" s="6" t="str">
        <f t="shared" si="2"/>
        <v>Commercial Services &amp; Supplies</v>
      </c>
    </row>
    <row r="2825" hidden="1">
      <c r="A2825" s="3" t="s">
        <v>11657</v>
      </c>
      <c r="B2825" s="4">
        <v>535267.0</v>
      </c>
      <c r="C2825" s="3" t="s">
        <v>11658</v>
      </c>
      <c r="D2825" s="3" t="s">
        <v>11659</v>
      </c>
      <c r="E2825" s="3" t="s">
        <v>11660</v>
      </c>
      <c r="F2825" s="3" t="s">
        <v>19</v>
      </c>
      <c r="G2825" s="3" t="s">
        <v>44</v>
      </c>
      <c r="H2825" s="3">
        <v>2.0</v>
      </c>
      <c r="I2825" s="3" t="s">
        <v>11657</v>
      </c>
      <c r="J2825" s="3" t="s">
        <v>22</v>
      </c>
      <c r="K2825" s="3" t="s">
        <v>204</v>
      </c>
      <c r="L2825" s="3" t="s">
        <v>204</v>
      </c>
      <c r="M2825" s="3" t="s">
        <v>378</v>
      </c>
      <c r="N2825" s="3" t="s">
        <v>379</v>
      </c>
      <c r="O2825" s="5">
        <v>49.4341737</v>
      </c>
      <c r="P2825" s="6" t="str">
        <f t="shared" si="2"/>
        <v>Non Banking Financial Company (NBFC)</v>
      </c>
    </row>
    <row r="2826" hidden="1">
      <c r="A2826" s="3" t="s">
        <v>11661</v>
      </c>
      <c r="B2826" s="4">
        <v>535279.0</v>
      </c>
      <c r="C2826" s="3" t="s">
        <v>11662</v>
      </c>
      <c r="D2826" s="3" t="s">
        <v>11663</v>
      </c>
      <c r="E2826" s="3" t="s">
        <v>11664</v>
      </c>
      <c r="F2826" s="3" t="s">
        <v>19</v>
      </c>
      <c r="G2826" s="3" t="s">
        <v>2428</v>
      </c>
      <c r="H2826" s="3">
        <v>10.0</v>
      </c>
      <c r="I2826" s="3" t="s">
        <v>11661</v>
      </c>
      <c r="J2826" s="3" t="s">
        <v>22</v>
      </c>
      <c r="K2826" s="3" t="s">
        <v>23</v>
      </c>
      <c r="L2826" s="3" t="s">
        <v>65</v>
      </c>
      <c r="M2826" s="3" t="s">
        <v>66</v>
      </c>
      <c r="N2826" s="3" t="s">
        <v>286</v>
      </c>
      <c r="O2826" s="5">
        <v>22.44217</v>
      </c>
      <c r="P2826" s="6" t="str">
        <f t="shared" si="2"/>
        <v>Non - Ferrous Metals</v>
      </c>
    </row>
    <row r="2827" hidden="1">
      <c r="A2827" s="3" t="s">
        <v>11665</v>
      </c>
      <c r="B2827" s="4">
        <v>535322.0</v>
      </c>
      <c r="C2827" s="3" t="s">
        <v>11666</v>
      </c>
      <c r="D2827" s="3" t="s">
        <v>11667</v>
      </c>
      <c r="E2827" s="3" t="s">
        <v>11668</v>
      </c>
      <c r="F2827" s="3" t="s">
        <v>19</v>
      </c>
      <c r="G2827" s="3" t="s">
        <v>20</v>
      </c>
      <c r="H2827" s="3">
        <v>10.0</v>
      </c>
      <c r="I2827" s="3" t="s">
        <v>11665</v>
      </c>
      <c r="J2827" s="3" t="s">
        <v>22</v>
      </c>
      <c r="K2827" s="3" t="s">
        <v>204</v>
      </c>
      <c r="L2827" s="3" t="s">
        <v>204</v>
      </c>
      <c r="M2827" s="3" t="s">
        <v>378</v>
      </c>
      <c r="N2827" s="3" t="s">
        <v>3066</v>
      </c>
      <c r="O2827" s="5">
        <v>3387.3158926</v>
      </c>
      <c r="P2827" s="6" t="str">
        <f t="shared" si="2"/>
        <v>Finance</v>
      </c>
    </row>
    <row r="2828" hidden="1">
      <c r="A2828" s="3" t="s">
        <v>11669</v>
      </c>
      <c r="B2828" s="4">
        <v>535387.0</v>
      </c>
      <c r="C2828" s="3" t="s">
        <v>11670</v>
      </c>
      <c r="D2828" s="3" t="s">
        <v>11671</v>
      </c>
      <c r="E2828" s="3" t="s">
        <v>11672</v>
      </c>
      <c r="F2828" s="3" t="s">
        <v>19</v>
      </c>
      <c r="G2828" s="3" t="s">
        <v>72</v>
      </c>
      <c r="H2828" s="3">
        <v>10.0</v>
      </c>
      <c r="I2828" s="3" t="s">
        <v>11669</v>
      </c>
      <c r="J2828" s="3" t="s">
        <v>22</v>
      </c>
      <c r="K2828" s="3" t="s">
        <v>58</v>
      </c>
      <c r="L2828" s="3" t="s">
        <v>80</v>
      </c>
      <c r="M2828" s="3" t="s">
        <v>81</v>
      </c>
      <c r="N2828" s="3" t="s">
        <v>82</v>
      </c>
      <c r="O2828" s="5">
        <v>37.7063572</v>
      </c>
      <c r="P2828" s="6" t="str">
        <f t="shared" si="2"/>
        <v>Textiles &amp; Apparels</v>
      </c>
    </row>
    <row r="2829" hidden="1">
      <c r="A2829" s="3" t="s">
        <v>11673</v>
      </c>
      <c r="B2829" s="4">
        <v>535431.0</v>
      </c>
      <c r="C2829" s="3" t="s">
        <v>11674</v>
      </c>
      <c r="D2829" s="3" t="s">
        <v>11675</v>
      </c>
      <c r="E2829" s="3" t="s">
        <v>11676</v>
      </c>
      <c r="F2829" s="3" t="s">
        <v>19</v>
      </c>
      <c r="G2829" s="3" t="s">
        <v>112</v>
      </c>
      <c r="H2829" s="3">
        <v>1.0</v>
      </c>
      <c r="I2829" s="3" t="s">
        <v>11673</v>
      </c>
      <c r="J2829" s="3" t="s">
        <v>22</v>
      </c>
      <c r="K2829" s="3" t="s">
        <v>204</v>
      </c>
      <c r="L2829" s="3" t="s">
        <v>204</v>
      </c>
      <c r="M2829" s="3" t="s">
        <v>205</v>
      </c>
      <c r="N2829" s="3" t="s">
        <v>2109</v>
      </c>
      <c r="O2829" s="5">
        <v>19.3817281</v>
      </c>
      <c r="P2829" s="6" t="str">
        <f t="shared" si="2"/>
        <v>Capital Markets</v>
      </c>
    </row>
    <row r="2830" hidden="1">
      <c r="A2830" s="3" t="s">
        <v>11677</v>
      </c>
      <c r="B2830" s="4">
        <v>535458.0</v>
      </c>
      <c r="C2830" s="3" t="s">
        <v>11678</v>
      </c>
      <c r="D2830" s="3" t="s">
        <v>11679</v>
      </c>
      <c r="E2830" s="3" t="s">
        <v>11680</v>
      </c>
      <c r="F2830" s="3" t="s">
        <v>19</v>
      </c>
      <c r="G2830" s="3" t="s">
        <v>112</v>
      </c>
      <c r="H2830" s="3">
        <v>2.0</v>
      </c>
      <c r="I2830" s="3" t="s">
        <v>11677</v>
      </c>
      <c r="J2830" s="3" t="s">
        <v>22</v>
      </c>
      <c r="K2830" s="3" t="s">
        <v>97</v>
      </c>
      <c r="L2830" s="3" t="s">
        <v>98</v>
      </c>
      <c r="M2830" s="3" t="s">
        <v>100</v>
      </c>
      <c r="N2830" s="3" t="s">
        <v>2079</v>
      </c>
      <c r="O2830" s="5">
        <v>90.7636473</v>
      </c>
      <c r="P2830" s="6" t="str">
        <f t="shared" si="2"/>
        <v>Industrial Products</v>
      </c>
    </row>
    <row r="2831" hidden="1">
      <c r="A2831" s="3" t="s">
        <v>11681</v>
      </c>
      <c r="B2831" s="4">
        <v>535514.0</v>
      </c>
      <c r="C2831" s="3" t="s">
        <v>11682</v>
      </c>
      <c r="D2831" s="3" t="s">
        <v>11683</v>
      </c>
      <c r="E2831" s="3" t="s">
        <v>11684</v>
      </c>
      <c r="F2831" s="3" t="s">
        <v>19</v>
      </c>
      <c r="G2831" s="3" t="s">
        <v>72</v>
      </c>
      <c r="H2831" s="3">
        <v>10.0</v>
      </c>
      <c r="I2831" s="3" t="s">
        <v>11681</v>
      </c>
      <c r="J2831" s="3" t="s">
        <v>22</v>
      </c>
      <c r="K2831" s="3" t="s">
        <v>204</v>
      </c>
      <c r="L2831" s="3" t="s">
        <v>204</v>
      </c>
      <c r="M2831" s="3" t="s">
        <v>378</v>
      </c>
      <c r="N2831" s="3" t="s">
        <v>379</v>
      </c>
      <c r="O2831" s="5">
        <v>1.0</v>
      </c>
      <c r="P2831" s="6" t="str">
        <f t="shared" si="2"/>
        <v>Non Banking Financial Company (NBFC)</v>
      </c>
    </row>
    <row r="2832" hidden="1">
      <c r="A2832" s="3" t="s">
        <v>11685</v>
      </c>
      <c r="B2832" s="4">
        <v>535566.0</v>
      </c>
      <c r="C2832" s="3" t="s">
        <v>11686</v>
      </c>
      <c r="D2832" s="3" t="s">
        <v>11687</v>
      </c>
      <c r="E2832" s="3" t="s">
        <v>11688</v>
      </c>
      <c r="F2832" s="3" t="s">
        <v>19</v>
      </c>
      <c r="G2832" s="3" t="s">
        <v>44</v>
      </c>
      <c r="H2832" s="3">
        <v>10.0</v>
      </c>
      <c r="I2832" s="3" t="s">
        <v>11685</v>
      </c>
      <c r="J2832" s="3" t="s">
        <v>22</v>
      </c>
      <c r="K2832" s="3" t="s">
        <v>204</v>
      </c>
      <c r="L2832" s="3" t="s">
        <v>204</v>
      </c>
      <c r="M2832" s="3" t="s">
        <v>378</v>
      </c>
      <c r="N2832" s="3" t="s">
        <v>379</v>
      </c>
      <c r="O2832" s="5">
        <v>181.4155</v>
      </c>
      <c r="P2832" s="6" t="str">
        <f t="shared" si="2"/>
        <v>Non Banking Financial Company (NBFC)</v>
      </c>
    </row>
    <row r="2833" hidden="1">
      <c r="A2833" s="3" t="s">
        <v>11689</v>
      </c>
      <c r="B2833" s="4">
        <v>535601.0</v>
      </c>
      <c r="C2833" s="3" t="s">
        <v>11690</v>
      </c>
      <c r="D2833" s="3" t="s">
        <v>11691</v>
      </c>
      <c r="E2833" s="3" t="s">
        <v>11692</v>
      </c>
      <c r="F2833" s="3" t="s">
        <v>19</v>
      </c>
      <c r="G2833" s="3" t="s">
        <v>112</v>
      </c>
      <c r="H2833" s="3">
        <v>10.0</v>
      </c>
      <c r="I2833" s="3" t="s">
        <v>11689</v>
      </c>
      <c r="J2833" s="3" t="s">
        <v>22</v>
      </c>
      <c r="K2833" s="3" t="s">
        <v>58</v>
      </c>
      <c r="L2833" s="3" t="s">
        <v>211</v>
      </c>
      <c r="M2833" s="3" t="s">
        <v>211</v>
      </c>
      <c r="N2833" s="3" t="s">
        <v>932</v>
      </c>
      <c r="O2833" s="5">
        <v>676.363396</v>
      </c>
      <c r="P2833" s="6" t="str">
        <f t="shared" si="2"/>
        <v>Consumer Durables</v>
      </c>
    </row>
    <row r="2834">
      <c r="A2834" s="3" t="s">
        <v>2383</v>
      </c>
      <c r="B2834" s="4">
        <v>543220.0</v>
      </c>
      <c r="C2834" s="3" t="s">
        <v>11693</v>
      </c>
      <c r="D2834" s="3" t="s">
        <v>11694</v>
      </c>
      <c r="E2834" s="3" t="s">
        <v>11695</v>
      </c>
      <c r="F2834" s="3" t="s">
        <v>19</v>
      </c>
      <c r="G2834" s="3" t="s">
        <v>20</v>
      </c>
      <c r="H2834" s="3">
        <v>10.0</v>
      </c>
      <c r="I2834" s="3" t="s">
        <v>11696</v>
      </c>
      <c r="J2834" s="3" t="s">
        <v>22</v>
      </c>
      <c r="K2834" s="3" t="s">
        <v>45</v>
      </c>
      <c r="L2834" s="3" t="s">
        <v>45</v>
      </c>
      <c r="M2834" s="3" t="s">
        <v>4488</v>
      </c>
      <c r="N2834" s="3" t="s">
        <v>5801</v>
      </c>
      <c r="O2834" s="5">
        <v>87596.9098923</v>
      </c>
      <c r="P2834" s="6" t="str">
        <f t="shared" si="2"/>
        <v>Healthcare Services</v>
      </c>
    </row>
    <row r="2835" hidden="1">
      <c r="A2835" s="3" t="s">
        <v>11697</v>
      </c>
      <c r="B2835" s="4">
        <v>535621.0</v>
      </c>
      <c r="C2835" s="3" t="s">
        <v>11698</v>
      </c>
      <c r="D2835" s="3" t="s">
        <v>11699</v>
      </c>
      <c r="E2835" s="3" t="s">
        <v>11700</v>
      </c>
      <c r="F2835" s="3" t="s">
        <v>19</v>
      </c>
      <c r="G2835" s="3" t="s">
        <v>44</v>
      </c>
      <c r="H2835" s="3">
        <v>5.0</v>
      </c>
      <c r="I2835" s="3" t="s">
        <v>11697</v>
      </c>
      <c r="J2835" s="3" t="s">
        <v>22</v>
      </c>
      <c r="K2835" s="3" t="s">
        <v>58</v>
      </c>
      <c r="L2835" s="3" t="s">
        <v>59</v>
      </c>
      <c r="M2835" s="3" t="s">
        <v>59</v>
      </c>
      <c r="N2835" s="3" t="s">
        <v>60</v>
      </c>
      <c r="O2835" s="5">
        <v>175.4908579</v>
      </c>
      <c r="P2835" s="6" t="str">
        <f t="shared" si="2"/>
        <v>Residential, Commercial Projects</v>
      </c>
    </row>
    <row r="2836" hidden="1">
      <c r="A2836" s="3" t="s">
        <v>11701</v>
      </c>
      <c r="B2836" s="4">
        <v>535647.0</v>
      </c>
      <c r="C2836" s="3" t="s">
        <v>11702</v>
      </c>
      <c r="D2836" s="3" t="s">
        <v>11703</v>
      </c>
      <c r="E2836" s="3" t="s">
        <v>11704</v>
      </c>
      <c r="F2836" s="3" t="s">
        <v>19</v>
      </c>
      <c r="G2836" s="3" t="s">
        <v>2428</v>
      </c>
      <c r="H2836" s="3">
        <v>10.0</v>
      </c>
      <c r="I2836" s="3" t="s">
        <v>11701</v>
      </c>
      <c r="J2836" s="3" t="s">
        <v>22</v>
      </c>
      <c r="K2836" s="3" t="s">
        <v>58</v>
      </c>
      <c r="L2836" s="3" t="s">
        <v>182</v>
      </c>
      <c r="M2836" s="3" t="s">
        <v>1168</v>
      </c>
      <c r="N2836" s="3" t="s">
        <v>1568</v>
      </c>
      <c r="O2836" s="5">
        <v>1.0</v>
      </c>
      <c r="P2836" s="6" t="str">
        <f t="shared" si="2"/>
        <v>Entertainment</v>
      </c>
    </row>
    <row r="2837">
      <c r="A2837" s="3" t="s">
        <v>2395</v>
      </c>
      <c r="B2837" s="4">
        <v>543245.0</v>
      </c>
      <c r="C2837" s="3" t="s">
        <v>11705</v>
      </c>
      <c r="D2837" s="3" t="s">
        <v>11706</v>
      </c>
      <c r="E2837" s="3" t="s">
        <v>11707</v>
      </c>
      <c r="F2837" s="3" t="s">
        <v>19</v>
      </c>
      <c r="G2837" s="3" t="s">
        <v>20</v>
      </c>
      <c r="H2837" s="3">
        <v>1.0</v>
      </c>
      <c r="I2837" s="3" t="s">
        <v>11708</v>
      </c>
      <c r="J2837" s="3" t="s">
        <v>22</v>
      </c>
      <c r="K2837" s="3" t="s">
        <v>45</v>
      </c>
      <c r="L2837" s="3" t="s">
        <v>45</v>
      </c>
      <c r="M2837" s="3" t="s">
        <v>46</v>
      </c>
      <c r="N2837" s="3" t="s">
        <v>47</v>
      </c>
      <c r="O2837" s="5">
        <v>29979.55044</v>
      </c>
      <c r="P2837" s="6" t="str">
        <f t="shared" si="2"/>
        <v>Pharmaceuticals</v>
      </c>
    </row>
    <row r="2838" hidden="1">
      <c r="A2838" s="3" t="s">
        <v>11709</v>
      </c>
      <c r="B2838" s="4">
        <v>535657.0</v>
      </c>
      <c r="C2838" s="3" t="s">
        <v>11710</v>
      </c>
      <c r="D2838" s="3" t="s">
        <v>11711</v>
      </c>
      <c r="E2838" s="3" t="s">
        <v>11712</v>
      </c>
      <c r="F2838" s="3" t="s">
        <v>19</v>
      </c>
      <c r="G2838" s="3" t="s">
        <v>44</v>
      </c>
      <c r="H2838" s="3">
        <v>10.0</v>
      </c>
      <c r="I2838" s="3" t="s">
        <v>11709</v>
      </c>
      <c r="J2838" s="3" t="s">
        <v>22</v>
      </c>
      <c r="K2838" s="3" t="s">
        <v>473</v>
      </c>
      <c r="L2838" s="3" t="s">
        <v>473</v>
      </c>
      <c r="M2838" s="3" t="s">
        <v>1391</v>
      </c>
      <c r="N2838" s="3" t="s">
        <v>1840</v>
      </c>
      <c r="O2838" s="5">
        <v>14.8788821</v>
      </c>
      <c r="P2838" s="6" t="str">
        <f t="shared" si="2"/>
        <v>Computers - Software &amp; Consulting</v>
      </c>
    </row>
    <row r="2839" hidden="1">
      <c r="A2839" s="3" t="s">
        <v>11713</v>
      </c>
      <c r="B2839" s="4">
        <v>535667.0</v>
      </c>
      <c r="C2839" s="3" t="s">
        <v>11714</v>
      </c>
      <c r="D2839" s="3" t="s">
        <v>11715</v>
      </c>
      <c r="E2839" s="3" t="s">
        <v>11716</v>
      </c>
      <c r="F2839" s="3" t="s">
        <v>19</v>
      </c>
      <c r="G2839" s="3" t="s">
        <v>72</v>
      </c>
      <c r="H2839" s="3">
        <v>10.0</v>
      </c>
      <c r="I2839" s="3" t="s">
        <v>11713</v>
      </c>
      <c r="J2839" s="3" t="s">
        <v>22</v>
      </c>
      <c r="K2839" s="3" t="s">
        <v>204</v>
      </c>
      <c r="L2839" s="3" t="s">
        <v>204</v>
      </c>
      <c r="M2839" s="3" t="s">
        <v>378</v>
      </c>
      <c r="N2839" s="3" t="s">
        <v>379</v>
      </c>
      <c r="O2839" s="5">
        <v>331.9261564</v>
      </c>
      <c r="P2839" s="6" t="str">
        <f t="shared" si="2"/>
        <v>Non Banking Financial Company (NBFC)</v>
      </c>
    </row>
    <row r="2840" hidden="1">
      <c r="A2840" s="3" t="s">
        <v>11717</v>
      </c>
      <c r="B2840" s="4">
        <v>535693.0</v>
      </c>
      <c r="C2840" s="3" t="s">
        <v>11718</v>
      </c>
      <c r="D2840" s="3" t="s">
        <v>11719</v>
      </c>
      <c r="E2840" s="3" t="s">
        <v>11720</v>
      </c>
      <c r="F2840" s="3" t="s">
        <v>19</v>
      </c>
      <c r="G2840" s="3" t="s">
        <v>44</v>
      </c>
      <c r="H2840" s="3">
        <v>10.0</v>
      </c>
      <c r="I2840" s="3" t="s">
        <v>11717</v>
      </c>
      <c r="J2840" s="3" t="s">
        <v>22</v>
      </c>
      <c r="K2840" s="3" t="s">
        <v>97</v>
      </c>
      <c r="L2840" s="3" t="s">
        <v>965</v>
      </c>
      <c r="M2840" s="3" t="s">
        <v>965</v>
      </c>
      <c r="N2840" s="3" t="s">
        <v>966</v>
      </c>
      <c r="O2840" s="5">
        <v>306.490926</v>
      </c>
      <c r="P2840" s="6" t="str">
        <f t="shared" si="2"/>
        <v>Civil Construction</v>
      </c>
    </row>
    <row r="2841" hidden="1">
      <c r="A2841" s="3" t="s">
        <v>11721</v>
      </c>
      <c r="B2841" s="4">
        <v>535719.0</v>
      </c>
      <c r="C2841" s="3" t="s">
        <v>11722</v>
      </c>
      <c r="D2841" s="3" t="s">
        <v>11723</v>
      </c>
      <c r="E2841" s="3" t="s">
        <v>11724</v>
      </c>
      <c r="F2841" s="3" t="s">
        <v>19</v>
      </c>
      <c r="G2841" s="3" t="s">
        <v>44</v>
      </c>
      <c r="H2841" s="3">
        <v>10.0</v>
      </c>
      <c r="I2841" s="3" t="s">
        <v>11721</v>
      </c>
      <c r="J2841" s="3" t="s">
        <v>22</v>
      </c>
      <c r="K2841" s="3" t="s">
        <v>473</v>
      </c>
      <c r="L2841" s="3" t="s">
        <v>473</v>
      </c>
      <c r="M2841" s="3" t="s">
        <v>1391</v>
      </c>
      <c r="N2841" s="3" t="s">
        <v>1840</v>
      </c>
      <c r="O2841" s="5">
        <v>68.5720373</v>
      </c>
      <c r="P2841" s="6" t="str">
        <f t="shared" si="2"/>
        <v>Computers - Software &amp; Consulting</v>
      </c>
    </row>
    <row r="2842" hidden="1">
      <c r="A2842" s="3" t="s">
        <v>11725</v>
      </c>
      <c r="B2842" s="4">
        <v>535730.0</v>
      </c>
      <c r="C2842" s="3" t="s">
        <v>11726</v>
      </c>
      <c r="D2842" s="3" t="s">
        <v>11727</v>
      </c>
      <c r="E2842" s="3" t="s">
        <v>11728</v>
      </c>
      <c r="F2842" s="3" t="s">
        <v>19</v>
      </c>
      <c r="G2842" s="3" t="s">
        <v>72</v>
      </c>
      <c r="H2842" s="3">
        <v>1.0</v>
      </c>
      <c r="I2842" s="3" t="s">
        <v>11725</v>
      </c>
      <c r="J2842" s="3" t="s">
        <v>22</v>
      </c>
      <c r="K2842" s="3" t="s">
        <v>58</v>
      </c>
      <c r="L2842" s="3" t="s">
        <v>80</v>
      </c>
      <c r="M2842" s="3" t="s">
        <v>81</v>
      </c>
      <c r="N2842" s="3" t="s">
        <v>82</v>
      </c>
      <c r="O2842" s="5">
        <v>62.3459587</v>
      </c>
      <c r="P2842" s="6" t="str">
        <f t="shared" si="2"/>
        <v>Textiles &amp; Apparels</v>
      </c>
    </row>
    <row r="2843">
      <c r="A2843" s="3" t="s">
        <v>695</v>
      </c>
      <c r="B2843" s="4">
        <v>543308.0</v>
      </c>
      <c r="C2843" s="3" t="s">
        <v>11729</v>
      </c>
      <c r="D2843" s="3" t="s">
        <v>11730</v>
      </c>
      <c r="E2843" s="3" t="s">
        <v>11731</v>
      </c>
      <c r="F2843" s="3" t="s">
        <v>19</v>
      </c>
      <c r="G2843" s="3" t="s">
        <v>20</v>
      </c>
      <c r="H2843" s="3">
        <v>10.0</v>
      </c>
      <c r="I2843" s="3" t="s">
        <v>11732</v>
      </c>
      <c r="J2843" s="3" t="s">
        <v>22</v>
      </c>
      <c r="K2843" s="3" t="s">
        <v>45</v>
      </c>
      <c r="L2843" s="3" t="s">
        <v>45</v>
      </c>
      <c r="M2843" s="3" t="s">
        <v>4488</v>
      </c>
      <c r="N2843" s="3" t="s">
        <v>5801</v>
      </c>
      <c r="O2843" s="5">
        <v>16548.8512926</v>
      </c>
      <c r="P2843" s="6" t="str">
        <f t="shared" si="2"/>
        <v>Healthcare Services</v>
      </c>
    </row>
    <row r="2844">
      <c r="A2844" s="3" t="s">
        <v>2399</v>
      </c>
      <c r="B2844" s="4">
        <v>543322.0</v>
      </c>
      <c r="C2844" s="3" t="s">
        <v>11733</v>
      </c>
      <c r="D2844" s="3" t="s">
        <v>11734</v>
      </c>
      <c r="E2844" s="3" t="s">
        <v>11735</v>
      </c>
      <c r="F2844" s="3" t="s">
        <v>19</v>
      </c>
      <c r="G2844" s="3" t="s">
        <v>20</v>
      </c>
      <c r="H2844" s="3">
        <v>2.0</v>
      </c>
      <c r="I2844" s="3" t="s">
        <v>11736</v>
      </c>
      <c r="J2844" s="3" t="s">
        <v>22</v>
      </c>
      <c r="K2844" s="3" t="s">
        <v>45</v>
      </c>
      <c r="L2844" s="3" t="s">
        <v>45</v>
      </c>
      <c r="M2844" s="3" t="s">
        <v>46</v>
      </c>
      <c r="N2844" s="3" t="s">
        <v>47</v>
      </c>
      <c r="O2844" s="5">
        <v>11474.9686955</v>
      </c>
      <c r="P2844" s="6" t="str">
        <f t="shared" si="2"/>
        <v>Pharmaceuticals</v>
      </c>
    </row>
    <row r="2845">
      <c r="A2845" s="3" t="s">
        <v>10088</v>
      </c>
      <c r="B2845" s="4">
        <v>543349.0</v>
      </c>
      <c r="C2845" s="3" t="s">
        <v>11737</v>
      </c>
      <c r="D2845" s="3" t="s">
        <v>11738</v>
      </c>
      <c r="E2845" s="3" t="s">
        <v>11739</v>
      </c>
      <c r="F2845" s="3" t="s">
        <v>19</v>
      </c>
      <c r="G2845" s="3" t="s">
        <v>20</v>
      </c>
      <c r="H2845" s="3">
        <v>10.0</v>
      </c>
      <c r="I2845" s="3" t="s">
        <v>11740</v>
      </c>
      <c r="J2845" s="3" t="s">
        <v>22</v>
      </c>
      <c r="K2845" s="3" t="s">
        <v>45</v>
      </c>
      <c r="L2845" s="3" t="s">
        <v>45</v>
      </c>
      <c r="M2845" s="3" t="s">
        <v>46</v>
      </c>
      <c r="N2845" s="3" t="s">
        <v>47</v>
      </c>
      <c r="O2845" s="5">
        <v>5535.95694</v>
      </c>
      <c r="P2845" s="6" t="str">
        <f t="shared" si="2"/>
        <v>Pharmaceuticals</v>
      </c>
    </row>
    <row r="2846" hidden="1">
      <c r="A2846" s="3" t="s">
        <v>11741</v>
      </c>
      <c r="B2846" s="4">
        <v>535910.0</v>
      </c>
      <c r="C2846" s="3" t="s">
        <v>11742</v>
      </c>
      <c r="D2846" s="3" t="s">
        <v>11743</v>
      </c>
      <c r="E2846" s="3" t="s">
        <v>11744</v>
      </c>
      <c r="F2846" s="3" t="s">
        <v>19</v>
      </c>
      <c r="G2846" s="3" t="s">
        <v>112</v>
      </c>
      <c r="H2846" s="3">
        <v>10.0</v>
      </c>
      <c r="I2846" s="3" t="s">
        <v>11741</v>
      </c>
      <c r="J2846" s="3" t="s">
        <v>22</v>
      </c>
      <c r="K2846" s="3" t="s">
        <v>204</v>
      </c>
      <c r="L2846" s="3" t="s">
        <v>204</v>
      </c>
      <c r="M2846" s="3" t="s">
        <v>378</v>
      </c>
      <c r="N2846" s="3" t="s">
        <v>379</v>
      </c>
      <c r="O2846" s="5">
        <v>148.245401</v>
      </c>
      <c r="P2846" s="6" t="str">
        <f t="shared" si="2"/>
        <v>Non Banking Financial Company (NBFC)</v>
      </c>
    </row>
    <row r="2847" hidden="1">
      <c r="A2847" s="3" t="s">
        <v>11745</v>
      </c>
      <c r="B2847" s="4">
        <v>535916.0</v>
      </c>
      <c r="C2847" s="3" t="s">
        <v>11746</v>
      </c>
      <c r="D2847" s="3" t="s">
        <v>11747</v>
      </c>
      <c r="E2847" s="3" t="s">
        <v>11748</v>
      </c>
      <c r="F2847" s="3" t="s">
        <v>19</v>
      </c>
      <c r="G2847" s="3" t="s">
        <v>2428</v>
      </c>
      <c r="H2847" s="3">
        <v>10.0</v>
      </c>
      <c r="I2847" s="3" t="s">
        <v>11745</v>
      </c>
      <c r="J2847" s="3" t="s">
        <v>22</v>
      </c>
      <c r="K2847" s="3" t="s">
        <v>204</v>
      </c>
      <c r="L2847" s="3" t="s">
        <v>204</v>
      </c>
      <c r="M2847" s="3" t="s">
        <v>378</v>
      </c>
      <c r="N2847" s="3" t="s">
        <v>468</v>
      </c>
      <c r="O2847" s="5">
        <v>194.2622062</v>
      </c>
      <c r="P2847" s="6" t="str">
        <f t="shared" si="2"/>
        <v>Finance</v>
      </c>
    </row>
    <row r="2848" hidden="1">
      <c r="A2848" s="3" t="s">
        <v>11749</v>
      </c>
      <c r="B2848" s="4">
        <v>535917.0</v>
      </c>
      <c r="C2848" s="3" t="s">
        <v>11750</v>
      </c>
      <c r="D2848" s="3" t="s">
        <v>11751</v>
      </c>
      <c r="E2848" s="3" t="s">
        <v>11752</v>
      </c>
      <c r="F2848" s="3" t="s">
        <v>19</v>
      </c>
      <c r="G2848" s="3" t="s">
        <v>2428</v>
      </c>
      <c r="H2848" s="3">
        <v>10.0</v>
      </c>
      <c r="I2848" s="3" t="s">
        <v>11749</v>
      </c>
      <c r="J2848" s="3" t="s">
        <v>22</v>
      </c>
      <c r="K2848" s="3" t="s">
        <v>204</v>
      </c>
      <c r="L2848" s="3" t="s">
        <v>204</v>
      </c>
      <c r="M2848" s="3" t="s">
        <v>378</v>
      </c>
      <c r="N2848" s="3" t="s">
        <v>468</v>
      </c>
      <c r="O2848" s="5">
        <v>1.0</v>
      </c>
      <c r="P2848" s="6" t="str">
        <f t="shared" si="2"/>
        <v>Finance</v>
      </c>
    </row>
    <row r="2849" hidden="1">
      <c r="A2849" s="3" t="s">
        <v>11753</v>
      </c>
      <c r="B2849" s="4">
        <v>535958.0</v>
      </c>
      <c r="C2849" s="3" t="s">
        <v>11754</v>
      </c>
      <c r="D2849" s="3" t="s">
        <v>11755</v>
      </c>
      <c r="E2849" s="3" t="s">
        <v>11756</v>
      </c>
      <c r="F2849" s="3" t="s">
        <v>19</v>
      </c>
      <c r="G2849" s="3" t="s">
        <v>86</v>
      </c>
      <c r="H2849" s="3">
        <v>1.0</v>
      </c>
      <c r="I2849" s="3" t="s">
        <v>11753</v>
      </c>
      <c r="J2849" s="3" t="s">
        <v>22</v>
      </c>
      <c r="K2849" s="3" t="s">
        <v>145</v>
      </c>
      <c r="L2849" s="3" t="s">
        <v>145</v>
      </c>
      <c r="M2849" s="3" t="s">
        <v>597</v>
      </c>
      <c r="N2849" s="3" t="s">
        <v>1065</v>
      </c>
      <c r="O2849" s="5">
        <v>424.914264</v>
      </c>
      <c r="P2849" s="6" t="str">
        <f t="shared" si="2"/>
        <v>Food Products</v>
      </c>
    </row>
    <row r="2850" hidden="1">
      <c r="A2850" s="3" t="s">
        <v>11757</v>
      </c>
      <c r="B2850" s="4">
        <v>536073.0</v>
      </c>
      <c r="C2850" s="3" t="s">
        <v>11758</v>
      </c>
      <c r="D2850" s="3" t="s">
        <v>11759</v>
      </c>
      <c r="E2850" s="3" t="s">
        <v>11760</v>
      </c>
      <c r="F2850" s="3" t="s">
        <v>19</v>
      </c>
      <c r="G2850" s="3" t="s">
        <v>44</v>
      </c>
      <c r="H2850" s="3">
        <v>10.0</v>
      </c>
      <c r="I2850" s="3" t="s">
        <v>11757</v>
      </c>
      <c r="J2850" s="3" t="s">
        <v>22</v>
      </c>
      <c r="K2850" s="3" t="s">
        <v>97</v>
      </c>
      <c r="L2850" s="3" t="s">
        <v>965</v>
      </c>
      <c r="M2850" s="3" t="s">
        <v>965</v>
      </c>
      <c r="N2850" s="3" t="s">
        <v>966</v>
      </c>
      <c r="O2850" s="5">
        <v>57.9196987</v>
      </c>
      <c r="P2850" s="6" t="str">
        <f t="shared" si="2"/>
        <v>Civil Construction</v>
      </c>
    </row>
    <row r="2851" hidden="1">
      <c r="A2851" s="3" t="s">
        <v>3638</v>
      </c>
      <c r="B2851" s="4">
        <v>540756.0</v>
      </c>
      <c r="C2851" s="3" t="s">
        <v>11761</v>
      </c>
      <c r="D2851" s="3" t="s">
        <v>11762</v>
      </c>
      <c r="E2851" s="3" t="s">
        <v>11763</v>
      </c>
      <c r="F2851" s="3" t="s">
        <v>19</v>
      </c>
      <c r="G2851" s="3" t="s">
        <v>2428</v>
      </c>
      <c r="H2851" s="3">
        <v>10.0</v>
      </c>
      <c r="I2851" s="3" t="s">
        <v>11764</v>
      </c>
      <c r="J2851" s="3" t="s">
        <v>22</v>
      </c>
      <c r="K2851" s="3" t="s">
        <v>1673</v>
      </c>
      <c r="L2851" s="3" t="s">
        <v>1673</v>
      </c>
      <c r="M2851" s="3" t="s">
        <v>1674</v>
      </c>
      <c r="N2851" s="3" t="s">
        <v>1675</v>
      </c>
      <c r="O2851" s="5">
        <v>4.132814</v>
      </c>
      <c r="P2851" s="6" t="str">
        <f t="shared" si="2"/>
        <v>Commercial Services &amp; Supplies</v>
      </c>
    </row>
    <row r="2852" hidden="1">
      <c r="A2852" s="3" t="s">
        <v>11765</v>
      </c>
      <c r="B2852" s="4">
        <v>536493.0</v>
      </c>
      <c r="C2852" s="3" t="s">
        <v>11766</v>
      </c>
      <c r="D2852" s="3" t="s">
        <v>11767</v>
      </c>
      <c r="E2852" s="3" t="s">
        <v>11768</v>
      </c>
      <c r="F2852" s="3" t="s">
        <v>19</v>
      </c>
      <c r="G2852" s="3" t="s">
        <v>44</v>
      </c>
      <c r="H2852" s="3">
        <v>10.0</v>
      </c>
      <c r="I2852" s="3" t="s">
        <v>11765</v>
      </c>
      <c r="J2852" s="3" t="s">
        <v>22</v>
      </c>
      <c r="K2852" s="3" t="s">
        <v>145</v>
      </c>
      <c r="L2852" s="3" t="s">
        <v>145</v>
      </c>
      <c r="M2852" s="3" t="s">
        <v>146</v>
      </c>
      <c r="N2852" s="3" t="s">
        <v>2645</v>
      </c>
      <c r="O2852" s="5">
        <v>180.0375109</v>
      </c>
      <c r="P2852" s="6" t="str">
        <f t="shared" si="2"/>
        <v>Agricultural Food &amp; other Products</v>
      </c>
    </row>
    <row r="2853" hidden="1">
      <c r="A2853" s="3" t="s">
        <v>11769</v>
      </c>
      <c r="B2853" s="4">
        <v>536507.0</v>
      </c>
      <c r="C2853" s="3" t="s">
        <v>11770</v>
      </c>
      <c r="D2853" s="3" t="s">
        <v>11771</v>
      </c>
      <c r="E2853" s="3" t="s">
        <v>11772</v>
      </c>
      <c r="F2853" s="3" t="s">
        <v>19</v>
      </c>
      <c r="G2853" s="3" t="s">
        <v>57</v>
      </c>
      <c r="H2853" s="3">
        <v>2.0</v>
      </c>
      <c r="I2853" s="3" t="s">
        <v>11769</v>
      </c>
      <c r="J2853" s="3" t="s">
        <v>22</v>
      </c>
      <c r="K2853" s="3" t="s">
        <v>58</v>
      </c>
      <c r="L2853" s="3" t="s">
        <v>73</v>
      </c>
      <c r="M2853" s="3" t="s">
        <v>988</v>
      </c>
      <c r="N2853" s="3" t="s">
        <v>1509</v>
      </c>
      <c r="O2853" s="5">
        <v>52.7609225</v>
      </c>
      <c r="P2853" s="6" t="str">
        <f t="shared" si="2"/>
        <v>Retailing</v>
      </c>
    </row>
    <row r="2854" hidden="1">
      <c r="A2854" s="3" t="s">
        <v>11773</v>
      </c>
      <c r="B2854" s="4">
        <v>536659.0</v>
      </c>
      <c r="C2854" s="3" t="s">
        <v>11774</v>
      </c>
      <c r="D2854" s="3" t="s">
        <v>11775</v>
      </c>
      <c r="E2854" s="3" t="s">
        <v>11776</v>
      </c>
      <c r="F2854" s="3" t="s">
        <v>19</v>
      </c>
      <c r="G2854" s="3" t="s">
        <v>72</v>
      </c>
      <c r="H2854" s="3">
        <v>10.0</v>
      </c>
      <c r="I2854" s="3" t="s">
        <v>11773</v>
      </c>
      <c r="J2854" s="3" t="s">
        <v>22</v>
      </c>
      <c r="K2854" s="3" t="s">
        <v>97</v>
      </c>
      <c r="L2854" s="3" t="s">
        <v>965</v>
      </c>
      <c r="M2854" s="3" t="s">
        <v>965</v>
      </c>
      <c r="N2854" s="3" t="s">
        <v>966</v>
      </c>
      <c r="O2854" s="5">
        <v>1.0</v>
      </c>
      <c r="P2854" s="6" t="str">
        <f t="shared" si="2"/>
        <v>Civil Construction</v>
      </c>
    </row>
    <row r="2855" hidden="1">
      <c r="A2855" s="3" t="s">
        <v>11777</v>
      </c>
      <c r="B2855" s="4">
        <v>536672.0</v>
      </c>
      <c r="C2855" s="3" t="s">
        <v>11778</v>
      </c>
      <c r="D2855" s="3" t="s">
        <v>11779</v>
      </c>
      <c r="E2855" s="3" t="s">
        <v>11780</v>
      </c>
      <c r="F2855" s="3" t="s">
        <v>19</v>
      </c>
      <c r="G2855" s="3" t="s">
        <v>44</v>
      </c>
      <c r="H2855" s="3">
        <v>10.0</v>
      </c>
      <c r="I2855" s="3" t="s">
        <v>11777</v>
      </c>
      <c r="J2855" s="3" t="s">
        <v>22</v>
      </c>
      <c r="K2855" s="3" t="s">
        <v>473</v>
      </c>
      <c r="L2855" s="3" t="s">
        <v>473</v>
      </c>
      <c r="M2855" s="3" t="s">
        <v>474</v>
      </c>
      <c r="N2855" s="3" t="s">
        <v>475</v>
      </c>
      <c r="O2855" s="5">
        <v>10.7767069</v>
      </c>
      <c r="P2855" s="6" t="str">
        <f t="shared" si="2"/>
        <v>IT - Hardware</v>
      </c>
    </row>
    <row r="2856" hidden="1">
      <c r="A2856" s="3" t="s">
        <v>11781</v>
      </c>
      <c r="B2856" s="4">
        <v>536709.0</v>
      </c>
      <c r="C2856" s="3" t="s">
        <v>11782</v>
      </c>
      <c r="D2856" s="3" t="s">
        <v>11783</v>
      </c>
      <c r="E2856" s="3" t="s">
        <v>11782</v>
      </c>
      <c r="F2856" s="3" t="s">
        <v>19</v>
      </c>
      <c r="G2856" s="3" t="s">
        <v>44</v>
      </c>
      <c r="H2856" s="3">
        <v>10.0</v>
      </c>
      <c r="I2856" s="3" t="s">
        <v>11781</v>
      </c>
      <c r="J2856" s="3" t="s">
        <v>22</v>
      </c>
      <c r="K2856" s="3" t="s">
        <v>1647</v>
      </c>
      <c r="L2856" s="3" t="s">
        <v>1648</v>
      </c>
      <c r="M2856" s="3" t="s">
        <v>1648</v>
      </c>
      <c r="N2856" s="3" t="s">
        <v>1649</v>
      </c>
      <c r="O2856" s="5">
        <v>1.0</v>
      </c>
      <c r="P2856" s="6" t="str">
        <f t="shared" si="2"/>
        <v>Power</v>
      </c>
    </row>
    <row r="2857" hidden="1">
      <c r="A2857" s="3" t="s">
        <v>11784</v>
      </c>
      <c r="B2857" s="4">
        <v>536710.0</v>
      </c>
      <c r="C2857" s="3" t="s">
        <v>11785</v>
      </c>
      <c r="D2857" s="3" t="s">
        <v>11786</v>
      </c>
      <c r="E2857" s="3" t="s">
        <v>11787</v>
      </c>
      <c r="F2857" s="3" t="s">
        <v>19</v>
      </c>
      <c r="G2857" s="3" t="s">
        <v>2428</v>
      </c>
      <c r="H2857" s="3">
        <v>10.0</v>
      </c>
      <c r="I2857" s="3" t="s">
        <v>11784</v>
      </c>
      <c r="J2857" s="3" t="s">
        <v>22</v>
      </c>
      <c r="K2857" s="3" t="s">
        <v>204</v>
      </c>
      <c r="L2857" s="3" t="s">
        <v>204</v>
      </c>
      <c r="M2857" s="3" t="s">
        <v>378</v>
      </c>
      <c r="N2857" s="3" t="s">
        <v>379</v>
      </c>
      <c r="O2857" s="5">
        <v>1.0</v>
      </c>
      <c r="P2857" s="6" t="str">
        <f t="shared" si="2"/>
        <v>Non Banking Financial Company (NBFC)</v>
      </c>
    </row>
    <row r="2858" hidden="1">
      <c r="A2858" s="3" t="s">
        <v>11788</v>
      </c>
      <c r="B2858" s="4">
        <v>536737.0</v>
      </c>
      <c r="C2858" s="3" t="s">
        <v>11789</v>
      </c>
      <c r="D2858" s="3" t="s">
        <v>11790</v>
      </c>
      <c r="E2858" s="3" t="s">
        <v>11791</v>
      </c>
      <c r="F2858" s="3" t="s">
        <v>19</v>
      </c>
      <c r="G2858" s="3" t="s">
        <v>6293</v>
      </c>
      <c r="H2858" s="3">
        <v>10.0</v>
      </c>
      <c r="I2858" s="3" t="s">
        <v>11788</v>
      </c>
      <c r="J2858" s="3" t="s">
        <v>22</v>
      </c>
      <c r="K2858" s="3" t="s">
        <v>204</v>
      </c>
      <c r="L2858" s="3" t="s">
        <v>204</v>
      </c>
      <c r="M2858" s="3" t="s">
        <v>378</v>
      </c>
      <c r="N2858" s="3" t="s">
        <v>379</v>
      </c>
      <c r="O2858" s="5">
        <v>17.78727</v>
      </c>
      <c r="P2858" s="6" t="str">
        <f t="shared" si="2"/>
        <v>Non Banking Financial Company (NBFC)</v>
      </c>
    </row>
    <row r="2859" hidden="1">
      <c r="A2859" s="3" t="s">
        <v>11792</v>
      </c>
      <c r="B2859" s="4">
        <v>536738.0</v>
      </c>
      <c r="C2859" s="3" t="s">
        <v>11793</v>
      </c>
      <c r="D2859" s="3" t="s">
        <v>11794</v>
      </c>
      <c r="E2859" s="3" t="s">
        <v>11795</v>
      </c>
      <c r="F2859" s="3" t="s">
        <v>19</v>
      </c>
      <c r="G2859" s="3" t="s">
        <v>2428</v>
      </c>
      <c r="H2859" s="3">
        <v>10.0</v>
      </c>
      <c r="I2859" s="3" t="s">
        <v>11792</v>
      </c>
      <c r="J2859" s="3" t="s">
        <v>22</v>
      </c>
      <c r="K2859" s="3" t="s">
        <v>204</v>
      </c>
      <c r="L2859" s="3" t="s">
        <v>204</v>
      </c>
      <c r="M2859" s="3" t="s">
        <v>378</v>
      </c>
      <c r="N2859" s="3" t="s">
        <v>468</v>
      </c>
      <c r="O2859" s="5">
        <v>1.0</v>
      </c>
      <c r="P2859" s="6" t="str">
        <f t="shared" si="2"/>
        <v>Finance</v>
      </c>
    </row>
    <row r="2860" hidden="1">
      <c r="A2860" s="3" t="s">
        <v>11796</v>
      </c>
      <c r="B2860" s="4">
        <v>536773.0</v>
      </c>
      <c r="C2860" s="3" t="s">
        <v>11797</v>
      </c>
      <c r="D2860" s="3" t="s">
        <v>11798</v>
      </c>
      <c r="E2860" s="3" t="s">
        <v>11799</v>
      </c>
      <c r="F2860" s="3" t="s">
        <v>19</v>
      </c>
      <c r="G2860" s="3" t="s">
        <v>112</v>
      </c>
      <c r="H2860" s="3">
        <v>10.0</v>
      </c>
      <c r="I2860" s="3" t="s">
        <v>11796</v>
      </c>
      <c r="J2860" s="3" t="s">
        <v>22</v>
      </c>
      <c r="K2860" s="3" t="s">
        <v>204</v>
      </c>
      <c r="L2860" s="3" t="s">
        <v>204</v>
      </c>
      <c r="M2860" s="3" t="s">
        <v>378</v>
      </c>
      <c r="N2860" s="3" t="s">
        <v>384</v>
      </c>
      <c r="O2860" s="5">
        <v>952.5897761</v>
      </c>
      <c r="P2860" s="6" t="str">
        <f t="shared" si="2"/>
        <v>Finance</v>
      </c>
    </row>
    <row r="2861" hidden="1">
      <c r="A2861" s="3" t="s">
        <v>11800</v>
      </c>
      <c r="B2861" s="4">
        <v>536846.0</v>
      </c>
      <c r="C2861" s="3" t="s">
        <v>11801</v>
      </c>
      <c r="D2861" s="3" t="s">
        <v>11802</v>
      </c>
      <c r="E2861" s="3" t="s">
        <v>11801</v>
      </c>
      <c r="F2861" s="3" t="s">
        <v>19</v>
      </c>
      <c r="G2861" s="3" t="s">
        <v>72</v>
      </c>
      <c r="H2861" s="3">
        <v>10.0</v>
      </c>
      <c r="I2861" s="3" t="s">
        <v>11800</v>
      </c>
      <c r="J2861" s="3" t="s">
        <v>22</v>
      </c>
      <c r="K2861" s="3" t="s">
        <v>97</v>
      </c>
      <c r="L2861" s="3" t="s">
        <v>965</v>
      </c>
      <c r="M2861" s="3" t="s">
        <v>965</v>
      </c>
      <c r="N2861" s="3" t="s">
        <v>966</v>
      </c>
      <c r="O2861" s="5">
        <v>40.95</v>
      </c>
      <c r="P2861" s="6" t="str">
        <f t="shared" si="2"/>
        <v>Civil Construction</v>
      </c>
    </row>
    <row r="2862" hidden="1">
      <c r="A2862" s="3" t="s">
        <v>11803</v>
      </c>
      <c r="B2862" s="4">
        <v>536974.0</v>
      </c>
      <c r="C2862" s="3" t="s">
        <v>11804</v>
      </c>
      <c r="D2862" s="3" t="s">
        <v>11805</v>
      </c>
      <c r="E2862" s="3" t="s">
        <v>11806</v>
      </c>
      <c r="F2862" s="3" t="s">
        <v>19</v>
      </c>
      <c r="G2862" s="3" t="s">
        <v>72</v>
      </c>
      <c r="H2862" s="3">
        <v>2.0</v>
      </c>
      <c r="I2862" s="3" t="s">
        <v>11803</v>
      </c>
      <c r="J2862" s="3" t="s">
        <v>22</v>
      </c>
      <c r="K2862" s="3" t="s">
        <v>97</v>
      </c>
      <c r="L2862" s="3" t="s">
        <v>98</v>
      </c>
      <c r="M2862" s="3" t="s">
        <v>100</v>
      </c>
      <c r="N2862" s="3" t="s">
        <v>580</v>
      </c>
      <c r="O2862" s="5">
        <v>303.5743025</v>
      </c>
      <c r="P2862" s="6" t="str">
        <f t="shared" si="2"/>
        <v>Industrial Products</v>
      </c>
    </row>
    <row r="2863" hidden="1">
      <c r="A2863" s="3" t="s">
        <v>11807</v>
      </c>
      <c r="B2863" s="4">
        <v>537069.0</v>
      </c>
      <c r="C2863" s="3" t="s">
        <v>11808</v>
      </c>
      <c r="D2863" s="3" t="s">
        <v>11809</v>
      </c>
      <c r="E2863" s="3" t="s">
        <v>11808</v>
      </c>
      <c r="F2863" s="3" t="s">
        <v>19</v>
      </c>
      <c r="G2863" s="3" t="s">
        <v>72</v>
      </c>
      <c r="H2863" s="3">
        <v>10.0</v>
      </c>
      <c r="I2863" s="3" t="s">
        <v>11807</v>
      </c>
      <c r="J2863" s="3" t="s">
        <v>22</v>
      </c>
      <c r="K2863" s="3" t="s">
        <v>204</v>
      </c>
      <c r="L2863" s="3" t="s">
        <v>204</v>
      </c>
      <c r="M2863" s="3" t="s">
        <v>378</v>
      </c>
      <c r="N2863" s="3" t="s">
        <v>379</v>
      </c>
      <c r="O2863" s="5">
        <v>114.307004</v>
      </c>
      <c r="P2863" s="6" t="str">
        <f t="shared" si="2"/>
        <v>Non Banking Financial Company (NBFC)</v>
      </c>
    </row>
    <row r="2864" hidden="1">
      <c r="A2864" s="3" t="s">
        <v>11810</v>
      </c>
      <c r="B2864" s="4">
        <v>537253.0</v>
      </c>
      <c r="C2864" s="3" t="s">
        <v>11811</v>
      </c>
      <c r="D2864" s="3" t="s">
        <v>11812</v>
      </c>
      <c r="E2864" s="3" t="s">
        <v>11813</v>
      </c>
      <c r="F2864" s="3" t="s">
        <v>19</v>
      </c>
      <c r="G2864" s="3" t="s">
        <v>44</v>
      </c>
      <c r="H2864" s="3">
        <v>10.0</v>
      </c>
      <c r="I2864" s="3" t="s">
        <v>11810</v>
      </c>
      <c r="J2864" s="3" t="s">
        <v>22</v>
      </c>
      <c r="K2864" s="3" t="s">
        <v>45</v>
      </c>
      <c r="L2864" s="3" t="s">
        <v>45</v>
      </c>
      <c r="M2864" s="3" t="s">
        <v>46</v>
      </c>
      <c r="N2864" s="3" t="s">
        <v>47</v>
      </c>
      <c r="O2864" s="5">
        <v>91.23705</v>
      </c>
      <c r="P2864" s="6" t="str">
        <f t="shared" si="2"/>
        <v>Pharmaceuticals</v>
      </c>
    </row>
    <row r="2865" hidden="1">
      <c r="A2865" s="3" t="s">
        <v>11814</v>
      </c>
      <c r="B2865" s="4">
        <v>537259.0</v>
      </c>
      <c r="C2865" s="3" t="s">
        <v>11815</v>
      </c>
      <c r="D2865" s="3" t="s">
        <v>11816</v>
      </c>
      <c r="E2865" s="3" t="s">
        <v>11817</v>
      </c>
      <c r="F2865" s="3" t="s">
        <v>19</v>
      </c>
      <c r="G2865" s="3" t="s">
        <v>112</v>
      </c>
      <c r="H2865" s="3">
        <v>10.0</v>
      </c>
      <c r="I2865" s="3" t="s">
        <v>11814</v>
      </c>
      <c r="J2865" s="3" t="s">
        <v>22</v>
      </c>
      <c r="K2865" s="3" t="s">
        <v>189</v>
      </c>
      <c r="L2865" s="3" t="s">
        <v>189</v>
      </c>
      <c r="M2865" s="3" t="s">
        <v>291</v>
      </c>
      <c r="N2865" s="3" t="s">
        <v>4689</v>
      </c>
      <c r="O2865" s="5">
        <v>1162.2670295</v>
      </c>
      <c r="P2865" s="6" t="str">
        <f t="shared" si="2"/>
        <v>Telecom - Services</v>
      </c>
    </row>
    <row r="2866" hidden="1">
      <c r="A2866" s="3" t="s">
        <v>11818</v>
      </c>
      <c r="B2866" s="4">
        <v>537291.0</v>
      </c>
      <c r="C2866" s="3" t="s">
        <v>11819</v>
      </c>
      <c r="D2866" s="3" t="s">
        <v>11820</v>
      </c>
      <c r="E2866" s="3" t="s">
        <v>11821</v>
      </c>
      <c r="F2866" s="3" t="s">
        <v>19</v>
      </c>
      <c r="G2866" s="3" t="s">
        <v>112</v>
      </c>
      <c r="H2866" s="3">
        <v>10.0</v>
      </c>
      <c r="I2866" s="3" t="s">
        <v>11818</v>
      </c>
      <c r="J2866" s="3" t="s">
        <v>22</v>
      </c>
      <c r="K2866" s="3" t="s">
        <v>145</v>
      </c>
      <c r="L2866" s="3" t="s">
        <v>145</v>
      </c>
      <c r="M2866" s="3" t="s">
        <v>146</v>
      </c>
      <c r="N2866" s="3" t="s">
        <v>2645</v>
      </c>
      <c r="O2866" s="5">
        <v>413.435291</v>
      </c>
      <c r="P2866" s="6" t="str">
        <f t="shared" si="2"/>
        <v>Agricultural Food &amp; other Products</v>
      </c>
    </row>
    <row r="2867" hidden="1">
      <c r="A2867" s="3" t="s">
        <v>11822</v>
      </c>
      <c r="B2867" s="4">
        <v>537292.0</v>
      </c>
      <c r="C2867" s="3" t="s">
        <v>11823</v>
      </c>
      <c r="D2867" s="3" t="s">
        <v>11824</v>
      </c>
      <c r="E2867" s="3" t="s">
        <v>11825</v>
      </c>
      <c r="F2867" s="3" t="s">
        <v>19</v>
      </c>
      <c r="G2867" s="3" t="s">
        <v>112</v>
      </c>
      <c r="H2867" s="3">
        <v>10.0</v>
      </c>
      <c r="I2867" s="3" t="s">
        <v>11822</v>
      </c>
      <c r="J2867" s="3" t="s">
        <v>22</v>
      </c>
      <c r="K2867" s="3" t="s">
        <v>145</v>
      </c>
      <c r="L2867" s="3" t="s">
        <v>145</v>
      </c>
      <c r="M2867" s="3" t="s">
        <v>146</v>
      </c>
      <c r="N2867" s="3" t="s">
        <v>2645</v>
      </c>
      <c r="O2867" s="5">
        <v>116.8156722</v>
      </c>
      <c r="P2867" s="6" t="str">
        <f t="shared" si="2"/>
        <v>Agricultural Food &amp; other Products</v>
      </c>
    </row>
    <row r="2868" hidden="1">
      <c r="A2868" s="3" t="s">
        <v>11826</v>
      </c>
      <c r="B2868" s="4">
        <v>537326.0</v>
      </c>
      <c r="C2868" s="3" t="s">
        <v>11827</v>
      </c>
      <c r="D2868" s="3" t="s">
        <v>11828</v>
      </c>
      <c r="E2868" s="3" t="s">
        <v>11829</v>
      </c>
      <c r="F2868" s="3" t="s">
        <v>19</v>
      </c>
      <c r="G2868" s="3" t="s">
        <v>72</v>
      </c>
      <c r="H2868" s="3">
        <v>10.0</v>
      </c>
      <c r="I2868" s="3" t="s">
        <v>11826</v>
      </c>
      <c r="J2868" s="3" t="s">
        <v>22</v>
      </c>
      <c r="K2868" s="3" t="s">
        <v>97</v>
      </c>
      <c r="L2868" s="3" t="s">
        <v>98</v>
      </c>
      <c r="M2868" s="3" t="s">
        <v>99</v>
      </c>
      <c r="N2868" s="3" t="s">
        <v>100</v>
      </c>
      <c r="O2868" s="5">
        <v>274.2258871</v>
      </c>
      <c r="P2868" s="6" t="str">
        <f t="shared" si="2"/>
        <v>Industrial Products</v>
      </c>
    </row>
    <row r="2869" hidden="1">
      <c r="A2869" s="3" t="s">
        <v>11830</v>
      </c>
      <c r="B2869" s="4">
        <v>537536.0</v>
      </c>
      <c r="C2869" s="3" t="s">
        <v>11831</v>
      </c>
      <c r="D2869" s="3" t="s">
        <v>11832</v>
      </c>
      <c r="E2869" s="3" t="s">
        <v>11833</v>
      </c>
      <c r="F2869" s="3" t="s">
        <v>19</v>
      </c>
      <c r="G2869" s="3" t="s">
        <v>44</v>
      </c>
      <c r="H2869" s="3">
        <v>10.0</v>
      </c>
      <c r="I2869" s="3" t="s">
        <v>11830</v>
      </c>
      <c r="J2869" s="3" t="s">
        <v>22</v>
      </c>
      <c r="K2869" s="3" t="s">
        <v>45</v>
      </c>
      <c r="L2869" s="3" t="s">
        <v>45</v>
      </c>
      <c r="M2869" s="3" t="s">
        <v>46</v>
      </c>
      <c r="N2869" s="3" t="s">
        <v>47</v>
      </c>
      <c r="O2869" s="5">
        <v>263.029745</v>
      </c>
      <c r="P2869" s="6" t="str">
        <f t="shared" si="2"/>
        <v>Pharmaceuticals</v>
      </c>
    </row>
    <row r="2870" hidden="1">
      <c r="A2870" s="3" t="s">
        <v>11834</v>
      </c>
      <c r="B2870" s="4">
        <v>537573.0</v>
      </c>
      <c r="C2870" s="3" t="s">
        <v>11835</v>
      </c>
      <c r="D2870" s="3" t="s">
        <v>11836</v>
      </c>
      <c r="E2870" s="3" t="s">
        <v>11837</v>
      </c>
      <c r="F2870" s="3" t="s">
        <v>19</v>
      </c>
      <c r="G2870" s="3" t="s">
        <v>2428</v>
      </c>
      <c r="H2870" s="3">
        <v>10.0</v>
      </c>
      <c r="I2870" s="3" t="s">
        <v>11834</v>
      </c>
      <c r="J2870" s="3" t="s">
        <v>22</v>
      </c>
      <c r="K2870" s="3" t="s">
        <v>97</v>
      </c>
      <c r="L2870" s="3" t="s">
        <v>98</v>
      </c>
      <c r="M2870" s="3" t="s">
        <v>100</v>
      </c>
      <c r="N2870" s="3" t="s">
        <v>580</v>
      </c>
      <c r="O2870" s="5">
        <v>19.0379884</v>
      </c>
      <c r="P2870" s="6" t="str">
        <f t="shared" si="2"/>
        <v>Industrial Products</v>
      </c>
    </row>
    <row r="2871" hidden="1">
      <c r="A2871" s="3" t="s">
        <v>11838</v>
      </c>
      <c r="B2871" s="4">
        <v>537582.0</v>
      </c>
      <c r="C2871" s="3" t="s">
        <v>11839</v>
      </c>
      <c r="D2871" s="3" t="s">
        <v>11840</v>
      </c>
      <c r="E2871" s="3" t="s">
        <v>11841</v>
      </c>
      <c r="F2871" s="3" t="s">
        <v>19</v>
      </c>
      <c r="G2871" s="3" t="s">
        <v>2428</v>
      </c>
      <c r="H2871" s="3">
        <v>10.0</v>
      </c>
      <c r="I2871" s="3" t="s">
        <v>11838</v>
      </c>
      <c r="J2871" s="3" t="s">
        <v>22</v>
      </c>
      <c r="K2871" s="3" t="s">
        <v>58</v>
      </c>
      <c r="L2871" s="3" t="s">
        <v>59</v>
      </c>
      <c r="M2871" s="3" t="s">
        <v>59</v>
      </c>
      <c r="N2871" s="3" t="s">
        <v>60</v>
      </c>
      <c r="O2871" s="5">
        <v>1.0</v>
      </c>
      <c r="P2871" s="6" t="str">
        <f t="shared" si="2"/>
        <v>Residential, Commercial Projects</v>
      </c>
    </row>
    <row r="2872" hidden="1">
      <c r="A2872" s="3" t="s">
        <v>11842</v>
      </c>
      <c r="B2872" s="4">
        <v>537669.0</v>
      </c>
      <c r="C2872" s="3" t="s">
        <v>11843</v>
      </c>
      <c r="D2872" s="3" t="s">
        <v>11844</v>
      </c>
      <c r="E2872" s="3" t="s">
        <v>11845</v>
      </c>
      <c r="F2872" s="3" t="s">
        <v>19</v>
      </c>
      <c r="G2872" s="3" t="s">
        <v>6293</v>
      </c>
      <c r="H2872" s="3">
        <v>10.0</v>
      </c>
      <c r="I2872" s="3" t="s">
        <v>11842</v>
      </c>
      <c r="J2872" s="3" t="s">
        <v>22</v>
      </c>
      <c r="K2872" s="3" t="s">
        <v>97</v>
      </c>
      <c r="L2872" s="3" t="s">
        <v>98</v>
      </c>
      <c r="M2872" s="3" t="s">
        <v>99</v>
      </c>
      <c r="N2872" s="3" t="s">
        <v>7185</v>
      </c>
      <c r="O2872" s="5">
        <v>40.46532</v>
      </c>
      <c r="P2872" s="6" t="str">
        <f t="shared" si="2"/>
        <v>Industrial Manufacturing</v>
      </c>
    </row>
    <row r="2873" hidden="1">
      <c r="A2873" s="3" t="s">
        <v>11846</v>
      </c>
      <c r="B2873" s="4">
        <v>537707.0</v>
      </c>
      <c r="C2873" s="3" t="s">
        <v>11847</v>
      </c>
      <c r="D2873" s="3" t="s">
        <v>11848</v>
      </c>
      <c r="E2873" s="3" t="s">
        <v>11849</v>
      </c>
      <c r="F2873" s="3" t="s">
        <v>19</v>
      </c>
      <c r="G2873" s="3" t="s">
        <v>72</v>
      </c>
      <c r="H2873" s="3">
        <v>10.0</v>
      </c>
      <c r="I2873" s="3" t="s">
        <v>11846</v>
      </c>
      <c r="J2873" s="3" t="s">
        <v>22</v>
      </c>
      <c r="K2873" s="3" t="s">
        <v>58</v>
      </c>
      <c r="L2873" s="3" t="s">
        <v>59</v>
      </c>
      <c r="M2873" s="3" t="s">
        <v>59</v>
      </c>
      <c r="N2873" s="3" t="s">
        <v>60</v>
      </c>
      <c r="O2873" s="5">
        <v>23.6199375</v>
      </c>
      <c r="P2873" s="6" t="str">
        <f t="shared" si="2"/>
        <v>Residential, Commercial Projects</v>
      </c>
    </row>
    <row r="2874" hidden="1">
      <c r="A2874" s="3" t="s">
        <v>11850</v>
      </c>
      <c r="B2874" s="4">
        <v>537709.0</v>
      </c>
      <c r="C2874" s="3" t="s">
        <v>11851</v>
      </c>
      <c r="D2874" s="3" t="s">
        <v>11852</v>
      </c>
      <c r="E2874" s="3" t="s">
        <v>11853</v>
      </c>
      <c r="F2874" s="3" t="s">
        <v>19</v>
      </c>
      <c r="G2874" s="3" t="s">
        <v>72</v>
      </c>
      <c r="H2874" s="3">
        <v>10.0</v>
      </c>
      <c r="I2874" s="3" t="s">
        <v>11850</v>
      </c>
      <c r="J2874" s="3" t="s">
        <v>22</v>
      </c>
      <c r="K2874" s="3" t="s">
        <v>145</v>
      </c>
      <c r="L2874" s="3" t="s">
        <v>145</v>
      </c>
      <c r="M2874" s="3" t="s">
        <v>146</v>
      </c>
      <c r="N2874" s="3" t="s">
        <v>147</v>
      </c>
      <c r="O2874" s="5">
        <v>1.0</v>
      </c>
      <c r="P2874" s="6" t="str">
        <f t="shared" si="2"/>
        <v>Agricultural Food &amp; other Products</v>
      </c>
    </row>
    <row r="2875" hidden="1">
      <c r="A2875" s="3" t="s">
        <v>11854</v>
      </c>
      <c r="B2875" s="4">
        <v>537750.0</v>
      </c>
      <c r="C2875" s="3" t="s">
        <v>11855</v>
      </c>
      <c r="D2875" s="3" t="s">
        <v>11856</v>
      </c>
      <c r="E2875" s="3" t="s">
        <v>11857</v>
      </c>
      <c r="F2875" s="3" t="s">
        <v>19</v>
      </c>
      <c r="G2875" s="3" t="s">
        <v>44</v>
      </c>
      <c r="H2875" s="3">
        <v>10.0</v>
      </c>
      <c r="I2875" s="3" t="s">
        <v>11854</v>
      </c>
      <c r="J2875" s="3" t="s">
        <v>22</v>
      </c>
      <c r="K2875" s="3" t="s">
        <v>204</v>
      </c>
      <c r="L2875" s="3" t="s">
        <v>204</v>
      </c>
      <c r="M2875" s="3" t="s">
        <v>378</v>
      </c>
      <c r="N2875" s="3" t="s">
        <v>379</v>
      </c>
      <c r="O2875" s="5">
        <v>515.752919</v>
      </c>
      <c r="P2875" s="6" t="str">
        <f t="shared" si="2"/>
        <v>Non Banking Financial Company (NBFC)</v>
      </c>
    </row>
    <row r="2876" hidden="1">
      <c r="A2876" s="3" t="s">
        <v>11858</v>
      </c>
      <c r="B2876" s="4">
        <v>537766.0</v>
      </c>
      <c r="C2876" s="3" t="s">
        <v>11859</v>
      </c>
      <c r="D2876" s="3" t="s">
        <v>11860</v>
      </c>
      <c r="E2876" s="3" t="s">
        <v>11861</v>
      </c>
      <c r="F2876" s="3" t="s">
        <v>19</v>
      </c>
      <c r="G2876" s="3" t="s">
        <v>44</v>
      </c>
      <c r="H2876" s="3">
        <v>2.0</v>
      </c>
      <c r="I2876" s="3" t="s">
        <v>11858</v>
      </c>
      <c r="J2876" s="3" t="s">
        <v>22</v>
      </c>
      <c r="K2876" s="3" t="s">
        <v>97</v>
      </c>
      <c r="L2876" s="3" t="s">
        <v>98</v>
      </c>
      <c r="M2876" s="3" t="s">
        <v>100</v>
      </c>
      <c r="N2876" s="3" t="s">
        <v>1804</v>
      </c>
      <c r="O2876" s="5">
        <v>33.4341955</v>
      </c>
      <c r="P2876" s="6" t="str">
        <f t="shared" si="2"/>
        <v>Industrial Products</v>
      </c>
    </row>
    <row r="2877" hidden="1">
      <c r="A2877" s="3" t="s">
        <v>11862</v>
      </c>
      <c r="B2877" s="4">
        <v>542155.0</v>
      </c>
      <c r="C2877" s="3" t="s">
        <v>11863</v>
      </c>
      <c r="D2877" s="3" t="s">
        <v>11864</v>
      </c>
      <c r="E2877" s="3" t="s">
        <v>11865</v>
      </c>
      <c r="F2877" s="3" t="s">
        <v>19</v>
      </c>
      <c r="G2877" s="3" t="s">
        <v>2428</v>
      </c>
      <c r="H2877" s="3">
        <v>10.0</v>
      </c>
      <c r="I2877" s="3" t="s">
        <v>11866</v>
      </c>
      <c r="J2877" s="3" t="s">
        <v>22</v>
      </c>
      <c r="K2877" s="3" t="s">
        <v>1673</v>
      </c>
      <c r="L2877" s="3" t="s">
        <v>1673</v>
      </c>
      <c r="M2877" s="3" t="s">
        <v>1674</v>
      </c>
      <c r="N2877" s="3" t="s">
        <v>1915</v>
      </c>
      <c r="O2877" s="5">
        <v>3.9866381</v>
      </c>
      <c r="P2877" s="6" t="str">
        <f t="shared" si="2"/>
        <v>Commercial Services &amp; Supplies</v>
      </c>
    </row>
    <row r="2878" hidden="1">
      <c r="A2878" s="3" t="s">
        <v>11867</v>
      </c>
      <c r="B2878" s="4">
        <v>537785.0</v>
      </c>
      <c r="C2878" s="3" t="s">
        <v>11868</v>
      </c>
      <c r="D2878" s="3" t="s">
        <v>11869</v>
      </c>
      <c r="E2878" s="3" t="s">
        <v>11870</v>
      </c>
      <c r="F2878" s="3" t="s">
        <v>19</v>
      </c>
      <c r="G2878" s="3" t="s">
        <v>112</v>
      </c>
      <c r="H2878" s="3">
        <v>10.0</v>
      </c>
      <c r="I2878" s="3" t="s">
        <v>11867</v>
      </c>
      <c r="J2878" s="3" t="s">
        <v>22</v>
      </c>
      <c r="K2878" s="3" t="s">
        <v>1647</v>
      </c>
      <c r="L2878" s="3" t="s">
        <v>1647</v>
      </c>
      <c r="M2878" s="3" t="s">
        <v>7778</v>
      </c>
      <c r="N2878" s="3" t="s">
        <v>7779</v>
      </c>
      <c r="O2878" s="5">
        <v>794.1245583</v>
      </c>
      <c r="P2878" s="6" t="str">
        <f t="shared" si="2"/>
        <v>Other Utilities</v>
      </c>
    </row>
    <row r="2879" hidden="1">
      <c r="A2879" s="3" t="s">
        <v>11871</v>
      </c>
      <c r="B2879" s="4">
        <v>537800.0</v>
      </c>
      <c r="C2879" s="3" t="s">
        <v>11872</v>
      </c>
      <c r="D2879" s="3" t="s">
        <v>11873</v>
      </c>
      <c r="E2879" s="3" t="s">
        <v>11874</v>
      </c>
      <c r="F2879" s="3" t="s">
        <v>19</v>
      </c>
      <c r="G2879" s="3" t="s">
        <v>44</v>
      </c>
      <c r="H2879" s="3">
        <v>1.0</v>
      </c>
      <c r="I2879" s="3" t="s">
        <v>11871</v>
      </c>
      <c r="J2879" s="3" t="s">
        <v>22</v>
      </c>
      <c r="K2879" s="3" t="s">
        <v>204</v>
      </c>
      <c r="L2879" s="3" t="s">
        <v>204</v>
      </c>
      <c r="M2879" s="3" t="s">
        <v>378</v>
      </c>
      <c r="N2879" s="3" t="s">
        <v>379</v>
      </c>
      <c r="O2879" s="5">
        <v>448.236945</v>
      </c>
      <c r="P2879" s="6" t="str">
        <f t="shared" si="2"/>
        <v>Non Banking Financial Company (NBFC)</v>
      </c>
    </row>
    <row r="2880" hidden="1">
      <c r="A2880" s="3" t="s">
        <v>11875</v>
      </c>
      <c r="B2880" s="4">
        <v>537820.0</v>
      </c>
      <c r="C2880" s="3" t="s">
        <v>11876</v>
      </c>
      <c r="D2880" s="3" t="s">
        <v>11877</v>
      </c>
      <c r="E2880" s="3" t="s">
        <v>11878</v>
      </c>
      <c r="F2880" s="3" t="s">
        <v>19</v>
      </c>
      <c r="G2880" s="3" t="s">
        <v>86</v>
      </c>
      <c r="H2880" s="3">
        <v>1.0</v>
      </c>
      <c r="I2880" s="3" t="s">
        <v>11875</v>
      </c>
      <c r="J2880" s="3" t="s">
        <v>22</v>
      </c>
      <c r="K2880" s="3" t="s">
        <v>204</v>
      </c>
      <c r="L2880" s="3" t="s">
        <v>204</v>
      </c>
      <c r="M2880" s="3" t="s">
        <v>378</v>
      </c>
      <c r="N2880" s="3" t="s">
        <v>379</v>
      </c>
      <c r="O2880" s="5">
        <v>46.6354128</v>
      </c>
      <c r="P2880" s="6" t="str">
        <f t="shared" si="2"/>
        <v>Non Banking Financial Company (NBFC)</v>
      </c>
    </row>
    <row r="2881" hidden="1">
      <c r="A2881" s="3" t="s">
        <v>11879</v>
      </c>
      <c r="B2881" s="4">
        <v>537839.0</v>
      </c>
      <c r="C2881" s="3" t="s">
        <v>11880</v>
      </c>
      <c r="D2881" s="3" t="s">
        <v>11881</v>
      </c>
      <c r="E2881" s="3" t="s">
        <v>11882</v>
      </c>
      <c r="F2881" s="3" t="s">
        <v>19</v>
      </c>
      <c r="G2881" s="3" t="s">
        <v>72</v>
      </c>
      <c r="H2881" s="3">
        <v>10.0</v>
      </c>
      <c r="I2881" s="3" t="s">
        <v>11879</v>
      </c>
      <c r="J2881" s="3" t="s">
        <v>22</v>
      </c>
      <c r="K2881" s="3" t="s">
        <v>58</v>
      </c>
      <c r="L2881" s="3" t="s">
        <v>73</v>
      </c>
      <c r="M2881" s="3" t="s">
        <v>74</v>
      </c>
      <c r="N2881" s="3" t="s">
        <v>75</v>
      </c>
      <c r="O2881" s="5">
        <v>186.332663</v>
      </c>
      <c r="P2881" s="6" t="str">
        <f t="shared" si="2"/>
        <v>Leisure Services</v>
      </c>
    </row>
    <row r="2882" hidden="1">
      <c r="A2882" s="3" t="s">
        <v>11883</v>
      </c>
      <c r="B2882" s="4">
        <v>537985.0</v>
      </c>
      <c r="C2882" s="3" t="s">
        <v>11884</v>
      </c>
      <c r="D2882" s="3" t="s">
        <v>11885</v>
      </c>
      <c r="E2882" s="3" t="s">
        <v>11886</v>
      </c>
      <c r="F2882" s="3" t="s">
        <v>19</v>
      </c>
      <c r="G2882" s="3" t="s">
        <v>44</v>
      </c>
      <c r="H2882" s="3">
        <v>10.0</v>
      </c>
      <c r="I2882" s="3" t="s">
        <v>11883</v>
      </c>
      <c r="J2882" s="3" t="s">
        <v>22</v>
      </c>
      <c r="K2882" s="3" t="s">
        <v>473</v>
      </c>
      <c r="L2882" s="3" t="s">
        <v>473</v>
      </c>
      <c r="M2882" s="3" t="s">
        <v>1391</v>
      </c>
      <c r="N2882" s="3" t="s">
        <v>1392</v>
      </c>
      <c r="O2882" s="5">
        <v>43.5646574</v>
      </c>
      <c r="P2882" s="6" t="str">
        <f t="shared" si="2"/>
        <v>IT - Software</v>
      </c>
    </row>
    <row r="2883" hidden="1">
      <c r="A2883" s="3" t="s">
        <v>11887</v>
      </c>
      <c r="B2883" s="4">
        <v>538081.0</v>
      </c>
      <c r="C2883" s="3" t="s">
        <v>11888</v>
      </c>
      <c r="D2883" s="3" t="s">
        <v>11889</v>
      </c>
      <c r="E2883" s="3" t="s">
        <v>11890</v>
      </c>
      <c r="F2883" s="3" t="s">
        <v>19</v>
      </c>
      <c r="G2883" s="3" t="s">
        <v>44</v>
      </c>
      <c r="H2883" s="3">
        <v>10.0</v>
      </c>
      <c r="I2883" s="3" t="s">
        <v>11887</v>
      </c>
      <c r="J2883" s="3" t="s">
        <v>22</v>
      </c>
      <c r="K2883" s="3" t="s">
        <v>58</v>
      </c>
      <c r="L2883" s="3" t="s">
        <v>80</v>
      </c>
      <c r="M2883" s="3" t="s">
        <v>81</v>
      </c>
      <c r="N2883" s="3" t="s">
        <v>82</v>
      </c>
      <c r="O2883" s="5">
        <v>1.0</v>
      </c>
      <c r="P2883" s="6" t="str">
        <f t="shared" si="2"/>
        <v>Textiles &amp; Apparels</v>
      </c>
    </row>
    <row r="2884" hidden="1">
      <c r="A2884" s="3" t="s">
        <v>11891</v>
      </c>
      <c r="B2884" s="4">
        <v>538092.0</v>
      </c>
      <c r="C2884" s="3" t="s">
        <v>11892</v>
      </c>
      <c r="D2884" s="3" t="s">
        <v>11893</v>
      </c>
      <c r="E2884" s="3" t="s">
        <v>11894</v>
      </c>
      <c r="F2884" s="3" t="s">
        <v>19</v>
      </c>
      <c r="G2884" s="3" t="s">
        <v>44</v>
      </c>
      <c r="H2884" s="3">
        <v>10.0</v>
      </c>
      <c r="I2884" s="3" t="s">
        <v>11891</v>
      </c>
      <c r="J2884" s="3" t="s">
        <v>22</v>
      </c>
      <c r="K2884" s="3" t="s">
        <v>145</v>
      </c>
      <c r="L2884" s="3" t="s">
        <v>145</v>
      </c>
      <c r="M2884" s="3" t="s">
        <v>146</v>
      </c>
      <c r="N2884" s="3" t="s">
        <v>444</v>
      </c>
      <c r="O2884" s="5">
        <v>79.53026</v>
      </c>
      <c r="P2884" s="6" t="str">
        <f t="shared" si="2"/>
        <v>Agricultural Food &amp; other Products</v>
      </c>
    </row>
    <row r="2885" hidden="1">
      <c r="A2885" s="3" t="s">
        <v>11895</v>
      </c>
      <c r="B2885" s="4">
        <v>538119.0</v>
      </c>
      <c r="C2885" s="3" t="s">
        <v>11896</v>
      </c>
      <c r="D2885" s="3" t="s">
        <v>11897</v>
      </c>
      <c r="E2885" s="3" t="s">
        <v>11898</v>
      </c>
      <c r="F2885" s="3" t="s">
        <v>19</v>
      </c>
      <c r="G2885" s="3" t="s">
        <v>72</v>
      </c>
      <c r="H2885" s="3">
        <v>2.0</v>
      </c>
      <c r="I2885" s="3" t="s">
        <v>11895</v>
      </c>
      <c r="J2885" s="3" t="s">
        <v>22</v>
      </c>
      <c r="K2885" s="3" t="s">
        <v>58</v>
      </c>
      <c r="L2885" s="3" t="s">
        <v>80</v>
      </c>
      <c r="M2885" s="3" t="s">
        <v>81</v>
      </c>
      <c r="N2885" s="3" t="s">
        <v>82</v>
      </c>
      <c r="O2885" s="5">
        <v>604.874593</v>
      </c>
      <c r="P2885" s="6" t="str">
        <f t="shared" si="2"/>
        <v>Textiles &amp; Apparels</v>
      </c>
    </row>
    <row r="2886" hidden="1">
      <c r="A2886" s="3" t="s">
        <v>11899</v>
      </c>
      <c r="B2886" s="4">
        <v>538212.0</v>
      </c>
      <c r="C2886" s="3" t="s">
        <v>11900</v>
      </c>
      <c r="D2886" s="3" t="s">
        <v>11901</v>
      </c>
      <c r="E2886" s="3" t="s">
        <v>11902</v>
      </c>
      <c r="F2886" s="3" t="s">
        <v>19</v>
      </c>
      <c r="G2886" s="3" t="s">
        <v>44</v>
      </c>
      <c r="H2886" s="3">
        <v>1.0</v>
      </c>
      <c r="I2886" s="3" t="s">
        <v>11899</v>
      </c>
      <c r="J2886" s="3" t="s">
        <v>22</v>
      </c>
      <c r="K2886" s="3" t="s">
        <v>204</v>
      </c>
      <c r="L2886" s="3" t="s">
        <v>204</v>
      </c>
      <c r="M2886" s="3" t="s">
        <v>378</v>
      </c>
      <c r="N2886" s="3" t="s">
        <v>379</v>
      </c>
      <c r="O2886" s="5">
        <v>20.0851217</v>
      </c>
      <c r="P2886" s="6" t="str">
        <f t="shared" si="2"/>
        <v>Non Banking Financial Company (NBFC)</v>
      </c>
    </row>
    <row r="2887">
      <c r="A2887" s="3" t="s">
        <v>2445</v>
      </c>
      <c r="B2887" s="4">
        <v>543350.0</v>
      </c>
      <c r="C2887" s="3" t="s">
        <v>11903</v>
      </c>
      <c r="D2887" s="3" t="s">
        <v>11904</v>
      </c>
      <c r="E2887" s="3" t="s">
        <v>11905</v>
      </c>
      <c r="F2887" s="3" t="s">
        <v>19</v>
      </c>
      <c r="G2887" s="3" t="s">
        <v>20</v>
      </c>
      <c r="H2887" s="3">
        <v>1.0</v>
      </c>
      <c r="I2887" s="3" t="s">
        <v>11906</v>
      </c>
      <c r="J2887" s="3" t="s">
        <v>22</v>
      </c>
      <c r="K2887" s="3" t="s">
        <v>45</v>
      </c>
      <c r="L2887" s="3" t="s">
        <v>45</v>
      </c>
      <c r="M2887" s="3" t="s">
        <v>4488</v>
      </c>
      <c r="N2887" s="3" t="s">
        <v>4489</v>
      </c>
      <c r="O2887" s="5">
        <v>7683.029278</v>
      </c>
      <c r="P2887" s="6" t="str">
        <f t="shared" si="2"/>
        <v>Healthcare Services</v>
      </c>
    </row>
    <row r="2888" hidden="1">
      <c r="A2888" s="3" t="s">
        <v>11907</v>
      </c>
      <c r="B2888" s="4">
        <v>538273.0</v>
      </c>
      <c r="C2888" s="3" t="s">
        <v>11908</v>
      </c>
      <c r="D2888" s="3" t="s">
        <v>11909</v>
      </c>
      <c r="E2888" s="3" t="s">
        <v>11910</v>
      </c>
      <c r="F2888" s="3" t="s">
        <v>19</v>
      </c>
      <c r="G2888" s="3" t="s">
        <v>44</v>
      </c>
      <c r="H2888" s="3">
        <v>10.0</v>
      </c>
      <c r="I2888" s="3" t="s">
        <v>11907</v>
      </c>
      <c r="J2888" s="3" t="s">
        <v>22</v>
      </c>
      <c r="K2888" s="3" t="s">
        <v>473</v>
      </c>
      <c r="L2888" s="3" t="s">
        <v>473</v>
      </c>
      <c r="M2888" s="3" t="s">
        <v>1391</v>
      </c>
      <c r="N2888" s="3" t="s">
        <v>1392</v>
      </c>
      <c r="O2888" s="5">
        <v>61.1960094</v>
      </c>
      <c r="P2888" s="6" t="str">
        <f t="shared" si="2"/>
        <v>IT - Software</v>
      </c>
    </row>
    <row r="2889" hidden="1">
      <c r="A2889" s="3" t="s">
        <v>11911</v>
      </c>
      <c r="B2889" s="4">
        <v>538319.0</v>
      </c>
      <c r="C2889" s="3" t="s">
        <v>11912</v>
      </c>
      <c r="D2889" s="3" t="s">
        <v>11913</v>
      </c>
      <c r="E2889" s="3" t="s">
        <v>11914</v>
      </c>
      <c r="F2889" s="3" t="s">
        <v>19</v>
      </c>
      <c r="G2889" s="3" t="s">
        <v>2428</v>
      </c>
      <c r="H2889" s="3">
        <v>10.0</v>
      </c>
      <c r="I2889" s="3" t="s">
        <v>11911</v>
      </c>
      <c r="J2889" s="3" t="s">
        <v>22</v>
      </c>
      <c r="K2889" s="3" t="s">
        <v>204</v>
      </c>
      <c r="L2889" s="3" t="s">
        <v>204</v>
      </c>
      <c r="M2889" s="3" t="s">
        <v>378</v>
      </c>
      <c r="N2889" s="3" t="s">
        <v>468</v>
      </c>
      <c r="O2889" s="5">
        <v>12.166441</v>
      </c>
      <c r="P2889" s="6" t="str">
        <f t="shared" si="2"/>
        <v>Finance</v>
      </c>
    </row>
    <row r="2890" hidden="1">
      <c r="A2890" s="3" t="s">
        <v>9638</v>
      </c>
      <c r="B2890" s="4">
        <v>521003.0</v>
      </c>
      <c r="C2890" s="3" t="s">
        <v>11915</v>
      </c>
      <c r="D2890" s="3" t="s">
        <v>11916</v>
      </c>
      <c r="E2890" s="3" t="s">
        <v>11917</v>
      </c>
      <c r="F2890" s="3" t="s">
        <v>19</v>
      </c>
      <c r="G2890" s="3" t="s">
        <v>1858</v>
      </c>
      <c r="H2890" s="3">
        <v>10.0</v>
      </c>
      <c r="I2890" s="3" t="s">
        <v>5281</v>
      </c>
      <c r="J2890" s="3" t="s">
        <v>22</v>
      </c>
      <c r="K2890" s="3" t="s">
        <v>1673</v>
      </c>
      <c r="L2890" s="3" t="s">
        <v>1673</v>
      </c>
      <c r="M2890" s="3" t="s">
        <v>1674</v>
      </c>
      <c r="N2890" s="3" t="s">
        <v>1915</v>
      </c>
      <c r="O2890" s="5">
        <v>3.793817</v>
      </c>
      <c r="P2890" s="6" t="str">
        <f t="shared" si="2"/>
        <v>Commercial Services &amp; Supplies</v>
      </c>
    </row>
    <row r="2891" hidden="1">
      <c r="A2891" s="3" t="s">
        <v>11918</v>
      </c>
      <c r="B2891" s="4">
        <v>538365.0</v>
      </c>
      <c r="C2891" s="3" t="s">
        <v>11919</v>
      </c>
      <c r="D2891" s="3" t="s">
        <v>11920</v>
      </c>
      <c r="E2891" s="3" t="s">
        <v>11921</v>
      </c>
      <c r="F2891" s="3" t="s">
        <v>19</v>
      </c>
      <c r="G2891" s="3" t="s">
        <v>112</v>
      </c>
      <c r="H2891" s="3">
        <v>10.0</v>
      </c>
      <c r="I2891" s="3" t="s">
        <v>11918</v>
      </c>
      <c r="J2891" s="3" t="s">
        <v>22</v>
      </c>
      <c r="K2891" s="3" t="s">
        <v>97</v>
      </c>
      <c r="L2891" s="3" t="s">
        <v>98</v>
      </c>
      <c r="M2891" s="3" t="s">
        <v>100</v>
      </c>
      <c r="N2891" s="3" t="s">
        <v>612</v>
      </c>
      <c r="O2891" s="5">
        <v>204.3108</v>
      </c>
      <c r="P2891" s="6" t="str">
        <f t="shared" si="2"/>
        <v>Industrial Products</v>
      </c>
    </row>
    <row r="2892" hidden="1">
      <c r="A2892" s="3" t="s">
        <v>11922</v>
      </c>
      <c r="B2892" s="4">
        <v>538382.0</v>
      </c>
      <c r="C2892" s="3" t="s">
        <v>11923</v>
      </c>
      <c r="D2892" s="3" t="s">
        <v>11924</v>
      </c>
      <c r="E2892" s="3" t="s">
        <v>11925</v>
      </c>
      <c r="F2892" s="3" t="s">
        <v>19</v>
      </c>
      <c r="G2892" s="3" t="s">
        <v>72</v>
      </c>
      <c r="H2892" s="3">
        <v>10.0</v>
      </c>
      <c r="I2892" s="3" t="s">
        <v>11922</v>
      </c>
      <c r="J2892" s="3" t="s">
        <v>22</v>
      </c>
      <c r="K2892" s="3" t="s">
        <v>204</v>
      </c>
      <c r="L2892" s="3" t="s">
        <v>204</v>
      </c>
      <c r="M2892" s="3" t="s">
        <v>378</v>
      </c>
      <c r="N2892" s="3" t="s">
        <v>468</v>
      </c>
      <c r="O2892" s="5">
        <v>71.7534195</v>
      </c>
      <c r="P2892" s="6" t="str">
        <f t="shared" si="2"/>
        <v>Finance</v>
      </c>
    </row>
    <row r="2893" hidden="1">
      <c r="A2893" s="3" t="s">
        <v>11926</v>
      </c>
      <c r="B2893" s="4">
        <v>538395.0</v>
      </c>
      <c r="C2893" s="3" t="s">
        <v>11927</v>
      </c>
      <c r="D2893" s="3" t="s">
        <v>11928</v>
      </c>
      <c r="E2893" s="3" t="s">
        <v>11929</v>
      </c>
      <c r="F2893" s="3" t="s">
        <v>19</v>
      </c>
      <c r="G2893" s="3" t="s">
        <v>72</v>
      </c>
      <c r="H2893" s="3">
        <v>10.0</v>
      </c>
      <c r="I2893" s="3" t="s">
        <v>11926</v>
      </c>
      <c r="J2893" s="3" t="s">
        <v>22</v>
      </c>
      <c r="K2893" s="3" t="s">
        <v>204</v>
      </c>
      <c r="L2893" s="3" t="s">
        <v>204</v>
      </c>
      <c r="M2893" s="3" t="s">
        <v>378</v>
      </c>
      <c r="N2893" s="3" t="s">
        <v>468</v>
      </c>
      <c r="O2893" s="5">
        <v>67.9392</v>
      </c>
      <c r="P2893" s="6" t="str">
        <f t="shared" si="2"/>
        <v>Finance</v>
      </c>
    </row>
    <row r="2894" hidden="1">
      <c r="A2894" s="3" t="s">
        <v>11930</v>
      </c>
      <c r="B2894" s="4">
        <v>538401.0</v>
      </c>
      <c r="C2894" s="3" t="s">
        <v>11931</v>
      </c>
      <c r="D2894" s="3" t="s">
        <v>11932</v>
      </c>
      <c r="E2894" s="3" t="s">
        <v>11933</v>
      </c>
      <c r="F2894" s="3" t="s">
        <v>19</v>
      </c>
      <c r="G2894" s="3" t="s">
        <v>72</v>
      </c>
      <c r="H2894" s="3">
        <v>10.0</v>
      </c>
      <c r="I2894" s="3" t="s">
        <v>11930</v>
      </c>
      <c r="J2894" s="3" t="s">
        <v>22</v>
      </c>
      <c r="K2894" s="3" t="s">
        <v>97</v>
      </c>
      <c r="L2894" s="3" t="s">
        <v>98</v>
      </c>
      <c r="M2894" s="3" t="s">
        <v>99</v>
      </c>
      <c r="N2894" s="3" t="s">
        <v>100</v>
      </c>
      <c r="O2894" s="5">
        <v>89.7416334</v>
      </c>
      <c r="P2894" s="6" t="str">
        <f t="shared" si="2"/>
        <v>Industrial Products</v>
      </c>
    </row>
    <row r="2895" hidden="1">
      <c r="A2895" s="3" t="s">
        <v>11934</v>
      </c>
      <c r="B2895" s="4">
        <v>538402.0</v>
      </c>
      <c r="C2895" s="3" t="s">
        <v>11935</v>
      </c>
      <c r="D2895" s="3" t="s">
        <v>11936</v>
      </c>
      <c r="E2895" s="3" t="s">
        <v>11937</v>
      </c>
      <c r="F2895" s="3" t="s">
        <v>19</v>
      </c>
      <c r="G2895" s="3" t="s">
        <v>86</v>
      </c>
      <c r="H2895" s="3">
        <v>10.0</v>
      </c>
      <c r="I2895" s="3" t="s">
        <v>11934</v>
      </c>
      <c r="J2895" s="3" t="s">
        <v>22</v>
      </c>
      <c r="K2895" s="3" t="s">
        <v>204</v>
      </c>
      <c r="L2895" s="3" t="s">
        <v>204</v>
      </c>
      <c r="M2895" s="3" t="s">
        <v>378</v>
      </c>
      <c r="N2895" s="3" t="s">
        <v>379</v>
      </c>
      <c r="O2895" s="5">
        <v>67.923394</v>
      </c>
      <c r="P2895" s="6" t="str">
        <f t="shared" si="2"/>
        <v>Non Banking Financial Company (NBFC)</v>
      </c>
    </row>
    <row r="2896" hidden="1">
      <c r="A2896" s="3" t="s">
        <v>11938</v>
      </c>
      <c r="B2896" s="4">
        <v>538422.0</v>
      </c>
      <c r="C2896" s="3" t="s">
        <v>11939</v>
      </c>
      <c r="D2896" s="3" t="s">
        <v>11940</v>
      </c>
      <c r="E2896" s="3" t="s">
        <v>11941</v>
      </c>
      <c r="F2896" s="3" t="s">
        <v>19</v>
      </c>
      <c r="G2896" s="3" t="s">
        <v>44</v>
      </c>
      <c r="H2896" s="3">
        <v>1.0</v>
      </c>
      <c r="I2896" s="3" t="s">
        <v>11938</v>
      </c>
      <c r="J2896" s="3" t="s">
        <v>22</v>
      </c>
      <c r="K2896" s="3" t="s">
        <v>204</v>
      </c>
      <c r="L2896" s="3" t="s">
        <v>204</v>
      </c>
      <c r="M2896" s="3" t="s">
        <v>378</v>
      </c>
      <c r="N2896" s="3" t="s">
        <v>384</v>
      </c>
      <c r="O2896" s="5">
        <v>29.2524946</v>
      </c>
      <c r="P2896" s="6" t="str">
        <f t="shared" si="2"/>
        <v>Finance</v>
      </c>
    </row>
    <row r="2897" hidden="1">
      <c r="A2897" s="3" t="s">
        <v>11942</v>
      </c>
      <c r="B2897" s="4">
        <v>538446.0</v>
      </c>
      <c r="C2897" s="3" t="s">
        <v>11943</v>
      </c>
      <c r="D2897" s="3" t="s">
        <v>11944</v>
      </c>
      <c r="E2897" s="3" t="s">
        <v>11945</v>
      </c>
      <c r="F2897" s="3" t="s">
        <v>19</v>
      </c>
      <c r="G2897" s="3" t="s">
        <v>112</v>
      </c>
      <c r="H2897" s="3">
        <v>10.0</v>
      </c>
      <c r="I2897" s="3" t="s">
        <v>11942</v>
      </c>
      <c r="J2897" s="3" t="s">
        <v>22</v>
      </c>
      <c r="K2897" s="3" t="s">
        <v>204</v>
      </c>
      <c r="L2897" s="3" t="s">
        <v>204</v>
      </c>
      <c r="M2897" s="3" t="s">
        <v>378</v>
      </c>
      <c r="N2897" s="3" t="s">
        <v>379</v>
      </c>
      <c r="O2897" s="5">
        <v>937.37</v>
      </c>
      <c r="P2897" s="6" t="str">
        <f t="shared" si="2"/>
        <v>Non Banking Financial Company (NBFC)</v>
      </c>
    </row>
    <row r="2898" hidden="1">
      <c r="A2898" s="3" t="s">
        <v>11946</v>
      </c>
      <c r="B2898" s="4">
        <v>538451.0</v>
      </c>
      <c r="C2898" s="3" t="s">
        <v>11947</v>
      </c>
      <c r="D2898" s="3" t="s">
        <v>11948</v>
      </c>
      <c r="E2898" s="3" t="s">
        <v>11949</v>
      </c>
      <c r="F2898" s="3" t="s">
        <v>19</v>
      </c>
      <c r="G2898" s="3" t="s">
        <v>44</v>
      </c>
      <c r="H2898" s="3">
        <v>10.0</v>
      </c>
      <c r="I2898" s="3" t="s">
        <v>11946</v>
      </c>
      <c r="J2898" s="3" t="s">
        <v>22</v>
      </c>
      <c r="K2898" s="3" t="s">
        <v>204</v>
      </c>
      <c r="L2898" s="3" t="s">
        <v>204</v>
      </c>
      <c r="M2898" s="3" t="s">
        <v>378</v>
      </c>
      <c r="N2898" s="3" t="s">
        <v>384</v>
      </c>
      <c r="O2898" s="5">
        <v>68.6567409</v>
      </c>
      <c r="P2898" s="6" t="str">
        <f t="shared" si="2"/>
        <v>Finance</v>
      </c>
    </row>
    <row r="2899" hidden="1">
      <c r="A2899" s="3" t="s">
        <v>11425</v>
      </c>
      <c r="B2899" s="4">
        <v>500236.0</v>
      </c>
      <c r="C2899" s="3" t="s">
        <v>11950</v>
      </c>
      <c r="D2899" s="3" t="s">
        <v>11951</v>
      </c>
      <c r="E2899" s="3" t="s">
        <v>11950</v>
      </c>
      <c r="F2899" s="3" t="s">
        <v>19</v>
      </c>
      <c r="G2899" s="3" t="s">
        <v>72</v>
      </c>
      <c r="H2899" s="3">
        <v>10.0</v>
      </c>
      <c r="I2899" s="3" t="s">
        <v>613</v>
      </c>
      <c r="J2899" s="3" t="s">
        <v>22</v>
      </c>
      <c r="K2899" s="3" t="s">
        <v>1673</v>
      </c>
      <c r="L2899" s="3" t="s">
        <v>1673</v>
      </c>
      <c r="M2899" s="3" t="s">
        <v>1674</v>
      </c>
      <c r="N2899" s="3" t="s">
        <v>1915</v>
      </c>
      <c r="O2899" s="5">
        <v>2.8171032</v>
      </c>
      <c r="P2899" s="6" t="str">
        <f t="shared" si="2"/>
        <v>Commercial Services &amp; Supplies</v>
      </c>
    </row>
    <row r="2900" hidden="1">
      <c r="A2900" s="3" t="s">
        <v>11952</v>
      </c>
      <c r="B2900" s="4">
        <v>538464.0</v>
      </c>
      <c r="C2900" s="3" t="s">
        <v>11953</v>
      </c>
      <c r="D2900" s="3" t="s">
        <v>11954</v>
      </c>
      <c r="E2900" s="3" t="s">
        <v>11955</v>
      </c>
      <c r="F2900" s="3" t="s">
        <v>19</v>
      </c>
      <c r="G2900" s="3" t="s">
        <v>44</v>
      </c>
      <c r="H2900" s="3">
        <v>10.0</v>
      </c>
      <c r="I2900" s="3" t="s">
        <v>11952</v>
      </c>
      <c r="J2900" s="3" t="s">
        <v>22</v>
      </c>
      <c r="K2900" s="3" t="s">
        <v>204</v>
      </c>
      <c r="L2900" s="3" t="s">
        <v>204</v>
      </c>
      <c r="M2900" s="3" t="s">
        <v>378</v>
      </c>
      <c r="N2900" s="3" t="s">
        <v>379</v>
      </c>
      <c r="O2900" s="5">
        <v>7.6095292</v>
      </c>
      <c r="P2900" s="6" t="str">
        <f t="shared" si="2"/>
        <v>Non Banking Financial Company (NBFC)</v>
      </c>
    </row>
    <row r="2901" hidden="1">
      <c r="A2901" s="3" t="s">
        <v>11956</v>
      </c>
      <c r="B2901" s="4">
        <v>538465.0</v>
      </c>
      <c r="C2901" s="3" t="s">
        <v>11957</v>
      </c>
      <c r="D2901" s="3" t="s">
        <v>11958</v>
      </c>
      <c r="E2901" s="3" t="s">
        <v>11959</v>
      </c>
      <c r="F2901" s="3" t="s">
        <v>19</v>
      </c>
      <c r="G2901" s="3" t="s">
        <v>72</v>
      </c>
      <c r="H2901" s="3">
        <v>10.0</v>
      </c>
      <c r="I2901" s="3" t="s">
        <v>11956</v>
      </c>
      <c r="J2901" s="3" t="s">
        <v>22</v>
      </c>
      <c r="K2901" s="3" t="s">
        <v>204</v>
      </c>
      <c r="L2901" s="3" t="s">
        <v>204</v>
      </c>
      <c r="M2901" s="3" t="s">
        <v>378</v>
      </c>
      <c r="N2901" s="3" t="s">
        <v>379</v>
      </c>
      <c r="O2901" s="5">
        <v>1.0</v>
      </c>
      <c r="P2901" s="6" t="str">
        <f t="shared" si="2"/>
        <v>Non Banking Financial Company (NBFC)</v>
      </c>
    </row>
    <row r="2902" hidden="1">
      <c r="A2902" s="3" t="s">
        <v>11960</v>
      </c>
      <c r="B2902" s="4">
        <v>538476.0</v>
      </c>
      <c r="C2902" s="3" t="s">
        <v>11961</v>
      </c>
      <c r="D2902" s="3" t="s">
        <v>11962</v>
      </c>
      <c r="E2902" s="3" t="s">
        <v>11963</v>
      </c>
      <c r="F2902" s="3" t="s">
        <v>19</v>
      </c>
      <c r="G2902" s="3" t="s">
        <v>44</v>
      </c>
      <c r="H2902" s="3">
        <v>1.0</v>
      </c>
      <c r="I2902" s="3" t="s">
        <v>11960</v>
      </c>
      <c r="J2902" s="3" t="s">
        <v>22</v>
      </c>
      <c r="K2902" s="3" t="s">
        <v>204</v>
      </c>
      <c r="L2902" s="3" t="s">
        <v>204</v>
      </c>
      <c r="M2902" s="3" t="s">
        <v>378</v>
      </c>
      <c r="N2902" s="3" t="s">
        <v>379</v>
      </c>
      <c r="O2902" s="5">
        <v>318.0916994</v>
      </c>
      <c r="P2902" s="6" t="str">
        <f t="shared" si="2"/>
        <v>Non Banking Financial Company (NBFC)</v>
      </c>
    </row>
    <row r="2903" hidden="1">
      <c r="A2903" s="3" t="s">
        <v>8143</v>
      </c>
      <c r="B2903" s="4">
        <v>501111.0</v>
      </c>
      <c r="C2903" s="3" t="s">
        <v>11964</v>
      </c>
      <c r="D2903" s="3" t="s">
        <v>11965</v>
      </c>
      <c r="E2903" s="3" t="s">
        <v>11966</v>
      </c>
      <c r="F2903" s="3" t="s">
        <v>19</v>
      </c>
      <c r="G2903" s="3" t="s">
        <v>72</v>
      </c>
      <c r="H2903" s="3">
        <v>10.0</v>
      </c>
      <c r="I2903" s="3" t="s">
        <v>1310</v>
      </c>
      <c r="J2903" s="3" t="s">
        <v>22</v>
      </c>
      <c r="K2903" s="3" t="s">
        <v>1673</v>
      </c>
      <c r="L2903" s="3" t="s">
        <v>1673</v>
      </c>
      <c r="M2903" s="3" t="s">
        <v>1674</v>
      </c>
      <c r="N2903" s="3" t="s">
        <v>1915</v>
      </c>
      <c r="O2903" s="5">
        <v>1.0</v>
      </c>
      <c r="P2903" s="6" t="str">
        <f t="shared" si="2"/>
        <v>Commercial Services &amp; Supplies</v>
      </c>
    </row>
    <row r="2904" hidden="1">
      <c r="A2904" s="3" t="s">
        <v>11967</v>
      </c>
      <c r="B2904" s="4">
        <v>538521.0</v>
      </c>
      <c r="C2904" s="3" t="s">
        <v>11968</v>
      </c>
      <c r="D2904" s="3" t="s">
        <v>11969</v>
      </c>
      <c r="E2904" s="3" t="s">
        <v>11970</v>
      </c>
      <c r="F2904" s="3" t="s">
        <v>19</v>
      </c>
      <c r="G2904" s="3" t="s">
        <v>72</v>
      </c>
      <c r="H2904" s="3">
        <v>10.0</v>
      </c>
      <c r="I2904" s="3" t="s">
        <v>11967</v>
      </c>
      <c r="J2904" s="3" t="s">
        <v>22</v>
      </c>
      <c r="K2904" s="3" t="s">
        <v>58</v>
      </c>
      <c r="L2904" s="3" t="s">
        <v>73</v>
      </c>
      <c r="M2904" s="3" t="s">
        <v>74</v>
      </c>
      <c r="N2904" s="3" t="s">
        <v>565</v>
      </c>
      <c r="O2904" s="5">
        <v>1.0</v>
      </c>
      <c r="P2904" s="6" t="str">
        <f t="shared" si="2"/>
        <v>Leisure Services</v>
      </c>
    </row>
    <row r="2905" hidden="1">
      <c r="A2905" s="3" t="s">
        <v>11971</v>
      </c>
      <c r="B2905" s="4">
        <v>538539.0</v>
      </c>
      <c r="C2905" s="3" t="s">
        <v>11972</v>
      </c>
      <c r="D2905" s="3" t="s">
        <v>11973</v>
      </c>
      <c r="E2905" s="3" t="s">
        <v>11974</v>
      </c>
      <c r="F2905" s="3" t="s">
        <v>19</v>
      </c>
      <c r="G2905" s="3" t="s">
        <v>72</v>
      </c>
      <c r="H2905" s="3">
        <v>10.0</v>
      </c>
      <c r="I2905" s="3" t="s">
        <v>11971</v>
      </c>
      <c r="J2905" s="3" t="s">
        <v>22</v>
      </c>
      <c r="K2905" s="3" t="s">
        <v>204</v>
      </c>
      <c r="L2905" s="3" t="s">
        <v>204</v>
      </c>
      <c r="M2905" s="3" t="s">
        <v>378</v>
      </c>
      <c r="N2905" s="3" t="s">
        <v>384</v>
      </c>
      <c r="O2905" s="5">
        <v>46.4399962</v>
      </c>
      <c r="P2905" s="6" t="str">
        <f t="shared" si="2"/>
        <v>Finance</v>
      </c>
    </row>
    <row r="2906" hidden="1">
      <c r="A2906" s="3" t="s">
        <v>11975</v>
      </c>
      <c r="B2906" s="4">
        <v>538540.0</v>
      </c>
      <c r="C2906" s="3" t="s">
        <v>11976</v>
      </c>
      <c r="D2906" s="3" t="s">
        <v>11977</v>
      </c>
      <c r="E2906" s="3" t="s">
        <v>11978</v>
      </c>
      <c r="F2906" s="3" t="s">
        <v>19</v>
      </c>
      <c r="G2906" s="3" t="s">
        <v>44</v>
      </c>
      <c r="H2906" s="3">
        <v>1.0</v>
      </c>
      <c r="I2906" s="3" t="s">
        <v>11975</v>
      </c>
      <c r="J2906" s="3" t="s">
        <v>22</v>
      </c>
      <c r="K2906" s="3" t="s">
        <v>204</v>
      </c>
      <c r="L2906" s="3" t="s">
        <v>204</v>
      </c>
      <c r="M2906" s="3" t="s">
        <v>378</v>
      </c>
      <c r="N2906" s="3" t="s">
        <v>379</v>
      </c>
      <c r="O2906" s="5">
        <v>6.5397071</v>
      </c>
      <c r="P2906" s="6" t="str">
        <f t="shared" si="2"/>
        <v>Non Banking Financial Company (NBFC)</v>
      </c>
    </row>
    <row r="2907" hidden="1">
      <c r="A2907" s="3" t="s">
        <v>11979</v>
      </c>
      <c r="B2907" s="4">
        <v>538542.0</v>
      </c>
      <c r="C2907" s="3" t="s">
        <v>11980</v>
      </c>
      <c r="D2907" s="3" t="s">
        <v>11981</v>
      </c>
      <c r="E2907" s="3" t="s">
        <v>11982</v>
      </c>
      <c r="F2907" s="3" t="s">
        <v>19</v>
      </c>
      <c r="G2907" s="3" t="s">
        <v>44</v>
      </c>
      <c r="H2907" s="3">
        <v>10.0</v>
      </c>
      <c r="I2907" s="3" t="s">
        <v>11979</v>
      </c>
      <c r="J2907" s="3" t="s">
        <v>22</v>
      </c>
      <c r="K2907" s="3" t="s">
        <v>145</v>
      </c>
      <c r="L2907" s="3" t="s">
        <v>145</v>
      </c>
      <c r="M2907" s="3" t="s">
        <v>597</v>
      </c>
      <c r="N2907" s="3" t="s">
        <v>2344</v>
      </c>
      <c r="O2907" s="5">
        <v>1.0</v>
      </c>
      <c r="P2907" s="6" t="str">
        <f t="shared" si="2"/>
        <v>Food Products</v>
      </c>
    </row>
    <row r="2908" hidden="1">
      <c r="A2908" s="3" t="s">
        <v>11983</v>
      </c>
      <c r="B2908" s="4">
        <v>538546.0</v>
      </c>
      <c r="C2908" s="3" t="s">
        <v>11984</v>
      </c>
      <c r="D2908" s="3" t="s">
        <v>11985</v>
      </c>
      <c r="E2908" s="3" t="s">
        <v>11986</v>
      </c>
      <c r="F2908" s="3" t="s">
        <v>19</v>
      </c>
      <c r="G2908" s="3" t="s">
        <v>112</v>
      </c>
      <c r="H2908" s="3">
        <v>10.0</v>
      </c>
      <c r="I2908" s="3" t="s">
        <v>11983</v>
      </c>
      <c r="J2908" s="3" t="s">
        <v>22</v>
      </c>
      <c r="K2908" s="3" t="s">
        <v>97</v>
      </c>
      <c r="L2908" s="3" t="s">
        <v>98</v>
      </c>
      <c r="M2908" s="3" t="s">
        <v>100</v>
      </c>
      <c r="N2908" s="3" t="s">
        <v>612</v>
      </c>
      <c r="O2908" s="5">
        <v>107.2278156</v>
      </c>
      <c r="P2908" s="6" t="str">
        <f t="shared" si="2"/>
        <v>Industrial Products</v>
      </c>
    </row>
    <row r="2909" hidden="1">
      <c r="A2909" s="3" t="s">
        <v>11987</v>
      </c>
      <c r="B2909" s="4">
        <v>538556.0</v>
      </c>
      <c r="C2909" s="3" t="s">
        <v>11988</v>
      </c>
      <c r="D2909" s="3" t="s">
        <v>11989</v>
      </c>
      <c r="E2909" s="3" t="s">
        <v>11990</v>
      </c>
      <c r="F2909" s="3" t="s">
        <v>19</v>
      </c>
      <c r="G2909" s="3" t="s">
        <v>44</v>
      </c>
      <c r="H2909" s="3">
        <v>10.0</v>
      </c>
      <c r="I2909" s="3" t="s">
        <v>11987</v>
      </c>
      <c r="J2909" s="3" t="s">
        <v>22</v>
      </c>
      <c r="K2909" s="3" t="s">
        <v>204</v>
      </c>
      <c r="L2909" s="3" t="s">
        <v>204</v>
      </c>
      <c r="M2909" s="3" t="s">
        <v>378</v>
      </c>
      <c r="N2909" s="3" t="s">
        <v>384</v>
      </c>
      <c r="O2909" s="5">
        <v>30.040361</v>
      </c>
      <c r="P2909" s="6" t="str">
        <f t="shared" si="2"/>
        <v>Finance</v>
      </c>
    </row>
    <row r="2910" hidden="1">
      <c r="A2910" s="3" t="s">
        <v>11991</v>
      </c>
      <c r="B2910" s="4">
        <v>538562.0</v>
      </c>
      <c r="C2910" s="3" t="s">
        <v>11992</v>
      </c>
      <c r="D2910" s="3" t="s">
        <v>11993</v>
      </c>
      <c r="E2910" s="3" t="s">
        <v>11994</v>
      </c>
      <c r="F2910" s="3" t="s">
        <v>19</v>
      </c>
      <c r="G2910" s="3" t="s">
        <v>112</v>
      </c>
      <c r="H2910" s="3">
        <v>1.0</v>
      </c>
      <c r="I2910" s="3" t="s">
        <v>11991</v>
      </c>
      <c r="J2910" s="3" t="s">
        <v>22</v>
      </c>
      <c r="K2910" s="3" t="s">
        <v>97</v>
      </c>
      <c r="L2910" s="3" t="s">
        <v>98</v>
      </c>
      <c r="M2910" s="3" t="s">
        <v>1747</v>
      </c>
      <c r="N2910" s="3" t="s">
        <v>1767</v>
      </c>
      <c r="O2910" s="5">
        <v>3847.96818</v>
      </c>
      <c r="P2910" s="6" t="str">
        <f t="shared" si="2"/>
        <v>Heavy Electrical Equipment</v>
      </c>
    </row>
    <row r="2911" hidden="1">
      <c r="A2911" s="3" t="s">
        <v>11995</v>
      </c>
      <c r="B2911" s="4">
        <v>501144.0</v>
      </c>
      <c r="C2911" s="3" t="s">
        <v>11996</v>
      </c>
      <c r="D2911" s="3" t="s">
        <v>11997</v>
      </c>
      <c r="E2911" s="3" t="s">
        <v>11998</v>
      </c>
      <c r="F2911" s="3" t="s">
        <v>19</v>
      </c>
      <c r="G2911" s="3" t="s">
        <v>72</v>
      </c>
      <c r="H2911" s="3">
        <v>10.0</v>
      </c>
      <c r="I2911" s="3" t="s">
        <v>1315</v>
      </c>
      <c r="J2911" s="3" t="s">
        <v>22</v>
      </c>
      <c r="K2911" s="3" t="s">
        <v>1673</v>
      </c>
      <c r="L2911" s="3" t="s">
        <v>1673</v>
      </c>
      <c r="M2911" s="3" t="s">
        <v>1674</v>
      </c>
      <c r="N2911" s="3" t="s">
        <v>1675</v>
      </c>
      <c r="O2911" s="5">
        <v>1.0</v>
      </c>
      <c r="P2911" s="6" t="str">
        <f t="shared" si="2"/>
        <v>Commercial Services &amp; Supplies</v>
      </c>
    </row>
    <row r="2912" hidden="1">
      <c r="A2912" s="3" t="s">
        <v>11999</v>
      </c>
      <c r="B2912" s="4">
        <v>538564.0</v>
      </c>
      <c r="C2912" s="3" t="s">
        <v>12000</v>
      </c>
      <c r="D2912" s="3" t="s">
        <v>12001</v>
      </c>
      <c r="E2912" s="3" t="s">
        <v>12002</v>
      </c>
      <c r="F2912" s="3" t="s">
        <v>19</v>
      </c>
      <c r="G2912" s="3" t="s">
        <v>44</v>
      </c>
      <c r="H2912" s="3">
        <v>10.0</v>
      </c>
      <c r="I2912" s="3" t="s">
        <v>11999</v>
      </c>
      <c r="J2912" s="3" t="s">
        <v>22</v>
      </c>
      <c r="K2912" s="3" t="s">
        <v>145</v>
      </c>
      <c r="L2912" s="3" t="s">
        <v>145</v>
      </c>
      <c r="M2912" s="3" t="s">
        <v>146</v>
      </c>
      <c r="N2912" s="3" t="s">
        <v>444</v>
      </c>
      <c r="O2912" s="5">
        <v>80.5900071</v>
      </c>
      <c r="P2912" s="6" t="str">
        <f t="shared" si="2"/>
        <v>Agricultural Food &amp; other Products</v>
      </c>
    </row>
    <row r="2913" hidden="1">
      <c r="A2913" s="3" t="s">
        <v>12003</v>
      </c>
      <c r="B2913" s="4">
        <v>538565.0</v>
      </c>
      <c r="C2913" s="3" t="s">
        <v>12004</v>
      </c>
      <c r="D2913" s="3" t="s">
        <v>12005</v>
      </c>
      <c r="E2913" s="3" t="s">
        <v>12006</v>
      </c>
      <c r="F2913" s="3" t="s">
        <v>19</v>
      </c>
      <c r="G2913" s="3" t="s">
        <v>44</v>
      </c>
      <c r="H2913" s="3">
        <v>10.0</v>
      </c>
      <c r="I2913" s="3" t="s">
        <v>12003</v>
      </c>
      <c r="J2913" s="3" t="s">
        <v>22</v>
      </c>
      <c r="K2913" s="3" t="s">
        <v>145</v>
      </c>
      <c r="L2913" s="3" t="s">
        <v>145</v>
      </c>
      <c r="M2913" s="3" t="s">
        <v>597</v>
      </c>
      <c r="N2913" s="3" t="s">
        <v>1065</v>
      </c>
      <c r="O2913" s="5">
        <v>62.4</v>
      </c>
      <c r="P2913" s="6" t="str">
        <f t="shared" si="2"/>
        <v>Food Products</v>
      </c>
    </row>
    <row r="2914">
      <c r="A2914" s="3" t="s">
        <v>6361</v>
      </c>
      <c r="B2914" s="4">
        <v>543524.0</v>
      </c>
      <c r="C2914" s="3" t="s">
        <v>12007</v>
      </c>
      <c r="D2914" s="3" t="s">
        <v>12008</v>
      </c>
      <c r="E2914" s="3" t="s">
        <v>12009</v>
      </c>
      <c r="F2914" s="3" t="s">
        <v>19</v>
      </c>
      <c r="G2914" s="3" t="s">
        <v>20</v>
      </c>
      <c r="H2914" s="3">
        <v>10.0</v>
      </c>
      <c r="I2914" s="3" t="s">
        <v>12010</v>
      </c>
      <c r="J2914" s="3" t="s">
        <v>22</v>
      </c>
      <c r="K2914" s="3" t="s">
        <v>45</v>
      </c>
      <c r="L2914" s="3" t="s">
        <v>45</v>
      </c>
      <c r="M2914" s="3" t="s">
        <v>4488</v>
      </c>
      <c r="N2914" s="3" t="s">
        <v>5801</v>
      </c>
      <c r="O2914" s="5">
        <v>12919.8701782</v>
      </c>
      <c r="P2914" s="6" t="str">
        <f t="shared" si="2"/>
        <v>Healthcare Services</v>
      </c>
    </row>
    <row r="2915" hidden="1">
      <c r="A2915" s="3" t="s">
        <v>8481</v>
      </c>
      <c r="B2915" s="4">
        <v>501351.0</v>
      </c>
      <c r="C2915" s="3" t="s">
        <v>12011</v>
      </c>
      <c r="D2915" s="3" t="s">
        <v>12012</v>
      </c>
      <c r="E2915" s="3" t="s">
        <v>12013</v>
      </c>
      <c r="F2915" s="3" t="s">
        <v>19</v>
      </c>
      <c r="G2915" s="3" t="s">
        <v>72</v>
      </c>
      <c r="H2915" s="3">
        <v>10.0</v>
      </c>
      <c r="I2915" s="3" t="s">
        <v>1368</v>
      </c>
      <c r="J2915" s="3" t="s">
        <v>22</v>
      </c>
      <c r="K2915" s="3" t="s">
        <v>1673</v>
      </c>
      <c r="L2915" s="3" t="s">
        <v>1673</v>
      </c>
      <c r="M2915" s="3" t="s">
        <v>1674</v>
      </c>
      <c r="N2915" s="3" t="s">
        <v>1675</v>
      </c>
      <c r="O2915" s="5">
        <v>1.0</v>
      </c>
      <c r="P2915" s="6" t="str">
        <f t="shared" si="2"/>
        <v>Commercial Services &amp; Supplies</v>
      </c>
    </row>
    <row r="2916" hidden="1">
      <c r="A2916" s="3" t="s">
        <v>10047</v>
      </c>
      <c r="B2916" s="4">
        <v>501479.0</v>
      </c>
      <c r="C2916" s="3" t="s">
        <v>12014</v>
      </c>
      <c r="D2916" s="3" t="s">
        <v>12015</v>
      </c>
      <c r="E2916" s="3" t="s">
        <v>12016</v>
      </c>
      <c r="F2916" s="3" t="s">
        <v>19</v>
      </c>
      <c r="G2916" s="3" t="s">
        <v>1858</v>
      </c>
      <c r="H2916" s="3">
        <v>10.0</v>
      </c>
      <c r="I2916" s="3" t="s">
        <v>1417</v>
      </c>
      <c r="J2916" s="3" t="s">
        <v>22</v>
      </c>
      <c r="K2916" s="3" t="s">
        <v>1673</v>
      </c>
      <c r="L2916" s="3" t="s">
        <v>1673</v>
      </c>
      <c r="M2916" s="3" t="s">
        <v>1674</v>
      </c>
      <c r="N2916" s="3" t="s">
        <v>1915</v>
      </c>
      <c r="O2916" s="5">
        <v>1.0</v>
      </c>
      <c r="P2916" s="6" t="str">
        <f t="shared" si="2"/>
        <v>Commercial Services &amp; Supplies</v>
      </c>
    </row>
    <row r="2917" hidden="1">
      <c r="A2917" s="3" t="s">
        <v>12017</v>
      </c>
      <c r="B2917" s="4">
        <v>538576.0</v>
      </c>
      <c r="C2917" s="3" t="s">
        <v>12018</v>
      </c>
      <c r="D2917" s="3" t="s">
        <v>12019</v>
      </c>
      <c r="E2917" s="3" t="s">
        <v>12020</v>
      </c>
      <c r="F2917" s="3" t="s">
        <v>19</v>
      </c>
      <c r="G2917" s="3" t="s">
        <v>6293</v>
      </c>
      <c r="H2917" s="3">
        <v>10.0</v>
      </c>
      <c r="I2917" s="3" t="s">
        <v>12017</v>
      </c>
      <c r="J2917" s="3" t="s">
        <v>22</v>
      </c>
      <c r="K2917" s="3" t="s">
        <v>58</v>
      </c>
      <c r="L2917" s="3" t="s">
        <v>59</v>
      </c>
      <c r="M2917" s="3" t="s">
        <v>59</v>
      </c>
      <c r="N2917" s="3" t="s">
        <v>60</v>
      </c>
      <c r="O2917" s="5">
        <v>25.08316</v>
      </c>
      <c r="P2917" s="6" t="str">
        <f t="shared" si="2"/>
        <v>Residential, Commercial Projects</v>
      </c>
    </row>
    <row r="2918" hidden="1">
      <c r="A2918" s="3" t="s">
        <v>10511</v>
      </c>
      <c r="B2918" s="4">
        <v>501622.0</v>
      </c>
      <c r="C2918" s="3" t="s">
        <v>12021</v>
      </c>
      <c r="D2918" s="3" t="s">
        <v>12022</v>
      </c>
      <c r="E2918" s="3" t="s">
        <v>12023</v>
      </c>
      <c r="F2918" s="3" t="s">
        <v>19</v>
      </c>
      <c r="G2918" s="3" t="s">
        <v>72</v>
      </c>
      <c r="H2918" s="3">
        <v>5.0</v>
      </c>
      <c r="I2918" s="3" t="s">
        <v>1422</v>
      </c>
      <c r="J2918" s="3" t="s">
        <v>22</v>
      </c>
      <c r="K2918" s="3" t="s">
        <v>1673</v>
      </c>
      <c r="L2918" s="3" t="s">
        <v>1673</v>
      </c>
      <c r="M2918" s="3" t="s">
        <v>1674</v>
      </c>
      <c r="N2918" s="3" t="s">
        <v>1675</v>
      </c>
      <c r="O2918" s="5">
        <v>1.0</v>
      </c>
      <c r="P2918" s="6" t="str">
        <f t="shared" si="2"/>
        <v>Commercial Services &amp; Supplies</v>
      </c>
    </row>
    <row r="2919" hidden="1">
      <c r="A2919" s="3" t="s">
        <v>12024</v>
      </c>
      <c r="B2919" s="4">
        <v>538596.0</v>
      </c>
      <c r="C2919" s="3" t="s">
        <v>12025</v>
      </c>
      <c r="D2919" s="3" t="s">
        <v>12026</v>
      </c>
      <c r="E2919" s="3" t="s">
        <v>12027</v>
      </c>
      <c r="F2919" s="3" t="s">
        <v>19</v>
      </c>
      <c r="G2919" s="3" t="s">
        <v>72</v>
      </c>
      <c r="H2919" s="3">
        <v>10.0</v>
      </c>
      <c r="I2919" s="3" t="s">
        <v>12024</v>
      </c>
      <c r="J2919" s="3" t="s">
        <v>22</v>
      </c>
      <c r="K2919" s="3" t="s">
        <v>58</v>
      </c>
      <c r="L2919" s="3" t="s">
        <v>59</v>
      </c>
      <c r="M2919" s="3" t="s">
        <v>59</v>
      </c>
      <c r="N2919" s="3" t="s">
        <v>60</v>
      </c>
      <c r="O2919" s="5">
        <v>1.0</v>
      </c>
      <c r="P2919" s="6" t="str">
        <f t="shared" si="2"/>
        <v>Residential, Commercial Projects</v>
      </c>
    </row>
    <row r="2920" hidden="1">
      <c r="A2920" s="3" t="s">
        <v>12028</v>
      </c>
      <c r="B2920" s="4">
        <v>538597.0</v>
      </c>
      <c r="C2920" s="3" t="s">
        <v>12029</v>
      </c>
      <c r="D2920" s="3" t="s">
        <v>12030</v>
      </c>
      <c r="E2920" s="3" t="s">
        <v>12031</v>
      </c>
      <c r="F2920" s="3" t="s">
        <v>19</v>
      </c>
      <c r="G2920" s="3" t="s">
        <v>44</v>
      </c>
      <c r="H2920" s="3">
        <v>10.0</v>
      </c>
      <c r="I2920" s="3" t="s">
        <v>12028</v>
      </c>
      <c r="J2920" s="3" t="s">
        <v>22</v>
      </c>
      <c r="K2920" s="3" t="s">
        <v>204</v>
      </c>
      <c r="L2920" s="3" t="s">
        <v>204</v>
      </c>
      <c r="M2920" s="3" t="s">
        <v>378</v>
      </c>
      <c r="N2920" s="3" t="s">
        <v>379</v>
      </c>
      <c r="O2920" s="5">
        <v>38.1022108</v>
      </c>
      <c r="P2920" s="6" t="str">
        <f t="shared" si="2"/>
        <v>Non Banking Financial Company (NBFC)</v>
      </c>
    </row>
    <row r="2921" hidden="1">
      <c r="A2921" s="3" t="s">
        <v>12032</v>
      </c>
      <c r="B2921" s="4">
        <v>538598.0</v>
      </c>
      <c r="C2921" s="3" t="s">
        <v>12033</v>
      </c>
      <c r="D2921" s="3" t="s">
        <v>12034</v>
      </c>
      <c r="E2921" s="3" t="s">
        <v>12035</v>
      </c>
      <c r="F2921" s="3" t="s">
        <v>19</v>
      </c>
      <c r="G2921" s="3" t="s">
        <v>44</v>
      </c>
      <c r="H2921" s="3">
        <v>5.0</v>
      </c>
      <c r="I2921" s="3" t="s">
        <v>12032</v>
      </c>
      <c r="J2921" s="3" t="s">
        <v>22</v>
      </c>
      <c r="K2921" s="3" t="s">
        <v>58</v>
      </c>
      <c r="L2921" s="3" t="s">
        <v>80</v>
      </c>
      <c r="M2921" s="3" t="s">
        <v>81</v>
      </c>
      <c r="N2921" s="3" t="s">
        <v>944</v>
      </c>
      <c r="O2921" s="5">
        <v>432.3139636</v>
      </c>
      <c r="P2921" s="6" t="str">
        <f t="shared" si="2"/>
        <v>Textiles &amp; Apparels</v>
      </c>
    </row>
    <row r="2922" hidden="1">
      <c r="A2922" s="3" t="s">
        <v>12036</v>
      </c>
      <c r="B2922" s="4">
        <v>538607.0</v>
      </c>
      <c r="C2922" s="3" t="s">
        <v>12037</v>
      </c>
      <c r="D2922" s="3" t="s">
        <v>12038</v>
      </c>
      <c r="E2922" s="3" t="s">
        <v>12039</v>
      </c>
      <c r="F2922" s="3" t="s">
        <v>19</v>
      </c>
      <c r="G2922" s="3" t="s">
        <v>72</v>
      </c>
      <c r="H2922" s="3">
        <v>1.0</v>
      </c>
      <c r="I2922" s="3" t="s">
        <v>12036</v>
      </c>
      <c r="J2922" s="3" t="s">
        <v>22</v>
      </c>
      <c r="K2922" s="3" t="s">
        <v>204</v>
      </c>
      <c r="L2922" s="3" t="s">
        <v>204</v>
      </c>
      <c r="M2922" s="3" t="s">
        <v>378</v>
      </c>
      <c r="N2922" s="3" t="s">
        <v>468</v>
      </c>
      <c r="O2922" s="5">
        <v>195.9694</v>
      </c>
      <c r="P2922" s="6" t="str">
        <f t="shared" si="2"/>
        <v>Finance</v>
      </c>
    </row>
    <row r="2923" hidden="1">
      <c r="A2923" s="3" t="s">
        <v>12040</v>
      </c>
      <c r="B2923" s="4">
        <v>538609.0</v>
      </c>
      <c r="C2923" s="3" t="s">
        <v>12041</v>
      </c>
      <c r="D2923" s="3" t="s">
        <v>12042</v>
      </c>
      <c r="E2923" s="3" t="s">
        <v>12043</v>
      </c>
      <c r="F2923" s="3" t="s">
        <v>19</v>
      </c>
      <c r="G2923" s="3" t="s">
        <v>72</v>
      </c>
      <c r="H2923" s="3">
        <v>10.0</v>
      </c>
      <c r="I2923" s="3" t="s">
        <v>12040</v>
      </c>
      <c r="J2923" s="3" t="s">
        <v>22</v>
      </c>
      <c r="K2923" s="3" t="s">
        <v>204</v>
      </c>
      <c r="L2923" s="3" t="s">
        <v>204</v>
      </c>
      <c r="M2923" s="3" t="s">
        <v>378</v>
      </c>
      <c r="N2923" s="3" t="s">
        <v>468</v>
      </c>
      <c r="O2923" s="5">
        <v>1.0</v>
      </c>
      <c r="P2923" s="6" t="str">
        <f t="shared" si="2"/>
        <v>Finance</v>
      </c>
    </row>
    <row r="2924" hidden="1">
      <c r="A2924" s="3" t="s">
        <v>12044</v>
      </c>
      <c r="B2924" s="4">
        <v>538610.0</v>
      </c>
      <c r="C2924" s="3" t="s">
        <v>12045</v>
      </c>
      <c r="D2924" s="3" t="s">
        <v>12046</v>
      </c>
      <c r="E2924" s="3" t="s">
        <v>12045</v>
      </c>
      <c r="F2924" s="3" t="s">
        <v>19</v>
      </c>
      <c r="G2924" s="3" t="s">
        <v>72</v>
      </c>
      <c r="H2924" s="3">
        <v>10.0</v>
      </c>
      <c r="I2924" s="3" t="s">
        <v>12044</v>
      </c>
      <c r="J2924" s="3" t="s">
        <v>22</v>
      </c>
      <c r="K2924" s="3" t="s">
        <v>97</v>
      </c>
      <c r="L2924" s="3" t="s">
        <v>98</v>
      </c>
      <c r="M2924" s="3" t="s">
        <v>100</v>
      </c>
      <c r="N2924" s="3" t="s">
        <v>612</v>
      </c>
      <c r="O2924" s="5">
        <v>50.9467787</v>
      </c>
      <c r="P2924" s="6" t="str">
        <f t="shared" si="2"/>
        <v>Industrial Products</v>
      </c>
    </row>
    <row r="2925" hidden="1">
      <c r="A2925" s="3" t="s">
        <v>12047</v>
      </c>
      <c r="B2925" s="4">
        <v>538611.0</v>
      </c>
      <c r="C2925" s="3" t="s">
        <v>12048</v>
      </c>
      <c r="D2925" s="3" t="s">
        <v>12049</v>
      </c>
      <c r="E2925" s="3" t="s">
        <v>12050</v>
      </c>
      <c r="F2925" s="3" t="s">
        <v>19</v>
      </c>
      <c r="G2925" s="3" t="s">
        <v>57</v>
      </c>
      <c r="H2925" s="3">
        <v>10.0</v>
      </c>
      <c r="I2925" s="3" t="s">
        <v>12047</v>
      </c>
      <c r="J2925" s="3" t="s">
        <v>22</v>
      </c>
      <c r="K2925" s="3" t="s">
        <v>204</v>
      </c>
      <c r="L2925" s="3" t="s">
        <v>204</v>
      </c>
      <c r="M2925" s="3" t="s">
        <v>378</v>
      </c>
      <c r="N2925" s="3" t="s">
        <v>468</v>
      </c>
      <c r="O2925" s="5">
        <v>77.3078129</v>
      </c>
      <c r="P2925" s="6" t="str">
        <f t="shared" si="2"/>
        <v>Finance</v>
      </c>
    </row>
    <row r="2926" hidden="1">
      <c r="A2926" s="3" t="s">
        <v>12051</v>
      </c>
      <c r="B2926" s="4">
        <v>538634.0</v>
      </c>
      <c r="C2926" s="3" t="s">
        <v>12052</v>
      </c>
      <c r="D2926" s="3" t="s">
        <v>12053</v>
      </c>
      <c r="E2926" s="3" t="s">
        <v>12054</v>
      </c>
      <c r="F2926" s="3" t="s">
        <v>19</v>
      </c>
      <c r="G2926" s="3" t="s">
        <v>44</v>
      </c>
      <c r="H2926" s="3">
        <v>10.0</v>
      </c>
      <c r="I2926" s="3" t="s">
        <v>12051</v>
      </c>
      <c r="J2926" s="3" t="s">
        <v>22</v>
      </c>
      <c r="K2926" s="3" t="s">
        <v>45</v>
      </c>
      <c r="L2926" s="3" t="s">
        <v>45</v>
      </c>
      <c r="M2926" s="3" t="s">
        <v>46</v>
      </c>
      <c r="N2926" s="3" t="s">
        <v>47</v>
      </c>
      <c r="O2926" s="5">
        <v>78.9894935</v>
      </c>
      <c r="P2926" s="6" t="str">
        <f t="shared" si="2"/>
        <v>Pharmaceuticals</v>
      </c>
    </row>
    <row r="2927" hidden="1">
      <c r="A2927" s="3" t="s">
        <v>2524</v>
      </c>
      <c r="B2927" s="4">
        <v>503639.0</v>
      </c>
      <c r="C2927" s="3" t="s">
        <v>12055</v>
      </c>
      <c r="D2927" s="3" t="s">
        <v>12056</v>
      </c>
      <c r="E2927" s="3" t="s">
        <v>12057</v>
      </c>
      <c r="F2927" s="3" t="s">
        <v>19</v>
      </c>
      <c r="G2927" s="3" t="s">
        <v>72</v>
      </c>
      <c r="H2927" s="3">
        <v>5.0</v>
      </c>
      <c r="I2927" s="3" t="s">
        <v>1634</v>
      </c>
      <c r="J2927" s="3" t="s">
        <v>22</v>
      </c>
      <c r="K2927" s="3" t="s">
        <v>1673</v>
      </c>
      <c r="L2927" s="3" t="s">
        <v>1673</v>
      </c>
      <c r="M2927" s="3" t="s">
        <v>1674</v>
      </c>
      <c r="N2927" s="3" t="s">
        <v>1675</v>
      </c>
      <c r="O2927" s="5">
        <v>1.0</v>
      </c>
      <c r="P2927" s="6" t="str">
        <f t="shared" si="2"/>
        <v>Commercial Services &amp; Supplies</v>
      </c>
    </row>
    <row r="2928" hidden="1">
      <c r="A2928" s="3" t="s">
        <v>12058</v>
      </c>
      <c r="B2928" s="4">
        <v>538646.0</v>
      </c>
      <c r="C2928" s="3" t="s">
        <v>12059</v>
      </c>
      <c r="D2928" s="3" t="s">
        <v>12060</v>
      </c>
      <c r="E2928" s="3" t="s">
        <v>12061</v>
      </c>
      <c r="F2928" s="3" t="s">
        <v>19</v>
      </c>
      <c r="G2928" s="3" t="s">
        <v>44</v>
      </c>
      <c r="H2928" s="3">
        <v>10.0</v>
      </c>
      <c r="I2928" s="3" t="s">
        <v>12058</v>
      </c>
      <c r="J2928" s="3" t="s">
        <v>22</v>
      </c>
      <c r="K2928" s="3" t="s">
        <v>204</v>
      </c>
      <c r="L2928" s="3" t="s">
        <v>204</v>
      </c>
      <c r="M2928" s="3" t="s">
        <v>378</v>
      </c>
      <c r="N2928" s="3" t="s">
        <v>379</v>
      </c>
      <c r="O2928" s="5">
        <v>1.0</v>
      </c>
      <c r="P2928" s="6" t="str">
        <f t="shared" si="2"/>
        <v>Non Banking Financial Company (NBFC)</v>
      </c>
    </row>
    <row r="2929" hidden="1">
      <c r="A2929" s="3" t="s">
        <v>12062</v>
      </c>
      <c r="B2929" s="4">
        <v>538647.0</v>
      </c>
      <c r="C2929" s="3" t="s">
        <v>12063</v>
      </c>
      <c r="D2929" s="3" t="s">
        <v>12064</v>
      </c>
      <c r="E2929" s="3" t="s">
        <v>12065</v>
      </c>
      <c r="F2929" s="3" t="s">
        <v>19</v>
      </c>
      <c r="G2929" s="3" t="s">
        <v>72</v>
      </c>
      <c r="H2929" s="3">
        <v>10.0</v>
      </c>
      <c r="I2929" s="3" t="s">
        <v>12062</v>
      </c>
      <c r="J2929" s="3" t="s">
        <v>22</v>
      </c>
      <c r="K2929" s="3" t="s">
        <v>204</v>
      </c>
      <c r="L2929" s="3" t="s">
        <v>204</v>
      </c>
      <c r="M2929" s="3" t="s">
        <v>378</v>
      </c>
      <c r="N2929" s="3" t="s">
        <v>379</v>
      </c>
      <c r="O2929" s="5">
        <v>1.0</v>
      </c>
      <c r="P2929" s="6" t="str">
        <f t="shared" si="2"/>
        <v>Non Banking Financial Company (NBFC)</v>
      </c>
    </row>
    <row r="2930" hidden="1">
      <c r="A2930" s="3" t="s">
        <v>12066</v>
      </c>
      <c r="B2930" s="4">
        <v>503659.0</v>
      </c>
      <c r="C2930" s="3" t="s">
        <v>12067</v>
      </c>
      <c r="D2930" s="3" t="s">
        <v>12068</v>
      </c>
      <c r="E2930" s="3" t="s">
        <v>12069</v>
      </c>
      <c r="F2930" s="3" t="s">
        <v>19</v>
      </c>
      <c r="G2930" s="3" t="s">
        <v>72</v>
      </c>
      <c r="H2930" s="3">
        <v>10.0</v>
      </c>
      <c r="I2930" s="3" t="s">
        <v>1650</v>
      </c>
      <c r="J2930" s="3" t="s">
        <v>22</v>
      </c>
      <c r="K2930" s="3" t="s">
        <v>1673</v>
      </c>
      <c r="L2930" s="3" t="s">
        <v>1673</v>
      </c>
      <c r="M2930" s="3" t="s">
        <v>1674</v>
      </c>
      <c r="N2930" s="3" t="s">
        <v>1675</v>
      </c>
      <c r="O2930" s="5">
        <v>1.0</v>
      </c>
      <c r="P2930" s="6" t="str">
        <f t="shared" si="2"/>
        <v>Commercial Services &amp; Supplies</v>
      </c>
    </row>
    <row r="2931" hidden="1">
      <c r="A2931" s="3" t="s">
        <v>12070</v>
      </c>
      <c r="B2931" s="4">
        <v>538666.0</v>
      </c>
      <c r="C2931" s="3" t="s">
        <v>12071</v>
      </c>
      <c r="D2931" s="3" t="s">
        <v>12072</v>
      </c>
      <c r="E2931" s="3" t="s">
        <v>12073</v>
      </c>
      <c r="F2931" s="3" t="s">
        <v>19</v>
      </c>
      <c r="G2931" s="3" t="s">
        <v>20</v>
      </c>
      <c r="H2931" s="3">
        <v>10.0</v>
      </c>
      <c r="I2931" s="3" t="s">
        <v>12070</v>
      </c>
      <c r="J2931" s="3" t="s">
        <v>22</v>
      </c>
      <c r="K2931" s="3" t="s">
        <v>23</v>
      </c>
      <c r="L2931" s="3" t="s">
        <v>24</v>
      </c>
      <c r="M2931" s="3" t="s">
        <v>91</v>
      </c>
      <c r="N2931" s="3" t="s">
        <v>252</v>
      </c>
      <c r="O2931" s="5">
        <v>3991.7569543</v>
      </c>
      <c r="P2931" s="6" t="str">
        <f t="shared" si="2"/>
        <v>Fertilizers &amp; Agrochemicals</v>
      </c>
    </row>
    <row r="2932" hidden="1">
      <c r="A2932" s="3" t="s">
        <v>12074</v>
      </c>
      <c r="B2932" s="4">
        <v>503669.0</v>
      </c>
      <c r="C2932" s="3" t="s">
        <v>12075</v>
      </c>
      <c r="D2932" s="3" t="s">
        <v>12076</v>
      </c>
      <c r="E2932" s="3" t="s">
        <v>12075</v>
      </c>
      <c r="F2932" s="3" t="s">
        <v>19</v>
      </c>
      <c r="G2932" s="3" t="s">
        <v>72</v>
      </c>
      <c r="H2932" s="3">
        <v>10.0</v>
      </c>
      <c r="I2932" s="3" t="s">
        <v>1659</v>
      </c>
      <c r="J2932" s="3" t="s">
        <v>22</v>
      </c>
      <c r="K2932" s="3" t="s">
        <v>1673</v>
      </c>
      <c r="L2932" s="3" t="s">
        <v>1673</v>
      </c>
      <c r="M2932" s="3" t="s">
        <v>1674</v>
      </c>
      <c r="N2932" s="3" t="s">
        <v>1675</v>
      </c>
      <c r="O2932" s="5">
        <v>1.0</v>
      </c>
      <c r="P2932" s="6" t="str">
        <f t="shared" si="2"/>
        <v>Commercial Services &amp; Supplies</v>
      </c>
    </row>
    <row r="2933" hidden="1">
      <c r="A2933" s="3" t="s">
        <v>12077</v>
      </c>
      <c r="B2933" s="4">
        <v>538668.0</v>
      </c>
      <c r="C2933" s="3" t="s">
        <v>12078</v>
      </c>
      <c r="D2933" s="3" t="s">
        <v>12079</v>
      </c>
      <c r="E2933" s="3" t="s">
        <v>12080</v>
      </c>
      <c r="F2933" s="3" t="s">
        <v>19</v>
      </c>
      <c r="G2933" s="3" t="s">
        <v>86</v>
      </c>
      <c r="H2933" s="3">
        <v>10.0</v>
      </c>
      <c r="I2933" s="3" t="s">
        <v>12077</v>
      </c>
      <c r="J2933" s="3" t="s">
        <v>22</v>
      </c>
      <c r="K2933" s="3" t="s">
        <v>204</v>
      </c>
      <c r="L2933" s="3" t="s">
        <v>204</v>
      </c>
      <c r="M2933" s="3" t="s">
        <v>378</v>
      </c>
      <c r="N2933" s="3" t="s">
        <v>379</v>
      </c>
      <c r="O2933" s="5">
        <v>489.845688</v>
      </c>
      <c r="P2933" s="6" t="str">
        <f t="shared" si="2"/>
        <v>Non Banking Financial Company (NBFC)</v>
      </c>
    </row>
    <row r="2934" hidden="1">
      <c r="A2934" s="3" t="s">
        <v>12081</v>
      </c>
      <c r="B2934" s="4">
        <v>538685.0</v>
      </c>
      <c r="C2934" s="3" t="s">
        <v>12082</v>
      </c>
      <c r="D2934" s="3" t="s">
        <v>12083</v>
      </c>
      <c r="E2934" s="3" t="s">
        <v>12084</v>
      </c>
      <c r="F2934" s="3" t="s">
        <v>19</v>
      </c>
      <c r="G2934" s="3" t="s">
        <v>112</v>
      </c>
      <c r="H2934" s="3">
        <v>10.0</v>
      </c>
      <c r="I2934" s="3" t="s">
        <v>12081</v>
      </c>
      <c r="J2934" s="3" t="s">
        <v>22</v>
      </c>
      <c r="K2934" s="3" t="s">
        <v>58</v>
      </c>
      <c r="L2934" s="3" t="s">
        <v>182</v>
      </c>
      <c r="M2934" s="3" t="s">
        <v>1168</v>
      </c>
      <c r="N2934" s="3" t="s">
        <v>1336</v>
      </c>
      <c r="O2934" s="5">
        <v>421.4710367</v>
      </c>
      <c r="P2934" s="6" t="str">
        <f t="shared" si="2"/>
        <v>Entertainment</v>
      </c>
    </row>
    <row r="2935" hidden="1">
      <c r="A2935" s="3" t="s">
        <v>12085</v>
      </c>
      <c r="B2935" s="4">
        <v>538706.0</v>
      </c>
      <c r="C2935" s="3" t="s">
        <v>12086</v>
      </c>
      <c r="D2935" s="3" t="s">
        <v>12087</v>
      </c>
      <c r="E2935" s="3" t="s">
        <v>12088</v>
      </c>
      <c r="F2935" s="3" t="s">
        <v>19</v>
      </c>
      <c r="G2935" s="3" t="s">
        <v>72</v>
      </c>
      <c r="H2935" s="3">
        <v>2.0</v>
      </c>
      <c r="I2935" s="3" t="s">
        <v>12085</v>
      </c>
      <c r="J2935" s="3" t="s">
        <v>22</v>
      </c>
      <c r="K2935" s="3" t="s">
        <v>97</v>
      </c>
      <c r="L2935" s="3" t="s">
        <v>98</v>
      </c>
      <c r="M2935" s="3" t="s">
        <v>100</v>
      </c>
      <c r="N2935" s="3" t="s">
        <v>1804</v>
      </c>
      <c r="O2935" s="5">
        <v>138.1773228</v>
      </c>
      <c r="P2935" s="6" t="str">
        <f t="shared" si="2"/>
        <v>Industrial Products</v>
      </c>
    </row>
    <row r="2936" hidden="1">
      <c r="A2936" s="3" t="s">
        <v>12089</v>
      </c>
      <c r="B2936" s="4">
        <v>538707.0</v>
      </c>
      <c r="C2936" s="3" t="s">
        <v>12090</v>
      </c>
      <c r="D2936" s="3" t="s">
        <v>12091</v>
      </c>
      <c r="E2936" s="3" t="s">
        <v>12092</v>
      </c>
      <c r="F2936" s="3" t="s">
        <v>19</v>
      </c>
      <c r="G2936" s="3" t="s">
        <v>44</v>
      </c>
      <c r="H2936" s="3">
        <v>10.0</v>
      </c>
      <c r="I2936" s="3" t="s">
        <v>12089</v>
      </c>
      <c r="J2936" s="3" t="s">
        <v>22</v>
      </c>
      <c r="K2936" s="3" t="s">
        <v>97</v>
      </c>
      <c r="L2936" s="3" t="s">
        <v>98</v>
      </c>
      <c r="M2936" s="3" t="s">
        <v>99</v>
      </c>
      <c r="N2936" s="3" t="s">
        <v>100</v>
      </c>
      <c r="O2936" s="5">
        <v>1.0</v>
      </c>
      <c r="P2936" s="6" t="str">
        <f t="shared" si="2"/>
        <v>Industrial Products</v>
      </c>
    </row>
    <row r="2937" hidden="1">
      <c r="A2937" s="3" t="s">
        <v>12093</v>
      </c>
      <c r="B2937" s="4">
        <v>538708.0</v>
      </c>
      <c r="C2937" s="3" t="s">
        <v>12094</v>
      </c>
      <c r="D2937" s="3" t="s">
        <v>12095</v>
      </c>
      <c r="E2937" s="3" t="s">
        <v>12096</v>
      </c>
      <c r="F2937" s="3" t="s">
        <v>19</v>
      </c>
      <c r="G2937" s="3" t="s">
        <v>44</v>
      </c>
      <c r="H2937" s="3">
        <v>10.0</v>
      </c>
      <c r="I2937" s="3" t="s">
        <v>12093</v>
      </c>
      <c r="J2937" s="3" t="s">
        <v>22</v>
      </c>
      <c r="K2937" s="3" t="s">
        <v>204</v>
      </c>
      <c r="L2937" s="3" t="s">
        <v>204</v>
      </c>
      <c r="M2937" s="3" t="s">
        <v>378</v>
      </c>
      <c r="N2937" s="3" t="s">
        <v>379</v>
      </c>
      <c r="O2937" s="5">
        <v>15.5853222</v>
      </c>
      <c r="P2937" s="6" t="str">
        <f t="shared" si="2"/>
        <v>Non Banking Financial Company (NBFC)</v>
      </c>
    </row>
    <row r="2938" hidden="1">
      <c r="A2938" s="3" t="s">
        <v>12097</v>
      </c>
      <c r="B2938" s="4">
        <v>538713.0</v>
      </c>
      <c r="C2938" s="3" t="s">
        <v>12098</v>
      </c>
      <c r="D2938" s="3" t="s">
        <v>12099</v>
      </c>
      <c r="E2938" s="3" t="s">
        <v>12100</v>
      </c>
      <c r="F2938" s="3" t="s">
        <v>19</v>
      </c>
      <c r="G2938" s="3" t="s">
        <v>72</v>
      </c>
      <c r="H2938" s="3">
        <v>10.0</v>
      </c>
      <c r="I2938" s="3" t="s">
        <v>12097</v>
      </c>
      <c r="J2938" s="3" t="s">
        <v>22</v>
      </c>
      <c r="K2938" s="3" t="s">
        <v>473</v>
      </c>
      <c r="L2938" s="3" t="s">
        <v>473</v>
      </c>
      <c r="M2938" s="3" t="s">
        <v>1391</v>
      </c>
      <c r="N2938" s="3" t="s">
        <v>1392</v>
      </c>
      <c r="O2938" s="5">
        <v>137.6234035</v>
      </c>
      <c r="P2938" s="6" t="str">
        <f t="shared" si="2"/>
        <v>IT - Software</v>
      </c>
    </row>
    <row r="2939" hidden="1">
      <c r="A2939" s="3" t="s">
        <v>12101</v>
      </c>
      <c r="B2939" s="4">
        <v>538714.0</v>
      </c>
      <c r="C2939" s="3" t="s">
        <v>12102</v>
      </c>
      <c r="D2939" s="3" t="s">
        <v>12103</v>
      </c>
      <c r="E2939" s="3" t="s">
        <v>12104</v>
      </c>
      <c r="F2939" s="3" t="s">
        <v>19</v>
      </c>
      <c r="G2939" s="3" t="s">
        <v>44</v>
      </c>
      <c r="H2939" s="3">
        <v>10.0</v>
      </c>
      <c r="I2939" s="3" t="s">
        <v>12101</v>
      </c>
      <c r="J2939" s="3" t="s">
        <v>22</v>
      </c>
      <c r="K2939" s="3" t="s">
        <v>204</v>
      </c>
      <c r="L2939" s="3" t="s">
        <v>204</v>
      </c>
      <c r="M2939" s="3" t="s">
        <v>378</v>
      </c>
      <c r="N2939" s="3" t="s">
        <v>379</v>
      </c>
      <c r="O2939" s="5">
        <v>98.3529025</v>
      </c>
      <c r="P2939" s="6" t="str">
        <f t="shared" si="2"/>
        <v>Non Banking Financial Company (NBFC)</v>
      </c>
    </row>
    <row r="2940" hidden="1">
      <c r="A2940" s="3" t="s">
        <v>12105</v>
      </c>
      <c r="B2940" s="4">
        <v>538715.0</v>
      </c>
      <c r="C2940" s="3" t="s">
        <v>12106</v>
      </c>
      <c r="D2940" s="3" t="s">
        <v>12107</v>
      </c>
      <c r="E2940" s="3" t="s">
        <v>12108</v>
      </c>
      <c r="F2940" s="3" t="s">
        <v>19</v>
      </c>
      <c r="G2940" s="3" t="s">
        <v>44</v>
      </c>
      <c r="H2940" s="3">
        <v>10.0</v>
      </c>
      <c r="I2940" s="3" t="s">
        <v>12105</v>
      </c>
      <c r="J2940" s="3" t="s">
        <v>22</v>
      </c>
      <c r="K2940" s="3" t="s">
        <v>97</v>
      </c>
      <c r="L2940" s="3" t="s">
        <v>98</v>
      </c>
      <c r="M2940" s="3" t="s">
        <v>100</v>
      </c>
      <c r="N2940" s="3" t="s">
        <v>580</v>
      </c>
      <c r="O2940" s="5">
        <v>371.848314</v>
      </c>
      <c r="P2940" s="6" t="str">
        <f t="shared" si="2"/>
        <v>Industrial Products</v>
      </c>
    </row>
    <row r="2941" hidden="1">
      <c r="A2941" s="3" t="s">
        <v>12109</v>
      </c>
      <c r="B2941" s="4">
        <v>538716.0</v>
      </c>
      <c r="C2941" s="3" t="s">
        <v>12110</v>
      </c>
      <c r="D2941" s="3" t="s">
        <v>12111</v>
      </c>
      <c r="E2941" s="3" t="s">
        <v>12112</v>
      </c>
      <c r="F2941" s="3" t="s">
        <v>19</v>
      </c>
      <c r="G2941" s="3" t="s">
        <v>6293</v>
      </c>
      <c r="H2941" s="3">
        <v>10.0</v>
      </c>
      <c r="I2941" s="3" t="s">
        <v>12109</v>
      </c>
      <c r="J2941" s="3" t="s">
        <v>22</v>
      </c>
      <c r="K2941" s="3" t="s">
        <v>204</v>
      </c>
      <c r="L2941" s="3" t="s">
        <v>204</v>
      </c>
      <c r="M2941" s="3" t="s">
        <v>378</v>
      </c>
      <c r="N2941" s="3" t="s">
        <v>384</v>
      </c>
      <c r="O2941" s="5">
        <v>159.715</v>
      </c>
      <c r="P2941" s="6" t="str">
        <f t="shared" si="2"/>
        <v>Finance</v>
      </c>
    </row>
    <row r="2942">
      <c r="A2942" s="3" t="s">
        <v>2470</v>
      </c>
      <c r="B2942" s="4">
        <v>543635.0</v>
      </c>
      <c r="C2942" s="3" t="s">
        <v>12113</v>
      </c>
      <c r="D2942" s="3" t="s">
        <v>12114</v>
      </c>
      <c r="E2942" s="3" t="s">
        <v>12115</v>
      </c>
      <c r="F2942" s="3" t="s">
        <v>19</v>
      </c>
      <c r="G2942" s="3" t="s">
        <v>20</v>
      </c>
      <c r="H2942" s="3">
        <v>10.0</v>
      </c>
      <c r="I2942" s="3" t="s">
        <v>12116</v>
      </c>
      <c r="J2942" s="3" t="s">
        <v>22</v>
      </c>
      <c r="K2942" s="3" t="s">
        <v>45</v>
      </c>
      <c r="L2942" s="3" t="s">
        <v>45</v>
      </c>
      <c r="M2942" s="3" t="s">
        <v>46</v>
      </c>
      <c r="N2942" s="3" t="s">
        <v>47</v>
      </c>
      <c r="O2942" s="5">
        <v>21055.81845</v>
      </c>
      <c r="P2942" s="6" t="str">
        <f t="shared" si="2"/>
        <v>Pharmaceuticals</v>
      </c>
    </row>
    <row r="2943" hidden="1">
      <c r="A2943" s="3" t="s">
        <v>12117</v>
      </c>
      <c r="B2943" s="4">
        <v>538731.0</v>
      </c>
      <c r="C2943" s="3" t="s">
        <v>12118</v>
      </c>
      <c r="D2943" s="3" t="s">
        <v>12119</v>
      </c>
      <c r="E2943" s="3" t="s">
        <v>12120</v>
      </c>
      <c r="F2943" s="3" t="s">
        <v>19</v>
      </c>
      <c r="G2943" s="3" t="s">
        <v>2428</v>
      </c>
      <c r="H2943" s="3">
        <v>10.0</v>
      </c>
      <c r="I2943" s="3" t="s">
        <v>12117</v>
      </c>
      <c r="J2943" s="3" t="s">
        <v>22</v>
      </c>
      <c r="K2943" s="3" t="s">
        <v>58</v>
      </c>
      <c r="L2943" s="3" t="s">
        <v>73</v>
      </c>
      <c r="M2943" s="3" t="s">
        <v>74</v>
      </c>
      <c r="N2943" s="3" t="s">
        <v>2446</v>
      </c>
      <c r="O2943" s="5">
        <v>1.0</v>
      </c>
      <c r="P2943" s="6" t="str">
        <f t="shared" si="2"/>
        <v>Leisure Services</v>
      </c>
    </row>
    <row r="2944" hidden="1">
      <c r="A2944" s="3" t="s">
        <v>12121</v>
      </c>
      <c r="B2944" s="4">
        <v>538732.0</v>
      </c>
      <c r="C2944" s="3" t="s">
        <v>12122</v>
      </c>
      <c r="D2944" s="3" t="s">
        <v>12123</v>
      </c>
      <c r="E2944" s="3" t="s">
        <v>12124</v>
      </c>
      <c r="F2944" s="3" t="s">
        <v>19</v>
      </c>
      <c r="G2944" s="3" t="s">
        <v>44</v>
      </c>
      <c r="H2944" s="3">
        <v>10.0</v>
      </c>
      <c r="I2944" s="3" t="s">
        <v>12121</v>
      </c>
      <c r="J2944" s="3" t="s">
        <v>22</v>
      </c>
      <c r="K2944" s="3" t="s">
        <v>204</v>
      </c>
      <c r="L2944" s="3" t="s">
        <v>204</v>
      </c>
      <c r="M2944" s="3" t="s">
        <v>378</v>
      </c>
      <c r="N2944" s="3" t="s">
        <v>379</v>
      </c>
      <c r="O2944" s="5">
        <v>202.39296</v>
      </c>
      <c r="P2944" s="6" t="str">
        <f t="shared" si="2"/>
        <v>Non Banking Financial Company (NBFC)</v>
      </c>
    </row>
    <row r="2945" hidden="1">
      <c r="A2945" s="3" t="s">
        <v>12125</v>
      </c>
      <c r="B2945" s="4">
        <v>538733.0</v>
      </c>
      <c r="C2945" s="3" t="s">
        <v>12126</v>
      </c>
      <c r="D2945" s="3" t="s">
        <v>12127</v>
      </c>
      <c r="E2945" s="3" t="s">
        <v>12128</v>
      </c>
      <c r="F2945" s="3" t="s">
        <v>19</v>
      </c>
      <c r="G2945" s="3" t="s">
        <v>72</v>
      </c>
      <c r="H2945" s="3">
        <v>10.0</v>
      </c>
      <c r="I2945" s="3" t="s">
        <v>12125</v>
      </c>
      <c r="J2945" s="3" t="s">
        <v>22</v>
      </c>
      <c r="K2945" s="3" t="s">
        <v>58</v>
      </c>
      <c r="L2945" s="3" t="s">
        <v>133</v>
      </c>
      <c r="M2945" s="3" t="s">
        <v>134</v>
      </c>
      <c r="N2945" s="3" t="s">
        <v>135</v>
      </c>
      <c r="O2945" s="5">
        <v>1.0</v>
      </c>
      <c r="P2945" s="6" t="str">
        <f t="shared" si="2"/>
        <v>Auto Components &amp; Equipments</v>
      </c>
    </row>
    <row r="2946" hidden="1">
      <c r="A2946" s="3" t="s">
        <v>12129</v>
      </c>
      <c r="B2946" s="4">
        <v>538734.0</v>
      </c>
      <c r="C2946" s="3" t="s">
        <v>12130</v>
      </c>
      <c r="D2946" s="3" t="s">
        <v>12131</v>
      </c>
      <c r="E2946" s="3" t="s">
        <v>12132</v>
      </c>
      <c r="F2946" s="3" t="s">
        <v>19</v>
      </c>
      <c r="G2946" s="3" t="s">
        <v>44</v>
      </c>
      <c r="H2946" s="3">
        <v>10.0</v>
      </c>
      <c r="I2946" s="3" t="s">
        <v>12129</v>
      </c>
      <c r="J2946" s="3" t="s">
        <v>22</v>
      </c>
      <c r="K2946" s="3" t="s">
        <v>473</v>
      </c>
      <c r="L2946" s="3" t="s">
        <v>473</v>
      </c>
      <c r="M2946" s="3" t="s">
        <v>1391</v>
      </c>
      <c r="N2946" s="3" t="s">
        <v>1840</v>
      </c>
      <c r="O2946" s="5">
        <v>880.306752</v>
      </c>
      <c r="P2946" s="6" t="str">
        <f t="shared" si="2"/>
        <v>Computers - Software &amp; Consulting</v>
      </c>
    </row>
    <row r="2947" hidden="1">
      <c r="A2947" s="3" t="s">
        <v>12133</v>
      </c>
      <c r="B2947" s="4">
        <v>538742.0</v>
      </c>
      <c r="C2947" s="3" t="s">
        <v>12134</v>
      </c>
      <c r="D2947" s="3" t="s">
        <v>12135</v>
      </c>
      <c r="E2947" s="3" t="s">
        <v>12136</v>
      </c>
      <c r="F2947" s="3" t="s">
        <v>19</v>
      </c>
      <c r="G2947" s="3" t="s">
        <v>44</v>
      </c>
      <c r="H2947" s="3">
        <v>10.0</v>
      </c>
      <c r="I2947" s="3" t="s">
        <v>12133</v>
      </c>
      <c r="J2947" s="3" t="s">
        <v>22</v>
      </c>
      <c r="K2947" s="3" t="s">
        <v>473</v>
      </c>
      <c r="L2947" s="3" t="s">
        <v>473</v>
      </c>
      <c r="M2947" s="3" t="s">
        <v>1538</v>
      </c>
      <c r="N2947" s="3" t="s">
        <v>1539</v>
      </c>
      <c r="O2947" s="5">
        <v>1.0</v>
      </c>
      <c r="P2947" s="6" t="str">
        <f t="shared" si="2"/>
        <v>IT - Services</v>
      </c>
    </row>
    <row r="2948" hidden="1">
      <c r="A2948" s="3" t="s">
        <v>12137</v>
      </c>
      <c r="B2948" s="4">
        <v>538743.0</v>
      </c>
      <c r="C2948" s="3" t="s">
        <v>12138</v>
      </c>
      <c r="D2948" s="3" t="s">
        <v>12139</v>
      </c>
      <c r="E2948" s="3" t="s">
        <v>12140</v>
      </c>
      <c r="F2948" s="3" t="s">
        <v>19</v>
      </c>
      <c r="G2948" s="3" t="s">
        <v>72</v>
      </c>
      <c r="H2948" s="3">
        <v>2.0</v>
      </c>
      <c r="I2948" s="3" t="s">
        <v>12137</v>
      </c>
      <c r="J2948" s="3" t="s">
        <v>22</v>
      </c>
      <c r="K2948" s="3" t="s">
        <v>473</v>
      </c>
      <c r="L2948" s="3" t="s">
        <v>473</v>
      </c>
      <c r="M2948" s="3" t="s">
        <v>1391</v>
      </c>
      <c r="N2948" s="3" t="s">
        <v>1840</v>
      </c>
      <c r="O2948" s="5">
        <v>34.8197259</v>
      </c>
      <c r="P2948" s="6" t="str">
        <f t="shared" si="2"/>
        <v>Computers - Software &amp; Consulting</v>
      </c>
    </row>
    <row r="2949" hidden="1">
      <c r="A2949" s="3" t="s">
        <v>12141</v>
      </c>
      <c r="B2949" s="4">
        <v>538765.0</v>
      </c>
      <c r="C2949" s="3" t="s">
        <v>12142</v>
      </c>
      <c r="D2949" s="3" t="s">
        <v>12143</v>
      </c>
      <c r="E2949" s="3" t="s">
        <v>12144</v>
      </c>
      <c r="F2949" s="3" t="s">
        <v>19</v>
      </c>
      <c r="G2949" s="3" t="s">
        <v>6293</v>
      </c>
      <c r="H2949" s="3">
        <v>10.0</v>
      </c>
      <c r="I2949" s="3" t="s">
        <v>12141</v>
      </c>
      <c r="J2949" s="3" t="s">
        <v>22</v>
      </c>
      <c r="K2949" s="3" t="s">
        <v>58</v>
      </c>
      <c r="L2949" s="3" t="s">
        <v>73</v>
      </c>
      <c r="M2949" s="3" t="s">
        <v>988</v>
      </c>
      <c r="N2949" s="3" t="s">
        <v>1614</v>
      </c>
      <c r="O2949" s="5">
        <v>1.0</v>
      </c>
      <c r="P2949" s="6" t="str">
        <f t="shared" si="2"/>
        <v>Retailing</v>
      </c>
    </row>
    <row r="2950" hidden="1">
      <c r="A2950" s="3" t="s">
        <v>12145</v>
      </c>
      <c r="B2950" s="4">
        <v>538770.0</v>
      </c>
      <c r="C2950" s="3" t="s">
        <v>12146</v>
      </c>
      <c r="D2950" s="3" t="s">
        <v>12147</v>
      </c>
      <c r="E2950" s="3" t="s">
        <v>12148</v>
      </c>
      <c r="F2950" s="3" t="s">
        <v>19</v>
      </c>
      <c r="G2950" s="3" t="s">
        <v>72</v>
      </c>
      <c r="H2950" s="3">
        <v>10.0</v>
      </c>
      <c r="I2950" s="3" t="s">
        <v>12145</v>
      </c>
      <c r="J2950" s="3" t="s">
        <v>22</v>
      </c>
      <c r="K2950" s="3" t="s">
        <v>58</v>
      </c>
      <c r="L2950" s="3" t="s">
        <v>59</v>
      </c>
      <c r="M2950" s="3" t="s">
        <v>59</v>
      </c>
      <c r="N2950" s="3" t="s">
        <v>60</v>
      </c>
      <c r="O2950" s="5">
        <v>23.5437484</v>
      </c>
      <c r="P2950" s="6" t="str">
        <f t="shared" si="2"/>
        <v>Residential, Commercial Projects</v>
      </c>
    </row>
    <row r="2951" hidden="1">
      <c r="A2951" s="3" t="s">
        <v>12149</v>
      </c>
      <c r="B2951" s="4">
        <v>538772.0</v>
      </c>
      <c r="C2951" s="3" t="s">
        <v>12150</v>
      </c>
      <c r="D2951" s="3" t="s">
        <v>12151</v>
      </c>
      <c r="E2951" s="3" t="s">
        <v>12152</v>
      </c>
      <c r="F2951" s="3" t="s">
        <v>19</v>
      </c>
      <c r="G2951" s="3" t="s">
        <v>44</v>
      </c>
      <c r="H2951" s="3">
        <v>10.0</v>
      </c>
      <c r="I2951" s="3" t="s">
        <v>12149</v>
      </c>
      <c r="J2951" s="3" t="s">
        <v>22</v>
      </c>
      <c r="K2951" s="3" t="s">
        <v>204</v>
      </c>
      <c r="L2951" s="3" t="s">
        <v>204</v>
      </c>
      <c r="M2951" s="3" t="s">
        <v>378</v>
      </c>
      <c r="N2951" s="3" t="s">
        <v>379</v>
      </c>
      <c r="O2951" s="5">
        <v>653.2055756</v>
      </c>
      <c r="P2951" s="6" t="str">
        <f t="shared" si="2"/>
        <v>Non Banking Financial Company (NBFC)</v>
      </c>
    </row>
    <row r="2952" hidden="1">
      <c r="A2952" s="3" t="s">
        <v>12153</v>
      </c>
      <c r="B2952" s="4">
        <v>538777.0</v>
      </c>
      <c r="C2952" s="3" t="s">
        <v>12154</v>
      </c>
      <c r="D2952" s="3" t="s">
        <v>12155</v>
      </c>
      <c r="E2952" s="3" t="s">
        <v>12156</v>
      </c>
      <c r="F2952" s="3" t="s">
        <v>19</v>
      </c>
      <c r="G2952" s="3" t="s">
        <v>72</v>
      </c>
      <c r="H2952" s="3">
        <v>10.0</v>
      </c>
      <c r="I2952" s="3" t="s">
        <v>12153</v>
      </c>
      <c r="J2952" s="3" t="s">
        <v>22</v>
      </c>
      <c r="K2952" s="3" t="s">
        <v>204</v>
      </c>
      <c r="L2952" s="3" t="s">
        <v>204</v>
      </c>
      <c r="M2952" s="3" t="s">
        <v>378</v>
      </c>
      <c r="N2952" s="3" t="s">
        <v>379</v>
      </c>
      <c r="O2952" s="5">
        <v>1.0</v>
      </c>
      <c r="P2952" s="6" t="str">
        <f t="shared" si="2"/>
        <v>Non Banking Financial Company (NBFC)</v>
      </c>
    </row>
    <row r="2953" hidden="1">
      <c r="A2953" s="3" t="s">
        <v>12157</v>
      </c>
      <c r="B2953" s="4">
        <v>538778.0</v>
      </c>
      <c r="C2953" s="3" t="s">
        <v>12158</v>
      </c>
      <c r="D2953" s="3" t="s">
        <v>12159</v>
      </c>
      <c r="E2953" s="3" t="s">
        <v>12160</v>
      </c>
      <c r="F2953" s="3" t="s">
        <v>19</v>
      </c>
      <c r="G2953" s="3" t="s">
        <v>44</v>
      </c>
      <c r="H2953" s="3">
        <v>2.0</v>
      </c>
      <c r="I2953" s="3" t="s">
        <v>12157</v>
      </c>
      <c r="J2953" s="3" t="s">
        <v>22</v>
      </c>
      <c r="K2953" s="3" t="s">
        <v>204</v>
      </c>
      <c r="L2953" s="3" t="s">
        <v>204</v>
      </c>
      <c r="M2953" s="3" t="s">
        <v>378</v>
      </c>
      <c r="N2953" s="3" t="s">
        <v>379</v>
      </c>
      <c r="O2953" s="5">
        <v>89.27228</v>
      </c>
      <c r="P2953" s="6" t="str">
        <f t="shared" si="2"/>
        <v>Non Banking Financial Company (NBFC)</v>
      </c>
    </row>
    <row r="2954" hidden="1">
      <c r="A2954" s="3" t="s">
        <v>12161</v>
      </c>
      <c r="B2954" s="4">
        <v>538787.0</v>
      </c>
      <c r="C2954" s="3" t="s">
        <v>12162</v>
      </c>
      <c r="D2954" s="3" t="s">
        <v>12163</v>
      </c>
      <c r="E2954" s="3" t="s">
        <v>12164</v>
      </c>
      <c r="F2954" s="3" t="s">
        <v>19</v>
      </c>
      <c r="G2954" s="3" t="s">
        <v>44</v>
      </c>
      <c r="H2954" s="3">
        <v>10.0</v>
      </c>
      <c r="I2954" s="3" t="s">
        <v>12161</v>
      </c>
      <c r="J2954" s="3" t="s">
        <v>22</v>
      </c>
      <c r="K2954" s="3" t="s">
        <v>204</v>
      </c>
      <c r="L2954" s="3" t="s">
        <v>204</v>
      </c>
      <c r="M2954" s="3" t="s">
        <v>378</v>
      </c>
      <c r="N2954" s="3" t="s">
        <v>379</v>
      </c>
      <c r="O2954" s="5">
        <v>9.5438403</v>
      </c>
      <c r="P2954" s="6" t="str">
        <f t="shared" si="2"/>
        <v>Non Banking Financial Company (NBFC)</v>
      </c>
    </row>
    <row r="2955" hidden="1">
      <c r="A2955" s="3" t="s">
        <v>12165</v>
      </c>
      <c r="B2955" s="4">
        <v>538788.0</v>
      </c>
      <c r="C2955" s="3" t="s">
        <v>12166</v>
      </c>
      <c r="D2955" s="3" t="s">
        <v>12167</v>
      </c>
      <c r="E2955" s="3" t="s">
        <v>12168</v>
      </c>
      <c r="F2955" s="3" t="s">
        <v>19</v>
      </c>
      <c r="G2955" s="3" t="s">
        <v>44</v>
      </c>
      <c r="H2955" s="3">
        <v>5.0</v>
      </c>
      <c r="I2955" s="3" t="s">
        <v>12165</v>
      </c>
      <c r="J2955" s="3" t="s">
        <v>22</v>
      </c>
      <c r="K2955" s="3" t="s">
        <v>204</v>
      </c>
      <c r="L2955" s="3" t="s">
        <v>204</v>
      </c>
      <c r="M2955" s="3" t="s">
        <v>378</v>
      </c>
      <c r="N2955" s="3" t="s">
        <v>379</v>
      </c>
      <c r="O2955" s="5">
        <v>13.7329299</v>
      </c>
      <c r="P2955" s="6" t="str">
        <f t="shared" si="2"/>
        <v>Non Banking Financial Company (NBFC)</v>
      </c>
    </row>
    <row r="2956" hidden="1">
      <c r="A2956" s="3" t="s">
        <v>12169</v>
      </c>
      <c r="B2956" s="4">
        <v>538794.0</v>
      </c>
      <c r="C2956" s="3" t="s">
        <v>12170</v>
      </c>
      <c r="D2956" s="3" t="s">
        <v>12171</v>
      </c>
      <c r="E2956" s="3" t="s">
        <v>12172</v>
      </c>
      <c r="F2956" s="3" t="s">
        <v>19</v>
      </c>
      <c r="G2956" s="3" t="s">
        <v>2428</v>
      </c>
      <c r="H2956" s="3">
        <v>10.0</v>
      </c>
      <c r="I2956" s="3" t="s">
        <v>12169</v>
      </c>
      <c r="J2956" s="3" t="s">
        <v>22</v>
      </c>
      <c r="K2956" s="3" t="s">
        <v>58</v>
      </c>
      <c r="L2956" s="3" t="s">
        <v>59</v>
      </c>
      <c r="M2956" s="3" t="s">
        <v>59</v>
      </c>
      <c r="N2956" s="3" t="s">
        <v>60</v>
      </c>
      <c r="O2956" s="5">
        <v>8.6690561</v>
      </c>
      <c r="P2956" s="6" t="str">
        <f t="shared" si="2"/>
        <v>Residential, Commercial Projects</v>
      </c>
    </row>
    <row r="2957" hidden="1">
      <c r="A2957" s="3" t="s">
        <v>12173</v>
      </c>
      <c r="B2957" s="4">
        <v>538795.0</v>
      </c>
      <c r="C2957" s="3" t="s">
        <v>12174</v>
      </c>
      <c r="D2957" s="3" t="s">
        <v>12175</v>
      </c>
      <c r="E2957" s="3" t="s">
        <v>12174</v>
      </c>
      <c r="F2957" s="3" t="s">
        <v>19</v>
      </c>
      <c r="G2957" s="3" t="s">
        <v>44</v>
      </c>
      <c r="H2957" s="3">
        <v>10.0</v>
      </c>
      <c r="I2957" s="3" t="s">
        <v>12173</v>
      </c>
      <c r="J2957" s="3" t="s">
        <v>22</v>
      </c>
      <c r="K2957" s="3" t="s">
        <v>23</v>
      </c>
      <c r="L2957" s="3" t="s">
        <v>32</v>
      </c>
      <c r="M2957" s="3" t="s">
        <v>33</v>
      </c>
      <c r="N2957" s="3" t="s">
        <v>34</v>
      </c>
      <c r="O2957" s="5">
        <v>256.839581</v>
      </c>
      <c r="P2957" s="6" t="str">
        <f t="shared" si="2"/>
        <v>Paper, Forest &amp; Jute Products</v>
      </c>
    </row>
    <row r="2958" hidden="1">
      <c r="A2958" s="3" t="s">
        <v>12176</v>
      </c>
      <c r="B2958" s="4">
        <v>538817.0</v>
      </c>
      <c r="C2958" s="3" t="s">
        <v>12177</v>
      </c>
      <c r="D2958" s="3" t="s">
        <v>12178</v>
      </c>
      <c r="E2958" s="3" t="s">
        <v>12179</v>
      </c>
      <c r="F2958" s="3" t="s">
        <v>19</v>
      </c>
      <c r="G2958" s="3" t="s">
        <v>86</v>
      </c>
      <c r="H2958" s="3">
        <v>1.0</v>
      </c>
      <c r="I2958" s="3" t="s">
        <v>12176</v>
      </c>
      <c r="J2958" s="3" t="s">
        <v>22</v>
      </c>
      <c r="K2958" s="3" t="s">
        <v>97</v>
      </c>
      <c r="L2958" s="3" t="s">
        <v>98</v>
      </c>
      <c r="M2958" s="3" t="s">
        <v>100</v>
      </c>
      <c r="N2958" s="3" t="s">
        <v>580</v>
      </c>
      <c r="O2958" s="5">
        <v>1.0</v>
      </c>
      <c r="P2958" s="6" t="str">
        <f t="shared" si="2"/>
        <v>Industrial Products</v>
      </c>
    </row>
    <row r="2959" hidden="1">
      <c r="A2959" s="3" t="s">
        <v>12180</v>
      </c>
      <c r="B2959" s="4">
        <v>538833.0</v>
      </c>
      <c r="C2959" s="3" t="s">
        <v>12181</v>
      </c>
      <c r="D2959" s="3" t="s">
        <v>12182</v>
      </c>
      <c r="E2959" s="3" t="s">
        <v>12183</v>
      </c>
      <c r="F2959" s="3" t="s">
        <v>19</v>
      </c>
      <c r="G2959" s="3" t="s">
        <v>44</v>
      </c>
      <c r="H2959" s="3">
        <v>10.0</v>
      </c>
      <c r="I2959" s="3" t="s">
        <v>12180</v>
      </c>
      <c r="J2959" s="3" t="s">
        <v>22</v>
      </c>
      <c r="K2959" s="3" t="s">
        <v>97</v>
      </c>
      <c r="L2959" s="3" t="s">
        <v>965</v>
      </c>
      <c r="M2959" s="3" t="s">
        <v>965</v>
      </c>
      <c r="N2959" s="3" t="s">
        <v>966</v>
      </c>
      <c r="O2959" s="5">
        <v>109.8736</v>
      </c>
      <c r="P2959" s="6" t="str">
        <f t="shared" si="2"/>
        <v>Civil Construction</v>
      </c>
    </row>
    <row r="2960" hidden="1">
      <c r="A2960" s="3" t="s">
        <v>12184</v>
      </c>
      <c r="B2960" s="4">
        <v>538834.0</v>
      </c>
      <c r="C2960" s="3" t="s">
        <v>12185</v>
      </c>
      <c r="D2960" s="3" t="s">
        <v>12186</v>
      </c>
      <c r="E2960" s="3" t="s">
        <v>12187</v>
      </c>
      <c r="F2960" s="3" t="s">
        <v>19</v>
      </c>
      <c r="G2960" s="3" t="s">
        <v>44</v>
      </c>
      <c r="H2960" s="3">
        <v>10.0</v>
      </c>
      <c r="I2960" s="3" t="s">
        <v>12184</v>
      </c>
      <c r="J2960" s="3" t="s">
        <v>22</v>
      </c>
      <c r="K2960" s="3" t="s">
        <v>204</v>
      </c>
      <c r="L2960" s="3" t="s">
        <v>204</v>
      </c>
      <c r="M2960" s="3" t="s">
        <v>378</v>
      </c>
      <c r="N2960" s="3" t="s">
        <v>379</v>
      </c>
      <c r="O2960" s="5">
        <v>25.0231812</v>
      </c>
      <c r="P2960" s="6" t="str">
        <f t="shared" si="2"/>
        <v>Non Banking Financial Company (NBFC)</v>
      </c>
    </row>
    <row r="2961">
      <c r="A2961" s="3" t="s">
        <v>12188</v>
      </c>
      <c r="B2961" s="4">
        <v>543654.0</v>
      </c>
      <c r="C2961" s="3" t="s">
        <v>12189</v>
      </c>
      <c r="D2961" s="3" t="s">
        <v>12190</v>
      </c>
      <c r="E2961" s="3" t="s">
        <v>12191</v>
      </c>
      <c r="F2961" s="3" t="s">
        <v>19</v>
      </c>
      <c r="G2961" s="3" t="s">
        <v>20</v>
      </c>
      <c r="H2961" s="3">
        <v>2.0</v>
      </c>
      <c r="I2961" s="3" t="s">
        <v>12192</v>
      </c>
      <c r="J2961" s="3" t="s">
        <v>22</v>
      </c>
      <c r="K2961" s="3" t="s">
        <v>45</v>
      </c>
      <c r="L2961" s="3" t="s">
        <v>45</v>
      </c>
      <c r="M2961" s="3" t="s">
        <v>4488</v>
      </c>
      <c r="N2961" s="3" t="s">
        <v>5801</v>
      </c>
      <c r="O2961" s="5">
        <v>35032.0459455</v>
      </c>
      <c r="P2961" s="6" t="str">
        <f t="shared" si="2"/>
        <v>Healthcare Services</v>
      </c>
    </row>
    <row r="2962" hidden="1">
      <c r="A2962" s="3" t="s">
        <v>12193</v>
      </c>
      <c r="B2962" s="4">
        <v>538836.0</v>
      </c>
      <c r="C2962" s="3" t="s">
        <v>12194</v>
      </c>
      <c r="D2962" s="3" t="s">
        <v>12195</v>
      </c>
      <c r="E2962" s="3" t="s">
        <v>12196</v>
      </c>
      <c r="F2962" s="3" t="s">
        <v>19</v>
      </c>
      <c r="G2962" s="3" t="s">
        <v>112</v>
      </c>
      <c r="H2962" s="3">
        <v>10.0</v>
      </c>
      <c r="I2962" s="3" t="s">
        <v>12193</v>
      </c>
      <c r="J2962" s="3" t="s">
        <v>22</v>
      </c>
      <c r="K2962" s="3" t="s">
        <v>58</v>
      </c>
      <c r="L2962" s="3" t="s">
        <v>80</v>
      </c>
      <c r="M2962" s="3" t="s">
        <v>81</v>
      </c>
      <c r="N2962" s="3" t="s">
        <v>944</v>
      </c>
      <c r="O2962" s="5">
        <v>1269.275138</v>
      </c>
      <c r="P2962" s="6" t="str">
        <f t="shared" si="2"/>
        <v>Textiles &amp; Apparels</v>
      </c>
    </row>
    <row r="2963" hidden="1">
      <c r="A2963" s="3" t="s">
        <v>12197</v>
      </c>
      <c r="B2963" s="4">
        <v>538837.0</v>
      </c>
      <c r="C2963" s="3" t="s">
        <v>12198</v>
      </c>
      <c r="D2963" s="3" t="s">
        <v>12199</v>
      </c>
      <c r="E2963" s="3" t="s">
        <v>12200</v>
      </c>
      <c r="F2963" s="3" t="s">
        <v>19</v>
      </c>
      <c r="G2963" s="3" t="s">
        <v>44</v>
      </c>
      <c r="H2963" s="3">
        <v>10.0</v>
      </c>
      <c r="I2963" s="3" t="s">
        <v>12197</v>
      </c>
      <c r="J2963" s="3" t="s">
        <v>22</v>
      </c>
      <c r="K2963" s="3" t="s">
        <v>45</v>
      </c>
      <c r="L2963" s="3" t="s">
        <v>45</v>
      </c>
      <c r="M2963" s="3" t="s">
        <v>4488</v>
      </c>
      <c r="N2963" s="3" t="s">
        <v>6244</v>
      </c>
      <c r="O2963" s="5">
        <v>80.3064552</v>
      </c>
      <c r="P2963" s="6" t="str">
        <f t="shared" si="2"/>
        <v>Healthcare Services</v>
      </c>
    </row>
    <row r="2964" hidden="1">
      <c r="A2964" s="3" t="s">
        <v>12201</v>
      </c>
      <c r="B2964" s="4">
        <v>538838.0</v>
      </c>
      <c r="C2964" s="3" t="s">
        <v>12202</v>
      </c>
      <c r="D2964" s="3" t="s">
        <v>12203</v>
      </c>
      <c r="E2964" s="3" t="s">
        <v>12204</v>
      </c>
      <c r="F2964" s="3" t="s">
        <v>19</v>
      </c>
      <c r="G2964" s="3" t="s">
        <v>44</v>
      </c>
      <c r="H2964" s="3">
        <v>10.0</v>
      </c>
      <c r="I2964" s="3" t="s">
        <v>12201</v>
      </c>
      <c r="J2964" s="3" t="s">
        <v>22</v>
      </c>
      <c r="K2964" s="3" t="s">
        <v>58</v>
      </c>
      <c r="L2964" s="3" t="s">
        <v>80</v>
      </c>
      <c r="M2964" s="3" t="s">
        <v>81</v>
      </c>
      <c r="N2964" s="3" t="s">
        <v>82</v>
      </c>
      <c r="O2964" s="5">
        <v>27.6162141</v>
      </c>
      <c r="P2964" s="6" t="str">
        <f t="shared" si="2"/>
        <v>Textiles &amp; Apparels</v>
      </c>
    </row>
    <row r="2965" hidden="1">
      <c r="A2965" s="3" t="s">
        <v>12205</v>
      </c>
      <c r="B2965" s="4">
        <v>538857.0</v>
      </c>
      <c r="C2965" s="3" t="s">
        <v>12206</v>
      </c>
      <c r="D2965" s="3" t="s">
        <v>12207</v>
      </c>
      <c r="E2965" s="3" t="s">
        <v>12208</v>
      </c>
      <c r="F2965" s="3" t="s">
        <v>19</v>
      </c>
      <c r="G2965" s="3" t="s">
        <v>44</v>
      </c>
      <c r="H2965" s="3">
        <v>10.0</v>
      </c>
      <c r="I2965" s="3" t="s">
        <v>12205</v>
      </c>
      <c r="J2965" s="3" t="s">
        <v>22</v>
      </c>
      <c r="K2965" s="3" t="s">
        <v>204</v>
      </c>
      <c r="L2965" s="3" t="s">
        <v>204</v>
      </c>
      <c r="M2965" s="3" t="s">
        <v>378</v>
      </c>
      <c r="N2965" s="3" t="s">
        <v>379</v>
      </c>
      <c r="O2965" s="5">
        <v>5.5149759</v>
      </c>
      <c r="P2965" s="6" t="str">
        <f t="shared" si="2"/>
        <v>Non Banking Financial Company (NBFC)</v>
      </c>
    </row>
    <row r="2966" hidden="1">
      <c r="A2966" s="3" t="s">
        <v>12209</v>
      </c>
      <c r="B2966" s="4">
        <v>538860.0</v>
      </c>
      <c r="C2966" s="3" t="s">
        <v>12210</v>
      </c>
      <c r="D2966" s="3" t="s">
        <v>12211</v>
      </c>
      <c r="E2966" s="3" t="s">
        <v>12212</v>
      </c>
      <c r="F2966" s="3" t="s">
        <v>19</v>
      </c>
      <c r="G2966" s="3" t="s">
        <v>44</v>
      </c>
      <c r="H2966" s="3">
        <v>1.0</v>
      </c>
      <c r="I2966" s="3" t="s">
        <v>12209</v>
      </c>
      <c r="J2966" s="3" t="s">
        <v>22</v>
      </c>
      <c r="K2966" s="3" t="s">
        <v>204</v>
      </c>
      <c r="L2966" s="3" t="s">
        <v>204</v>
      </c>
      <c r="M2966" s="3" t="s">
        <v>378</v>
      </c>
      <c r="N2966" s="3" t="s">
        <v>379</v>
      </c>
      <c r="O2966" s="5">
        <v>10.1821637</v>
      </c>
      <c r="P2966" s="6" t="str">
        <f t="shared" si="2"/>
        <v>Non Banking Financial Company (NBFC)</v>
      </c>
    </row>
    <row r="2967" hidden="1">
      <c r="A2967" s="3" t="s">
        <v>12213</v>
      </c>
      <c r="B2967" s="4">
        <v>538862.0</v>
      </c>
      <c r="C2967" s="3" t="s">
        <v>12214</v>
      </c>
      <c r="D2967" s="3" t="s">
        <v>12215</v>
      </c>
      <c r="E2967" s="3" t="s">
        <v>12216</v>
      </c>
      <c r="F2967" s="3" t="s">
        <v>19</v>
      </c>
      <c r="G2967" s="3" t="s">
        <v>72</v>
      </c>
      <c r="H2967" s="3">
        <v>10.0</v>
      </c>
      <c r="I2967" s="3" t="s">
        <v>12213</v>
      </c>
      <c r="J2967" s="3" t="s">
        <v>22</v>
      </c>
      <c r="K2967" s="3" t="s">
        <v>204</v>
      </c>
      <c r="L2967" s="3" t="s">
        <v>204</v>
      </c>
      <c r="M2967" s="3" t="s">
        <v>205</v>
      </c>
      <c r="N2967" s="3" t="s">
        <v>2109</v>
      </c>
      <c r="O2967" s="5">
        <v>25.95646</v>
      </c>
      <c r="P2967" s="6" t="str">
        <f t="shared" si="2"/>
        <v>Capital Markets</v>
      </c>
    </row>
    <row r="2968" hidden="1">
      <c r="A2968" s="3" t="s">
        <v>12217</v>
      </c>
      <c r="B2968" s="4">
        <v>538863.0</v>
      </c>
      <c r="C2968" s="3" t="s">
        <v>12218</v>
      </c>
      <c r="D2968" s="3" t="s">
        <v>12219</v>
      </c>
      <c r="E2968" s="3" t="s">
        <v>12220</v>
      </c>
      <c r="F2968" s="3" t="s">
        <v>19</v>
      </c>
      <c r="G2968" s="3" t="s">
        <v>44</v>
      </c>
      <c r="H2968" s="3">
        <v>10.0</v>
      </c>
      <c r="I2968" s="3" t="s">
        <v>12217</v>
      </c>
      <c r="J2968" s="3" t="s">
        <v>22</v>
      </c>
      <c r="K2968" s="3" t="s">
        <v>204</v>
      </c>
      <c r="L2968" s="3" t="s">
        <v>204</v>
      </c>
      <c r="M2968" s="3" t="s">
        <v>378</v>
      </c>
      <c r="N2968" s="3" t="s">
        <v>379</v>
      </c>
      <c r="O2968" s="5">
        <v>1.0</v>
      </c>
      <c r="P2968" s="6" t="str">
        <f t="shared" si="2"/>
        <v>Non Banking Financial Company (NBFC)</v>
      </c>
    </row>
    <row r="2969" hidden="1">
      <c r="A2969" s="3" t="s">
        <v>12221</v>
      </c>
      <c r="B2969" s="4">
        <v>538868.0</v>
      </c>
      <c r="C2969" s="3" t="s">
        <v>12222</v>
      </c>
      <c r="D2969" s="3" t="s">
        <v>12223</v>
      </c>
      <c r="E2969" s="3" t="s">
        <v>12224</v>
      </c>
      <c r="F2969" s="3" t="s">
        <v>19</v>
      </c>
      <c r="G2969" s="3" t="s">
        <v>44</v>
      </c>
      <c r="H2969" s="3">
        <v>2.0</v>
      </c>
      <c r="I2969" s="3" t="s">
        <v>12221</v>
      </c>
      <c r="J2969" s="3" t="s">
        <v>22</v>
      </c>
      <c r="K2969" s="3" t="s">
        <v>204</v>
      </c>
      <c r="L2969" s="3" t="s">
        <v>204</v>
      </c>
      <c r="M2969" s="3" t="s">
        <v>378</v>
      </c>
      <c r="N2969" s="3" t="s">
        <v>379</v>
      </c>
      <c r="O2969" s="5">
        <v>22.7054335</v>
      </c>
      <c r="P2969" s="6" t="str">
        <f t="shared" si="2"/>
        <v>Non Banking Financial Company (NBFC)</v>
      </c>
    </row>
    <row r="2970" hidden="1">
      <c r="A2970" s="3" t="s">
        <v>12225</v>
      </c>
      <c r="B2970" s="4">
        <v>538874.0</v>
      </c>
      <c r="C2970" s="3" t="s">
        <v>12226</v>
      </c>
      <c r="D2970" s="3" t="s">
        <v>12227</v>
      </c>
      <c r="E2970" s="3" t="s">
        <v>12228</v>
      </c>
      <c r="F2970" s="3" t="s">
        <v>19</v>
      </c>
      <c r="G2970" s="3" t="s">
        <v>72</v>
      </c>
      <c r="H2970" s="3">
        <v>10.0</v>
      </c>
      <c r="I2970" s="3" t="s">
        <v>12225</v>
      </c>
      <c r="J2970" s="3" t="s">
        <v>22</v>
      </c>
      <c r="K2970" s="3" t="s">
        <v>204</v>
      </c>
      <c r="L2970" s="3" t="s">
        <v>204</v>
      </c>
      <c r="M2970" s="3" t="s">
        <v>378</v>
      </c>
      <c r="N2970" s="3" t="s">
        <v>468</v>
      </c>
      <c r="O2970" s="5">
        <v>7.791986</v>
      </c>
      <c r="P2970" s="6" t="str">
        <f t="shared" si="2"/>
        <v>Finance</v>
      </c>
    </row>
    <row r="2971" hidden="1">
      <c r="A2971" s="3" t="s">
        <v>6943</v>
      </c>
      <c r="B2971" s="4">
        <v>503689.0</v>
      </c>
      <c r="C2971" s="3" t="s">
        <v>12229</v>
      </c>
      <c r="D2971" s="3" t="s">
        <v>12230</v>
      </c>
      <c r="E2971" s="3" t="s">
        <v>12231</v>
      </c>
      <c r="F2971" s="3" t="s">
        <v>19</v>
      </c>
      <c r="G2971" s="3" t="s">
        <v>72</v>
      </c>
      <c r="H2971" s="3">
        <v>10.0</v>
      </c>
      <c r="I2971" s="3" t="s">
        <v>1684</v>
      </c>
      <c r="J2971" s="3" t="s">
        <v>22</v>
      </c>
      <c r="K2971" s="3" t="s">
        <v>1673</v>
      </c>
      <c r="L2971" s="3" t="s">
        <v>1673</v>
      </c>
      <c r="M2971" s="3" t="s">
        <v>1674</v>
      </c>
      <c r="N2971" s="3" t="s">
        <v>1675</v>
      </c>
      <c r="O2971" s="5">
        <v>1.0</v>
      </c>
      <c r="P2971" s="6" t="str">
        <f t="shared" si="2"/>
        <v>Commercial Services &amp; Supplies</v>
      </c>
    </row>
    <row r="2972" hidden="1">
      <c r="A2972" s="3" t="s">
        <v>12232</v>
      </c>
      <c r="B2972" s="4">
        <v>538881.0</v>
      </c>
      <c r="C2972" s="3" t="s">
        <v>12233</v>
      </c>
      <c r="D2972" s="3" t="s">
        <v>12234</v>
      </c>
      <c r="E2972" s="3" t="s">
        <v>12235</v>
      </c>
      <c r="F2972" s="3" t="s">
        <v>19</v>
      </c>
      <c r="G2972" s="3" t="s">
        <v>44</v>
      </c>
      <c r="H2972" s="3">
        <v>10.0</v>
      </c>
      <c r="I2972" s="3" t="s">
        <v>12232</v>
      </c>
      <c r="J2972" s="3" t="s">
        <v>22</v>
      </c>
      <c r="K2972" s="3" t="s">
        <v>204</v>
      </c>
      <c r="L2972" s="3" t="s">
        <v>204</v>
      </c>
      <c r="M2972" s="3" t="s">
        <v>378</v>
      </c>
      <c r="N2972" s="3" t="s">
        <v>379</v>
      </c>
      <c r="O2972" s="5">
        <v>1.0</v>
      </c>
      <c r="P2972" s="6" t="str">
        <f t="shared" si="2"/>
        <v>Non Banking Financial Company (NBFC)</v>
      </c>
    </row>
    <row r="2973" hidden="1">
      <c r="A2973" s="3" t="s">
        <v>12236</v>
      </c>
      <c r="B2973" s="4">
        <v>538882.0</v>
      </c>
      <c r="C2973" s="3" t="s">
        <v>12237</v>
      </c>
      <c r="D2973" s="3" t="s">
        <v>12238</v>
      </c>
      <c r="E2973" s="3" t="s">
        <v>12239</v>
      </c>
      <c r="F2973" s="3" t="s">
        <v>19</v>
      </c>
      <c r="G2973" s="3" t="s">
        <v>44</v>
      </c>
      <c r="H2973" s="3">
        <v>10.0</v>
      </c>
      <c r="I2973" s="3" t="s">
        <v>12236</v>
      </c>
      <c r="J2973" s="3" t="s">
        <v>22</v>
      </c>
      <c r="K2973" s="3" t="s">
        <v>204</v>
      </c>
      <c r="L2973" s="3" t="s">
        <v>204</v>
      </c>
      <c r="M2973" s="3" t="s">
        <v>378</v>
      </c>
      <c r="N2973" s="3" t="s">
        <v>379</v>
      </c>
      <c r="O2973" s="5">
        <v>93.3822559</v>
      </c>
      <c r="P2973" s="6" t="str">
        <f t="shared" si="2"/>
        <v>Non Banking Financial Company (NBFC)</v>
      </c>
    </row>
    <row r="2974" hidden="1">
      <c r="A2974" s="3" t="s">
        <v>12240</v>
      </c>
      <c r="B2974" s="4">
        <v>538890.0</v>
      </c>
      <c r="C2974" s="3" t="s">
        <v>12241</v>
      </c>
      <c r="D2974" s="3" t="s">
        <v>12242</v>
      </c>
      <c r="E2974" s="3" t="s">
        <v>12243</v>
      </c>
      <c r="F2974" s="3" t="s">
        <v>19</v>
      </c>
      <c r="G2974" s="3" t="s">
        <v>44</v>
      </c>
      <c r="H2974" s="3">
        <v>10.0</v>
      </c>
      <c r="I2974" s="3" t="s">
        <v>12240</v>
      </c>
      <c r="J2974" s="3" t="s">
        <v>22</v>
      </c>
      <c r="K2974" s="3" t="s">
        <v>58</v>
      </c>
      <c r="L2974" s="3" t="s">
        <v>73</v>
      </c>
      <c r="M2974" s="3" t="s">
        <v>988</v>
      </c>
      <c r="N2974" s="3" t="s">
        <v>12244</v>
      </c>
      <c r="O2974" s="5">
        <v>289.71792</v>
      </c>
      <c r="P2974" s="6" t="str">
        <f t="shared" si="2"/>
        <v>Retailing</v>
      </c>
    </row>
    <row r="2975">
      <c r="A2975" s="3" t="s">
        <v>12245</v>
      </c>
      <c r="B2975" s="4">
        <v>543748.0</v>
      </c>
      <c r="C2975" s="3" t="s">
        <v>12246</v>
      </c>
      <c r="D2975" s="3" t="s">
        <v>12247</v>
      </c>
      <c r="E2975" s="3" t="s">
        <v>12248</v>
      </c>
      <c r="F2975" s="3" t="s">
        <v>19</v>
      </c>
      <c r="G2975" s="3" t="s">
        <v>20</v>
      </c>
      <c r="H2975" s="3">
        <v>5.0</v>
      </c>
      <c r="I2975" s="3" t="s">
        <v>12249</v>
      </c>
      <c r="J2975" s="3" t="s">
        <v>22</v>
      </c>
      <c r="K2975" s="3" t="s">
        <v>45</v>
      </c>
      <c r="L2975" s="3" t="s">
        <v>45</v>
      </c>
      <c r="M2975" s="3" t="s">
        <v>46</v>
      </c>
      <c r="N2975" s="3" t="s">
        <v>47</v>
      </c>
      <c r="O2975" s="5">
        <v>5564.7466552</v>
      </c>
      <c r="P2975" s="6" t="str">
        <f t="shared" si="2"/>
        <v>Pharmaceuticals</v>
      </c>
    </row>
    <row r="2976" hidden="1">
      <c r="A2976" s="3" t="s">
        <v>12250</v>
      </c>
      <c r="B2976" s="4">
        <v>538894.0</v>
      </c>
      <c r="C2976" s="3" t="s">
        <v>12251</v>
      </c>
      <c r="D2976" s="3" t="s">
        <v>12252</v>
      </c>
      <c r="E2976" s="3" t="s">
        <v>12253</v>
      </c>
      <c r="F2976" s="3" t="s">
        <v>19</v>
      </c>
      <c r="G2976" s="3" t="s">
        <v>44</v>
      </c>
      <c r="H2976" s="3">
        <v>10.0</v>
      </c>
      <c r="I2976" s="3" t="s">
        <v>12250</v>
      </c>
      <c r="J2976" s="3" t="s">
        <v>22</v>
      </c>
      <c r="K2976" s="3" t="s">
        <v>204</v>
      </c>
      <c r="L2976" s="3" t="s">
        <v>204</v>
      </c>
      <c r="M2976" s="3" t="s">
        <v>378</v>
      </c>
      <c r="N2976" s="3" t="s">
        <v>379</v>
      </c>
      <c r="O2976" s="5">
        <v>1.0</v>
      </c>
      <c r="P2976" s="6" t="str">
        <f t="shared" si="2"/>
        <v>Non Banking Financial Company (NBFC)</v>
      </c>
    </row>
    <row r="2977" hidden="1">
      <c r="A2977" s="3" t="s">
        <v>12254</v>
      </c>
      <c r="B2977" s="4">
        <v>503696.0</v>
      </c>
      <c r="C2977" s="3" t="s">
        <v>12255</v>
      </c>
      <c r="D2977" s="3" t="s">
        <v>12256</v>
      </c>
      <c r="E2977" s="3" t="s">
        <v>12257</v>
      </c>
      <c r="F2977" s="3" t="s">
        <v>19</v>
      </c>
      <c r="G2977" s="3" t="s">
        <v>44</v>
      </c>
      <c r="H2977" s="3">
        <v>10.0</v>
      </c>
      <c r="I2977" s="3" t="s">
        <v>1691</v>
      </c>
      <c r="J2977" s="3" t="s">
        <v>22</v>
      </c>
      <c r="K2977" s="3" t="s">
        <v>1673</v>
      </c>
      <c r="L2977" s="3" t="s">
        <v>1673</v>
      </c>
      <c r="M2977" s="3" t="s">
        <v>1674</v>
      </c>
      <c r="N2977" s="3" t="s">
        <v>1675</v>
      </c>
      <c r="O2977" s="5">
        <v>1.0</v>
      </c>
      <c r="P2977" s="6" t="str">
        <f t="shared" si="2"/>
        <v>Commercial Services &amp; Supplies</v>
      </c>
    </row>
    <row r="2978" hidden="1">
      <c r="A2978" s="3" t="s">
        <v>12258</v>
      </c>
      <c r="B2978" s="4">
        <v>538896.0</v>
      </c>
      <c r="C2978" s="3" t="s">
        <v>12259</v>
      </c>
      <c r="D2978" s="3" t="s">
        <v>12260</v>
      </c>
      <c r="E2978" s="3" t="s">
        <v>12261</v>
      </c>
      <c r="F2978" s="3" t="s">
        <v>19</v>
      </c>
      <c r="G2978" s="3" t="s">
        <v>44</v>
      </c>
      <c r="H2978" s="3">
        <v>10.0</v>
      </c>
      <c r="I2978" s="3" t="s">
        <v>12258</v>
      </c>
      <c r="J2978" s="3" t="s">
        <v>22</v>
      </c>
      <c r="K2978" s="3" t="s">
        <v>23</v>
      </c>
      <c r="L2978" s="3" t="s">
        <v>24</v>
      </c>
      <c r="M2978" s="3" t="s">
        <v>25</v>
      </c>
      <c r="N2978" s="3" t="s">
        <v>52</v>
      </c>
      <c r="O2978" s="5">
        <v>207.1623072</v>
      </c>
      <c r="P2978" s="6" t="str">
        <f t="shared" si="2"/>
        <v>Chemicals &amp; Petrochemicals</v>
      </c>
    </row>
    <row r="2979" hidden="1">
      <c r="A2979" s="3" t="s">
        <v>12262</v>
      </c>
      <c r="B2979" s="4">
        <v>538902.0</v>
      </c>
      <c r="C2979" s="3" t="s">
        <v>12263</v>
      </c>
      <c r="D2979" s="3" t="s">
        <v>12264</v>
      </c>
      <c r="E2979" s="3" t="s">
        <v>12263</v>
      </c>
      <c r="F2979" s="3" t="s">
        <v>19</v>
      </c>
      <c r="G2979" s="3" t="s">
        <v>112</v>
      </c>
      <c r="H2979" s="3">
        <v>10.0</v>
      </c>
      <c r="I2979" s="3" t="s">
        <v>12262</v>
      </c>
      <c r="J2979" s="3" t="s">
        <v>22</v>
      </c>
      <c r="K2979" s="3" t="s">
        <v>145</v>
      </c>
      <c r="L2979" s="3" t="s">
        <v>145</v>
      </c>
      <c r="M2979" s="3" t="s">
        <v>146</v>
      </c>
      <c r="N2979" s="3" t="s">
        <v>444</v>
      </c>
      <c r="O2979" s="5">
        <v>227.0459007</v>
      </c>
      <c r="P2979" s="6" t="str">
        <f t="shared" si="2"/>
        <v>Agricultural Food &amp; other Products</v>
      </c>
    </row>
    <row r="2980" hidden="1">
      <c r="A2980" s="3" t="s">
        <v>12265</v>
      </c>
      <c r="B2980" s="4">
        <v>538918.0</v>
      </c>
      <c r="C2980" s="3" t="s">
        <v>12266</v>
      </c>
      <c r="D2980" s="3" t="s">
        <v>12267</v>
      </c>
      <c r="E2980" s="3" t="s">
        <v>12268</v>
      </c>
      <c r="F2980" s="3" t="s">
        <v>19</v>
      </c>
      <c r="G2980" s="3" t="s">
        <v>44</v>
      </c>
      <c r="H2980" s="3">
        <v>10.0</v>
      </c>
      <c r="I2980" s="3" t="s">
        <v>12265</v>
      </c>
      <c r="J2980" s="3" t="s">
        <v>22</v>
      </c>
      <c r="K2980" s="3" t="s">
        <v>204</v>
      </c>
      <c r="L2980" s="3" t="s">
        <v>204</v>
      </c>
      <c r="M2980" s="3" t="s">
        <v>378</v>
      </c>
      <c r="N2980" s="3" t="s">
        <v>379</v>
      </c>
      <c r="O2980" s="5">
        <v>1.0</v>
      </c>
      <c r="P2980" s="6" t="str">
        <f t="shared" si="2"/>
        <v>Non Banking Financial Company (NBFC)</v>
      </c>
    </row>
    <row r="2981" hidden="1">
      <c r="A2981" s="3" t="s">
        <v>12269</v>
      </c>
      <c r="B2981" s="4">
        <v>538919.0</v>
      </c>
      <c r="C2981" s="3" t="s">
        <v>12270</v>
      </c>
      <c r="D2981" s="3" t="s">
        <v>12271</v>
      </c>
      <c r="E2981" s="3" t="s">
        <v>12272</v>
      </c>
      <c r="F2981" s="3" t="s">
        <v>19</v>
      </c>
      <c r="G2981" s="3" t="s">
        <v>44</v>
      </c>
      <c r="H2981" s="3">
        <v>10.0</v>
      </c>
      <c r="I2981" s="3" t="s">
        <v>12269</v>
      </c>
      <c r="J2981" s="3" t="s">
        <v>22</v>
      </c>
      <c r="K2981" s="3" t="s">
        <v>58</v>
      </c>
      <c r="L2981" s="3" t="s">
        <v>59</v>
      </c>
      <c r="M2981" s="3" t="s">
        <v>59</v>
      </c>
      <c r="N2981" s="3" t="s">
        <v>60</v>
      </c>
      <c r="O2981" s="5">
        <v>1.0</v>
      </c>
      <c r="P2981" s="6" t="str">
        <f t="shared" si="2"/>
        <v>Residential, Commercial Projects</v>
      </c>
    </row>
    <row r="2982" hidden="1">
      <c r="A2982" s="3" t="s">
        <v>3399</v>
      </c>
      <c r="B2982" s="4">
        <v>503772.0</v>
      </c>
      <c r="C2982" s="3" t="s">
        <v>12273</v>
      </c>
      <c r="D2982" s="3" t="s">
        <v>12274</v>
      </c>
      <c r="E2982" s="3" t="s">
        <v>12275</v>
      </c>
      <c r="F2982" s="3" t="s">
        <v>19</v>
      </c>
      <c r="G2982" s="3" t="s">
        <v>44</v>
      </c>
      <c r="H2982" s="3">
        <v>10.0</v>
      </c>
      <c r="I2982" s="3" t="s">
        <v>1700</v>
      </c>
      <c r="J2982" s="3" t="s">
        <v>22</v>
      </c>
      <c r="K2982" s="3" t="s">
        <v>1673</v>
      </c>
      <c r="L2982" s="3" t="s">
        <v>1673</v>
      </c>
      <c r="M2982" s="3" t="s">
        <v>1674</v>
      </c>
      <c r="N2982" s="3" t="s">
        <v>1915</v>
      </c>
      <c r="O2982" s="5">
        <v>1.0</v>
      </c>
      <c r="P2982" s="6" t="str">
        <f t="shared" si="2"/>
        <v>Commercial Services &amp; Supplies</v>
      </c>
    </row>
    <row r="2983" hidden="1">
      <c r="A2983" s="3" t="s">
        <v>12276</v>
      </c>
      <c r="B2983" s="4">
        <v>538921.0</v>
      </c>
      <c r="C2983" s="3" t="s">
        <v>12277</v>
      </c>
      <c r="D2983" s="3" t="s">
        <v>12278</v>
      </c>
      <c r="E2983" s="3" t="s">
        <v>12279</v>
      </c>
      <c r="F2983" s="3" t="s">
        <v>19</v>
      </c>
      <c r="G2983" s="3" t="s">
        <v>2428</v>
      </c>
      <c r="H2983" s="3">
        <v>10.0</v>
      </c>
      <c r="I2983" s="3" t="s">
        <v>12276</v>
      </c>
      <c r="J2983" s="3" t="s">
        <v>22</v>
      </c>
      <c r="K2983" s="3" t="s">
        <v>145</v>
      </c>
      <c r="L2983" s="3" t="s">
        <v>145</v>
      </c>
      <c r="M2983" s="3" t="s">
        <v>146</v>
      </c>
      <c r="N2983" s="3" t="s">
        <v>2645</v>
      </c>
      <c r="O2983" s="5">
        <v>247.884975</v>
      </c>
      <c r="P2983" s="6" t="str">
        <f t="shared" si="2"/>
        <v>Agricultural Food &amp; other Products</v>
      </c>
    </row>
    <row r="2984" hidden="1">
      <c r="A2984" s="3" t="s">
        <v>12280</v>
      </c>
      <c r="B2984" s="4">
        <v>538922.0</v>
      </c>
      <c r="C2984" s="3" t="s">
        <v>12281</v>
      </c>
      <c r="D2984" s="3" t="s">
        <v>12282</v>
      </c>
      <c r="E2984" s="3" t="s">
        <v>12283</v>
      </c>
      <c r="F2984" s="3" t="s">
        <v>19</v>
      </c>
      <c r="G2984" s="3" t="s">
        <v>72</v>
      </c>
      <c r="H2984" s="3">
        <v>10.0</v>
      </c>
      <c r="I2984" s="3" t="s">
        <v>12280</v>
      </c>
      <c r="J2984" s="3" t="s">
        <v>22</v>
      </c>
      <c r="K2984" s="3" t="s">
        <v>473</v>
      </c>
      <c r="L2984" s="3" t="s">
        <v>473</v>
      </c>
      <c r="M2984" s="3" t="s">
        <v>1391</v>
      </c>
      <c r="N2984" s="3" t="s">
        <v>1392</v>
      </c>
      <c r="O2984" s="5">
        <v>31.5821231</v>
      </c>
      <c r="P2984" s="6" t="str">
        <f t="shared" si="2"/>
        <v>IT - Software</v>
      </c>
    </row>
    <row r="2985" hidden="1">
      <c r="A2985" s="3" t="s">
        <v>12284</v>
      </c>
      <c r="B2985" s="4">
        <v>538923.0</v>
      </c>
      <c r="C2985" s="3" t="s">
        <v>12285</v>
      </c>
      <c r="D2985" s="3" t="s">
        <v>12286</v>
      </c>
      <c r="E2985" s="3" t="s">
        <v>12287</v>
      </c>
      <c r="F2985" s="3" t="s">
        <v>19</v>
      </c>
      <c r="G2985" s="3" t="s">
        <v>72</v>
      </c>
      <c r="H2985" s="3">
        <v>10.0</v>
      </c>
      <c r="I2985" s="3" t="s">
        <v>12284</v>
      </c>
      <c r="J2985" s="3" t="s">
        <v>22</v>
      </c>
      <c r="K2985" s="3" t="s">
        <v>473</v>
      </c>
      <c r="L2985" s="3" t="s">
        <v>473</v>
      </c>
      <c r="M2985" s="3" t="s">
        <v>1391</v>
      </c>
      <c r="N2985" s="3" t="s">
        <v>1840</v>
      </c>
      <c r="O2985" s="5">
        <v>14.6180338</v>
      </c>
      <c r="P2985" s="6" t="str">
        <f t="shared" si="2"/>
        <v>Computers - Software &amp; Consulting</v>
      </c>
    </row>
    <row r="2986" hidden="1">
      <c r="A2986" s="3" t="s">
        <v>12288</v>
      </c>
      <c r="B2986" s="4">
        <v>538926.0</v>
      </c>
      <c r="C2986" s="3" t="s">
        <v>12289</v>
      </c>
      <c r="D2986" s="3" t="s">
        <v>12290</v>
      </c>
      <c r="E2986" s="3" t="s">
        <v>12291</v>
      </c>
      <c r="F2986" s="3" t="s">
        <v>19</v>
      </c>
      <c r="G2986" s="3" t="s">
        <v>44</v>
      </c>
      <c r="H2986" s="3">
        <v>10.0</v>
      </c>
      <c r="I2986" s="3" t="s">
        <v>12288</v>
      </c>
      <c r="J2986" s="3" t="s">
        <v>22</v>
      </c>
      <c r="K2986" s="3" t="s">
        <v>145</v>
      </c>
      <c r="L2986" s="3" t="s">
        <v>145</v>
      </c>
      <c r="M2986" s="3" t="s">
        <v>146</v>
      </c>
      <c r="N2986" s="3" t="s">
        <v>2645</v>
      </c>
      <c r="O2986" s="5">
        <v>44.354</v>
      </c>
      <c r="P2986" s="6" t="str">
        <f t="shared" si="2"/>
        <v>Agricultural Food &amp; other Products</v>
      </c>
    </row>
    <row r="2987" hidden="1">
      <c r="A2987" s="3" t="s">
        <v>12292</v>
      </c>
      <c r="B2987" s="4">
        <v>538928.0</v>
      </c>
      <c r="C2987" s="3" t="s">
        <v>12293</v>
      </c>
      <c r="D2987" s="3" t="s">
        <v>12294</v>
      </c>
      <c r="E2987" s="3" t="s">
        <v>12295</v>
      </c>
      <c r="F2987" s="3" t="s">
        <v>19</v>
      </c>
      <c r="G2987" s="3" t="s">
        <v>44</v>
      </c>
      <c r="H2987" s="3">
        <v>1.0</v>
      </c>
      <c r="I2987" s="3" t="s">
        <v>12292</v>
      </c>
      <c r="J2987" s="3" t="s">
        <v>22</v>
      </c>
      <c r="K2987" s="3" t="s">
        <v>204</v>
      </c>
      <c r="L2987" s="3" t="s">
        <v>204</v>
      </c>
      <c r="M2987" s="3" t="s">
        <v>378</v>
      </c>
      <c r="N2987" s="3" t="s">
        <v>379</v>
      </c>
      <c r="O2987" s="5">
        <v>24.3274326</v>
      </c>
      <c r="P2987" s="6" t="str">
        <f t="shared" si="2"/>
        <v>Non Banking Financial Company (NBFC)</v>
      </c>
    </row>
    <row r="2988" hidden="1">
      <c r="A2988" s="3" t="s">
        <v>12296</v>
      </c>
      <c r="B2988" s="4">
        <v>504356.0</v>
      </c>
      <c r="C2988" s="3" t="s">
        <v>12297</v>
      </c>
      <c r="D2988" s="3" t="s">
        <v>12298</v>
      </c>
      <c r="E2988" s="3" t="s">
        <v>12299</v>
      </c>
      <c r="F2988" s="3" t="s">
        <v>19</v>
      </c>
      <c r="G2988" s="3" t="s">
        <v>44</v>
      </c>
      <c r="H2988" s="3">
        <v>10.0</v>
      </c>
      <c r="I2988" s="3" t="s">
        <v>1841</v>
      </c>
      <c r="J2988" s="3" t="s">
        <v>22</v>
      </c>
      <c r="K2988" s="3" t="s">
        <v>1673</v>
      </c>
      <c r="L2988" s="3" t="s">
        <v>1673</v>
      </c>
      <c r="M2988" s="3" t="s">
        <v>1674</v>
      </c>
      <c r="N2988" s="3" t="s">
        <v>1675</v>
      </c>
      <c r="O2988" s="5">
        <v>1.0</v>
      </c>
      <c r="P2988" s="6" t="str">
        <f t="shared" si="2"/>
        <v>Commercial Services &amp; Supplies</v>
      </c>
    </row>
    <row r="2989" hidden="1">
      <c r="A2989" s="3" t="s">
        <v>3728</v>
      </c>
      <c r="B2989" s="4">
        <v>504397.0</v>
      </c>
      <c r="C2989" s="3" t="s">
        <v>12300</v>
      </c>
      <c r="D2989" s="3" t="s">
        <v>12301</v>
      </c>
      <c r="E2989" s="3" t="s">
        <v>12302</v>
      </c>
      <c r="F2989" s="3" t="s">
        <v>19</v>
      </c>
      <c r="G2989" s="3" t="s">
        <v>72</v>
      </c>
      <c r="H2989" s="3">
        <v>10.0</v>
      </c>
      <c r="I2989" s="3" t="s">
        <v>1874</v>
      </c>
      <c r="J2989" s="3" t="s">
        <v>22</v>
      </c>
      <c r="K2989" s="3" t="s">
        <v>1673</v>
      </c>
      <c r="L2989" s="3" t="s">
        <v>1673</v>
      </c>
      <c r="M2989" s="3" t="s">
        <v>1674</v>
      </c>
      <c r="N2989" s="3" t="s">
        <v>1675</v>
      </c>
      <c r="O2989" s="5">
        <v>1.0</v>
      </c>
      <c r="P2989" s="6" t="str">
        <f t="shared" si="2"/>
        <v>Commercial Services &amp; Supplies</v>
      </c>
    </row>
    <row r="2990" hidden="1">
      <c r="A2990" s="3" t="s">
        <v>12303</v>
      </c>
      <c r="B2990" s="4">
        <v>538943.0</v>
      </c>
      <c r="C2990" s="3" t="s">
        <v>12304</v>
      </c>
      <c r="D2990" s="3" t="s">
        <v>12305</v>
      </c>
      <c r="E2990" s="3" t="s">
        <v>12306</v>
      </c>
      <c r="F2990" s="3" t="s">
        <v>19</v>
      </c>
      <c r="G2990" s="3" t="s">
        <v>44</v>
      </c>
      <c r="H2990" s="3">
        <v>10.0</v>
      </c>
      <c r="I2990" s="3" t="s">
        <v>12303</v>
      </c>
      <c r="J2990" s="3" t="s">
        <v>22</v>
      </c>
      <c r="K2990" s="3" t="s">
        <v>204</v>
      </c>
      <c r="L2990" s="3" t="s">
        <v>204</v>
      </c>
      <c r="M2990" s="3" t="s">
        <v>378</v>
      </c>
      <c r="N2990" s="3" t="s">
        <v>379</v>
      </c>
      <c r="O2990" s="5">
        <v>160.0975529</v>
      </c>
      <c r="P2990" s="6" t="str">
        <f t="shared" si="2"/>
        <v>Non Banking Financial Company (NBFC)</v>
      </c>
    </row>
    <row r="2991" hidden="1">
      <c r="A2991" s="3" t="s">
        <v>12307</v>
      </c>
      <c r="B2991" s="4">
        <v>538952.0</v>
      </c>
      <c r="C2991" s="3" t="s">
        <v>12308</v>
      </c>
      <c r="D2991" s="3" t="s">
        <v>12309</v>
      </c>
      <c r="E2991" s="3" t="s">
        <v>12310</v>
      </c>
      <c r="F2991" s="3" t="s">
        <v>19</v>
      </c>
      <c r="G2991" s="3" t="s">
        <v>44</v>
      </c>
      <c r="H2991" s="3">
        <v>1.0</v>
      </c>
      <c r="I2991" s="3" t="s">
        <v>12307</v>
      </c>
      <c r="J2991" s="3" t="s">
        <v>22</v>
      </c>
      <c r="K2991" s="3" t="s">
        <v>204</v>
      </c>
      <c r="L2991" s="3" t="s">
        <v>204</v>
      </c>
      <c r="M2991" s="3" t="s">
        <v>378</v>
      </c>
      <c r="N2991" s="3" t="s">
        <v>379</v>
      </c>
      <c r="O2991" s="5">
        <v>12.4114192</v>
      </c>
      <c r="P2991" s="6" t="str">
        <f t="shared" si="2"/>
        <v>Non Banking Financial Company (NBFC)</v>
      </c>
    </row>
    <row r="2992" hidden="1">
      <c r="A2992" s="3" t="s">
        <v>12311</v>
      </c>
      <c r="B2992" s="4">
        <v>538961.0</v>
      </c>
      <c r="C2992" s="3" t="s">
        <v>12312</v>
      </c>
      <c r="D2992" s="3" t="s">
        <v>12313</v>
      </c>
      <c r="E2992" s="3" t="s">
        <v>12314</v>
      </c>
      <c r="F2992" s="3" t="s">
        <v>19</v>
      </c>
      <c r="G2992" s="3" t="s">
        <v>112</v>
      </c>
      <c r="H2992" s="3">
        <v>1.0</v>
      </c>
      <c r="I2992" s="3" t="s">
        <v>12311</v>
      </c>
      <c r="J2992" s="3" t="s">
        <v>22</v>
      </c>
      <c r="K2992" s="3" t="s">
        <v>23</v>
      </c>
      <c r="L2992" s="3" t="s">
        <v>32</v>
      </c>
      <c r="M2992" s="3" t="s">
        <v>33</v>
      </c>
      <c r="N2992" s="3" t="s">
        <v>34</v>
      </c>
      <c r="O2992" s="5">
        <v>572.3097473</v>
      </c>
      <c r="P2992" s="6" t="str">
        <f t="shared" si="2"/>
        <v>Paper, Forest &amp; Jute Products</v>
      </c>
    </row>
    <row r="2993">
      <c r="A2993" s="3" t="s">
        <v>2495</v>
      </c>
      <c r="B2993" s="4">
        <v>543904.0</v>
      </c>
      <c r="C2993" s="3" t="s">
        <v>12315</v>
      </c>
      <c r="D2993" s="3" t="s">
        <v>12316</v>
      </c>
      <c r="E2993" s="3" t="s">
        <v>12317</v>
      </c>
      <c r="F2993" s="3" t="s">
        <v>19</v>
      </c>
      <c r="G2993" s="3" t="s">
        <v>112</v>
      </c>
      <c r="H2993" s="3">
        <v>1.0</v>
      </c>
      <c r="I2993" s="3" t="s">
        <v>12318</v>
      </c>
      <c r="J2993" s="3" t="s">
        <v>22</v>
      </c>
      <c r="K2993" s="3" t="s">
        <v>45</v>
      </c>
      <c r="L2993" s="3" t="s">
        <v>45</v>
      </c>
      <c r="M2993" s="3" t="s">
        <v>46</v>
      </c>
      <c r="N2993" s="3" t="s">
        <v>47</v>
      </c>
      <c r="O2993" s="5">
        <v>84454.4820001</v>
      </c>
      <c r="P2993" s="6" t="str">
        <f t="shared" si="2"/>
        <v>Pharmaceuticals</v>
      </c>
    </row>
    <row r="2994" hidden="1">
      <c r="A2994" s="3" t="s">
        <v>12319</v>
      </c>
      <c r="B2994" s="4">
        <v>538964.0</v>
      </c>
      <c r="C2994" s="3" t="s">
        <v>12320</v>
      </c>
      <c r="D2994" s="3" t="s">
        <v>12321</v>
      </c>
      <c r="E2994" s="3" t="s">
        <v>12322</v>
      </c>
      <c r="F2994" s="3" t="s">
        <v>19</v>
      </c>
      <c r="G2994" s="3" t="s">
        <v>44</v>
      </c>
      <c r="H2994" s="3">
        <v>10.0</v>
      </c>
      <c r="I2994" s="3" t="s">
        <v>12319</v>
      </c>
      <c r="J2994" s="3" t="s">
        <v>22</v>
      </c>
      <c r="K2994" s="3" t="s">
        <v>45</v>
      </c>
      <c r="L2994" s="3" t="s">
        <v>45</v>
      </c>
      <c r="M2994" s="3" t="s">
        <v>46</v>
      </c>
      <c r="N2994" s="3" t="s">
        <v>47</v>
      </c>
      <c r="O2994" s="5">
        <v>110.6898409</v>
      </c>
      <c r="P2994" s="6" t="str">
        <f t="shared" si="2"/>
        <v>Pharmaceuticals</v>
      </c>
    </row>
    <row r="2995" hidden="1">
      <c r="A2995" s="3" t="s">
        <v>12323</v>
      </c>
      <c r="B2995" s="4">
        <v>538965.0</v>
      </c>
      <c r="C2995" s="3" t="s">
        <v>12324</v>
      </c>
      <c r="D2995" s="3" t="s">
        <v>12325</v>
      </c>
      <c r="E2995" s="3" t="s">
        <v>12326</v>
      </c>
      <c r="F2995" s="3" t="s">
        <v>19</v>
      </c>
      <c r="G2995" s="3" t="s">
        <v>44</v>
      </c>
      <c r="H2995" s="3">
        <v>10.0</v>
      </c>
      <c r="I2995" s="3" t="s">
        <v>12323</v>
      </c>
      <c r="J2995" s="3" t="s">
        <v>22</v>
      </c>
      <c r="K2995" s="3" t="s">
        <v>45</v>
      </c>
      <c r="L2995" s="3" t="s">
        <v>45</v>
      </c>
      <c r="M2995" s="3" t="s">
        <v>46</v>
      </c>
      <c r="N2995" s="3" t="s">
        <v>47</v>
      </c>
      <c r="O2995" s="5">
        <v>40.7221331</v>
      </c>
      <c r="P2995" s="6" t="str">
        <f t="shared" si="2"/>
        <v>Pharmaceuticals</v>
      </c>
    </row>
    <row r="2996" hidden="1">
      <c r="A2996" s="3" t="s">
        <v>12327</v>
      </c>
      <c r="B2996" s="4">
        <v>538970.0</v>
      </c>
      <c r="C2996" s="3" t="s">
        <v>12328</v>
      </c>
      <c r="D2996" s="3" t="s">
        <v>12329</v>
      </c>
      <c r="E2996" s="3" t="s">
        <v>12330</v>
      </c>
      <c r="F2996" s="3" t="s">
        <v>19</v>
      </c>
      <c r="G2996" s="3" t="s">
        <v>112</v>
      </c>
      <c r="H2996" s="3">
        <v>1.0</v>
      </c>
      <c r="I2996" s="3" t="s">
        <v>12327</v>
      </c>
      <c r="J2996" s="3" t="s">
        <v>22</v>
      </c>
      <c r="K2996" s="3" t="s">
        <v>58</v>
      </c>
      <c r="L2996" s="3" t="s">
        <v>133</v>
      </c>
      <c r="M2996" s="3" t="s">
        <v>906</v>
      </c>
      <c r="N2996" s="3" t="s">
        <v>961</v>
      </c>
      <c r="O2996" s="5">
        <v>1599.096</v>
      </c>
      <c r="P2996" s="6" t="str">
        <f t="shared" si="2"/>
        <v>Automobiles</v>
      </c>
    </row>
    <row r="2997" hidden="1">
      <c r="A2997" s="3" t="s">
        <v>12331</v>
      </c>
      <c r="B2997" s="4">
        <v>538975.0</v>
      </c>
      <c r="C2997" s="3" t="s">
        <v>12332</v>
      </c>
      <c r="D2997" s="3" t="s">
        <v>12333</v>
      </c>
      <c r="E2997" s="3" t="s">
        <v>12334</v>
      </c>
      <c r="F2997" s="3" t="s">
        <v>19</v>
      </c>
      <c r="G2997" s="3" t="s">
        <v>44</v>
      </c>
      <c r="H2997" s="3">
        <v>1.0</v>
      </c>
      <c r="I2997" s="3" t="s">
        <v>12331</v>
      </c>
      <c r="J2997" s="3" t="s">
        <v>22</v>
      </c>
      <c r="K2997" s="3" t="s">
        <v>204</v>
      </c>
      <c r="L2997" s="3" t="s">
        <v>204</v>
      </c>
      <c r="M2997" s="3" t="s">
        <v>378</v>
      </c>
      <c r="N2997" s="3" t="s">
        <v>379</v>
      </c>
      <c r="O2997" s="5">
        <v>26.4976909</v>
      </c>
      <c r="P2997" s="6" t="str">
        <f t="shared" si="2"/>
        <v>Non Banking Financial Company (NBFC)</v>
      </c>
    </row>
    <row r="2998">
      <c r="A2998" s="3" t="s">
        <v>2503</v>
      </c>
      <c r="B2998" s="4">
        <v>543960.0</v>
      </c>
      <c r="C2998" s="3" t="s">
        <v>12335</v>
      </c>
      <c r="D2998" s="3" t="s">
        <v>12336</v>
      </c>
      <c r="E2998" s="3" t="s">
        <v>12337</v>
      </c>
      <c r="F2998" s="3" t="s">
        <v>19</v>
      </c>
      <c r="G2998" s="3" t="s">
        <v>112</v>
      </c>
      <c r="H2998" s="3">
        <v>1.0</v>
      </c>
      <c r="I2998" s="3" t="s">
        <v>12338</v>
      </c>
      <c r="J2998" s="3" t="s">
        <v>22</v>
      </c>
      <c r="K2998" s="3" t="s">
        <v>45</v>
      </c>
      <c r="L2998" s="3" t="s">
        <v>45</v>
      </c>
      <c r="M2998" s="3" t="s">
        <v>46</v>
      </c>
      <c r="N2998" s="3" t="s">
        <v>47</v>
      </c>
      <c r="O2998" s="5">
        <v>16575.6956759</v>
      </c>
      <c r="P2998" s="6" t="str">
        <f t="shared" si="2"/>
        <v>Pharmaceuticals</v>
      </c>
    </row>
    <row r="2999" hidden="1">
      <c r="A2999" s="3" t="s">
        <v>12339</v>
      </c>
      <c r="B2999" s="4">
        <v>538987.0</v>
      </c>
      <c r="C2999" s="3" t="s">
        <v>12340</v>
      </c>
      <c r="D2999" s="3" t="s">
        <v>12341</v>
      </c>
      <c r="E2999" s="3" t="s">
        <v>12342</v>
      </c>
      <c r="F2999" s="3" t="s">
        <v>19</v>
      </c>
      <c r="G2999" s="3" t="s">
        <v>44</v>
      </c>
      <c r="H2999" s="3">
        <v>10.0</v>
      </c>
      <c r="I2999" s="3" t="s">
        <v>12339</v>
      </c>
      <c r="J2999" s="3" t="s">
        <v>22</v>
      </c>
      <c r="K2999" s="3" t="s">
        <v>58</v>
      </c>
      <c r="L2999" s="3" t="s">
        <v>133</v>
      </c>
      <c r="M2999" s="3" t="s">
        <v>134</v>
      </c>
      <c r="N2999" s="3" t="s">
        <v>135</v>
      </c>
      <c r="O2999" s="5">
        <v>353.656848</v>
      </c>
      <c r="P2999" s="6" t="str">
        <f t="shared" si="2"/>
        <v>Auto Components &amp; Equipments</v>
      </c>
    </row>
    <row r="3000" hidden="1">
      <c r="A3000" s="3" t="s">
        <v>12343</v>
      </c>
      <c r="B3000" s="4">
        <v>538992.0</v>
      </c>
      <c r="C3000" s="3" t="s">
        <v>12344</v>
      </c>
      <c r="D3000" s="3" t="s">
        <v>12345</v>
      </c>
      <c r="E3000" s="3" t="s">
        <v>12346</v>
      </c>
      <c r="F3000" s="3" t="s">
        <v>19</v>
      </c>
      <c r="G3000" s="3" t="s">
        <v>44</v>
      </c>
      <c r="H3000" s="3">
        <v>10.0</v>
      </c>
      <c r="I3000" s="3" t="s">
        <v>12343</v>
      </c>
      <c r="J3000" s="3" t="s">
        <v>22</v>
      </c>
      <c r="K3000" s="3" t="s">
        <v>58</v>
      </c>
      <c r="L3000" s="3" t="s">
        <v>133</v>
      </c>
      <c r="M3000" s="3" t="s">
        <v>134</v>
      </c>
      <c r="N3000" s="3" t="s">
        <v>135</v>
      </c>
      <c r="O3000" s="5">
        <v>1116.471825</v>
      </c>
      <c r="P3000" s="6" t="str">
        <f t="shared" si="2"/>
        <v>Auto Components &amp; Equipments</v>
      </c>
    </row>
    <row r="3001" hidden="1">
      <c r="A3001" s="3" t="s">
        <v>12347</v>
      </c>
      <c r="B3001" s="4">
        <v>505520.0</v>
      </c>
      <c r="C3001" s="3" t="s">
        <v>12348</v>
      </c>
      <c r="D3001" s="3" t="s">
        <v>12349</v>
      </c>
      <c r="E3001" s="3" t="s">
        <v>12350</v>
      </c>
      <c r="F3001" s="3" t="s">
        <v>19</v>
      </c>
      <c r="G3001" s="3" t="s">
        <v>72</v>
      </c>
      <c r="H3001" s="3">
        <v>10.0</v>
      </c>
      <c r="I3001" s="3" t="s">
        <v>2095</v>
      </c>
      <c r="J3001" s="3" t="s">
        <v>22</v>
      </c>
      <c r="K3001" s="3" t="s">
        <v>1673</v>
      </c>
      <c r="L3001" s="3" t="s">
        <v>1673</v>
      </c>
      <c r="M3001" s="3" t="s">
        <v>1674</v>
      </c>
      <c r="N3001" s="3" t="s">
        <v>1675</v>
      </c>
      <c r="O3001" s="5">
        <v>1.0</v>
      </c>
      <c r="P3001" s="6" t="str">
        <f t="shared" si="2"/>
        <v>Commercial Services &amp; Supplies</v>
      </c>
    </row>
    <row r="3002">
      <c r="A3002" s="3" t="s">
        <v>12351</v>
      </c>
      <c r="B3002" s="4">
        <v>543980.0</v>
      </c>
      <c r="C3002" s="3" t="s">
        <v>12352</v>
      </c>
      <c r="D3002" s="3" t="s">
        <v>12353</v>
      </c>
      <c r="E3002" s="3" t="s">
        <v>12354</v>
      </c>
      <c r="F3002" s="3" t="s">
        <v>19</v>
      </c>
      <c r="G3002" s="3" t="s">
        <v>112</v>
      </c>
      <c r="H3002" s="3">
        <v>10.0</v>
      </c>
      <c r="I3002" s="3" t="s">
        <v>12355</v>
      </c>
      <c r="J3002" s="3" t="s">
        <v>22</v>
      </c>
      <c r="K3002" s="3" t="s">
        <v>45</v>
      </c>
      <c r="L3002" s="3" t="s">
        <v>45</v>
      </c>
      <c r="M3002" s="3" t="s">
        <v>4488</v>
      </c>
      <c r="N3002" s="3" t="s">
        <v>5801</v>
      </c>
      <c r="O3002" s="5">
        <v>8448.8511187</v>
      </c>
      <c r="P3002" s="6" t="str">
        <f t="shared" si="2"/>
        <v>Healthcare Services</v>
      </c>
    </row>
    <row r="3003" hidden="1">
      <c r="A3003" s="3" t="s">
        <v>12356</v>
      </c>
      <c r="B3003" s="4">
        <v>539011.0</v>
      </c>
      <c r="C3003" s="3" t="s">
        <v>12357</v>
      </c>
      <c r="D3003" s="3" t="s">
        <v>12358</v>
      </c>
      <c r="E3003" s="3" t="s">
        <v>12359</v>
      </c>
      <c r="F3003" s="3" t="s">
        <v>19</v>
      </c>
      <c r="G3003" s="3" t="s">
        <v>44</v>
      </c>
      <c r="H3003" s="3">
        <v>10.0</v>
      </c>
      <c r="I3003" s="3" t="s">
        <v>12356</v>
      </c>
      <c r="J3003" s="3" t="s">
        <v>22</v>
      </c>
      <c r="K3003" s="3" t="s">
        <v>23</v>
      </c>
      <c r="L3003" s="3" t="s">
        <v>65</v>
      </c>
      <c r="M3003" s="3" t="s">
        <v>438</v>
      </c>
      <c r="N3003" s="3" t="s">
        <v>2155</v>
      </c>
      <c r="O3003" s="5">
        <v>43.5720682</v>
      </c>
      <c r="P3003" s="6" t="str">
        <f t="shared" si="2"/>
        <v>Metals &amp; Minerals Trading</v>
      </c>
    </row>
    <row r="3004" hidden="1">
      <c r="A3004" s="3" t="s">
        <v>7484</v>
      </c>
      <c r="B3004" s="4">
        <v>505585.0</v>
      </c>
      <c r="C3004" s="3" t="s">
        <v>12360</v>
      </c>
      <c r="D3004" s="3" t="s">
        <v>12361</v>
      </c>
      <c r="E3004" s="3" t="s">
        <v>12362</v>
      </c>
      <c r="F3004" s="3" t="s">
        <v>19</v>
      </c>
      <c r="G3004" s="3" t="s">
        <v>44</v>
      </c>
      <c r="H3004" s="3">
        <v>10.0</v>
      </c>
      <c r="I3004" s="3" t="s">
        <v>2118</v>
      </c>
      <c r="J3004" s="3" t="s">
        <v>22</v>
      </c>
      <c r="K3004" s="3" t="s">
        <v>1673</v>
      </c>
      <c r="L3004" s="3" t="s">
        <v>1673</v>
      </c>
      <c r="M3004" s="3" t="s">
        <v>1674</v>
      </c>
      <c r="N3004" s="3" t="s">
        <v>1675</v>
      </c>
      <c r="O3004" s="5">
        <v>1.0</v>
      </c>
      <c r="P3004" s="6" t="str">
        <f t="shared" si="2"/>
        <v>Commercial Services &amp; Supplies</v>
      </c>
    </row>
    <row r="3005" hidden="1">
      <c r="A3005" s="3" t="s">
        <v>12363</v>
      </c>
      <c r="B3005" s="4">
        <v>539013.0</v>
      </c>
      <c r="C3005" s="3" t="s">
        <v>12364</v>
      </c>
      <c r="D3005" s="3" t="s">
        <v>12365</v>
      </c>
      <c r="E3005" s="3" t="s">
        <v>12366</v>
      </c>
      <c r="F3005" s="3" t="s">
        <v>19</v>
      </c>
      <c r="G3005" s="3" t="s">
        <v>72</v>
      </c>
      <c r="H3005" s="3">
        <v>10.0</v>
      </c>
      <c r="I3005" s="3" t="s">
        <v>12363</v>
      </c>
      <c r="J3005" s="3" t="s">
        <v>22</v>
      </c>
      <c r="K3005" s="3" t="s">
        <v>1647</v>
      </c>
      <c r="L3005" s="3" t="s">
        <v>1648</v>
      </c>
      <c r="M3005" s="3" t="s">
        <v>1648</v>
      </c>
      <c r="N3005" s="3" t="s">
        <v>1649</v>
      </c>
      <c r="O3005" s="5">
        <v>70.5330762</v>
      </c>
      <c r="P3005" s="6" t="str">
        <f t="shared" si="2"/>
        <v>Power</v>
      </c>
    </row>
    <row r="3006" hidden="1">
      <c r="A3006" s="3" t="s">
        <v>12367</v>
      </c>
      <c r="B3006" s="4">
        <v>539016.0</v>
      </c>
      <c r="C3006" s="3" t="s">
        <v>12368</v>
      </c>
      <c r="D3006" s="3" t="s">
        <v>12369</v>
      </c>
      <c r="E3006" s="3" t="s">
        <v>12370</v>
      </c>
      <c r="F3006" s="3" t="s">
        <v>19</v>
      </c>
      <c r="G3006" s="3" t="s">
        <v>44</v>
      </c>
      <c r="H3006" s="3">
        <v>10.0</v>
      </c>
      <c r="I3006" s="3" t="s">
        <v>12367</v>
      </c>
      <c r="J3006" s="3" t="s">
        <v>22</v>
      </c>
      <c r="K3006" s="3" t="s">
        <v>204</v>
      </c>
      <c r="L3006" s="3" t="s">
        <v>204</v>
      </c>
      <c r="M3006" s="3" t="s">
        <v>378</v>
      </c>
      <c r="N3006" s="3" t="s">
        <v>379</v>
      </c>
      <c r="O3006" s="5">
        <v>34.645563</v>
      </c>
      <c r="P3006" s="6" t="str">
        <f t="shared" si="2"/>
        <v>Non Banking Financial Company (NBFC)</v>
      </c>
    </row>
    <row r="3007" hidden="1">
      <c r="A3007" s="3" t="s">
        <v>12371</v>
      </c>
      <c r="B3007" s="4">
        <v>539017.0</v>
      </c>
      <c r="C3007" s="3" t="s">
        <v>12372</v>
      </c>
      <c r="D3007" s="3" t="s">
        <v>12373</v>
      </c>
      <c r="E3007" s="3" t="s">
        <v>12374</v>
      </c>
      <c r="F3007" s="3" t="s">
        <v>19</v>
      </c>
      <c r="G3007" s="3" t="s">
        <v>44</v>
      </c>
      <c r="H3007" s="3">
        <v>5.0</v>
      </c>
      <c r="I3007" s="3" t="s">
        <v>12371</v>
      </c>
      <c r="J3007" s="3" t="s">
        <v>22</v>
      </c>
      <c r="K3007" s="3" t="s">
        <v>204</v>
      </c>
      <c r="L3007" s="3" t="s">
        <v>204</v>
      </c>
      <c r="M3007" s="3" t="s">
        <v>378</v>
      </c>
      <c r="N3007" s="3" t="s">
        <v>3066</v>
      </c>
      <c r="O3007" s="5">
        <v>423.5169295</v>
      </c>
      <c r="P3007" s="6" t="str">
        <f t="shared" si="2"/>
        <v>Finance</v>
      </c>
    </row>
    <row r="3008" hidden="1">
      <c r="A3008" s="3" t="s">
        <v>12375</v>
      </c>
      <c r="B3008" s="4">
        <v>539018.0</v>
      </c>
      <c r="C3008" s="3" t="s">
        <v>12376</v>
      </c>
      <c r="D3008" s="3" t="s">
        <v>12377</v>
      </c>
      <c r="E3008" s="3" t="s">
        <v>12378</v>
      </c>
      <c r="F3008" s="3" t="s">
        <v>19</v>
      </c>
      <c r="G3008" s="3" t="s">
        <v>112</v>
      </c>
      <c r="H3008" s="3">
        <v>10.0</v>
      </c>
      <c r="I3008" s="3" t="s">
        <v>12375</v>
      </c>
      <c r="J3008" s="3" t="s">
        <v>22</v>
      </c>
      <c r="K3008" s="3" t="s">
        <v>97</v>
      </c>
      <c r="L3008" s="3" t="s">
        <v>98</v>
      </c>
      <c r="M3008" s="3" t="s">
        <v>100</v>
      </c>
      <c r="N3008" s="3" t="s">
        <v>612</v>
      </c>
      <c r="O3008" s="5">
        <v>1491.8862287</v>
      </c>
      <c r="P3008" s="6" t="str">
        <f t="shared" si="2"/>
        <v>Industrial Products</v>
      </c>
    </row>
    <row r="3009" hidden="1">
      <c r="A3009" s="3" t="s">
        <v>12379</v>
      </c>
      <c r="B3009" s="4">
        <v>539026.0</v>
      </c>
      <c r="C3009" s="3" t="s">
        <v>12380</v>
      </c>
      <c r="D3009" s="3" t="s">
        <v>12381</v>
      </c>
      <c r="E3009" s="3" t="s">
        <v>12382</v>
      </c>
      <c r="F3009" s="3" t="s">
        <v>19</v>
      </c>
      <c r="G3009" s="3" t="s">
        <v>6293</v>
      </c>
      <c r="H3009" s="3">
        <v>10.0</v>
      </c>
      <c r="I3009" s="3" t="s">
        <v>12379</v>
      </c>
      <c r="J3009" s="3" t="s">
        <v>22</v>
      </c>
      <c r="K3009" s="3" t="s">
        <v>204</v>
      </c>
      <c r="L3009" s="3" t="s">
        <v>204</v>
      </c>
      <c r="M3009" s="3" t="s">
        <v>378</v>
      </c>
      <c r="N3009" s="3" t="s">
        <v>468</v>
      </c>
      <c r="O3009" s="5">
        <v>3.203294</v>
      </c>
      <c r="P3009" s="6" t="str">
        <f t="shared" si="2"/>
        <v>Finance</v>
      </c>
    </row>
    <row r="3010" hidden="1">
      <c r="A3010" s="3" t="s">
        <v>12383</v>
      </c>
      <c r="B3010" s="4">
        <v>505594.0</v>
      </c>
      <c r="C3010" s="3" t="s">
        <v>12384</v>
      </c>
      <c r="D3010" s="3" t="s">
        <v>12385</v>
      </c>
      <c r="E3010" s="3" t="s">
        <v>12386</v>
      </c>
      <c r="F3010" s="3" t="s">
        <v>19</v>
      </c>
      <c r="G3010" s="3" t="s">
        <v>72</v>
      </c>
      <c r="H3010" s="3">
        <v>10.0</v>
      </c>
      <c r="I3010" s="3" t="s">
        <v>2127</v>
      </c>
      <c r="J3010" s="3" t="s">
        <v>22</v>
      </c>
      <c r="K3010" s="3" t="s">
        <v>1673</v>
      </c>
      <c r="L3010" s="3" t="s">
        <v>1673</v>
      </c>
      <c r="M3010" s="3" t="s">
        <v>1674</v>
      </c>
      <c r="N3010" s="3" t="s">
        <v>1675</v>
      </c>
      <c r="O3010" s="5">
        <v>1.0</v>
      </c>
      <c r="P3010" s="6" t="str">
        <f t="shared" si="2"/>
        <v>Commercial Services &amp; Supplies</v>
      </c>
    </row>
    <row r="3011" hidden="1">
      <c r="A3011" s="3" t="s">
        <v>12387</v>
      </c>
      <c r="B3011" s="4">
        <v>539040.0</v>
      </c>
      <c r="C3011" s="3" t="s">
        <v>12388</v>
      </c>
      <c r="D3011" s="3" t="s">
        <v>12389</v>
      </c>
      <c r="E3011" s="3" t="s">
        <v>12390</v>
      </c>
      <c r="F3011" s="3" t="s">
        <v>19</v>
      </c>
      <c r="G3011" s="3" t="s">
        <v>72</v>
      </c>
      <c r="H3011" s="3">
        <v>10.0</v>
      </c>
      <c r="I3011" s="3" t="s">
        <v>12387</v>
      </c>
      <c r="J3011" s="3" t="s">
        <v>22</v>
      </c>
      <c r="K3011" s="3" t="s">
        <v>58</v>
      </c>
      <c r="L3011" s="3" t="s">
        <v>133</v>
      </c>
      <c r="M3011" s="3" t="s">
        <v>134</v>
      </c>
      <c r="N3011" s="3" t="s">
        <v>449</v>
      </c>
      <c r="O3011" s="5">
        <v>57.2711212</v>
      </c>
      <c r="P3011" s="6" t="str">
        <f t="shared" si="2"/>
        <v>Auto Components</v>
      </c>
    </row>
    <row r="3012" hidden="1">
      <c r="A3012" s="3" t="s">
        <v>6077</v>
      </c>
      <c r="B3012" s="4">
        <v>506120.0</v>
      </c>
      <c r="C3012" s="3" t="s">
        <v>12391</v>
      </c>
      <c r="D3012" s="3" t="s">
        <v>12392</v>
      </c>
      <c r="E3012" s="3" t="s">
        <v>12393</v>
      </c>
      <c r="F3012" s="3" t="s">
        <v>19</v>
      </c>
      <c r="G3012" s="3" t="s">
        <v>1858</v>
      </c>
      <c r="H3012" s="3">
        <v>10.0</v>
      </c>
      <c r="I3012" s="3" t="s">
        <v>2294</v>
      </c>
      <c r="J3012" s="3" t="s">
        <v>22</v>
      </c>
      <c r="K3012" s="3" t="s">
        <v>1673</v>
      </c>
      <c r="L3012" s="3" t="s">
        <v>1673</v>
      </c>
      <c r="M3012" s="3" t="s">
        <v>1674</v>
      </c>
      <c r="N3012" s="3" t="s">
        <v>1915</v>
      </c>
      <c r="O3012" s="5">
        <v>1.0</v>
      </c>
      <c r="P3012" s="6" t="str">
        <f t="shared" si="2"/>
        <v>Commercial Services &amp; Supplies</v>
      </c>
    </row>
    <row r="3013" hidden="1">
      <c r="A3013" s="3" t="s">
        <v>12394</v>
      </c>
      <c r="B3013" s="4">
        <v>539042.0</v>
      </c>
      <c r="C3013" s="3" t="s">
        <v>12395</v>
      </c>
      <c r="D3013" s="3" t="s">
        <v>12396</v>
      </c>
      <c r="E3013" s="3" t="s">
        <v>12397</v>
      </c>
      <c r="F3013" s="3" t="s">
        <v>19</v>
      </c>
      <c r="G3013" s="3" t="s">
        <v>112</v>
      </c>
      <c r="H3013" s="3">
        <v>10.0</v>
      </c>
      <c r="I3013" s="3" t="s">
        <v>12394</v>
      </c>
      <c r="J3013" s="3" t="s">
        <v>22</v>
      </c>
      <c r="K3013" s="3" t="s">
        <v>58</v>
      </c>
      <c r="L3013" s="3" t="s">
        <v>59</v>
      </c>
      <c r="M3013" s="3" t="s">
        <v>59</v>
      </c>
      <c r="N3013" s="3" t="s">
        <v>60</v>
      </c>
      <c r="O3013" s="5">
        <v>1058.116592</v>
      </c>
      <c r="P3013" s="6" t="str">
        <f t="shared" si="2"/>
        <v>Residential, Commercial Projects</v>
      </c>
    </row>
    <row r="3014" hidden="1">
      <c r="A3014" s="3" t="s">
        <v>12398</v>
      </c>
      <c r="B3014" s="4">
        <v>539044.0</v>
      </c>
      <c r="C3014" s="3" t="s">
        <v>12399</v>
      </c>
      <c r="D3014" s="3" t="s">
        <v>12400</v>
      </c>
      <c r="E3014" s="3" t="s">
        <v>12401</v>
      </c>
      <c r="F3014" s="3" t="s">
        <v>19</v>
      </c>
      <c r="G3014" s="3" t="s">
        <v>86</v>
      </c>
      <c r="H3014" s="3">
        <v>1.0</v>
      </c>
      <c r="I3014" s="3" t="s">
        <v>12398</v>
      </c>
      <c r="J3014" s="3" t="s">
        <v>22</v>
      </c>
      <c r="K3014" s="3" t="s">
        <v>23</v>
      </c>
      <c r="L3014" s="3" t="s">
        <v>65</v>
      </c>
      <c r="M3014" s="3" t="s">
        <v>106</v>
      </c>
      <c r="N3014" s="3" t="s">
        <v>107</v>
      </c>
      <c r="O3014" s="5">
        <v>369.8842574</v>
      </c>
      <c r="P3014" s="6" t="str">
        <f t="shared" si="2"/>
        <v>Ferrous Metals</v>
      </c>
    </row>
    <row r="3015" hidden="1">
      <c r="A3015" s="3" t="s">
        <v>12402</v>
      </c>
      <c r="B3015" s="4">
        <v>539045.0</v>
      </c>
      <c r="C3015" s="3" t="s">
        <v>12403</v>
      </c>
      <c r="D3015" s="3" t="s">
        <v>12404</v>
      </c>
      <c r="E3015" s="3" t="s">
        <v>12403</v>
      </c>
      <c r="F3015" s="3" t="s">
        <v>19</v>
      </c>
      <c r="G3015" s="3" t="s">
        <v>112</v>
      </c>
      <c r="H3015" s="3">
        <v>1.0</v>
      </c>
      <c r="I3015" s="3" t="s">
        <v>12402</v>
      </c>
      <c r="J3015" s="3" t="s">
        <v>22</v>
      </c>
      <c r="K3015" s="3" t="s">
        <v>23</v>
      </c>
      <c r="L3015" s="3" t="s">
        <v>65</v>
      </c>
      <c r="M3015" s="3" t="s">
        <v>66</v>
      </c>
      <c r="N3015" s="3" t="s">
        <v>286</v>
      </c>
      <c r="O3015" s="5">
        <v>181.9779889</v>
      </c>
      <c r="P3015" s="6" t="str">
        <f t="shared" si="2"/>
        <v>Non - Ferrous Metals</v>
      </c>
    </row>
    <row r="3016" hidden="1">
      <c r="A3016" s="3" t="s">
        <v>12405</v>
      </c>
      <c r="B3016" s="4">
        <v>539046.0</v>
      </c>
      <c r="C3016" s="3" t="s">
        <v>12406</v>
      </c>
      <c r="D3016" s="3" t="s">
        <v>12407</v>
      </c>
      <c r="E3016" s="3" t="s">
        <v>12406</v>
      </c>
      <c r="F3016" s="3" t="s">
        <v>19</v>
      </c>
      <c r="G3016" s="3" t="s">
        <v>86</v>
      </c>
      <c r="H3016" s="3">
        <v>1.0</v>
      </c>
      <c r="I3016" s="3" t="s">
        <v>12405</v>
      </c>
      <c r="J3016" s="3" t="s">
        <v>22</v>
      </c>
      <c r="K3016" s="3" t="s">
        <v>97</v>
      </c>
      <c r="L3016" s="3" t="s">
        <v>98</v>
      </c>
      <c r="M3016" s="3" t="s">
        <v>100</v>
      </c>
      <c r="N3016" s="3" t="s">
        <v>612</v>
      </c>
      <c r="O3016" s="5">
        <v>464.83554</v>
      </c>
      <c r="P3016" s="6" t="str">
        <f t="shared" si="2"/>
        <v>Industrial Products</v>
      </c>
    </row>
    <row r="3017" hidden="1">
      <c r="A3017" s="3" t="s">
        <v>12408</v>
      </c>
      <c r="B3017" s="4">
        <v>539056.0</v>
      </c>
      <c r="C3017" s="3" t="s">
        <v>12409</v>
      </c>
      <c r="D3017" s="3" t="s">
        <v>12410</v>
      </c>
      <c r="E3017" s="3" t="s">
        <v>12411</v>
      </c>
      <c r="F3017" s="3" t="s">
        <v>19</v>
      </c>
      <c r="G3017" s="3" t="s">
        <v>112</v>
      </c>
      <c r="H3017" s="3">
        <v>10.0</v>
      </c>
      <c r="I3017" s="3" t="s">
        <v>12408</v>
      </c>
      <c r="J3017" s="3" t="s">
        <v>22</v>
      </c>
      <c r="K3017" s="3" t="s">
        <v>58</v>
      </c>
      <c r="L3017" s="3" t="s">
        <v>73</v>
      </c>
      <c r="M3017" s="3" t="s">
        <v>74</v>
      </c>
      <c r="N3017" s="3" t="s">
        <v>2446</v>
      </c>
      <c r="O3017" s="5">
        <v>4238.226</v>
      </c>
      <c r="P3017" s="6" t="str">
        <f t="shared" si="2"/>
        <v>Leisure Services</v>
      </c>
    </row>
    <row r="3018">
      <c r="A3018" s="3" t="s">
        <v>12412</v>
      </c>
      <c r="B3018" s="4">
        <v>544009.0</v>
      </c>
      <c r="C3018" s="3" t="s">
        <v>12413</v>
      </c>
      <c r="D3018" s="3" t="s">
        <v>12414</v>
      </c>
      <c r="E3018" s="3" t="s">
        <v>12415</v>
      </c>
      <c r="F3018" s="3" t="s">
        <v>19</v>
      </c>
      <c r="G3018" s="3" t="s">
        <v>112</v>
      </c>
      <c r="H3018" s="3">
        <v>2.0</v>
      </c>
      <c r="I3018" s="3" t="s">
        <v>12416</v>
      </c>
      <c r="J3018" s="3" t="s">
        <v>22</v>
      </c>
      <c r="K3018" s="3" t="s">
        <v>45</v>
      </c>
      <c r="L3018" s="3" t="s">
        <v>45</v>
      </c>
      <c r="M3018" s="3" t="s">
        <v>46</v>
      </c>
      <c r="N3018" s="3" t="s">
        <v>47</v>
      </c>
      <c r="O3018" s="5">
        <v>6982.8393375</v>
      </c>
      <c r="P3018" s="6" t="str">
        <f t="shared" si="2"/>
        <v>Pharmaceuticals</v>
      </c>
    </row>
    <row r="3019" hidden="1">
      <c r="A3019" s="3" t="s">
        <v>12417</v>
      </c>
      <c r="B3019" s="4">
        <v>539090.0</v>
      </c>
      <c r="C3019" s="3" t="s">
        <v>12418</v>
      </c>
      <c r="D3019" s="3" t="s">
        <v>12419</v>
      </c>
      <c r="E3019" s="3" t="s">
        <v>12420</v>
      </c>
      <c r="F3019" s="3" t="s">
        <v>19</v>
      </c>
      <c r="G3019" s="3" t="s">
        <v>44</v>
      </c>
      <c r="H3019" s="3">
        <v>10.0</v>
      </c>
      <c r="I3019" s="3" t="s">
        <v>12417</v>
      </c>
      <c r="J3019" s="3" t="s">
        <v>22</v>
      </c>
      <c r="K3019" s="3" t="s">
        <v>204</v>
      </c>
      <c r="L3019" s="3" t="s">
        <v>204</v>
      </c>
      <c r="M3019" s="3" t="s">
        <v>378</v>
      </c>
      <c r="N3019" s="3" t="s">
        <v>379</v>
      </c>
      <c r="O3019" s="5">
        <v>1.0</v>
      </c>
      <c r="P3019" s="6" t="str">
        <f t="shared" si="2"/>
        <v>Non Banking Financial Company (NBFC)</v>
      </c>
    </row>
    <row r="3020" hidden="1">
      <c r="A3020" s="3" t="s">
        <v>12421</v>
      </c>
      <c r="B3020" s="4">
        <v>539091.0</v>
      </c>
      <c r="C3020" s="3" t="s">
        <v>12422</v>
      </c>
      <c r="D3020" s="3" t="s">
        <v>12423</v>
      </c>
      <c r="E3020" s="3" t="s">
        <v>12424</v>
      </c>
      <c r="F3020" s="3" t="s">
        <v>19</v>
      </c>
      <c r="G3020" s="3" t="s">
        <v>44</v>
      </c>
      <c r="H3020" s="3">
        <v>10.0</v>
      </c>
      <c r="I3020" s="3" t="s">
        <v>12421</v>
      </c>
      <c r="J3020" s="3" t="s">
        <v>22</v>
      </c>
      <c r="K3020" s="3" t="s">
        <v>204</v>
      </c>
      <c r="L3020" s="3" t="s">
        <v>204</v>
      </c>
      <c r="M3020" s="3" t="s">
        <v>378</v>
      </c>
      <c r="N3020" s="3" t="s">
        <v>384</v>
      </c>
      <c r="O3020" s="5">
        <v>12.5112</v>
      </c>
      <c r="P3020" s="6" t="str">
        <f t="shared" si="2"/>
        <v>Finance</v>
      </c>
    </row>
    <row r="3021" hidden="1">
      <c r="A3021" s="3" t="s">
        <v>12425</v>
      </c>
      <c r="B3021" s="4">
        <v>539096.0</v>
      </c>
      <c r="C3021" s="3" t="s">
        <v>12426</v>
      </c>
      <c r="D3021" s="3" t="s">
        <v>12427</v>
      </c>
      <c r="E3021" s="3" t="s">
        <v>12428</v>
      </c>
      <c r="F3021" s="3" t="s">
        <v>19</v>
      </c>
      <c r="G3021" s="3" t="s">
        <v>72</v>
      </c>
      <c r="H3021" s="3">
        <v>10.0</v>
      </c>
      <c r="I3021" s="3" t="s">
        <v>12425</v>
      </c>
      <c r="J3021" s="3" t="s">
        <v>22</v>
      </c>
      <c r="K3021" s="3" t="s">
        <v>58</v>
      </c>
      <c r="L3021" s="3" t="s">
        <v>80</v>
      </c>
      <c r="M3021" s="3" t="s">
        <v>81</v>
      </c>
      <c r="N3021" s="3" t="s">
        <v>82</v>
      </c>
      <c r="O3021" s="5">
        <v>1.0</v>
      </c>
      <c r="P3021" s="6" t="str">
        <f t="shared" si="2"/>
        <v>Textiles &amp; Apparels</v>
      </c>
    </row>
    <row r="3022" hidden="1">
      <c r="A3022" s="3" t="s">
        <v>5943</v>
      </c>
      <c r="B3022" s="4">
        <v>506178.0</v>
      </c>
      <c r="C3022" s="3" t="s">
        <v>12429</v>
      </c>
      <c r="D3022" s="3" t="s">
        <v>12430</v>
      </c>
      <c r="E3022" s="3" t="s">
        <v>12431</v>
      </c>
      <c r="F3022" s="3" t="s">
        <v>19</v>
      </c>
      <c r="G3022" s="3" t="s">
        <v>72</v>
      </c>
      <c r="H3022" s="3">
        <v>10.0</v>
      </c>
      <c r="I3022" s="3" t="s">
        <v>2327</v>
      </c>
      <c r="J3022" s="3" t="s">
        <v>22</v>
      </c>
      <c r="K3022" s="3" t="s">
        <v>1673</v>
      </c>
      <c r="L3022" s="3" t="s">
        <v>1673</v>
      </c>
      <c r="M3022" s="3" t="s">
        <v>1674</v>
      </c>
      <c r="N3022" s="3" t="s">
        <v>1915</v>
      </c>
      <c r="O3022" s="5">
        <v>1.0</v>
      </c>
      <c r="P3022" s="6" t="str">
        <f t="shared" si="2"/>
        <v>Commercial Services &amp; Supplies</v>
      </c>
    </row>
    <row r="3023" hidden="1">
      <c r="A3023" s="3" t="s">
        <v>12432</v>
      </c>
      <c r="B3023" s="4">
        <v>539098.0</v>
      </c>
      <c r="C3023" s="3" t="s">
        <v>12433</v>
      </c>
      <c r="D3023" s="3" t="s">
        <v>12434</v>
      </c>
      <c r="E3023" s="3" t="s">
        <v>12435</v>
      </c>
      <c r="F3023" s="3" t="s">
        <v>19</v>
      </c>
      <c r="G3023" s="3" t="s">
        <v>2428</v>
      </c>
      <c r="H3023" s="3">
        <v>10.0</v>
      </c>
      <c r="I3023" s="3" t="s">
        <v>12432</v>
      </c>
      <c r="J3023" s="3" t="s">
        <v>22</v>
      </c>
      <c r="K3023" s="3" t="s">
        <v>1647</v>
      </c>
      <c r="L3023" s="3" t="s">
        <v>1647</v>
      </c>
      <c r="M3023" s="3" t="s">
        <v>7778</v>
      </c>
      <c r="N3023" s="3" t="s">
        <v>7778</v>
      </c>
      <c r="O3023" s="5">
        <v>96.9491712</v>
      </c>
      <c r="P3023" s="6" t="str">
        <f t="shared" si="2"/>
        <v>Other Utilities</v>
      </c>
    </row>
    <row r="3024" hidden="1">
      <c r="A3024" s="3" t="s">
        <v>12436</v>
      </c>
      <c r="B3024" s="4">
        <v>539099.0</v>
      </c>
      <c r="C3024" s="3" t="s">
        <v>12437</v>
      </c>
      <c r="D3024" s="3" t="s">
        <v>12438</v>
      </c>
      <c r="E3024" s="3" t="s">
        <v>12439</v>
      </c>
      <c r="F3024" s="3" t="s">
        <v>19</v>
      </c>
      <c r="G3024" s="3" t="s">
        <v>2428</v>
      </c>
      <c r="H3024" s="3">
        <v>10.0</v>
      </c>
      <c r="I3024" s="3" t="s">
        <v>12436</v>
      </c>
      <c r="J3024" s="3" t="s">
        <v>22</v>
      </c>
      <c r="K3024" s="3" t="s">
        <v>58</v>
      </c>
      <c r="L3024" s="3" t="s">
        <v>59</v>
      </c>
      <c r="M3024" s="3" t="s">
        <v>59</v>
      </c>
      <c r="N3024" s="3" t="s">
        <v>60</v>
      </c>
      <c r="O3024" s="5">
        <v>5.0330872</v>
      </c>
      <c r="P3024" s="6" t="str">
        <f t="shared" si="2"/>
        <v>Residential, Commercial Projects</v>
      </c>
    </row>
    <row r="3025" hidden="1">
      <c r="A3025" s="3" t="s">
        <v>12440</v>
      </c>
      <c r="B3025" s="4">
        <v>539110.0</v>
      </c>
      <c r="C3025" s="3" t="s">
        <v>12441</v>
      </c>
      <c r="D3025" s="3" t="s">
        <v>12442</v>
      </c>
      <c r="E3025" s="3" t="s">
        <v>12443</v>
      </c>
      <c r="F3025" s="3" t="s">
        <v>19</v>
      </c>
      <c r="G3025" s="3" t="s">
        <v>72</v>
      </c>
      <c r="H3025" s="3">
        <v>10.0</v>
      </c>
      <c r="I3025" s="3" t="s">
        <v>12440</v>
      </c>
      <c r="J3025" s="3" t="s">
        <v>22</v>
      </c>
      <c r="K3025" s="3" t="s">
        <v>204</v>
      </c>
      <c r="L3025" s="3" t="s">
        <v>204</v>
      </c>
      <c r="M3025" s="3" t="s">
        <v>378</v>
      </c>
      <c r="N3025" s="3" t="s">
        <v>379</v>
      </c>
      <c r="O3025" s="5">
        <v>1.0</v>
      </c>
      <c r="P3025" s="6" t="str">
        <f t="shared" si="2"/>
        <v>Non Banking Financial Company (NBFC)</v>
      </c>
    </row>
    <row r="3026" hidden="1">
      <c r="A3026" s="3" t="s">
        <v>12444</v>
      </c>
      <c r="B3026" s="4">
        <v>539111.0</v>
      </c>
      <c r="C3026" s="3" t="s">
        <v>12445</v>
      </c>
      <c r="D3026" s="3" t="s">
        <v>12446</v>
      </c>
      <c r="E3026" s="3" t="s">
        <v>12447</v>
      </c>
      <c r="F3026" s="3" t="s">
        <v>19</v>
      </c>
      <c r="G3026" s="3" t="s">
        <v>44</v>
      </c>
      <c r="H3026" s="3">
        <v>10.0</v>
      </c>
      <c r="I3026" s="3" t="s">
        <v>12444</v>
      </c>
      <c r="J3026" s="3" t="s">
        <v>22</v>
      </c>
      <c r="K3026" s="3" t="s">
        <v>58</v>
      </c>
      <c r="L3026" s="3" t="s">
        <v>80</v>
      </c>
      <c r="M3026" s="3" t="s">
        <v>81</v>
      </c>
      <c r="N3026" s="3" t="s">
        <v>82</v>
      </c>
      <c r="O3026" s="5">
        <v>1.0</v>
      </c>
      <c r="P3026" s="6" t="str">
        <f t="shared" si="2"/>
        <v>Textiles &amp; Apparels</v>
      </c>
    </row>
    <row r="3027" hidden="1">
      <c r="A3027" s="3" t="s">
        <v>12448</v>
      </c>
      <c r="B3027" s="4">
        <v>539112.0</v>
      </c>
      <c r="C3027" s="3" t="s">
        <v>12449</v>
      </c>
      <c r="D3027" s="3" t="s">
        <v>12450</v>
      </c>
      <c r="E3027" s="3" t="s">
        <v>12451</v>
      </c>
      <c r="F3027" s="3" t="s">
        <v>19</v>
      </c>
      <c r="G3027" s="3" t="s">
        <v>72</v>
      </c>
      <c r="H3027" s="3">
        <v>10.0</v>
      </c>
      <c r="I3027" s="3" t="s">
        <v>12448</v>
      </c>
      <c r="J3027" s="3" t="s">
        <v>22</v>
      </c>
      <c r="K3027" s="3" t="s">
        <v>97</v>
      </c>
      <c r="L3027" s="3" t="s">
        <v>965</v>
      </c>
      <c r="M3027" s="3" t="s">
        <v>965</v>
      </c>
      <c r="N3027" s="3" t="s">
        <v>966</v>
      </c>
      <c r="O3027" s="5">
        <v>253.273211</v>
      </c>
      <c r="P3027" s="6" t="str">
        <f t="shared" si="2"/>
        <v>Civil Construction</v>
      </c>
    </row>
    <row r="3028" hidden="1">
      <c r="A3028" s="3" t="s">
        <v>12452</v>
      </c>
      <c r="B3028" s="4">
        <v>539113.0</v>
      </c>
      <c r="C3028" s="3" t="s">
        <v>12453</v>
      </c>
      <c r="D3028" s="3" t="s">
        <v>12454</v>
      </c>
      <c r="E3028" s="3" t="s">
        <v>12455</v>
      </c>
      <c r="F3028" s="3" t="s">
        <v>19</v>
      </c>
      <c r="G3028" s="3" t="s">
        <v>44</v>
      </c>
      <c r="H3028" s="3">
        <v>10.0</v>
      </c>
      <c r="I3028" s="3" t="s">
        <v>12452</v>
      </c>
      <c r="J3028" s="3" t="s">
        <v>22</v>
      </c>
      <c r="K3028" s="3" t="s">
        <v>204</v>
      </c>
      <c r="L3028" s="3" t="s">
        <v>204</v>
      </c>
      <c r="M3028" s="3" t="s">
        <v>378</v>
      </c>
      <c r="N3028" s="3" t="s">
        <v>468</v>
      </c>
      <c r="O3028" s="5">
        <v>261.60858</v>
      </c>
      <c r="P3028" s="6" t="str">
        <f t="shared" si="2"/>
        <v>Finance</v>
      </c>
    </row>
    <row r="3029" hidden="1">
      <c r="A3029" s="3" t="s">
        <v>12456</v>
      </c>
      <c r="B3029" s="4">
        <v>539115.0</v>
      </c>
      <c r="C3029" s="3" t="s">
        <v>12457</v>
      </c>
      <c r="D3029" s="3" t="s">
        <v>12458</v>
      </c>
      <c r="E3029" s="3" t="s">
        <v>12459</v>
      </c>
      <c r="F3029" s="3" t="s">
        <v>19</v>
      </c>
      <c r="G3029" s="3" t="s">
        <v>44</v>
      </c>
      <c r="H3029" s="3">
        <v>10.0</v>
      </c>
      <c r="I3029" s="3" t="s">
        <v>12456</v>
      </c>
      <c r="J3029" s="3" t="s">
        <v>22</v>
      </c>
      <c r="K3029" s="3" t="s">
        <v>58</v>
      </c>
      <c r="L3029" s="3" t="s">
        <v>182</v>
      </c>
      <c r="M3029" s="3" t="s">
        <v>1168</v>
      </c>
      <c r="N3029" s="3" t="s">
        <v>1568</v>
      </c>
      <c r="O3029" s="5">
        <v>27.9565026</v>
      </c>
      <c r="P3029" s="6" t="str">
        <f t="shared" si="2"/>
        <v>Entertainment</v>
      </c>
    </row>
    <row r="3030" hidden="1">
      <c r="A3030" s="3" t="s">
        <v>8671</v>
      </c>
      <c r="B3030" s="4">
        <v>506190.0</v>
      </c>
      <c r="C3030" s="3" t="s">
        <v>12460</v>
      </c>
      <c r="D3030" s="3" t="s">
        <v>12461</v>
      </c>
      <c r="E3030" s="3" t="s">
        <v>12462</v>
      </c>
      <c r="F3030" s="3" t="s">
        <v>19</v>
      </c>
      <c r="G3030" s="3" t="s">
        <v>72</v>
      </c>
      <c r="H3030" s="3">
        <v>10.0</v>
      </c>
      <c r="I3030" s="3" t="s">
        <v>2345</v>
      </c>
      <c r="J3030" s="3" t="s">
        <v>22</v>
      </c>
      <c r="K3030" s="3" t="s">
        <v>1673</v>
      </c>
      <c r="L3030" s="3" t="s">
        <v>1673</v>
      </c>
      <c r="M3030" s="3" t="s">
        <v>1674</v>
      </c>
      <c r="N3030" s="3" t="s">
        <v>1675</v>
      </c>
      <c r="O3030" s="5">
        <v>1.0</v>
      </c>
      <c r="P3030" s="6" t="str">
        <f t="shared" si="2"/>
        <v>Commercial Services &amp; Supplies</v>
      </c>
    </row>
    <row r="3031" hidden="1">
      <c r="A3031" s="3" t="s">
        <v>12463</v>
      </c>
      <c r="B3031" s="4">
        <v>539117.0</v>
      </c>
      <c r="C3031" s="3" t="s">
        <v>12464</v>
      </c>
      <c r="D3031" s="3" t="s">
        <v>12465</v>
      </c>
      <c r="E3031" s="3" t="s">
        <v>12466</v>
      </c>
      <c r="F3031" s="3" t="s">
        <v>19</v>
      </c>
      <c r="G3031" s="3" t="s">
        <v>44</v>
      </c>
      <c r="H3031" s="3">
        <v>10.0</v>
      </c>
      <c r="I3031" s="3" t="s">
        <v>12463</v>
      </c>
      <c r="J3031" s="3" t="s">
        <v>22</v>
      </c>
      <c r="K3031" s="3" t="s">
        <v>204</v>
      </c>
      <c r="L3031" s="3" t="s">
        <v>204</v>
      </c>
      <c r="M3031" s="3" t="s">
        <v>378</v>
      </c>
      <c r="N3031" s="3" t="s">
        <v>379</v>
      </c>
      <c r="O3031" s="5">
        <v>21.9501762</v>
      </c>
      <c r="P3031" s="6" t="str">
        <f t="shared" si="2"/>
        <v>Non Banking Financial Company (NBFC)</v>
      </c>
    </row>
    <row r="3032" hidden="1">
      <c r="A3032" s="3" t="s">
        <v>12467</v>
      </c>
      <c r="B3032" s="4">
        <v>506196.0</v>
      </c>
      <c r="C3032" s="3" t="s">
        <v>12468</v>
      </c>
      <c r="D3032" s="3" t="s">
        <v>12469</v>
      </c>
      <c r="E3032" s="3" t="s">
        <v>12470</v>
      </c>
      <c r="F3032" s="3" t="s">
        <v>19</v>
      </c>
      <c r="G3032" s="3" t="s">
        <v>72</v>
      </c>
      <c r="H3032" s="3">
        <v>10.0</v>
      </c>
      <c r="I3032" s="3" t="s">
        <v>2352</v>
      </c>
      <c r="J3032" s="3" t="s">
        <v>22</v>
      </c>
      <c r="K3032" s="3" t="s">
        <v>1673</v>
      </c>
      <c r="L3032" s="3" t="s">
        <v>1673</v>
      </c>
      <c r="M3032" s="3" t="s">
        <v>1674</v>
      </c>
      <c r="N3032" s="3" t="s">
        <v>1915</v>
      </c>
      <c r="O3032" s="5">
        <v>1.0</v>
      </c>
      <c r="P3032" s="6" t="str">
        <f t="shared" si="2"/>
        <v>Commercial Services &amp; Supplies</v>
      </c>
    </row>
    <row r="3033" hidden="1">
      <c r="A3033" s="3" t="s">
        <v>12471</v>
      </c>
      <c r="B3033" s="4">
        <v>539119.0</v>
      </c>
      <c r="C3033" s="3" t="s">
        <v>12472</v>
      </c>
      <c r="D3033" s="3" t="s">
        <v>12473</v>
      </c>
      <c r="E3033" s="3" t="s">
        <v>12474</v>
      </c>
      <c r="F3033" s="3" t="s">
        <v>19</v>
      </c>
      <c r="G3033" s="3" t="s">
        <v>44</v>
      </c>
      <c r="H3033" s="3">
        <v>10.0</v>
      </c>
      <c r="I3033" s="3" t="s">
        <v>12471</v>
      </c>
      <c r="J3033" s="3" t="s">
        <v>22</v>
      </c>
      <c r="K3033" s="3" t="s">
        <v>23</v>
      </c>
      <c r="L3033" s="3" t="s">
        <v>162</v>
      </c>
      <c r="M3033" s="3" t="s">
        <v>1491</v>
      </c>
      <c r="N3033" s="3" t="s">
        <v>1491</v>
      </c>
      <c r="O3033" s="5">
        <v>1.0</v>
      </c>
      <c r="P3033" s="6" t="str">
        <f t="shared" si="2"/>
        <v>Other Construction Materials</v>
      </c>
    </row>
    <row r="3034" hidden="1">
      <c r="A3034" s="3" t="s">
        <v>12475</v>
      </c>
      <c r="B3034" s="4">
        <v>539120.0</v>
      </c>
      <c r="C3034" s="3" t="s">
        <v>12476</v>
      </c>
      <c r="D3034" s="3" t="s">
        <v>12477</v>
      </c>
      <c r="E3034" s="3" t="s">
        <v>12478</v>
      </c>
      <c r="F3034" s="3" t="s">
        <v>19</v>
      </c>
      <c r="G3034" s="3" t="s">
        <v>72</v>
      </c>
      <c r="H3034" s="3">
        <v>10.0</v>
      </c>
      <c r="I3034" s="3" t="s">
        <v>12475</v>
      </c>
      <c r="J3034" s="3" t="s">
        <v>22</v>
      </c>
      <c r="K3034" s="3" t="s">
        <v>23</v>
      </c>
      <c r="L3034" s="3" t="s">
        <v>32</v>
      </c>
      <c r="M3034" s="3" t="s">
        <v>33</v>
      </c>
      <c r="N3034" s="3" t="s">
        <v>6662</v>
      </c>
      <c r="O3034" s="5">
        <v>23.506776</v>
      </c>
      <c r="P3034" s="6" t="str">
        <f t="shared" si="2"/>
        <v>Paper, Forest &amp; Jute Products</v>
      </c>
    </row>
    <row r="3035" hidden="1">
      <c r="A3035" s="3" t="s">
        <v>12479</v>
      </c>
      <c r="B3035" s="4">
        <v>539121.0</v>
      </c>
      <c r="C3035" s="3" t="s">
        <v>12480</v>
      </c>
      <c r="D3035" s="3" t="s">
        <v>12481</v>
      </c>
      <c r="E3035" s="3" t="s">
        <v>12482</v>
      </c>
      <c r="F3035" s="3" t="s">
        <v>19</v>
      </c>
      <c r="G3035" s="3" t="s">
        <v>44</v>
      </c>
      <c r="H3035" s="3">
        <v>10.0</v>
      </c>
      <c r="I3035" s="3" t="s">
        <v>12479</v>
      </c>
      <c r="J3035" s="3" t="s">
        <v>22</v>
      </c>
      <c r="K3035" s="3" t="s">
        <v>23</v>
      </c>
      <c r="L3035" s="3" t="s">
        <v>65</v>
      </c>
      <c r="M3035" s="3" t="s">
        <v>66</v>
      </c>
      <c r="N3035" s="3" t="s">
        <v>286</v>
      </c>
      <c r="O3035" s="5">
        <v>31.2116827</v>
      </c>
      <c r="P3035" s="6" t="str">
        <f t="shared" si="2"/>
        <v>Non - Ferrous Metals</v>
      </c>
    </row>
    <row r="3036" hidden="1">
      <c r="A3036" s="3" t="s">
        <v>12483</v>
      </c>
      <c r="B3036" s="4">
        <v>539123.0</v>
      </c>
      <c r="C3036" s="3" t="s">
        <v>12484</v>
      </c>
      <c r="D3036" s="3" t="s">
        <v>12485</v>
      </c>
      <c r="E3036" s="3" t="s">
        <v>12486</v>
      </c>
      <c r="F3036" s="3" t="s">
        <v>19</v>
      </c>
      <c r="G3036" s="3" t="s">
        <v>44</v>
      </c>
      <c r="H3036" s="3">
        <v>10.0</v>
      </c>
      <c r="I3036" s="3" t="s">
        <v>12483</v>
      </c>
      <c r="J3036" s="3" t="s">
        <v>22</v>
      </c>
      <c r="K3036" s="3" t="s">
        <v>204</v>
      </c>
      <c r="L3036" s="3" t="s">
        <v>204</v>
      </c>
      <c r="M3036" s="3" t="s">
        <v>378</v>
      </c>
      <c r="N3036" s="3" t="s">
        <v>384</v>
      </c>
      <c r="O3036" s="5">
        <v>10.9499119</v>
      </c>
      <c r="P3036" s="6" t="str">
        <f t="shared" si="2"/>
        <v>Finance</v>
      </c>
    </row>
    <row r="3037" hidden="1">
      <c r="A3037" s="3" t="s">
        <v>12487</v>
      </c>
      <c r="B3037" s="4">
        <v>539124.0</v>
      </c>
      <c r="C3037" s="3" t="s">
        <v>12488</v>
      </c>
      <c r="D3037" s="3" t="s">
        <v>12489</v>
      </c>
      <c r="E3037" s="3" t="s">
        <v>12490</v>
      </c>
      <c r="F3037" s="3" t="s">
        <v>19</v>
      </c>
      <c r="G3037" s="3" t="s">
        <v>44</v>
      </c>
      <c r="H3037" s="3">
        <v>10.0</v>
      </c>
      <c r="I3037" s="3" t="s">
        <v>12487</v>
      </c>
      <c r="J3037" s="3" t="s">
        <v>22</v>
      </c>
      <c r="K3037" s="3" t="s">
        <v>204</v>
      </c>
      <c r="L3037" s="3" t="s">
        <v>204</v>
      </c>
      <c r="M3037" s="3" t="s">
        <v>378</v>
      </c>
      <c r="N3037" s="3" t="s">
        <v>379</v>
      </c>
      <c r="O3037" s="5">
        <v>19.3154696</v>
      </c>
      <c r="P3037" s="6" t="str">
        <f t="shared" si="2"/>
        <v>Non Banking Financial Company (NBFC)</v>
      </c>
    </row>
    <row r="3038" hidden="1">
      <c r="A3038" s="3" t="s">
        <v>3991</v>
      </c>
      <c r="B3038" s="4">
        <v>506906.0</v>
      </c>
      <c r="C3038" s="3" t="s">
        <v>12491</v>
      </c>
      <c r="D3038" s="3" t="s">
        <v>12492</v>
      </c>
      <c r="E3038" s="3" t="s">
        <v>12493</v>
      </c>
      <c r="F3038" s="3" t="s">
        <v>19</v>
      </c>
      <c r="G3038" s="3" t="s">
        <v>44</v>
      </c>
      <c r="H3038" s="3">
        <v>10.0</v>
      </c>
      <c r="I3038" s="3" t="s">
        <v>2520</v>
      </c>
      <c r="J3038" s="3" t="s">
        <v>22</v>
      </c>
      <c r="K3038" s="3" t="s">
        <v>1673</v>
      </c>
      <c r="L3038" s="3" t="s">
        <v>1673</v>
      </c>
      <c r="M3038" s="3" t="s">
        <v>1674</v>
      </c>
      <c r="N3038" s="3" t="s">
        <v>1915</v>
      </c>
      <c r="O3038" s="5">
        <v>1.0</v>
      </c>
      <c r="P3038" s="6" t="str">
        <f t="shared" si="2"/>
        <v>Commercial Services &amp; Supplies</v>
      </c>
    </row>
    <row r="3039" hidden="1">
      <c r="A3039" s="3" t="s">
        <v>12494</v>
      </c>
      <c r="B3039" s="4">
        <v>539132.0</v>
      </c>
      <c r="C3039" s="3" t="s">
        <v>12495</v>
      </c>
      <c r="D3039" s="3" t="s">
        <v>12496</v>
      </c>
      <c r="E3039" s="3" t="s">
        <v>12497</v>
      </c>
      <c r="F3039" s="3" t="s">
        <v>19</v>
      </c>
      <c r="G3039" s="3" t="s">
        <v>72</v>
      </c>
      <c r="H3039" s="3">
        <v>1.0</v>
      </c>
      <c r="I3039" s="3" t="s">
        <v>12494</v>
      </c>
      <c r="J3039" s="3" t="s">
        <v>22</v>
      </c>
      <c r="K3039" s="3" t="s">
        <v>145</v>
      </c>
      <c r="L3039" s="3" t="s">
        <v>145</v>
      </c>
      <c r="M3039" s="3" t="s">
        <v>597</v>
      </c>
      <c r="N3039" s="3" t="s">
        <v>1065</v>
      </c>
      <c r="O3039" s="5">
        <v>262.0257</v>
      </c>
      <c r="P3039" s="6" t="str">
        <f t="shared" si="2"/>
        <v>Food Products</v>
      </c>
    </row>
    <row r="3040" hidden="1">
      <c r="A3040" s="3" t="s">
        <v>12498</v>
      </c>
      <c r="B3040" s="4">
        <v>539141.0</v>
      </c>
      <c r="C3040" s="3" t="s">
        <v>12499</v>
      </c>
      <c r="D3040" s="3" t="s">
        <v>12500</v>
      </c>
      <c r="E3040" s="3" t="s">
        <v>12501</v>
      </c>
      <c r="F3040" s="3" t="s">
        <v>19</v>
      </c>
      <c r="G3040" s="3" t="s">
        <v>112</v>
      </c>
      <c r="H3040" s="3">
        <v>10.0</v>
      </c>
      <c r="I3040" s="3" t="s">
        <v>12498</v>
      </c>
      <c r="J3040" s="3" t="s">
        <v>22</v>
      </c>
      <c r="K3040" s="3" t="s">
        <v>58</v>
      </c>
      <c r="L3040" s="3" t="s">
        <v>182</v>
      </c>
      <c r="M3040" s="3" t="s">
        <v>1168</v>
      </c>
      <c r="N3040" s="3" t="s">
        <v>1568</v>
      </c>
      <c r="O3040" s="5">
        <v>513.1187768</v>
      </c>
      <c r="P3040" s="6" t="str">
        <f t="shared" si="2"/>
        <v>Entertainment</v>
      </c>
    </row>
    <row r="3041" hidden="1">
      <c r="A3041" s="3" t="s">
        <v>12502</v>
      </c>
      <c r="B3041" s="4">
        <v>539143.0</v>
      </c>
      <c r="C3041" s="3" t="s">
        <v>12503</v>
      </c>
      <c r="D3041" s="3" t="s">
        <v>12504</v>
      </c>
      <c r="E3041" s="3" t="s">
        <v>12505</v>
      </c>
      <c r="F3041" s="3" t="s">
        <v>19</v>
      </c>
      <c r="G3041" s="3" t="s">
        <v>44</v>
      </c>
      <c r="H3041" s="3">
        <v>10.0</v>
      </c>
      <c r="I3041" s="3" t="s">
        <v>12502</v>
      </c>
      <c r="J3041" s="3" t="s">
        <v>22</v>
      </c>
      <c r="K3041" s="3" t="s">
        <v>2675</v>
      </c>
      <c r="L3041" s="3" t="s">
        <v>2675</v>
      </c>
      <c r="M3041" s="3" t="s">
        <v>2675</v>
      </c>
      <c r="N3041" s="3" t="s">
        <v>2675</v>
      </c>
      <c r="O3041" s="5">
        <v>13.4360372</v>
      </c>
      <c r="P3041" s="6" t="str">
        <f t="shared" si="2"/>
        <v>Diversified</v>
      </c>
    </row>
    <row r="3042" hidden="1">
      <c r="A3042" s="3" t="s">
        <v>12506</v>
      </c>
      <c r="B3042" s="4">
        <v>539148.0</v>
      </c>
      <c r="C3042" s="3" t="s">
        <v>12507</v>
      </c>
      <c r="D3042" s="3" t="s">
        <v>12508</v>
      </c>
      <c r="E3042" s="3" t="s">
        <v>12509</v>
      </c>
      <c r="F3042" s="3" t="s">
        <v>19</v>
      </c>
      <c r="G3042" s="3" t="s">
        <v>112</v>
      </c>
      <c r="H3042" s="3">
        <v>5.0</v>
      </c>
      <c r="I3042" s="3" t="s">
        <v>12506</v>
      </c>
      <c r="J3042" s="3" t="s">
        <v>22</v>
      </c>
      <c r="K3042" s="3" t="s">
        <v>23</v>
      </c>
      <c r="L3042" s="3" t="s">
        <v>24</v>
      </c>
      <c r="M3042" s="3" t="s">
        <v>91</v>
      </c>
      <c r="N3042" s="3" t="s">
        <v>252</v>
      </c>
      <c r="O3042" s="5">
        <v>1026.31824</v>
      </c>
      <c r="P3042" s="6" t="str">
        <f t="shared" si="2"/>
        <v>Fertilizers &amp; Agrochemicals</v>
      </c>
    </row>
    <row r="3043" hidden="1">
      <c r="A3043" s="3" t="s">
        <v>12510</v>
      </c>
      <c r="B3043" s="4">
        <v>507530.0</v>
      </c>
      <c r="C3043" s="3" t="s">
        <v>12511</v>
      </c>
      <c r="D3043" s="3" t="s">
        <v>12512</v>
      </c>
      <c r="E3043" s="3" t="s">
        <v>12513</v>
      </c>
      <c r="F3043" s="3" t="s">
        <v>19</v>
      </c>
      <c r="G3043" s="3" t="s">
        <v>44</v>
      </c>
      <c r="H3043" s="3">
        <v>10.0</v>
      </c>
      <c r="I3043" s="3" t="s">
        <v>2620</v>
      </c>
      <c r="J3043" s="3" t="s">
        <v>22</v>
      </c>
      <c r="K3043" s="3" t="s">
        <v>1673</v>
      </c>
      <c r="L3043" s="3" t="s">
        <v>1673</v>
      </c>
      <c r="M3043" s="3" t="s">
        <v>1674</v>
      </c>
      <c r="N3043" s="3" t="s">
        <v>1915</v>
      </c>
      <c r="O3043" s="5">
        <v>1.0</v>
      </c>
      <c r="P3043" s="6" t="str">
        <f t="shared" si="2"/>
        <v>Commercial Services &amp; Supplies</v>
      </c>
    </row>
    <row r="3044">
      <c r="A3044" s="3" t="s">
        <v>12514</v>
      </c>
      <c r="B3044" s="4">
        <v>544172.0</v>
      </c>
      <c r="C3044" s="3" t="s">
        <v>12515</v>
      </c>
      <c r="D3044" s="3" t="s">
        <v>12516</v>
      </c>
      <c r="E3044" s="3" t="s">
        <v>12517</v>
      </c>
      <c r="F3044" s="3" t="s">
        <v>19</v>
      </c>
      <c r="G3044" s="3" t="s">
        <v>112</v>
      </c>
      <c r="H3044" s="3">
        <v>2.0</v>
      </c>
      <c r="I3044" s="3" t="s">
        <v>12518</v>
      </c>
      <c r="J3044" s="3" t="s">
        <v>22</v>
      </c>
      <c r="K3044" s="3" t="s">
        <v>45</v>
      </c>
      <c r="L3044" s="3" t="s">
        <v>45</v>
      </c>
      <c r="M3044" s="3" t="s">
        <v>4488</v>
      </c>
      <c r="N3044" s="3" t="s">
        <v>6244</v>
      </c>
      <c r="O3044" s="5">
        <v>13258.6077</v>
      </c>
      <c r="P3044" s="6" t="str">
        <f t="shared" si="2"/>
        <v>Healthcare Services</v>
      </c>
    </row>
    <row r="3045" hidden="1">
      <c r="A3045" s="3" t="s">
        <v>12519</v>
      </c>
      <c r="B3045" s="4">
        <v>539151.0</v>
      </c>
      <c r="C3045" s="3" t="s">
        <v>12520</v>
      </c>
      <c r="D3045" s="3" t="s">
        <v>12521</v>
      </c>
      <c r="E3045" s="3" t="s">
        <v>12522</v>
      </c>
      <c r="F3045" s="3" t="s">
        <v>19</v>
      </c>
      <c r="G3045" s="3" t="s">
        <v>44</v>
      </c>
      <c r="H3045" s="3">
        <v>1.0</v>
      </c>
      <c r="I3045" s="3" t="s">
        <v>12519</v>
      </c>
      <c r="J3045" s="3" t="s">
        <v>22</v>
      </c>
      <c r="K3045" s="3" t="s">
        <v>23</v>
      </c>
      <c r="L3045" s="3" t="s">
        <v>65</v>
      </c>
      <c r="M3045" s="3" t="s">
        <v>66</v>
      </c>
      <c r="N3045" s="3" t="s">
        <v>286</v>
      </c>
      <c r="O3045" s="5">
        <v>774.4674983</v>
      </c>
      <c r="P3045" s="6" t="str">
        <f t="shared" si="2"/>
        <v>Non - Ferrous Metals</v>
      </c>
    </row>
    <row r="3046" hidden="1">
      <c r="A3046" s="3" t="s">
        <v>12523</v>
      </c>
      <c r="B3046" s="4">
        <v>539167.0</v>
      </c>
      <c r="C3046" s="3" t="s">
        <v>12524</v>
      </c>
      <c r="D3046" s="3" t="s">
        <v>12525</v>
      </c>
      <c r="E3046" s="3" t="s">
        <v>12526</v>
      </c>
      <c r="F3046" s="3" t="s">
        <v>19</v>
      </c>
      <c r="G3046" s="3" t="s">
        <v>72</v>
      </c>
      <c r="H3046" s="3">
        <v>10.0</v>
      </c>
      <c r="I3046" s="3" t="s">
        <v>12523</v>
      </c>
      <c r="J3046" s="3" t="s">
        <v>22</v>
      </c>
      <c r="K3046" s="3" t="s">
        <v>204</v>
      </c>
      <c r="L3046" s="3" t="s">
        <v>204</v>
      </c>
      <c r="M3046" s="3" t="s">
        <v>378</v>
      </c>
      <c r="N3046" s="3" t="s">
        <v>379</v>
      </c>
      <c r="O3046" s="5">
        <v>120.8320666</v>
      </c>
      <c r="P3046" s="6" t="str">
        <f t="shared" si="2"/>
        <v>Non Banking Financial Company (NBFC)</v>
      </c>
    </row>
    <row r="3047" hidden="1">
      <c r="A3047" s="3" t="s">
        <v>12527</v>
      </c>
      <c r="B3047" s="4">
        <v>539174.0</v>
      </c>
      <c r="C3047" s="3" t="s">
        <v>12528</v>
      </c>
      <c r="D3047" s="3" t="s">
        <v>12529</v>
      </c>
      <c r="E3047" s="3" t="s">
        <v>12530</v>
      </c>
      <c r="F3047" s="3" t="s">
        <v>19</v>
      </c>
      <c r="G3047" s="3" t="s">
        <v>44</v>
      </c>
      <c r="H3047" s="3">
        <v>10.0</v>
      </c>
      <c r="I3047" s="3" t="s">
        <v>12527</v>
      </c>
      <c r="J3047" s="3" t="s">
        <v>22</v>
      </c>
      <c r="K3047" s="3" t="s">
        <v>204</v>
      </c>
      <c r="L3047" s="3" t="s">
        <v>204</v>
      </c>
      <c r="M3047" s="3" t="s">
        <v>378</v>
      </c>
      <c r="N3047" s="3" t="s">
        <v>379</v>
      </c>
      <c r="O3047" s="5">
        <v>19.895</v>
      </c>
      <c r="P3047" s="6" t="str">
        <f t="shared" si="2"/>
        <v>Non Banking Financial Company (NBFC)</v>
      </c>
    </row>
    <row r="3048" hidden="1">
      <c r="A3048" s="3" t="s">
        <v>12531</v>
      </c>
      <c r="B3048" s="4">
        <v>539175.0</v>
      </c>
      <c r="C3048" s="3" t="s">
        <v>12532</v>
      </c>
      <c r="D3048" s="3" t="s">
        <v>12533</v>
      </c>
      <c r="E3048" s="3" t="s">
        <v>12534</v>
      </c>
      <c r="F3048" s="3" t="s">
        <v>19</v>
      </c>
      <c r="G3048" s="3" t="s">
        <v>72</v>
      </c>
      <c r="H3048" s="3">
        <v>10.0</v>
      </c>
      <c r="I3048" s="3" t="s">
        <v>12531</v>
      </c>
      <c r="J3048" s="3" t="s">
        <v>22</v>
      </c>
      <c r="K3048" s="3" t="s">
        <v>23</v>
      </c>
      <c r="L3048" s="3" t="s">
        <v>24</v>
      </c>
      <c r="M3048" s="3" t="s">
        <v>91</v>
      </c>
      <c r="N3048" s="3" t="s">
        <v>92</v>
      </c>
      <c r="O3048" s="5">
        <v>1.0</v>
      </c>
      <c r="P3048" s="6" t="str">
        <f t="shared" si="2"/>
        <v>Fertilizers &amp; Agrochemicals</v>
      </c>
    </row>
    <row r="3049" hidden="1">
      <c r="A3049" s="3" t="s">
        <v>12535</v>
      </c>
      <c r="B3049" s="4">
        <v>539176.0</v>
      </c>
      <c r="C3049" s="3" t="s">
        <v>12536</v>
      </c>
      <c r="D3049" s="3" t="s">
        <v>12537</v>
      </c>
      <c r="E3049" s="3" t="s">
        <v>12538</v>
      </c>
      <c r="F3049" s="3" t="s">
        <v>19</v>
      </c>
      <c r="G3049" s="3" t="s">
        <v>44</v>
      </c>
      <c r="H3049" s="3">
        <v>10.0</v>
      </c>
      <c r="I3049" s="3" t="s">
        <v>12535</v>
      </c>
      <c r="J3049" s="3" t="s">
        <v>22</v>
      </c>
      <c r="K3049" s="3" t="s">
        <v>97</v>
      </c>
      <c r="L3049" s="3" t="s">
        <v>98</v>
      </c>
      <c r="M3049" s="3" t="s">
        <v>99</v>
      </c>
      <c r="N3049" s="3" t="s">
        <v>100</v>
      </c>
      <c r="O3049" s="5">
        <v>61.6897184</v>
      </c>
      <c r="P3049" s="6" t="str">
        <f t="shared" si="2"/>
        <v>Industrial Products</v>
      </c>
    </row>
    <row r="3050">
      <c r="A3050" s="3" t="s">
        <v>10099</v>
      </c>
      <c r="B3050" s="4">
        <v>500002.0</v>
      </c>
      <c r="C3050" s="3" t="s">
        <v>12539</v>
      </c>
      <c r="D3050" s="3" t="s">
        <v>12540</v>
      </c>
      <c r="E3050" s="3" t="s">
        <v>12539</v>
      </c>
      <c r="F3050" s="3" t="s">
        <v>19</v>
      </c>
      <c r="G3050" s="3" t="s">
        <v>20</v>
      </c>
      <c r="H3050" s="3">
        <v>2.0</v>
      </c>
      <c r="I3050" s="3" t="s">
        <v>15</v>
      </c>
      <c r="J3050" s="3" t="s">
        <v>22</v>
      </c>
      <c r="K3050" s="3" t="s">
        <v>97</v>
      </c>
      <c r="L3050" s="3" t="s">
        <v>98</v>
      </c>
      <c r="M3050" s="3" t="s">
        <v>1747</v>
      </c>
      <c r="N3050" s="3" t="s">
        <v>1767</v>
      </c>
      <c r="O3050" s="5">
        <v>180438.73172</v>
      </c>
      <c r="P3050" s="6" t="str">
        <f t="shared" si="2"/>
        <v>Heavy Electrical Equipment</v>
      </c>
    </row>
    <row r="3051" hidden="1">
      <c r="A3051" s="3" t="s">
        <v>12541</v>
      </c>
      <c r="B3051" s="4">
        <v>539189.0</v>
      </c>
      <c r="C3051" s="3" t="s">
        <v>12542</v>
      </c>
      <c r="D3051" s="3" t="s">
        <v>12543</v>
      </c>
      <c r="E3051" s="3" t="s">
        <v>12544</v>
      </c>
      <c r="F3051" s="3" t="s">
        <v>19</v>
      </c>
      <c r="G3051" s="3" t="s">
        <v>72</v>
      </c>
      <c r="H3051" s="3">
        <v>10.0</v>
      </c>
      <c r="I3051" s="3" t="s">
        <v>12541</v>
      </c>
      <c r="J3051" s="3" t="s">
        <v>22</v>
      </c>
      <c r="K3051" s="3" t="s">
        <v>58</v>
      </c>
      <c r="L3051" s="3" t="s">
        <v>59</v>
      </c>
      <c r="M3051" s="3" t="s">
        <v>59</v>
      </c>
      <c r="N3051" s="3" t="s">
        <v>60</v>
      </c>
      <c r="O3051" s="5">
        <v>33.9696945</v>
      </c>
      <c r="P3051" s="6" t="str">
        <f t="shared" si="2"/>
        <v>Residential, Commercial Projects</v>
      </c>
    </row>
    <row r="3052" hidden="1">
      <c r="A3052" s="3" t="s">
        <v>12545</v>
      </c>
      <c r="B3052" s="4">
        <v>539190.0</v>
      </c>
      <c r="C3052" s="3" t="s">
        <v>12546</v>
      </c>
      <c r="D3052" s="3" t="s">
        <v>12547</v>
      </c>
      <c r="E3052" s="3" t="s">
        <v>12548</v>
      </c>
      <c r="F3052" s="3" t="s">
        <v>19</v>
      </c>
      <c r="G3052" s="3" t="s">
        <v>44</v>
      </c>
      <c r="H3052" s="3">
        <v>10.0</v>
      </c>
      <c r="I3052" s="3" t="s">
        <v>12545</v>
      </c>
      <c r="J3052" s="3" t="s">
        <v>22</v>
      </c>
      <c r="K3052" s="3" t="s">
        <v>204</v>
      </c>
      <c r="L3052" s="3" t="s">
        <v>204</v>
      </c>
      <c r="M3052" s="3" t="s">
        <v>378</v>
      </c>
      <c r="N3052" s="3" t="s">
        <v>379</v>
      </c>
      <c r="O3052" s="5">
        <v>1.0</v>
      </c>
      <c r="P3052" s="6" t="str">
        <f t="shared" si="2"/>
        <v>Non Banking Financial Company (NBFC)</v>
      </c>
    </row>
    <row r="3053" hidden="1">
      <c r="A3053" s="3" t="s">
        <v>12549</v>
      </c>
      <c r="B3053" s="4">
        <v>539195.0</v>
      </c>
      <c r="C3053" s="3" t="s">
        <v>12550</v>
      </c>
      <c r="D3053" s="3" t="s">
        <v>12551</v>
      </c>
      <c r="E3053" s="3" t="s">
        <v>12552</v>
      </c>
      <c r="F3053" s="3" t="s">
        <v>19</v>
      </c>
      <c r="G3053" s="3" t="s">
        <v>44</v>
      </c>
      <c r="H3053" s="3">
        <v>10.0</v>
      </c>
      <c r="I3053" s="3" t="s">
        <v>12549</v>
      </c>
      <c r="J3053" s="3" t="s">
        <v>22</v>
      </c>
      <c r="K3053" s="3" t="s">
        <v>23</v>
      </c>
      <c r="L3053" s="3" t="s">
        <v>24</v>
      </c>
      <c r="M3053" s="3" t="s">
        <v>25</v>
      </c>
      <c r="N3053" s="3" t="s">
        <v>52</v>
      </c>
      <c r="O3053" s="5">
        <v>277.6521206</v>
      </c>
      <c r="P3053" s="6" t="str">
        <f t="shared" si="2"/>
        <v>Chemicals &amp; Petrochemicals</v>
      </c>
    </row>
    <row r="3054" hidden="1">
      <c r="A3054" s="3" t="s">
        <v>12553</v>
      </c>
      <c r="B3054" s="4">
        <v>539196.0</v>
      </c>
      <c r="C3054" s="3" t="s">
        <v>12554</v>
      </c>
      <c r="D3054" s="3" t="s">
        <v>12555</v>
      </c>
      <c r="E3054" s="3" t="s">
        <v>12556</v>
      </c>
      <c r="F3054" s="3" t="s">
        <v>19</v>
      </c>
      <c r="G3054" s="3" t="s">
        <v>72</v>
      </c>
      <c r="H3054" s="3">
        <v>5.0</v>
      </c>
      <c r="I3054" s="3" t="s">
        <v>12553</v>
      </c>
      <c r="J3054" s="3" t="s">
        <v>22</v>
      </c>
      <c r="K3054" s="3" t="s">
        <v>97</v>
      </c>
      <c r="L3054" s="3" t="s">
        <v>98</v>
      </c>
      <c r="M3054" s="3" t="s">
        <v>1747</v>
      </c>
      <c r="N3054" s="3" t="s">
        <v>1748</v>
      </c>
      <c r="O3054" s="5">
        <v>298.461044</v>
      </c>
      <c r="P3054" s="6" t="str">
        <f t="shared" si="2"/>
        <v>Electrical Equipment</v>
      </c>
    </row>
    <row r="3055" hidden="1">
      <c r="A3055" s="3" t="s">
        <v>12557</v>
      </c>
      <c r="B3055" s="4">
        <v>539198.0</v>
      </c>
      <c r="C3055" s="3" t="s">
        <v>12558</v>
      </c>
      <c r="D3055" s="3" t="s">
        <v>12559</v>
      </c>
      <c r="E3055" s="3" t="s">
        <v>12560</v>
      </c>
      <c r="F3055" s="3" t="s">
        <v>19</v>
      </c>
      <c r="G3055" s="3" t="s">
        <v>72</v>
      </c>
      <c r="H3055" s="3">
        <v>10.0</v>
      </c>
      <c r="I3055" s="3" t="s">
        <v>12557</v>
      </c>
      <c r="J3055" s="3" t="s">
        <v>22</v>
      </c>
      <c r="K3055" s="3" t="s">
        <v>204</v>
      </c>
      <c r="L3055" s="3" t="s">
        <v>204</v>
      </c>
      <c r="M3055" s="3" t="s">
        <v>378</v>
      </c>
      <c r="N3055" s="3" t="s">
        <v>468</v>
      </c>
      <c r="O3055" s="5">
        <v>76.1213277</v>
      </c>
      <c r="P3055" s="6" t="str">
        <f t="shared" si="2"/>
        <v>Finance</v>
      </c>
    </row>
    <row r="3056" hidden="1">
      <c r="A3056" s="3" t="s">
        <v>12561</v>
      </c>
      <c r="B3056" s="4">
        <v>539199.0</v>
      </c>
      <c r="C3056" s="3" t="s">
        <v>12562</v>
      </c>
      <c r="D3056" s="3" t="s">
        <v>12563</v>
      </c>
      <c r="E3056" s="3" t="s">
        <v>12564</v>
      </c>
      <c r="F3056" s="3" t="s">
        <v>19</v>
      </c>
      <c r="G3056" s="3" t="s">
        <v>112</v>
      </c>
      <c r="H3056" s="3">
        <v>10.0</v>
      </c>
      <c r="I3056" s="3" t="s">
        <v>12561</v>
      </c>
      <c r="J3056" s="3" t="s">
        <v>22</v>
      </c>
      <c r="K3056" s="3" t="s">
        <v>204</v>
      </c>
      <c r="L3056" s="3" t="s">
        <v>204</v>
      </c>
      <c r="M3056" s="3" t="s">
        <v>378</v>
      </c>
      <c r="N3056" s="3" t="s">
        <v>379</v>
      </c>
      <c r="O3056" s="5">
        <v>1985.949</v>
      </c>
      <c r="P3056" s="6" t="str">
        <f t="shared" si="2"/>
        <v>Non Banking Financial Company (NBFC)</v>
      </c>
    </row>
    <row r="3057" hidden="1">
      <c r="A3057" s="3" t="s">
        <v>12565</v>
      </c>
      <c r="B3057" s="4">
        <v>539201.0</v>
      </c>
      <c r="C3057" s="3" t="s">
        <v>12566</v>
      </c>
      <c r="D3057" s="3" t="s">
        <v>12567</v>
      </c>
      <c r="E3057" s="3" t="s">
        <v>12568</v>
      </c>
      <c r="F3057" s="3" t="s">
        <v>19</v>
      </c>
      <c r="G3057" s="3" t="s">
        <v>112</v>
      </c>
      <c r="H3057" s="3">
        <v>1.0</v>
      </c>
      <c r="I3057" s="3" t="s">
        <v>12565</v>
      </c>
      <c r="J3057" s="3" t="s">
        <v>22</v>
      </c>
      <c r="K3057" s="3" t="s">
        <v>23</v>
      </c>
      <c r="L3057" s="3" t="s">
        <v>32</v>
      </c>
      <c r="M3057" s="3" t="s">
        <v>33</v>
      </c>
      <c r="N3057" s="3" t="s">
        <v>34</v>
      </c>
      <c r="O3057" s="5">
        <v>1376.34375</v>
      </c>
      <c r="P3057" s="6" t="str">
        <f t="shared" si="2"/>
        <v>Paper, Forest &amp; Jute Products</v>
      </c>
    </row>
    <row r="3058" hidden="1">
      <c r="A3058" s="3" t="s">
        <v>12569</v>
      </c>
      <c r="B3058" s="4">
        <v>539206.0</v>
      </c>
      <c r="C3058" s="3" t="s">
        <v>12570</v>
      </c>
      <c r="D3058" s="3" t="s">
        <v>12571</v>
      </c>
      <c r="E3058" s="3" t="s">
        <v>12572</v>
      </c>
      <c r="F3058" s="3" t="s">
        <v>19</v>
      </c>
      <c r="G3058" s="3" t="s">
        <v>72</v>
      </c>
      <c r="H3058" s="3">
        <v>10.0</v>
      </c>
      <c r="I3058" s="3" t="s">
        <v>12569</v>
      </c>
      <c r="J3058" s="3" t="s">
        <v>22</v>
      </c>
      <c r="K3058" s="3" t="s">
        <v>45</v>
      </c>
      <c r="L3058" s="3" t="s">
        <v>45</v>
      </c>
      <c r="M3058" s="3" t="s">
        <v>46</v>
      </c>
      <c r="N3058" s="3" t="s">
        <v>3367</v>
      </c>
      <c r="O3058" s="5">
        <v>1.0</v>
      </c>
      <c r="P3058" s="6" t="str">
        <f t="shared" si="2"/>
        <v>Pharmaceuticals &amp; Biotechnology</v>
      </c>
    </row>
    <row r="3059" hidden="1">
      <c r="A3059" s="3" t="s">
        <v>12573</v>
      </c>
      <c r="B3059" s="4">
        <v>539216.0</v>
      </c>
      <c r="C3059" s="3" t="s">
        <v>12574</v>
      </c>
      <c r="D3059" s="3" t="s">
        <v>12575</v>
      </c>
      <c r="E3059" s="3" t="s">
        <v>12576</v>
      </c>
      <c r="F3059" s="3" t="s">
        <v>19</v>
      </c>
      <c r="G3059" s="3" t="s">
        <v>112</v>
      </c>
      <c r="H3059" s="3">
        <v>1.0</v>
      </c>
      <c r="I3059" s="3" t="s">
        <v>12573</v>
      </c>
      <c r="J3059" s="3" t="s">
        <v>22</v>
      </c>
      <c r="K3059" s="3" t="s">
        <v>58</v>
      </c>
      <c r="L3059" s="3" t="s">
        <v>80</v>
      </c>
      <c r="M3059" s="3" t="s">
        <v>81</v>
      </c>
      <c r="N3059" s="3" t="s">
        <v>944</v>
      </c>
      <c r="O3059" s="5">
        <v>62.534772</v>
      </c>
      <c r="P3059" s="6" t="str">
        <f t="shared" si="2"/>
        <v>Textiles &amp; Apparels</v>
      </c>
    </row>
    <row r="3060" hidden="1">
      <c r="A3060" s="3" t="s">
        <v>12577</v>
      </c>
      <c r="B3060" s="4">
        <v>539217.0</v>
      </c>
      <c r="C3060" s="3" t="s">
        <v>12578</v>
      </c>
      <c r="D3060" s="3" t="s">
        <v>12579</v>
      </c>
      <c r="E3060" s="3" t="s">
        <v>12580</v>
      </c>
      <c r="F3060" s="3" t="s">
        <v>19</v>
      </c>
      <c r="G3060" s="3" t="s">
        <v>72</v>
      </c>
      <c r="H3060" s="3">
        <v>2.0</v>
      </c>
      <c r="I3060" s="3" t="s">
        <v>12577</v>
      </c>
      <c r="J3060" s="3" t="s">
        <v>22</v>
      </c>
      <c r="K3060" s="3" t="s">
        <v>204</v>
      </c>
      <c r="L3060" s="3" t="s">
        <v>204</v>
      </c>
      <c r="M3060" s="3" t="s">
        <v>378</v>
      </c>
      <c r="N3060" s="3" t="s">
        <v>384</v>
      </c>
      <c r="O3060" s="5">
        <v>160.9085347</v>
      </c>
      <c r="P3060" s="6" t="str">
        <f t="shared" si="2"/>
        <v>Finance</v>
      </c>
    </row>
    <row r="3061" hidden="1">
      <c r="A3061" s="3" t="s">
        <v>12581</v>
      </c>
      <c r="B3061" s="4">
        <v>539218.0</v>
      </c>
      <c r="C3061" s="3" t="s">
        <v>12582</v>
      </c>
      <c r="D3061" s="3" t="s">
        <v>12583</v>
      </c>
      <c r="E3061" s="3" t="s">
        <v>12584</v>
      </c>
      <c r="F3061" s="3" t="s">
        <v>19</v>
      </c>
      <c r="G3061" s="3" t="s">
        <v>72</v>
      </c>
      <c r="H3061" s="3">
        <v>10.0</v>
      </c>
      <c r="I3061" s="3" t="s">
        <v>12581</v>
      </c>
      <c r="J3061" s="3" t="s">
        <v>22</v>
      </c>
      <c r="K3061" s="3" t="s">
        <v>204</v>
      </c>
      <c r="L3061" s="3" t="s">
        <v>204</v>
      </c>
      <c r="M3061" s="3" t="s">
        <v>378</v>
      </c>
      <c r="N3061" s="3" t="s">
        <v>379</v>
      </c>
      <c r="O3061" s="5">
        <v>149.1546821</v>
      </c>
      <c r="P3061" s="6" t="str">
        <f t="shared" si="2"/>
        <v>Non Banking Financial Company (NBFC)</v>
      </c>
    </row>
    <row r="3062" hidden="1">
      <c r="A3062" s="3" t="s">
        <v>12585</v>
      </c>
      <c r="B3062" s="4">
        <v>539219.0</v>
      </c>
      <c r="C3062" s="3" t="s">
        <v>12586</v>
      </c>
      <c r="D3062" s="3" t="s">
        <v>12587</v>
      </c>
      <c r="E3062" s="3" t="s">
        <v>12588</v>
      </c>
      <c r="F3062" s="3" t="s">
        <v>19</v>
      </c>
      <c r="G3062" s="3" t="s">
        <v>44</v>
      </c>
      <c r="H3062" s="3">
        <v>1.0</v>
      </c>
      <c r="I3062" s="3" t="s">
        <v>12585</v>
      </c>
      <c r="J3062" s="3" t="s">
        <v>22</v>
      </c>
      <c r="K3062" s="3" t="s">
        <v>97</v>
      </c>
      <c r="L3062" s="3" t="s">
        <v>98</v>
      </c>
      <c r="M3062" s="3" t="s">
        <v>100</v>
      </c>
      <c r="N3062" s="3" t="s">
        <v>1386</v>
      </c>
      <c r="O3062" s="5">
        <v>134.1671708</v>
      </c>
      <c r="P3062" s="6" t="str">
        <f t="shared" si="2"/>
        <v>Industrial Products</v>
      </c>
    </row>
    <row r="3063" hidden="1">
      <c r="A3063" s="3" t="s">
        <v>12589</v>
      </c>
      <c r="B3063" s="4">
        <v>539220.0</v>
      </c>
      <c r="C3063" s="3" t="s">
        <v>12590</v>
      </c>
      <c r="D3063" s="3" t="s">
        <v>12591</v>
      </c>
      <c r="E3063" s="3" t="s">
        <v>12592</v>
      </c>
      <c r="F3063" s="3" t="s">
        <v>19</v>
      </c>
      <c r="G3063" s="3" t="s">
        <v>72</v>
      </c>
      <c r="H3063" s="3">
        <v>10.0</v>
      </c>
      <c r="I3063" s="3" t="s">
        <v>12589</v>
      </c>
      <c r="J3063" s="3" t="s">
        <v>22</v>
      </c>
      <c r="K3063" s="3" t="s">
        <v>58</v>
      </c>
      <c r="L3063" s="3" t="s">
        <v>211</v>
      </c>
      <c r="M3063" s="3" t="s">
        <v>211</v>
      </c>
      <c r="N3063" s="3" t="s">
        <v>947</v>
      </c>
      <c r="O3063" s="5">
        <v>51.4131026</v>
      </c>
      <c r="P3063" s="6" t="str">
        <f t="shared" si="2"/>
        <v>Consumer Durables</v>
      </c>
    </row>
    <row r="3064" hidden="1">
      <c r="A3064" s="3" t="s">
        <v>12593</v>
      </c>
      <c r="B3064" s="4">
        <v>539221.0</v>
      </c>
      <c r="C3064" s="3" t="s">
        <v>12594</v>
      </c>
      <c r="D3064" s="3" t="s">
        <v>12595</v>
      </c>
      <c r="E3064" s="3" t="s">
        <v>12596</v>
      </c>
      <c r="F3064" s="3" t="s">
        <v>19</v>
      </c>
      <c r="G3064" s="3" t="s">
        <v>112</v>
      </c>
      <c r="H3064" s="3">
        <v>10.0</v>
      </c>
      <c r="I3064" s="3" t="s">
        <v>12593</v>
      </c>
      <c r="J3064" s="3" t="s">
        <v>22</v>
      </c>
      <c r="K3064" s="3" t="s">
        <v>58</v>
      </c>
      <c r="L3064" s="3" t="s">
        <v>80</v>
      </c>
      <c r="M3064" s="3" t="s">
        <v>81</v>
      </c>
      <c r="N3064" s="3" t="s">
        <v>82</v>
      </c>
      <c r="O3064" s="5">
        <v>1100.9101663</v>
      </c>
      <c r="P3064" s="6" t="str">
        <f t="shared" si="2"/>
        <v>Textiles &amp; Apparels</v>
      </c>
    </row>
    <row r="3065" hidden="1">
      <c r="A3065" s="3" t="s">
        <v>5280</v>
      </c>
      <c r="B3065" s="4">
        <v>508980.0</v>
      </c>
      <c r="C3065" s="3" t="s">
        <v>12597</v>
      </c>
      <c r="D3065" s="3" t="s">
        <v>12598</v>
      </c>
      <c r="E3065" s="3" t="s">
        <v>12599</v>
      </c>
      <c r="F3065" s="3" t="s">
        <v>19</v>
      </c>
      <c r="G3065" s="3" t="s">
        <v>57</v>
      </c>
      <c r="H3065" s="3">
        <v>10.0</v>
      </c>
      <c r="I3065" s="3" t="s">
        <v>2890</v>
      </c>
      <c r="J3065" s="3" t="s">
        <v>22</v>
      </c>
      <c r="K3065" s="3" t="s">
        <v>1673</v>
      </c>
      <c r="L3065" s="3" t="s">
        <v>1673</v>
      </c>
      <c r="M3065" s="3" t="s">
        <v>1674</v>
      </c>
      <c r="N3065" s="3" t="s">
        <v>1675</v>
      </c>
      <c r="O3065" s="5">
        <v>1.0</v>
      </c>
      <c r="P3065" s="6" t="str">
        <f t="shared" si="2"/>
        <v>Commercial Services &amp; Supplies</v>
      </c>
    </row>
    <row r="3066" hidden="1">
      <c r="A3066" s="3" t="s">
        <v>12600</v>
      </c>
      <c r="B3066" s="4">
        <v>539226.0</v>
      </c>
      <c r="C3066" s="3" t="s">
        <v>12601</v>
      </c>
      <c r="D3066" s="3" t="s">
        <v>12602</v>
      </c>
      <c r="E3066" s="3" t="s">
        <v>12603</v>
      </c>
      <c r="F3066" s="3" t="s">
        <v>19</v>
      </c>
      <c r="G3066" s="3" t="s">
        <v>44</v>
      </c>
      <c r="H3066" s="3">
        <v>5.0</v>
      </c>
      <c r="I3066" s="3" t="s">
        <v>12600</v>
      </c>
      <c r="J3066" s="3" t="s">
        <v>22</v>
      </c>
      <c r="K3066" s="3" t="s">
        <v>97</v>
      </c>
      <c r="L3066" s="3" t="s">
        <v>98</v>
      </c>
      <c r="M3066" s="3" t="s">
        <v>100</v>
      </c>
      <c r="N3066" s="3" t="s">
        <v>612</v>
      </c>
      <c r="O3066" s="5">
        <v>568.009356</v>
      </c>
      <c r="P3066" s="6" t="str">
        <f t="shared" si="2"/>
        <v>Industrial Products</v>
      </c>
    </row>
    <row r="3067" hidden="1">
      <c r="A3067" s="3" t="s">
        <v>12604</v>
      </c>
      <c r="B3067" s="4">
        <v>539227.0</v>
      </c>
      <c r="C3067" s="3" t="s">
        <v>12605</v>
      </c>
      <c r="D3067" s="3" t="s">
        <v>12606</v>
      </c>
      <c r="E3067" s="3" t="s">
        <v>12607</v>
      </c>
      <c r="F3067" s="3" t="s">
        <v>19</v>
      </c>
      <c r="G3067" s="3" t="s">
        <v>72</v>
      </c>
      <c r="H3067" s="3">
        <v>10.0</v>
      </c>
      <c r="I3067" s="3" t="s">
        <v>12604</v>
      </c>
      <c r="J3067" s="3" t="s">
        <v>22</v>
      </c>
      <c r="K3067" s="3" t="s">
        <v>97</v>
      </c>
      <c r="L3067" s="3" t="s">
        <v>98</v>
      </c>
      <c r="M3067" s="3" t="s">
        <v>99</v>
      </c>
      <c r="N3067" s="3" t="s">
        <v>100</v>
      </c>
      <c r="O3067" s="5">
        <v>224.5346167</v>
      </c>
      <c r="P3067" s="6" t="str">
        <f t="shared" si="2"/>
        <v>Industrial Products</v>
      </c>
    </row>
    <row r="3068" hidden="1">
      <c r="A3068" s="3" t="s">
        <v>12608</v>
      </c>
      <c r="B3068" s="4">
        <v>539228.0</v>
      </c>
      <c r="C3068" s="3" t="s">
        <v>12609</v>
      </c>
      <c r="D3068" s="3" t="s">
        <v>12610</v>
      </c>
      <c r="E3068" s="3" t="s">
        <v>12611</v>
      </c>
      <c r="F3068" s="3" t="s">
        <v>19</v>
      </c>
      <c r="G3068" s="3" t="s">
        <v>72</v>
      </c>
      <c r="H3068" s="3">
        <v>5.0</v>
      </c>
      <c r="I3068" s="3" t="s">
        <v>12608</v>
      </c>
      <c r="J3068" s="3" t="s">
        <v>22</v>
      </c>
      <c r="K3068" s="3" t="s">
        <v>145</v>
      </c>
      <c r="L3068" s="3" t="s">
        <v>145</v>
      </c>
      <c r="M3068" s="3" t="s">
        <v>1757</v>
      </c>
      <c r="N3068" s="3" t="s">
        <v>5735</v>
      </c>
      <c r="O3068" s="5">
        <v>20.247283</v>
      </c>
      <c r="P3068" s="6" t="str">
        <f t="shared" si="2"/>
        <v>Household Products</v>
      </c>
    </row>
    <row r="3069" hidden="1">
      <c r="A3069" s="3" t="s">
        <v>12612</v>
      </c>
      <c r="B3069" s="4">
        <v>539230.0</v>
      </c>
      <c r="C3069" s="3" t="s">
        <v>12613</v>
      </c>
      <c r="D3069" s="3" t="s">
        <v>12614</v>
      </c>
      <c r="E3069" s="3" t="s">
        <v>12615</v>
      </c>
      <c r="F3069" s="3" t="s">
        <v>19</v>
      </c>
      <c r="G3069" s="3" t="s">
        <v>72</v>
      </c>
      <c r="H3069" s="3">
        <v>10.0</v>
      </c>
      <c r="I3069" s="3" t="s">
        <v>12612</v>
      </c>
      <c r="J3069" s="3" t="s">
        <v>22</v>
      </c>
      <c r="K3069" s="3" t="s">
        <v>23</v>
      </c>
      <c r="L3069" s="3" t="s">
        <v>24</v>
      </c>
      <c r="M3069" s="3" t="s">
        <v>25</v>
      </c>
      <c r="N3069" s="3" t="s">
        <v>26</v>
      </c>
      <c r="O3069" s="5">
        <v>1.0</v>
      </c>
      <c r="P3069" s="6" t="str">
        <f t="shared" si="2"/>
        <v>Specialty Chemicals</v>
      </c>
    </row>
    <row r="3070" hidden="1">
      <c r="A3070" s="3" t="s">
        <v>12616</v>
      </c>
      <c r="B3070" s="4">
        <v>509003.0</v>
      </c>
      <c r="C3070" s="3" t="s">
        <v>12617</v>
      </c>
      <c r="D3070" s="3" t="s">
        <v>12618</v>
      </c>
      <c r="E3070" s="3" t="s">
        <v>12619</v>
      </c>
      <c r="F3070" s="3" t="s">
        <v>19</v>
      </c>
      <c r="G3070" s="3" t="s">
        <v>72</v>
      </c>
      <c r="H3070" s="3">
        <v>10.0</v>
      </c>
      <c r="I3070" s="3" t="s">
        <v>2907</v>
      </c>
      <c r="J3070" s="3" t="s">
        <v>22</v>
      </c>
      <c r="K3070" s="3" t="s">
        <v>1673</v>
      </c>
      <c r="L3070" s="3" t="s">
        <v>1673</v>
      </c>
      <c r="M3070" s="3" t="s">
        <v>1674</v>
      </c>
      <c r="N3070" s="3" t="s">
        <v>1675</v>
      </c>
      <c r="O3070" s="5">
        <v>1.0</v>
      </c>
      <c r="P3070" s="6" t="str">
        <f t="shared" si="2"/>
        <v>Commercial Services &amp; Supplies</v>
      </c>
    </row>
    <row r="3071" hidden="1">
      <c r="A3071" s="3" t="s">
        <v>12620</v>
      </c>
      <c r="B3071" s="4">
        <v>539251.0</v>
      </c>
      <c r="C3071" s="3" t="s">
        <v>12621</v>
      </c>
      <c r="D3071" s="3" t="s">
        <v>12622</v>
      </c>
      <c r="E3071" s="3" t="s">
        <v>12621</v>
      </c>
      <c r="F3071" s="3" t="s">
        <v>19</v>
      </c>
      <c r="G3071" s="3" t="s">
        <v>112</v>
      </c>
      <c r="H3071" s="3">
        <v>10.0</v>
      </c>
      <c r="I3071" s="3" t="s">
        <v>12620</v>
      </c>
      <c r="J3071" s="3" t="s">
        <v>22</v>
      </c>
      <c r="K3071" s="3" t="s">
        <v>23</v>
      </c>
      <c r="L3071" s="3" t="s">
        <v>32</v>
      </c>
      <c r="M3071" s="3" t="s">
        <v>33</v>
      </c>
      <c r="N3071" s="3" t="s">
        <v>34</v>
      </c>
      <c r="O3071" s="5">
        <v>83.6488988</v>
      </c>
      <c r="P3071" s="6" t="str">
        <f t="shared" si="2"/>
        <v>Paper, Forest &amp; Jute Products</v>
      </c>
    </row>
    <row r="3072" hidden="1">
      <c r="A3072" s="3" t="s">
        <v>12623</v>
      </c>
      <c r="B3072" s="4">
        <v>539252.0</v>
      </c>
      <c r="C3072" s="3" t="s">
        <v>12624</v>
      </c>
      <c r="D3072" s="3" t="s">
        <v>12625</v>
      </c>
      <c r="E3072" s="3" t="s">
        <v>12626</v>
      </c>
      <c r="F3072" s="3" t="s">
        <v>19</v>
      </c>
      <c r="G3072" s="3" t="s">
        <v>86</v>
      </c>
      <c r="H3072" s="3">
        <v>1.0</v>
      </c>
      <c r="I3072" s="3" t="s">
        <v>12623</v>
      </c>
      <c r="J3072" s="3" t="s">
        <v>22</v>
      </c>
      <c r="K3072" s="3" t="s">
        <v>23</v>
      </c>
      <c r="L3072" s="3" t="s">
        <v>65</v>
      </c>
      <c r="M3072" s="3" t="s">
        <v>106</v>
      </c>
      <c r="N3072" s="3" t="s">
        <v>4039</v>
      </c>
      <c r="O3072" s="5">
        <v>367.2743525</v>
      </c>
      <c r="P3072" s="6" t="str">
        <f t="shared" si="2"/>
        <v>Ferrous Metals</v>
      </c>
    </row>
    <row r="3073" hidden="1">
      <c r="A3073" s="3" t="s">
        <v>12627</v>
      </c>
      <c r="B3073" s="4">
        <v>539253.0</v>
      </c>
      <c r="C3073" s="3" t="s">
        <v>12628</v>
      </c>
      <c r="D3073" s="3" t="s">
        <v>12629</v>
      </c>
      <c r="E3073" s="3" t="s">
        <v>12630</v>
      </c>
      <c r="F3073" s="3" t="s">
        <v>19</v>
      </c>
      <c r="G3073" s="3" t="s">
        <v>44</v>
      </c>
      <c r="H3073" s="3">
        <v>10.0</v>
      </c>
      <c r="I3073" s="3" t="s">
        <v>12627</v>
      </c>
      <c r="J3073" s="3" t="s">
        <v>22</v>
      </c>
      <c r="K3073" s="3" t="s">
        <v>204</v>
      </c>
      <c r="L3073" s="3" t="s">
        <v>204</v>
      </c>
      <c r="M3073" s="3" t="s">
        <v>378</v>
      </c>
      <c r="N3073" s="3" t="s">
        <v>379</v>
      </c>
      <c r="O3073" s="5">
        <v>1.0</v>
      </c>
      <c r="P3073" s="6" t="str">
        <f t="shared" si="2"/>
        <v>Non Banking Financial Company (NBFC)</v>
      </c>
    </row>
    <row r="3074">
      <c r="A3074" s="3" t="s">
        <v>12631</v>
      </c>
      <c r="B3074" s="4">
        <v>500048.0</v>
      </c>
      <c r="C3074" s="3" t="s">
        <v>12632</v>
      </c>
      <c r="D3074" s="3" t="s">
        <v>12633</v>
      </c>
      <c r="E3074" s="3" t="s">
        <v>12634</v>
      </c>
      <c r="F3074" s="3" t="s">
        <v>19</v>
      </c>
      <c r="G3074" s="3" t="s">
        <v>20</v>
      </c>
      <c r="H3074" s="3">
        <v>10.0</v>
      </c>
      <c r="I3074" s="3" t="s">
        <v>158</v>
      </c>
      <c r="J3074" s="3" t="s">
        <v>22</v>
      </c>
      <c r="K3074" s="3" t="s">
        <v>97</v>
      </c>
      <c r="L3074" s="3" t="s">
        <v>98</v>
      </c>
      <c r="M3074" s="3" t="s">
        <v>1993</v>
      </c>
      <c r="N3074" s="3" t="s">
        <v>1999</v>
      </c>
      <c r="O3074" s="5">
        <v>18981.3507629</v>
      </c>
      <c r="P3074" s="6" t="str">
        <f t="shared" si="2"/>
        <v>Agricultural, Commercial &amp; Construction Vehicles</v>
      </c>
    </row>
    <row r="3075" hidden="1">
      <c r="A3075" s="3" t="s">
        <v>12635</v>
      </c>
      <c r="B3075" s="4">
        <v>539255.0</v>
      </c>
      <c r="C3075" s="3" t="s">
        <v>12636</v>
      </c>
      <c r="D3075" s="3" t="s">
        <v>12637</v>
      </c>
      <c r="E3075" s="3" t="s">
        <v>12638</v>
      </c>
      <c r="F3075" s="3" t="s">
        <v>19</v>
      </c>
      <c r="G3075" s="3" t="s">
        <v>72</v>
      </c>
      <c r="H3075" s="3">
        <v>10.0</v>
      </c>
      <c r="I3075" s="3" t="s">
        <v>12635</v>
      </c>
      <c r="J3075" s="3" t="s">
        <v>22</v>
      </c>
      <c r="K3075" s="3" t="s">
        <v>97</v>
      </c>
      <c r="L3075" s="3" t="s">
        <v>98</v>
      </c>
      <c r="M3075" s="3" t="s">
        <v>1747</v>
      </c>
      <c r="N3075" s="3" t="s">
        <v>1767</v>
      </c>
      <c r="O3075" s="5">
        <v>257.5024153</v>
      </c>
      <c r="P3075" s="6" t="str">
        <f t="shared" si="2"/>
        <v>Heavy Electrical Equipment</v>
      </c>
    </row>
    <row r="3076" hidden="1">
      <c r="A3076" s="3" t="s">
        <v>12639</v>
      </c>
      <c r="B3076" s="4">
        <v>539265.0</v>
      </c>
      <c r="C3076" s="3" t="s">
        <v>12640</v>
      </c>
      <c r="D3076" s="3" t="s">
        <v>12641</v>
      </c>
      <c r="E3076" s="3" t="s">
        <v>12642</v>
      </c>
      <c r="F3076" s="3" t="s">
        <v>19</v>
      </c>
      <c r="G3076" s="3" t="s">
        <v>6293</v>
      </c>
      <c r="H3076" s="3">
        <v>10.0</v>
      </c>
      <c r="I3076" s="3" t="s">
        <v>12639</v>
      </c>
      <c r="J3076" s="3" t="s">
        <v>22</v>
      </c>
      <c r="K3076" s="3" t="s">
        <v>204</v>
      </c>
      <c r="L3076" s="3" t="s">
        <v>204</v>
      </c>
      <c r="M3076" s="3" t="s">
        <v>378</v>
      </c>
      <c r="N3076" s="3" t="s">
        <v>384</v>
      </c>
      <c r="O3076" s="5">
        <v>17.09568</v>
      </c>
      <c r="P3076" s="6" t="str">
        <f t="shared" si="2"/>
        <v>Finance</v>
      </c>
    </row>
    <row r="3077" hidden="1">
      <c r="A3077" s="3" t="s">
        <v>12643</v>
      </c>
      <c r="B3077" s="4">
        <v>539267.0</v>
      </c>
      <c r="C3077" s="3" t="s">
        <v>12644</v>
      </c>
      <c r="D3077" s="3" t="s">
        <v>12645</v>
      </c>
      <c r="E3077" s="3" t="s">
        <v>12646</v>
      </c>
      <c r="F3077" s="3" t="s">
        <v>19</v>
      </c>
      <c r="G3077" s="3" t="s">
        <v>44</v>
      </c>
      <c r="H3077" s="3">
        <v>10.0</v>
      </c>
      <c r="I3077" s="3" t="s">
        <v>12643</v>
      </c>
      <c r="J3077" s="3" t="s">
        <v>22</v>
      </c>
      <c r="K3077" s="3" t="s">
        <v>45</v>
      </c>
      <c r="L3077" s="3" t="s">
        <v>45</v>
      </c>
      <c r="M3077" s="3" t="s">
        <v>4488</v>
      </c>
      <c r="N3077" s="3" t="s">
        <v>4489</v>
      </c>
      <c r="O3077" s="5">
        <v>24.73054</v>
      </c>
      <c r="P3077" s="6" t="str">
        <f t="shared" si="2"/>
        <v>Healthcare Services</v>
      </c>
    </row>
    <row r="3078">
      <c r="A3078" s="3" t="s">
        <v>11446</v>
      </c>
      <c r="B3078" s="4">
        <v>500049.0</v>
      </c>
      <c r="C3078" s="3" t="s">
        <v>12647</v>
      </c>
      <c r="D3078" s="3" t="s">
        <v>12648</v>
      </c>
      <c r="E3078" s="3" t="s">
        <v>12649</v>
      </c>
      <c r="F3078" s="3" t="s">
        <v>19</v>
      </c>
      <c r="G3078" s="3" t="s">
        <v>20</v>
      </c>
      <c r="H3078" s="3">
        <v>1.0</v>
      </c>
      <c r="I3078" s="3" t="s">
        <v>164</v>
      </c>
      <c r="J3078" s="3" t="s">
        <v>22</v>
      </c>
      <c r="K3078" s="3" t="s">
        <v>97</v>
      </c>
      <c r="L3078" s="3" t="s">
        <v>98</v>
      </c>
      <c r="M3078" s="3" t="s">
        <v>806</v>
      </c>
      <c r="N3078" s="3" t="s">
        <v>806</v>
      </c>
      <c r="O3078" s="5">
        <v>225566.9181925</v>
      </c>
      <c r="P3078" s="6" t="str">
        <f t="shared" si="2"/>
        <v>Aerospace &amp; Defense</v>
      </c>
    </row>
    <row r="3079" hidden="1">
      <c r="A3079" s="3" t="s">
        <v>12650</v>
      </c>
      <c r="B3079" s="4">
        <v>539273.0</v>
      </c>
      <c r="C3079" s="3" t="s">
        <v>12651</v>
      </c>
      <c r="D3079" s="3" t="s">
        <v>12652</v>
      </c>
      <c r="E3079" s="3" t="s">
        <v>12653</v>
      </c>
      <c r="F3079" s="3" t="s">
        <v>19</v>
      </c>
      <c r="G3079" s="3" t="s">
        <v>6293</v>
      </c>
      <c r="H3079" s="3">
        <v>10.0</v>
      </c>
      <c r="I3079" s="3" t="s">
        <v>12650</v>
      </c>
      <c r="J3079" s="3" t="s">
        <v>22</v>
      </c>
      <c r="K3079" s="3" t="s">
        <v>58</v>
      </c>
      <c r="L3079" s="3" t="s">
        <v>73</v>
      </c>
      <c r="M3079" s="3" t="s">
        <v>74</v>
      </c>
      <c r="N3079" s="3" t="s">
        <v>1162</v>
      </c>
      <c r="O3079" s="5">
        <v>1.0</v>
      </c>
      <c r="P3079" s="6" t="str">
        <f t="shared" si="2"/>
        <v>Leisure Services</v>
      </c>
    </row>
    <row r="3080" hidden="1">
      <c r="A3080" s="3" t="s">
        <v>12654</v>
      </c>
      <c r="B3080" s="4">
        <v>539275.0</v>
      </c>
      <c r="C3080" s="3" t="s">
        <v>12655</v>
      </c>
      <c r="D3080" s="3" t="s">
        <v>12656</v>
      </c>
      <c r="E3080" s="3" t="s">
        <v>12657</v>
      </c>
      <c r="F3080" s="3" t="s">
        <v>19</v>
      </c>
      <c r="G3080" s="3" t="s">
        <v>44</v>
      </c>
      <c r="H3080" s="3">
        <v>10.0</v>
      </c>
      <c r="I3080" s="3" t="s">
        <v>12654</v>
      </c>
      <c r="J3080" s="3" t="s">
        <v>22</v>
      </c>
      <c r="K3080" s="3" t="s">
        <v>145</v>
      </c>
      <c r="L3080" s="3" t="s">
        <v>145</v>
      </c>
      <c r="M3080" s="3" t="s">
        <v>146</v>
      </c>
      <c r="N3080" s="3" t="s">
        <v>2645</v>
      </c>
      <c r="O3080" s="5">
        <v>270.7291599</v>
      </c>
      <c r="P3080" s="6" t="str">
        <f t="shared" si="2"/>
        <v>Agricultural Food &amp; other Products</v>
      </c>
    </row>
    <row r="3081" hidden="1">
      <c r="A3081" s="3" t="s">
        <v>12658</v>
      </c>
      <c r="B3081" s="4">
        <v>539276.0</v>
      </c>
      <c r="C3081" s="3" t="s">
        <v>12659</v>
      </c>
      <c r="D3081" s="3" t="s">
        <v>12660</v>
      </c>
      <c r="E3081" s="3" t="s">
        <v>12661</v>
      </c>
      <c r="F3081" s="3" t="s">
        <v>19</v>
      </c>
      <c r="G3081" s="3" t="s">
        <v>112</v>
      </c>
      <c r="H3081" s="3">
        <v>10.0</v>
      </c>
      <c r="I3081" s="3" t="s">
        <v>12658</v>
      </c>
      <c r="J3081" s="3" t="s">
        <v>22</v>
      </c>
      <c r="K3081" s="3" t="s">
        <v>58</v>
      </c>
      <c r="L3081" s="3" t="s">
        <v>73</v>
      </c>
      <c r="M3081" s="3" t="s">
        <v>74</v>
      </c>
      <c r="N3081" s="3" t="s">
        <v>12662</v>
      </c>
      <c r="O3081" s="5">
        <v>573.6996507</v>
      </c>
      <c r="P3081" s="6" t="str">
        <f t="shared" si="2"/>
        <v>Leisure Services</v>
      </c>
    </row>
    <row r="3082" hidden="1">
      <c r="A3082" s="3" t="s">
        <v>12663</v>
      </c>
      <c r="B3082" s="4">
        <v>539277.0</v>
      </c>
      <c r="C3082" s="3" t="s">
        <v>12664</v>
      </c>
      <c r="D3082" s="3" t="s">
        <v>12665</v>
      </c>
      <c r="E3082" s="3" t="s">
        <v>12666</v>
      </c>
      <c r="F3082" s="3" t="s">
        <v>19</v>
      </c>
      <c r="G3082" s="3" t="s">
        <v>44</v>
      </c>
      <c r="H3082" s="3">
        <v>1.0</v>
      </c>
      <c r="I3082" s="3" t="s">
        <v>12663</v>
      </c>
      <c r="J3082" s="3" t="s">
        <v>22</v>
      </c>
      <c r="K3082" s="3" t="s">
        <v>58</v>
      </c>
      <c r="L3082" s="3" t="s">
        <v>73</v>
      </c>
      <c r="M3082" s="3" t="s">
        <v>988</v>
      </c>
      <c r="N3082" s="3" t="s">
        <v>12244</v>
      </c>
      <c r="O3082" s="5">
        <v>109.6016497</v>
      </c>
      <c r="P3082" s="6" t="str">
        <f t="shared" si="2"/>
        <v>Retailing</v>
      </c>
    </row>
    <row r="3083" hidden="1">
      <c r="A3083" s="3" t="s">
        <v>12667</v>
      </c>
      <c r="B3083" s="4">
        <v>539278.0</v>
      </c>
      <c r="C3083" s="3" t="s">
        <v>12668</v>
      </c>
      <c r="D3083" s="3" t="s">
        <v>12669</v>
      </c>
      <c r="E3083" s="3" t="s">
        <v>12670</v>
      </c>
      <c r="F3083" s="3" t="s">
        <v>19</v>
      </c>
      <c r="G3083" s="3" t="s">
        <v>44</v>
      </c>
      <c r="H3083" s="3">
        <v>10.0</v>
      </c>
      <c r="I3083" s="3" t="s">
        <v>12667</v>
      </c>
      <c r="J3083" s="3" t="s">
        <v>22</v>
      </c>
      <c r="K3083" s="3" t="s">
        <v>204</v>
      </c>
      <c r="L3083" s="3" t="s">
        <v>204</v>
      </c>
      <c r="M3083" s="3" t="s">
        <v>378</v>
      </c>
      <c r="N3083" s="3" t="s">
        <v>468</v>
      </c>
      <c r="O3083" s="5">
        <v>8.9430177</v>
      </c>
      <c r="P3083" s="6" t="str">
        <f t="shared" si="2"/>
        <v>Finance</v>
      </c>
    </row>
    <row r="3084" hidden="1">
      <c r="A3084" s="3" t="s">
        <v>12671</v>
      </c>
      <c r="B3084" s="4">
        <v>539287.0</v>
      </c>
      <c r="C3084" s="3" t="s">
        <v>12672</v>
      </c>
      <c r="D3084" s="3" t="s">
        <v>12673</v>
      </c>
      <c r="E3084" s="3" t="s">
        <v>12674</v>
      </c>
      <c r="F3084" s="3" t="s">
        <v>19</v>
      </c>
      <c r="G3084" s="3" t="s">
        <v>112</v>
      </c>
      <c r="H3084" s="3">
        <v>10.0</v>
      </c>
      <c r="I3084" s="3" t="s">
        <v>12671</v>
      </c>
      <c r="J3084" s="3" t="s">
        <v>22</v>
      </c>
      <c r="K3084" s="3" t="s">
        <v>45</v>
      </c>
      <c r="L3084" s="3" t="s">
        <v>45</v>
      </c>
      <c r="M3084" s="3" t="s">
        <v>46</v>
      </c>
      <c r="N3084" s="3" t="s">
        <v>47</v>
      </c>
      <c r="O3084" s="5">
        <v>16.0182926</v>
      </c>
      <c r="P3084" s="6" t="str">
        <f t="shared" si="2"/>
        <v>Pharmaceuticals</v>
      </c>
    </row>
    <row r="3085" hidden="1">
      <c r="A3085" s="3" t="s">
        <v>12675</v>
      </c>
      <c r="B3085" s="4">
        <v>539288.0</v>
      </c>
      <c r="C3085" s="3" t="s">
        <v>12676</v>
      </c>
      <c r="D3085" s="3" t="s">
        <v>12677</v>
      </c>
      <c r="E3085" s="3" t="s">
        <v>12678</v>
      </c>
      <c r="F3085" s="3" t="s">
        <v>19</v>
      </c>
      <c r="G3085" s="3" t="s">
        <v>44</v>
      </c>
      <c r="H3085" s="3">
        <v>10.0</v>
      </c>
      <c r="I3085" s="3" t="s">
        <v>12675</v>
      </c>
      <c r="J3085" s="3" t="s">
        <v>22</v>
      </c>
      <c r="K3085" s="3" t="s">
        <v>23</v>
      </c>
      <c r="L3085" s="3" t="s">
        <v>24</v>
      </c>
      <c r="M3085" s="3" t="s">
        <v>25</v>
      </c>
      <c r="N3085" s="3" t="s">
        <v>26</v>
      </c>
      <c r="O3085" s="5">
        <v>1.0</v>
      </c>
      <c r="P3085" s="6" t="str">
        <f t="shared" si="2"/>
        <v>Specialty Chemicals</v>
      </c>
    </row>
    <row r="3086" hidden="1">
      <c r="A3086" s="3" t="s">
        <v>12679</v>
      </c>
      <c r="B3086" s="4">
        <v>539289.0</v>
      </c>
      <c r="C3086" s="3" t="s">
        <v>12680</v>
      </c>
      <c r="D3086" s="3" t="s">
        <v>12681</v>
      </c>
      <c r="E3086" s="3" t="s">
        <v>12682</v>
      </c>
      <c r="F3086" s="3" t="s">
        <v>19</v>
      </c>
      <c r="G3086" s="3" t="s">
        <v>112</v>
      </c>
      <c r="H3086" s="3">
        <v>5.0</v>
      </c>
      <c r="I3086" s="3" t="s">
        <v>12679</v>
      </c>
      <c r="J3086" s="3" t="s">
        <v>22</v>
      </c>
      <c r="K3086" s="3" t="s">
        <v>473</v>
      </c>
      <c r="L3086" s="3" t="s">
        <v>473</v>
      </c>
      <c r="M3086" s="3" t="s">
        <v>1538</v>
      </c>
      <c r="N3086" s="3" t="s">
        <v>1539</v>
      </c>
      <c r="O3086" s="5">
        <v>978.0001117</v>
      </c>
      <c r="P3086" s="6" t="str">
        <f t="shared" si="2"/>
        <v>IT - Services</v>
      </c>
    </row>
    <row r="3087" hidden="1">
      <c r="A3087" s="3" t="s">
        <v>12683</v>
      </c>
      <c r="B3087" s="4">
        <v>539290.0</v>
      </c>
      <c r="C3087" s="3" t="s">
        <v>12684</v>
      </c>
      <c r="D3087" s="3" t="s">
        <v>12685</v>
      </c>
      <c r="E3087" s="3" t="s">
        <v>12686</v>
      </c>
      <c r="F3087" s="3" t="s">
        <v>19</v>
      </c>
      <c r="G3087" s="3" t="s">
        <v>112</v>
      </c>
      <c r="H3087" s="3">
        <v>10.0</v>
      </c>
      <c r="I3087" s="3" t="s">
        <v>12683</v>
      </c>
      <c r="J3087" s="3" t="s">
        <v>22</v>
      </c>
      <c r="K3087" s="3" t="s">
        <v>204</v>
      </c>
      <c r="L3087" s="3" t="s">
        <v>204</v>
      </c>
      <c r="M3087" s="3" t="s">
        <v>378</v>
      </c>
      <c r="N3087" s="3" t="s">
        <v>384</v>
      </c>
      <c r="O3087" s="5">
        <v>921.9449</v>
      </c>
      <c r="P3087" s="6" t="str">
        <f t="shared" si="2"/>
        <v>Finance</v>
      </c>
    </row>
    <row r="3088" hidden="1">
      <c r="A3088" s="3" t="s">
        <v>12687</v>
      </c>
      <c r="B3088" s="4">
        <v>539291.0</v>
      </c>
      <c r="C3088" s="3" t="s">
        <v>12688</v>
      </c>
      <c r="D3088" s="3" t="s">
        <v>12689</v>
      </c>
      <c r="E3088" s="3" t="s">
        <v>12690</v>
      </c>
      <c r="F3088" s="3" t="s">
        <v>19</v>
      </c>
      <c r="G3088" s="3" t="s">
        <v>72</v>
      </c>
      <c r="H3088" s="3">
        <v>10.0</v>
      </c>
      <c r="I3088" s="3" t="s">
        <v>12687</v>
      </c>
      <c r="J3088" s="3" t="s">
        <v>22</v>
      </c>
      <c r="K3088" s="3" t="s">
        <v>145</v>
      </c>
      <c r="L3088" s="3" t="s">
        <v>145</v>
      </c>
      <c r="M3088" s="3" t="s">
        <v>146</v>
      </c>
      <c r="N3088" s="3" t="s">
        <v>2645</v>
      </c>
      <c r="O3088" s="5">
        <v>1.0</v>
      </c>
      <c r="P3088" s="6" t="str">
        <f t="shared" si="2"/>
        <v>Agricultural Food &amp; other Products</v>
      </c>
    </row>
    <row r="3089" hidden="1">
      <c r="A3089" s="3" t="s">
        <v>12691</v>
      </c>
      <c r="B3089" s="4">
        <v>539300.0</v>
      </c>
      <c r="C3089" s="3" t="s">
        <v>12692</v>
      </c>
      <c r="D3089" s="3" t="s">
        <v>12693</v>
      </c>
      <c r="E3089" s="3" t="s">
        <v>12694</v>
      </c>
      <c r="F3089" s="3" t="s">
        <v>19</v>
      </c>
      <c r="G3089" s="3" t="s">
        <v>44</v>
      </c>
      <c r="H3089" s="3">
        <v>10.0</v>
      </c>
      <c r="I3089" s="3" t="s">
        <v>12691</v>
      </c>
      <c r="J3089" s="3" t="s">
        <v>22</v>
      </c>
      <c r="K3089" s="3" t="s">
        <v>58</v>
      </c>
      <c r="L3089" s="3" t="s">
        <v>80</v>
      </c>
      <c r="M3089" s="3" t="s">
        <v>81</v>
      </c>
      <c r="N3089" s="3" t="s">
        <v>82</v>
      </c>
      <c r="O3089" s="5">
        <v>106.9525614</v>
      </c>
      <c r="P3089" s="6" t="str">
        <f t="shared" si="2"/>
        <v>Textiles &amp; Apparels</v>
      </c>
    </row>
    <row r="3090" hidden="1">
      <c r="A3090" s="3" t="s">
        <v>12695</v>
      </c>
      <c r="B3090" s="4">
        <v>539301.0</v>
      </c>
      <c r="C3090" s="3" t="s">
        <v>12696</v>
      </c>
      <c r="D3090" s="3" t="s">
        <v>12697</v>
      </c>
      <c r="E3090" s="3" t="s">
        <v>12698</v>
      </c>
      <c r="F3090" s="3" t="s">
        <v>19</v>
      </c>
      <c r="G3090" s="3" t="s">
        <v>112</v>
      </c>
      <c r="H3090" s="3">
        <v>10.0</v>
      </c>
      <c r="I3090" s="3" t="s">
        <v>12695</v>
      </c>
      <c r="J3090" s="3" t="s">
        <v>22</v>
      </c>
      <c r="K3090" s="3" t="s">
        <v>58</v>
      </c>
      <c r="L3090" s="3" t="s">
        <v>59</v>
      </c>
      <c r="M3090" s="3" t="s">
        <v>59</v>
      </c>
      <c r="N3090" s="3" t="s">
        <v>60</v>
      </c>
      <c r="O3090" s="5">
        <v>3195.5221738</v>
      </c>
      <c r="P3090" s="6" t="str">
        <f t="shared" si="2"/>
        <v>Residential, Commercial Projects</v>
      </c>
    </row>
    <row r="3091">
      <c r="A3091" s="3" t="s">
        <v>12699</v>
      </c>
      <c r="B3091" s="4">
        <v>500093.0</v>
      </c>
      <c r="C3091" s="3" t="s">
        <v>12700</v>
      </c>
      <c r="D3091" s="3" t="s">
        <v>12701</v>
      </c>
      <c r="E3091" s="3" t="s">
        <v>12702</v>
      </c>
      <c r="F3091" s="3" t="s">
        <v>19</v>
      </c>
      <c r="G3091" s="3" t="s">
        <v>20</v>
      </c>
      <c r="H3091" s="3">
        <v>2.0</v>
      </c>
      <c r="I3091" s="3" t="s">
        <v>253</v>
      </c>
      <c r="J3091" s="3" t="s">
        <v>22</v>
      </c>
      <c r="K3091" s="3" t="s">
        <v>97</v>
      </c>
      <c r="L3091" s="3" t="s">
        <v>98</v>
      </c>
      <c r="M3091" s="3" t="s">
        <v>1747</v>
      </c>
      <c r="N3091" s="3" t="s">
        <v>1767</v>
      </c>
      <c r="O3091" s="5">
        <v>107236.3663813</v>
      </c>
      <c r="P3091" s="6" t="str">
        <f t="shared" si="2"/>
        <v>Heavy Electrical Equipment</v>
      </c>
    </row>
    <row r="3092" hidden="1">
      <c r="A3092" s="3" t="s">
        <v>12703</v>
      </c>
      <c r="B3092" s="4">
        <v>539309.0</v>
      </c>
      <c r="C3092" s="3" t="s">
        <v>12704</v>
      </c>
      <c r="D3092" s="3" t="s">
        <v>12705</v>
      </c>
      <c r="E3092" s="3" t="s">
        <v>12706</v>
      </c>
      <c r="F3092" s="3" t="s">
        <v>19</v>
      </c>
      <c r="G3092" s="3" t="s">
        <v>112</v>
      </c>
      <c r="H3092" s="3">
        <v>1.0</v>
      </c>
      <c r="I3092" s="3" t="s">
        <v>12703</v>
      </c>
      <c r="J3092" s="3" t="s">
        <v>22</v>
      </c>
      <c r="K3092" s="3" t="s">
        <v>97</v>
      </c>
      <c r="L3092" s="3" t="s">
        <v>98</v>
      </c>
      <c r="M3092" s="3" t="s">
        <v>100</v>
      </c>
      <c r="N3092" s="3" t="s">
        <v>612</v>
      </c>
      <c r="O3092" s="5">
        <v>1780.4645</v>
      </c>
      <c r="P3092" s="6" t="str">
        <f t="shared" si="2"/>
        <v>Industrial Products</v>
      </c>
    </row>
    <row r="3093" hidden="1">
      <c r="A3093" s="3" t="s">
        <v>12707</v>
      </c>
      <c r="B3093" s="4">
        <v>539310.0</v>
      </c>
      <c r="C3093" s="3" t="s">
        <v>12708</v>
      </c>
      <c r="D3093" s="3" t="s">
        <v>12709</v>
      </c>
      <c r="E3093" s="3" t="s">
        <v>12710</v>
      </c>
      <c r="F3093" s="3" t="s">
        <v>19</v>
      </c>
      <c r="G3093" s="3" t="s">
        <v>72</v>
      </c>
      <c r="H3093" s="3">
        <v>5.0</v>
      </c>
      <c r="I3093" s="3" t="s">
        <v>12707</v>
      </c>
      <c r="J3093" s="3" t="s">
        <v>22</v>
      </c>
      <c r="K3093" s="3" t="s">
        <v>58</v>
      </c>
      <c r="L3093" s="3" t="s">
        <v>182</v>
      </c>
      <c r="M3093" s="3" t="s">
        <v>183</v>
      </c>
      <c r="N3093" s="3" t="s">
        <v>6800</v>
      </c>
      <c r="O3093" s="5">
        <v>84.9977133</v>
      </c>
      <c r="P3093" s="6" t="str">
        <f t="shared" si="2"/>
        <v>Media</v>
      </c>
    </row>
    <row r="3094" hidden="1">
      <c r="A3094" s="3" t="s">
        <v>12711</v>
      </c>
      <c r="B3094" s="4">
        <v>539314.0</v>
      </c>
      <c r="C3094" s="3" t="s">
        <v>12712</v>
      </c>
      <c r="D3094" s="3" t="s">
        <v>12713</v>
      </c>
      <c r="E3094" s="3" t="s">
        <v>12714</v>
      </c>
      <c r="F3094" s="3" t="s">
        <v>19</v>
      </c>
      <c r="G3094" s="3" t="s">
        <v>112</v>
      </c>
      <c r="H3094" s="3">
        <v>10.0</v>
      </c>
      <c r="I3094" s="3" t="s">
        <v>12711</v>
      </c>
      <c r="J3094" s="3" t="s">
        <v>22</v>
      </c>
      <c r="K3094" s="3" t="s">
        <v>58</v>
      </c>
      <c r="L3094" s="3" t="s">
        <v>133</v>
      </c>
      <c r="M3094" s="3" t="s">
        <v>134</v>
      </c>
      <c r="N3094" s="3" t="s">
        <v>135</v>
      </c>
      <c r="O3094" s="5">
        <v>210.7409764</v>
      </c>
      <c r="P3094" s="6" t="str">
        <f t="shared" si="2"/>
        <v>Auto Components &amp; Equipments</v>
      </c>
    </row>
    <row r="3095" hidden="1">
      <c r="A3095" s="3" t="s">
        <v>12715</v>
      </c>
      <c r="B3095" s="4">
        <v>539331.0</v>
      </c>
      <c r="C3095" s="3" t="s">
        <v>12716</v>
      </c>
      <c r="D3095" s="3" t="s">
        <v>12717</v>
      </c>
      <c r="E3095" s="3" t="s">
        <v>12718</v>
      </c>
      <c r="F3095" s="3" t="s">
        <v>19</v>
      </c>
      <c r="G3095" s="3" t="s">
        <v>112</v>
      </c>
      <c r="H3095" s="3">
        <v>10.0</v>
      </c>
      <c r="I3095" s="3" t="s">
        <v>12715</v>
      </c>
      <c r="J3095" s="3" t="s">
        <v>22</v>
      </c>
      <c r="K3095" s="3" t="s">
        <v>58</v>
      </c>
      <c r="L3095" s="3" t="s">
        <v>211</v>
      </c>
      <c r="M3095" s="3" t="s">
        <v>211</v>
      </c>
      <c r="N3095" s="3" t="s">
        <v>212</v>
      </c>
      <c r="O3095" s="5">
        <v>248.7646787</v>
      </c>
      <c r="P3095" s="6" t="str">
        <f t="shared" si="2"/>
        <v>Consumer Durables</v>
      </c>
    </row>
    <row r="3096" hidden="1">
      <c r="A3096" s="3" t="s">
        <v>2276</v>
      </c>
      <c r="B3096" s="4">
        <v>509046.0</v>
      </c>
      <c r="C3096" s="3" t="s">
        <v>12719</v>
      </c>
      <c r="D3096" s="3" t="s">
        <v>12720</v>
      </c>
      <c r="E3096" s="3" t="s">
        <v>12721</v>
      </c>
      <c r="F3096" s="3" t="s">
        <v>19</v>
      </c>
      <c r="G3096" s="3" t="s">
        <v>72</v>
      </c>
      <c r="H3096" s="3">
        <v>10.0</v>
      </c>
      <c r="I3096" s="3" t="s">
        <v>2937</v>
      </c>
      <c r="J3096" s="3" t="s">
        <v>22</v>
      </c>
      <c r="K3096" s="3" t="s">
        <v>1673</v>
      </c>
      <c r="L3096" s="3" t="s">
        <v>1673</v>
      </c>
      <c r="M3096" s="3" t="s">
        <v>1674</v>
      </c>
      <c r="N3096" s="3" t="s">
        <v>1675</v>
      </c>
      <c r="O3096" s="5">
        <v>1.0</v>
      </c>
      <c r="P3096" s="6" t="str">
        <f t="shared" si="2"/>
        <v>Commercial Services &amp; Supplies</v>
      </c>
    </row>
    <row r="3097" hidden="1">
      <c r="A3097" s="3" t="s">
        <v>12722</v>
      </c>
      <c r="B3097" s="4">
        <v>539334.0</v>
      </c>
      <c r="C3097" s="3" t="s">
        <v>12723</v>
      </c>
      <c r="D3097" s="3" t="s">
        <v>12724</v>
      </c>
      <c r="E3097" s="3" t="s">
        <v>12725</v>
      </c>
      <c r="F3097" s="3" t="s">
        <v>19</v>
      </c>
      <c r="G3097" s="3" t="s">
        <v>112</v>
      </c>
      <c r="H3097" s="3">
        <v>10.0</v>
      </c>
      <c r="I3097" s="3" t="s">
        <v>12722</v>
      </c>
      <c r="J3097" s="3" t="s">
        <v>22</v>
      </c>
      <c r="K3097" s="3" t="s">
        <v>23</v>
      </c>
      <c r="L3097" s="3" t="s">
        <v>24</v>
      </c>
      <c r="M3097" s="3" t="s">
        <v>25</v>
      </c>
      <c r="N3097" s="3" t="s">
        <v>368</v>
      </c>
      <c r="O3097" s="5">
        <v>689.92006</v>
      </c>
      <c r="P3097" s="6" t="str">
        <f t="shared" si="2"/>
        <v>Chemicals &amp; Petrochemicals</v>
      </c>
    </row>
    <row r="3098">
      <c r="A3098" s="3" t="s">
        <v>6502</v>
      </c>
      <c r="B3098" s="4">
        <v>500103.0</v>
      </c>
      <c r="C3098" s="3" t="s">
        <v>12726</v>
      </c>
      <c r="D3098" s="3" t="s">
        <v>12727</v>
      </c>
      <c r="E3098" s="3" t="s">
        <v>12728</v>
      </c>
      <c r="F3098" s="3" t="s">
        <v>19</v>
      </c>
      <c r="G3098" s="3" t="s">
        <v>20</v>
      </c>
      <c r="H3098" s="3">
        <v>2.0</v>
      </c>
      <c r="I3098" s="3" t="s">
        <v>271</v>
      </c>
      <c r="J3098" s="3" t="s">
        <v>22</v>
      </c>
      <c r="K3098" s="3" t="s">
        <v>97</v>
      </c>
      <c r="L3098" s="3" t="s">
        <v>98</v>
      </c>
      <c r="M3098" s="3" t="s">
        <v>1747</v>
      </c>
      <c r="N3098" s="3" t="s">
        <v>1767</v>
      </c>
      <c r="O3098" s="5">
        <v>103510.7698512</v>
      </c>
      <c r="P3098" s="6" t="str">
        <f t="shared" si="2"/>
        <v>Heavy Electrical Equipment</v>
      </c>
    </row>
    <row r="3099" hidden="1">
      <c r="A3099" s="3" t="s">
        <v>12729</v>
      </c>
      <c r="B3099" s="4">
        <v>539337.0</v>
      </c>
      <c r="C3099" s="3" t="s">
        <v>12730</v>
      </c>
      <c r="D3099" s="3" t="s">
        <v>12731</v>
      </c>
      <c r="E3099" s="3" t="s">
        <v>12732</v>
      </c>
      <c r="F3099" s="3" t="s">
        <v>19</v>
      </c>
      <c r="G3099" s="3" t="s">
        <v>6293</v>
      </c>
      <c r="H3099" s="3">
        <v>10.0</v>
      </c>
      <c r="I3099" s="3" t="s">
        <v>12729</v>
      </c>
      <c r="J3099" s="3" t="s">
        <v>22</v>
      </c>
      <c r="K3099" s="3" t="s">
        <v>1647</v>
      </c>
      <c r="L3099" s="3" t="s">
        <v>1648</v>
      </c>
      <c r="M3099" s="3" t="s">
        <v>1648</v>
      </c>
      <c r="N3099" s="3" t="s">
        <v>1649</v>
      </c>
      <c r="O3099" s="5">
        <v>1575.325</v>
      </c>
      <c r="P3099" s="6" t="str">
        <f t="shared" si="2"/>
        <v>Power</v>
      </c>
    </row>
    <row r="3100" hidden="1">
      <c r="A3100" s="3" t="s">
        <v>12733</v>
      </c>
      <c r="B3100" s="4">
        <v>539346.0</v>
      </c>
      <c r="C3100" s="3" t="s">
        <v>12734</v>
      </c>
      <c r="D3100" s="3" t="s">
        <v>12735</v>
      </c>
      <c r="E3100" s="3" t="s">
        <v>12736</v>
      </c>
      <c r="F3100" s="3" t="s">
        <v>19</v>
      </c>
      <c r="G3100" s="3" t="s">
        <v>112</v>
      </c>
      <c r="H3100" s="3">
        <v>10.0</v>
      </c>
      <c r="I3100" s="3" t="s">
        <v>12733</v>
      </c>
      <c r="J3100" s="3" t="s">
        <v>22</v>
      </c>
      <c r="K3100" s="3" t="s">
        <v>97</v>
      </c>
      <c r="L3100" s="3" t="s">
        <v>965</v>
      </c>
      <c r="M3100" s="3" t="s">
        <v>965</v>
      </c>
      <c r="N3100" s="3" t="s">
        <v>966</v>
      </c>
      <c r="O3100" s="5">
        <v>196.2190228</v>
      </c>
      <c r="P3100" s="6" t="str">
        <f t="shared" si="2"/>
        <v>Civil Construction</v>
      </c>
    </row>
    <row r="3101" hidden="1">
      <c r="A3101" s="3" t="s">
        <v>12737</v>
      </c>
      <c r="B3101" s="4">
        <v>539353.0</v>
      </c>
      <c r="C3101" s="3" t="s">
        <v>12738</v>
      </c>
      <c r="D3101" s="3" t="s">
        <v>12739</v>
      </c>
      <c r="E3101" s="3" t="s">
        <v>12740</v>
      </c>
      <c r="F3101" s="3" t="s">
        <v>19</v>
      </c>
      <c r="G3101" s="3" t="s">
        <v>44</v>
      </c>
      <c r="H3101" s="3">
        <v>10.0</v>
      </c>
      <c r="I3101" s="3" t="s">
        <v>12737</v>
      </c>
      <c r="J3101" s="3" t="s">
        <v>22</v>
      </c>
      <c r="K3101" s="3" t="s">
        <v>58</v>
      </c>
      <c r="L3101" s="3" t="s">
        <v>133</v>
      </c>
      <c r="M3101" s="3" t="s">
        <v>134</v>
      </c>
      <c r="N3101" s="3" t="s">
        <v>135</v>
      </c>
      <c r="O3101" s="5">
        <v>121.6460766</v>
      </c>
      <c r="P3101" s="6" t="str">
        <f t="shared" si="2"/>
        <v>Auto Components &amp; Equipments</v>
      </c>
    </row>
    <row r="3102" hidden="1">
      <c r="A3102" s="3" t="s">
        <v>12741</v>
      </c>
      <c r="B3102" s="4">
        <v>539354.0</v>
      </c>
      <c r="C3102" s="3" t="s">
        <v>12742</v>
      </c>
      <c r="D3102" s="3" t="s">
        <v>12743</v>
      </c>
      <c r="E3102" s="3" t="s">
        <v>12744</v>
      </c>
      <c r="F3102" s="3" t="s">
        <v>19</v>
      </c>
      <c r="G3102" s="3" t="s">
        <v>44</v>
      </c>
      <c r="H3102" s="3">
        <v>5.0</v>
      </c>
      <c r="I3102" s="3" t="s">
        <v>12741</v>
      </c>
      <c r="J3102" s="3" t="s">
        <v>22</v>
      </c>
      <c r="K3102" s="3" t="s">
        <v>97</v>
      </c>
      <c r="L3102" s="3" t="s">
        <v>98</v>
      </c>
      <c r="M3102" s="3" t="s">
        <v>100</v>
      </c>
      <c r="N3102" s="3" t="s">
        <v>373</v>
      </c>
      <c r="O3102" s="5">
        <v>46.0056539</v>
      </c>
      <c r="P3102" s="6" t="str">
        <f t="shared" si="2"/>
        <v>Industrial Products</v>
      </c>
    </row>
    <row r="3103" hidden="1">
      <c r="A3103" s="3" t="s">
        <v>12745</v>
      </c>
      <c r="B3103" s="4">
        <v>539359.0</v>
      </c>
      <c r="C3103" s="3" t="s">
        <v>12746</v>
      </c>
      <c r="D3103" s="3" t="s">
        <v>12747</v>
      </c>
      <c r="E3103" s="3" t="s">
        <v>12748</v>
      </c>
      <c r="F3103" s="3" t="s">
        <v>19</v>
      </c>
      <c r="G3103" s="3" t="s">
        <v>112</v>
      </c>
      <c r="H3103" s="3">
        <v>2.0</v>
      </c>
      <c r="I3103" s="3" t="s">
        <v>12745</v>
      </c>
      <c r="J3103" s="3" t="s">
        <v>22</v>
      </c>
      <c r="K3103" s="3" t="s">
        <v>58</v>
      </c>
      <c r="L3103" s="3" t="s">
        <v>133</v>
      </c>
      <c r="M3103" s="3" t="s">
        <v>134</v>
      </c>
      <c r="N3103" s="3" t="s">
        <v>135</v>
      </c>
      <c r="O3103" s="5">
        <v>458.8318172</v>
      </c>
      <c r="P3103" s="6" t="str">
        <f t="shared" si="2"/>
        <v>Auto Components &amp; Equipments</v>
      </c>
    </row>
    <row r="3104" hidden="1">
      <c r="A3104" s="3" t="s">
        <v>12749</v>
      </c>
      <c r="B3104" s="4">
        <v>539378.0</v>
      </c>
      <c r="C3104" s="3" t="s">
        <v>12750</v>
      </c>
      <c r="D3104" s="3" t="s">
        <v>12751</v>
      </c>
      <c r="E3104" s="3" t="s">
        <v>12752</v>
      </c>
      <c r="F3104" s="3" t="s">
        <v>19</v>
      </c>
      <c r="G3104" s="3" t="s">
        <v>44</v>
      </c>
      <c r="H3104" s="3">
        <v>10.0</v>
      </c>
      <c r="I3104" s="3" t="s">
        <v>12749</v>
      </c>
      <c r="J3104" s="3" t="s">
        <v>22</v>
      </c>
      <c r="K3104" s="3" t="s">
        <v>45</v>
      </c>
      <c r="L3104" s="3" t="s">
        <v>45</v>
      </c>
      <c r="M3104" s="3" t="s">
        <v>4488</v>
      </c>
      <c r="N3104" s="3" t="s">
        <v>5801</v>
      </c>
      <c r="O3104" s="5">
        <v>1.0</v>
      </c>
      <c r="P3104" s="6" t="str">
        <f t="shared" si="2"/>
        <v>Healthcare Services</v>
      </c>
    </row>
    <row r="3105" hidden="1">
      <c r="A3105" s="3" t="s">
        <v>12753</v>
      </c>
      <c r="B3105" s="4">
        <v>539383.0</v>
      </c>
      <c r="C3105" s="3" t="s">
        <v>12754</v>
      </c>
      <c r="D3105" s="3" t="s">
        <v>12755</v>
      </c>
      <c r="E3105" s="3" t="s">
        <v>12756</v>
      </c>
      <c r="F3105" s="3" t="s">
        <v>19</v>
      </c>
      <c r="G3105" s="3" t="s">
        <v>57</v>
      </c>
      <c r="H3105" s="3">
        <v>10.0</v>
      </c>
      <c r="I3105" s="3" t="s">
        <v>12753</v>
      </c>
      <c r="J3105" s="3" t="s">
        <v>22</v>
      </c>
      <c r="K3105" s="3" t="s">
        <v>473</v>
      </c>
      <c r="L3105" s="3" t="s">
        <v>473</v>
      </c>
      <c r="M3105" s="3" t="s">
        <v>1391</v>
      </c>
      <c r="N3105" s="3" t="s">
        <v>1840</v>
      </c>
      <c r="O3105" s="5">
        <v>1.0</v>
      </c>
      <c r="P3105" s="6" t="str">
        <f t="shared" si="2"/>
        <v>Computers - Software &amp; Consulting</v>
      </c>
    </row>
    <row r="3106" hidden="1">
      <c r="A3106" s="3" t="s">
        <v>12757</v>
      </c>
      <c r="B3106" s="4">
        <v>539384.0</v>
      </c>
      <c r="C3106" s="3" t="s">
        <v>12758</v>
      </c>
      <c r="D3106" s="3" t="s">
        <v>12759</v>
      </c>
      <c r="E3106" s="3" t="s">
        <v>12760</v>
      </c>
      <c r="F3106" s="3" t="s">
        <v>19</v>
      </c>
      <c r="G3106" s="3" t="s">
        <v>72</v>
      </c>
      <c r="H3106" s="3">
        <v>10.0</v>
      </c>
      <c r="I3106" s="3" t="s">
        <v>12757</v>
      </c>
      <c r="J3106" s="3" t="s">
        <v>22</v>
      </c>
      <c r="K3106" s="3" t="s">
        <v>204</v>
      </c>
      <c r="L3106" s="3" t="s">
        <v>204</v>
      </c>
      <c r="M3106" s="3" t="s">
        <v>378</v>
      </c>
      <c r="N3106" s="3" t="s">
        <v>379</v>
      </c>
      <c r="O3106" s="5">
        <v>1.0</v>
      </c>
      <c r="P3106" s="6" t="str">
        <f t="shared" si="2"/>
        <v>Non Banking Financial Company (NBFC)</v>
      </c>
    </row>
    <row r="3107" hidden="1">
      <c r="A3107" s="3" t="s">
        <v>12761</v>
      </c>
      <c r="B3107" s="4">
        <v>539391.0</v>
      </c>
      <c r="C3107" s="3" t="s">
        <v>12762</v>
      </c>
      <c r="D3107" s="3" t="s">
        <v>12763</v>
      </c>
      <c r="E3107" s="3" t="s">
        <v>12764</v>
      </c>
      <c r="F3107" s="3" t="s">
        <v>19</v>
      </c>
      <c r="G3107" s="3" t="s">
        <v>57</v>
      </c>
      <c r="H3107" s="3">
        <v>10.0</v>
      </c>
      <c r="I3107" s="3" t="s">
        <v>12761</v>
      </c>
      <c r="J3107" s="3" t="s">
        <v>22</v>
      </c>
      <c r="K3107" s="3" t="s">
        <v>204</v>
      </c>
      <c r="L3107" s="3" t="s">
        <v>204</v>
      </c>
      <c r="M3107" s="3" t="s">
        <v>378</v>
      </c>
      <c r="N3107" s="3" t="s">
        <v>379</v>
      </c>
      <c r="O3107" s="5">
        <v>84.675723</v>
      </c>
      <c r="P3107" s="6" t="str">
        <f t="shared" si="2"/>
        <v>Non Banking Financial Company (NBFC)</v>
      </c>
    </row>
    <row r="3108" hidden="1">
      <c r="A3108" s="3" t="s">
        <v>12765</v>
      </c>
      <c r="B3108" s="4">
        <v>539393.0</v>
      </c>
      <c r="C3108" s="3" t="s">
        <v>12766</v>
      </c>
      <c r="D3108" s="3" t="s">
        <v>12767</v>
      </c>
      <c r="E3108" s="3" t="s">
        <v>12768</v>
      </c>
      <c r="F3108" s="3" t="s">
        <v>19</v>
      </c>
      <c r="G3108" s="3" t="s">
        <v>72</v>
      </c>
      <c r="H3108" s="3">
        <v>10.0</v>
      </c>
      <c r="I3108" s="3" t="s">
        <v>12765</v>
      </c>
      <c r="J3108" s="3" t="s">
        <v>22</v>
      </c>
      <c r="K3108" s="3" t="s">
        <v>410</v>
      </c>
      <c r="L3108" s="3" t="s">
        <v>411</v>
      </c>
      <c r="M3108" s="3" t="s">
        <v>4270</v>
      </c>
      <c r="N3108" s="3" t="s">
        <v>12769</v>
      </c>
      <c r="O3108" s="5">
        <v>1.0</v>
      </c>
      <c r="P3108" s="6" t="str">
        <f t="shared" si="2"/>
        <v>Consumable Fuels</v>
      </c>
    </row>
    <row r="3109" hidden="1">
      <c r="A3109" s="3" t="s">
        <v>12770</v>
      </c>
      <c r="B3109" s="4">
        <v>539398.0</v>
      </c>
      <c r="C3109" s="3" t="s">
        <v>12771</v>
      </c>
      <c r="D3109" s="3" t="s">
        <v>12772</v>
      </c>
      <c r="E3109" s="3" t="s">
        <v>12773</v>
      </c>
      <c r="F3109" s="3" t="s">
        <v>19</v>
      </c>
      <c r="G3109" s="3" t="s">
        <v>112</v>
      </c>
      <c r="H3109" s="3">
        <v>10.0</v>
      </c>
      <c r="I3109" s="3" t="s">
        <v>12770</v>
      </c>
      <c r="J3109" s="3" t="s">
        <v>22</v>
      </c>
      <c r="K3109" s="3" t="s">
        <v>58</v>
      </c>
      <c r="L3109" s="3" t="s">
        <v>133</v>
      </c>
      <c r="M3109" s="3" t="s">
        <v>134</v>
      </c>
      <c r="N3109" s="3" t="s">
        <v>135</v>
      </c>
      <c r="O3109" s="5">
        <v>145.1927737</v>
      </c>
      <c r="P3109" s="6" t="str">
        <f t="shared" si="2"/>
        <v>Auto Components &amp; Equipments</v>
      </c>
    </row>
    <row r="3110" hidden="1">
      <c r="A3110" s="3" t="s">
        <v>12774</v>
      </c>
      <c r="B3110" s="4">
        <v>539399.0</v>
      </c>
      <c r="C3110" s="3" t="s">
        <v>12775</v>
      </c>
      <c r="D3110" s="3" t="s">
        <v>12776</v>
      </c>
      <c r="E3110" s="3" t="s">
        <v>12777</v>
      </c>
      <c r="F3110" s="3" t="s">
        <v>19</v>
      </c>
      <c r="G3110" s="3" t="s">
        <v>44</v>
      </c>
      <c r="H3110" s="3">
        <v>10.0</v>
      </c>
      <c r="I3110" s="3" t="s">
        <v>12774</v>
      </c>
      <c r="J3110" s="3" t="s">
        <v>22</v>
      </c>
      <c r="K3110" s="3" t="s">
        <v>58</v>
      </c>
      <c r="L3110" s="3" t="s">
        <v>80</v>
      </c>
      <c r="M3110" s="3" t="s">
        <v>81</v>
      </c>
      <c r="N3110" s="3" t="s">
        <v>944</v>
      </c>
      <c r="O3110" s="5">
        <v>402.1242202</v>
      </c>
      <c r="P3110" s="6" t="str">
        <f t="shared" si="2"/>
        <v>Textiles &amp; Apparels</v>
      </c>
    </row>
    <row r="3111" hidden="1">
      <c r="A3111" s="3" t="s">
        <v>12778</v>
      </c>
      <c r="B3111" s="4">
        <v>539400.0</v>
      </c>
      <c r="C3111" s="3" t="s">
        <v>12779</v>
      </c>
      <c r="D3111" s="3" t="s">
        <v>12780</v>
      </c>
      <c r="E3111" s="3" t="s">
        <v>12781</v>
      </c>
      <c r="F3111" s="3" t="s">
        <v>19</v>
      </c>
      <c r="G3111" s="3" t="s">
        <v>112</v>
      </c>
      <c r="H3111" s="3">
        <v>10.0</v>
      </c>
      <c r="I3111" s="3" t="s">
        <v>12778</v>
      </c>
      <c r="J3111" s="3" t="s">
        <v>22</v>
      </c>
      <c r="K3111" s="3" t="s">
        <v>97</v>
      </c>
      <c r="L3111" s="3" t="s">
        <v>98</v>
      </c>
      <c r="M3111" s="3" t="s">
        <v>100</v>
      </c>
      <c r="N3111" s="3" t="s">
        <v>1386</v>
      </c>
      <c r="O3111" s="5">
        <v>732.6039008</v>
      </c>
      <c r="P3111" s="6" t="str">
        <f t="shared" si="2"/>
        <v>Industrial Products</v>
      </c>
    </row>
    <row r="3112" hidden="1">
      <c r="A3112" s="3" t="s">
        <v>12782</v>
      </c>
      <c r="B3112" s="4">
        <v>539401.0</v>
      </c>
      <c r="C3112" s="3" t="s">
        <v>12783</v>
      </c>
      <c r="D3112" s="3" t="s">
        <v>12784</v>
      </c>
      <c r="E3112" s="3" t="s">
        <v>12785</v>
      </c>
      <c r="F3112" s="3" t="s">
        <v>19</v>
      </c>
      <c r="G3112" s="3" t="s">
        <v>2428</v>
      </c>
      <c r="H3112" s="3">
        <v>10.0</v>
      </c>
      <c r="I3112" s="3" t="s">
        <v>12782</v>
      </c>
      <c r="J3112" s="3" t="s">
        <v>22</v>
      </c>
      <c r="K3112" s="3" t="s">
        <v>58</v>
      </c>
      <c r="L3112" s="3" t="s">
        <v>211</v>
      </c>
      <c r="M3112" s="3" t="s">
        <v>211</v>
      </c>
      <c r="N3112" s="3" t="s">
        <v>947</v>
      </c>
      <c r="O3112" s="5">
        <v>94.5423</v>
      </c>
      <c r="P3112" s="6" t="str">
        <f t="shared" si="2"/>
        <v>Consumer Durables</v>
      </c>
    </row>
    <row r="3113" hidden="1">
      <c r="A3113" s="3" t="s">
        <v>12786</v>
      </c>
      <c r="B3113" s="4">
        <v>539402.0</v>
      </c>
      <c r="C3113" s="3" t="s">
        <v>12787</v>
      </c>
      <c r="D3113" s="3" t="s">
        <v>12788</v>
      </c>
      <c r="E3113" s="3" t="s">
        <v>12789</v>
      </c>
      <c r="F3113" s="3" t="s">
        <v>19</v>
      </c>
      <c r="G3113" s="3" t="s">
        <v>86</v>
      </c>
      <c r="H3113" s="3">
        <v>10.0</v>
      </c>
      <c r="I3113" s="3" t="s">
        <v>12786</v>
      </c>
      <c r="J3113" s="3" t="s">
        <v>22</v>
      </c>
      <c r="K3113" s="3" t="s">
        <v>58</v>
      </c>
      <c r="L3113" s="3" t="s">
        <v>133</v>
      </c>
      <c r="M3113" s="3" t="s">
        <v>906</v>
      </c>
      <c r="N3113" s="3" t="s">
        <v>8067</v>
      </c>
      <c r="O3113" s="5">
        <v>9.6142149</v>
      </c>
      <c r="P3113" s="6" t="str">
        <f t="shared" si="2"/>
        <v>Automobiles</v>
      </c>
    </row>
    <row r="3114" hidden="1">
      <c r="A3114" s="3" t="s">
        <v>12790</v>
      </c>
      <c r="B3114" s="4">
        <v>539404.0</v>
      </c>
      <c r="C3114" s="3" t="s">
        <v>12791</v>
      </c>
      <c r="D3114" s="3" t="s">
        <v>12792</v>
      </c>
      <c r="E3114" s="3" t="s">
        <v>12793</v>
      </c>
      <c r="F3114" s="3" t="s">
        <v>19</v>
      </c>
      <c r="G3114" s="3" t="s">
        <v>112</v>
      </c>
      <c r="H3114" s="3">
        <v>10.0</v>
      </c>
      <c r="I3114" s="3" t="s">
        <v>12790</v>
      </c>
      <c r="J3114" s="3" t="s">
        <v>22</v>
      </c>
      <c r="K3114" s="3" t="s">
        <v>204</v>
      </c>
      <c r="L3114" s="3" t="s">
        <v>204</v>
      </c>
      <c r="M3114" s="3" t="s">
        <v>378</v>
      </c>
      <c r="N3114" s="3" t="s">
        <v>10426</v>
      </c>
      <c r="O3114" s="5">
        <v>2427.394381</v>
      </c>
      <c r="P3114" s="6" t="str">
        <f t="shared" si="2"/>
        <v>Finance</v>
      </c>
    </row>
    <row r="3115" hidden="1">
      <c r="A3115" s="3" t="s">
        <v>12794</v>
      </c>
      <c r="B3115" s="4">
        <v>539405.0</v>
      </c>
      <c r="C3115" s="3" t="s">
        <v>12795</v>
      </c>
      <c r="D3115" s="3" t="s">
        <v>12796</v>
      </c>
      <c r="E3115" s="3" t="s">
        <v>12797</v>
      </c>
      <c r="F3115" s="3" t="s">
        <v>19</v>
      </c>
      <c r="G3115" s="3" t="s">
        <v>44</v>
      </c>
      <c r="H3115" s="3">
        <v>10.0</v>
      </c>
      <c r="I3115" s="3" t="s">
        <v>12794</v>
      </c>
      <c r="J3115" s="3" t="s">
        <v>22</v>
      </c>
      <c r="K3115" s="3" t="s">
        <v>58</v>
      </c>
      <c r="L3115" s="3" t="s">
        <v>211</v>
      </c>
      <c r="M3115" s="3" t="s">
        <v>211</v>
      </c>
      <c r="N3115" s="3" t="s">
        <v>947</v>
      </c>
      <c r="O3115" s="5">
        <v>1.0</v>
      </c>
      <c r="P3115" s="6" t="str">
        <f t="shared" si="2"/>
        <v>Consumer Durables</v>
      </c>
    </row>
    <row r="3116" hidden="1">
      <c r="A3116" s="3" t="s">
        <v>12798</v>
      </c>
      <c r="B3116" s="4">
        <v>509782.0</v>
      </c>
      <c r="C3116" s="3" t="s">
        <v>12799</v>
      </c>
      <c r="D3116" s="3" t="s">
        <v>12800</v>
      </c>
      <c r="E3116" s="3" t="s">
        <v>12801</v>
      </c>
      <c r="F3116" s="3" t="s">
        <v>19</v>
      </c>
      <c r="G3116" s="3" t="s">
        <v>44</v>
      </c>
      <c r="H3116" s="3">
        <v>10.0</v>
      </c>
      <c r="I3116" s="3" t="s">
        <v>3091</v>
      </c>
      <c r="J3116" s="3" t="s">
        <v>22</v>
      </c>
      <c r="K3116" s="3" t="s">
        <v>1673</v>
      </c>
      <c r="L3116" s="3" t="s">
        <v>1673</v>
      </c>
      <c r="M3116" s="3" t="s">
        <v>1674</v>
      </c>
      <c r="N3116" s="3" t="s">
        <v>1675</v>
      </c>
      <c r="O3116" s="5">
        <v>1.0</v>
      </c>
      <c r="P3116" s="6" t="str">
        <f t="shared" si="2"/>
        <v>Commercial Services &amp; Supplies</v>
      </c>
    </row>
    <row r="3117" hidden="1">
      <c r="A3117" s="3" t="s">
        <v>12802</v>
      </c>
      <c r="B3117" s="4">
        <v>539407.0</v>
      </c>
      <c r="C3117" s="3" t="s">
        <v>12803</v>
      </c>
      <c r="D3117" s="3" t="s">
        <v>12804</v>
      </c>
      <c r="E3117" s="3" t="s">
        <v>12805</v>
      </c>
      <c r="F3117" s="3" t="s">
        <v>19</v>
      </c>
      <c r="G3117" s="3" t="s">
        <v>112</v>
      </c>
      <c r="H3117" s="3">
        <v>5.0</v>
      </c>
      <c r="I3117" s="3" t="s">
        <v>12802</v>
      </c>
      <c r="J3117" s="3" t="s">
        <v>22</v>
      </c>
      <c r="K3117" s="3" t="s">
        <v>58</v>
      </c>
      <c r="L3117" s="3" t="s">
        <v>59</v>
      </c>
      <c r="M3117" s="3" t="s">
        <v>59</v>
      </c>
      <c r="N3117" s="3" t="s">
        <v>60</v>
      </c>
      <c r="O3117" s="5">
        <v>252.1923536</v>
      </c>
      <c r="P3117" s="6" t="str">
        <f t="shared" si="2"/>
        <v>Residential, Commercial Projects</v>
      </c>
    </row>
    <row r="3118" hidden="1">
      <c r="A3118" s="3" t="s">
        <v>12806</v>
      </c>
      <c r="B3118" s="4">
        <v>539408.0</v>
      </c>
      <c r="C3118" s="3" t="s">
        <v>12807</v>
      </c>
      <c r="D3118" s="3" t="s">
        <v>12808</v>
      </c>
      <c r="E3118" s="3" t="s">
        <v>12809</v>
      </c>
      <c r="F3118" s="3" t="s">
        <v>19</v>
      </c>
      <c r="G3118" s="3" t="s">
        <v>72</v>
      </c>
      <c r="H3118" s="3">
        <v>10.0</v>
      </c>
      <c r="I3118" s="3" t="s">
        <v>12806</v>
      </c>
      <c r="J3118" s="3" t="s">
        <v>22</v>
      </c>
      <c r="K3118" s="3" t="s">
        <v>204</v>
      </c>
      <c r="L3118" s="3" t="s">
        <v>204</v>
      </c>
      <c r="M3118" s="3" t="s">
        <v>378</v>
      </c>
      <c r="N3118" s="3" t="s">
        <v>379</v>
      </c>
      <c r="O3118" s="5">
        <v>1.0</v>
      </c>
      <c r="P3118" s="6" t="str">
        <f t="shared" si="2"/>
        <v>Non Banking Financial Company (NBFC)</v>
      </c>
    </row>
    <row r="3119" hidden="1">
      <c r="A3119" s="3" t="s">
        <v>8772</v>
      </c>
      <c r="B3119" s="4">
        <v>509917.0</v>
      </c>
      <c r="C3119" s="3" t="s">
        <v>12810</v>
      </c>
      <c r="D3119" s="3" t="s">
        <v>12811</v>
      </c>
      <c r="E3119" s="3" t="s">
        <v>12812</v>
      </c>
      <c r="F3119" s="3" t="s">
        <v>19</v>
      </c>
      <c r="G3119" s="3" t="s">
        <v>44</v>
      </c>
      <c r="H3119" s="3">
        <v>10.0</v>
      </c>
      <c r="I3119" s="3" t="s">
        <v>3129</v>
      </c>
      <c r="J3119" s="3" t="s">
        <v>22</v>
      </c>
      <c r="K3119" s="3" t="s">
        <v>1673</v>
      </c>
      <c r="L3119" s="3" t="s">
        <v>1673</v>
      </c>
      <c r="M3119" s="3" t="s">
        <v>1674</v>
      </c>
      <c r="N3119" s="3" t="s">
        <v>3189</v>
      </c>
      <c r="O3119" s="5">
        <v>1.0</v>
      </c>
      <c r="P3119" s="6" t="str">
        <f t="shared" si="2"/>
        <v>Commercial Services &amp; Supplies</v>
      </c>
    </row>
    <row r="3120" hidden="1">
      <c r="A3120" s="3" t="s">
        <v>12813</v>
      </c>
      <c r="B3120" s="4">
        <v>539428.0</v>
      </c>
      <c r="C3120" s="3" t="s">
        <v>12814</v>
      </c>
      <c r="D3120" s="3" t="s">
        <v>12815</v>
      </c>
      <c r="E3120" s="3" t="s">
        <v>12816</v>
      </c>
      <c r="F3120" s="3" t="s">
        <v>19</v>
      </c>
      <c r="G3120" s="3" t="s">
        <v>44</v>
      </c>
      <c r="H3120" s="3">
        <v>5.0</v>
      </c>
      <c r="I3120" s="3" t="s">
        <v>12813</v>
      </c>
      <c r="J3120" s="3" t="s">
        <v>22</v>
      </c>
      <c r="K3120" s="3" t="s">
        <v>45</v>
      </c>
      <c r="L3120" s="3" t="s">
        <v>45</v>
      </c>
      <c r="M3120" s="3" t="s">
        <v>4488</v>
      </c>
      <c r="N3120" s="3" t="s">
        <v>4489</v>
      </c>
      <c r="O3120" s="5">
        <v>46.9538081</v>
      </c>
      <c r="P3120" s="6" t="str">
        <f t="shared" si="2"/>
        <v>Healthcare Services</v>
      </c>
    </row>
    <row r="3121" hidden="1">
      <c r="A3121" s="3" t="s">
        <v>12817</v>
      </c>
      <c r="B3121" s="4">
        <v>539434.0</v>
      </c>
      <c r="C3121" s="3" t="s">
        <v>12818</v>
      </c>
      <c r="D3121" s="3" t="s">
        <v>12819</v>
      </c>
      <c r="E3121" s="3" t="s">
        <v>12820</v>
      </c>
      <c r="F3121" s="3" t="s">
        <v>19</v>
      </c>
      <c r="G3121" s="3" t="s">
        <v>44</v>
      </c>
      <c r="H3121" s="3">
        <v>10.0</v>
      </c>
      <c r="I3121" s="3" t="s">
        <v>12817</v>
      </c>
      <c r="J3121" s="3" t="s">
        <v>22</v>
      </c>
      <c r="K3121" s="3" t="s">
        <v>204</v>
      </c>
      <c r="L3121" s="3" t="s">
        <v>204</v>
      </c>
      <c r="M3121" s="3" t="s">
        <v>378</v>
      </c>
      <c r="N3121" s="3" t="s">
        <v>379</v>
      </c>
      <c r="O3121" s="5">
        <v>1.0</v>
      </c>
      <c r="P3121" s="6" t="str">
        <f t="shared" si="2"/>
        <v>Non Banking Financial Company (NBFC)</v>
      </c>
    </row>
    <row r="3122" hidden="1">
      <c r="A3122" s="3" t="s">
        <v>12821</v>
      </c>
      <c r="B3122" s="4">
        <v>539435.0</v>
      </c>
      <c r="C3122" s="3" t="s">
        <v>12822</v>
      </c>
      <c r="D3122" s="3" t="s">
        <v>12823</v>
      </c>
      <c r="E3122" s="3" t="s">
        <v>12824</v>
      </c>
      <c r="F3122" s="3" t="s">
        <v>19</v>
      </c>
      <c r="G3122" s="3" t="s">
        <v>72</v>
      </c>
      <c r="H3122" s="3">
        <v>10.0</v>
      </c>
      <c r="I3122" s="3" t="s">
        <v>12821</v>
      </c>
      <c r="J3122" s="3" t="s">
        <v>22</v>
      </c>
      <c r="K3122" s="3" t="s">
        <v>204</v>
      </c>
      <c r="L3122" s="3" t="s">
        <v>204</v>
      </c>
      <c r="M3122" s="3" t="s">
        <v>378</v>
      </c>
      <c r="N3122" s="3" t="s">
        <v>468</v>
      </c>
      <c r="O3122" s="5">
        <v>1.0</v>
      </c>
      <c r="P3122" s="6" t="str">
        <f t="shared" si="2"/>
        <v>Finance</v>
      </c>
    </row>
    <row r="3123" hidden="1">
      <c r="A3123" s="3" t="s">
        <v>12825</v>
      </c>
      <c r="B3123" s="4">
        <v>539436.0</v>
      </c>
      <c r="C3123" s="3" t="s">
        <v>12826</v>
      </c>
      <c r="D3123" s="3" t="s">
        <v>12827</v>
      </c>
      <c r="E3123" s="3" t="s">
        <v>12828</v>
      </c>
      <c r="F3123" s="3" t="s">
        <v>19</v>
      </c>
      <c r="G3123" s="3" t="s">
        <v>112</v>
      </c>
      <c r="H3123" s="3">
        <v>10.0</v>
      </c>
      <c r="I3123" s="3" t="s">
        <v>12825</v>
      </c>
      <c r="J3123" s="3" t="s">
        <v>22</v>
      </c>
      <c r="K3123" s="3" t="s">
        <v>58</v>
      </c>
      <c r="L3123" s="3" t="s">
        <v>73</v>
      </c>
      <c r="M3123" s="3" t="s">
        <v>74</v>
      </c>
      <c r="N3123" s="3" t="s">
        <v>1162</v>
      </c>
      <c r="O3123" s="5">
        <v>1161.1726408</v>
      </c>
      <c r="P3123" s="6" t="str">
        <f t="shared" si="2"/>
        <v>Leisure Services</v>
      </c>
    </row>
    <row r="3124">
      <c r="A3124" s="3" t="s">
        <v>10103</v>
      </c>
      <c r="B3124" s="4">
        <v>500128.0</v>
      </c>
      <c r="C3124" s="3" t="s">
        <v>12829</v>
      </c>
      <c r="D3124" s="3" t="s">
        <v>12830</v>
      </c>
      <c r="E3124" s="3" t="s">
        <v>12831</v>
      </c>
      <c r="F3124" s="3" t="s">
        <v>19</v>
      </c>
      <c r="G3124" s="3" t="s">
        <v>20</v>
      </c>
      <c r="H3124" s="3">
        <v>1.0</v>
      </c>
      <c r="I3124" s="3" t="s">
        <v>352</v>
      </c>
      <c r="J3124" s="3" t="s">
        <v>22</v>
      </c>
      <c r="K3124" s="3" t="s">
        <v>97</v>
      </c>
      <c r="L3124" s="3" t="s">
        <v>98</v>
      </c>
      <c r="M3124" s="3" t="s">
        <v>100</v>
      </c>
      <c r="N3124" s="3" t="s">
        <v>612</v>
      </c>
      <c r="O3124" s="5">
        <v>10628.5162201</v>
      </c>
      <c r="P3124" s="6" t="str">
        <f t="shared" si="2"/>
        <v>Industrial Products</v>
      </c>
    </row>
    <row r="3125" hidden="1">
      <c r="A3125" s="3" t="s">
        <v>12832</v>
      </c>
      <c r="B3125" s="4">
        <v>539447.0</v>
      </c>
      <c r="C3125" s="3" t="s">
        <v>12833</v>
      </c>
      <c r="D3125" s="3" t="s">
        <v>12834</v>
      </c>
      <c r="E3125" s="3" t="s">
        <v>12835</v>
      </c>
      <c r="F3125" s="3" t="s">
        <v>19</v>
      </c>
      <c r="G3125" s="3" t="s">
        <v>112</v>
      </c>
      <c r="H3125" s="3">
        <v>2.0</v>
      </c>
      <c r="I3125" s="3" t="s">
        <v>12832</v>
      </c>
      <c r="J3125" s="3" t="s">
        <v>22</v>
      </c>
      <c r="K3125" s="3" t="s">
        <v>97</v>
      </c>
      <c r="L3125" s="3" t="s">
        <v>98</v>
      </c>
      <c r="M3125" s="3" t="s">
        <v>100</v>
      </c>
      <c r="N3125" s="3" t="s">
        <v>1386</v>
      </c>
      <c r="O3125" s="5">
        <v>152.9139943</v>
      </c>
      <c r="P3125" s="6" t="str">
        <f t="shared" si="2"/>
        <v>Industrial Products</v>
      </c>
    </row>
    <row r="3126" hidden="1">
      <c r="A3126" s="3" t="s">
        <v>12836</v>
      </c>
      <c r="B3126" s="4">
        <v>511048.0</v>
      </c>
      <c r="C3126" s="3" t="s">
        <v>12837</v>
      </c>
      <c r="D3126" s="3" t="s">
        <v>12838</v>
      </c>
      <c r="E3126" s="3" t="s">
        <v>12839</v>
      </c>
      <c r="F3126" s="3" t="s">
        <v>19</v>
      </c>
      <c r="G3126" s="3" t="s">
        <v>72</v>
      </c>
      <c r="H3126" s="3">
        <v>10.0</v>
      </c>
      <c r="I3126" s="3" t="s">
        <v>3178</v>
      </c>
      <c r="J3126" s="3" t="s">
        <v>22</v>
      </c>
      <c r="K3126" s="3" t="s">
        <v>1673</v>
      </c>
      <c r="L3126" s="3" t="s">
        <v>1673</v>
      </c>
      <c r="M3126" s="3" t="s">
        <v>1674</v>
      </c>
      <c r="N3126" s="3" t="s">
        <v>1915</v>
      </c>
      <c r="O3126" s="5">
        <v>1.0</v>
      </c>
      <c r="P3126" s="6" t="str">
        <f t="shared" si="2"/>
        <v>Commercial Services &amp; Supplies</v>
      </c>
    </row>
    <row r="3127" hidden="1">
      <c r="A3127" s="3" t="s">
        <v>12840</v>
      </c>
      <c r="B3127" s="4">
        <v>511060.0</v>
      </c>
      <c r="C3127" s="3" t="s">
        <v>12841</v>
      </c>
      <c r="D3127" s="3" t="s">
        <v>12842</v>
      </c>
      <c r="E3127" s="3" t="s">
        <v>12843</v>
      </c>
      <c r="F3127" s="3" t="s">
        <v>19</v>
      </c>
      <c r="G3127" s="3" t="s">
        <v>72</v>
      </c>
      <c r="H3127" s="3">
        <v>10.0</v>
      </c>
      <c r="I3127" s="3" t="s">
        <v>3184</v>
      </c>
      <c r="J3127" s="3" t="s">
        <v>22</v>
      </c>
      <c r="K3127" s="3" t="s">
        <v>1673</v>
      </c>
      <c r="L3127" s="3" t="s">
        <v>1673</v>
      </c>
      <c r="M3127" s="3" t="s">
        <v>1674</v>
      </c>
      <c r="N3127" s="3" t="s">
        <v>1675</v>
      </c>
      <c r="O3127" s="5">
        <v>1.0</v>
      </c>
      <c r="P3127" s="6" t="str">
        <f t="shared" si="2"/>
        <v>Commercial Services &amp; Supplies</v>
      </c>
    </row>
    <row r="3128" hidden="1">
      <c r="A3128" s="3" t="s">
        <v>12844</v>
      </c>
      <c r="B3128" s="4">
        <v>539450.0</v>
      </c>
      <c r="C3128" s="3" t="s">
        <v>12845</v>
      </c>
      <c r="D3128" s="3" t="s">
        <v>12846</v>
      </c>
      <c r="E3128" s="3" t="s">
        <v>12847</v>
      </c>
      <c r="F3128" s="3" t="s">
        <v>19</v>
      </c>
      <c r="G3128" s="3" t="s">
        <v>112</v>
      </c>
      <c r="H3128" s="3">
        <v>10.0</v>
      </c>
      <c r="I3128" s="3" t="s">
        <v>12844</v>
      </c>
      <c r="J3128" s="3" t="s">
        <v>22</v>
      </c>
      <c r="K3128" s="3" t="s">
        <v>23</v>
      </c>
      <c r="L3128" s="3" t="s">
        <v>24</v>
      </c>
      <c r="M3128" s="3" t="s">
        <v>25</v>
      </c>
      <c r="N3128" s="3" t="s">
        <v>26</v>
      </c>
      <c r="O3128" s="5">
        <v>2639.0741682</v>
      </c>
      <c r="P3128" s="6" t="str">
        <f t="shared" si="2"/>
        <v>Specialty Chemicals</v>
      </c>
    </row>
    <row r="3129" hidden="1">
      <c r="A3129" s="3" t="s">
        <v>12848</v>
      </c>
      <c r="B3129" s="4">
        <v>539468.0</v>
      </c>
      <c r="C3129" s="3" t="s">
        <v>12849</v>
      </c>
      <c r="D3129" s="3" t="s">
        <v>12850</v>
      </c>
      <c r="E3129" s="3" t="s">
        <v>12851</v>
      </c>
      <c r="F3129" s="3" t="s">
        <v>19</v>
      </c>
      <c r="G3129" s="3" t="s">
        <v>44</v>
      </c>
      <c r="H3129" s="3">
        <v>10.0</v>
      </c>
      <c r="I3129" s="3" t="s">
        <v>12848</v>
      </c>
      <c r="J3129" s="3" t="s">
        <v>22</v>
      </c>
      <c r="K3129" s="3" t="s">
        <v>204</v>
      </c>
      <c r="L3129" s="3" t="s">
        <v>204</v>
      </c>
      <c r="M3129" s="3" t="s">
        <v>378</v>
      </c>
      <c r="N3129" s="3" t="s">
        <v>379</v>
      </c>
      <c r="O3129" s="5">
        <v>1.0</v>
      </c>
      <c r="P3129" s="6" t="str">
        <f t="shared" si="2"/>
        <v>Non Banking Financial Company (NBFC)</v>
      </c>
    </row>
    <row r="3130" hidden="1">
      <c r="A3130" s="3" t="s">
        <v>12852</v>
      </c>
      <c r="B3130" s="4">
        <v>539469.0</v>
      </c>
      <c r="C3130" s="3" t="s">
        <v>12853</v>
      </c>
      <c r="D3130" s="3" t="s">
        <v>12854</v>
      </c>
      <c r="E3130" s="3" t="s">
        <v>12855</v>
      </c>
      <c r="F3130" s="3" t="s">
        <v>19</v>
      </c>
      <c r="G3130" s="3" t="s">
        <v>44</v>
      </c>
      <c r="H3130" s="3">
        <v>10.0</v>
      </c>
      <c r="I3130" s="3" t="s">
        <v>12852</v>
      </c>
      <c r="J3130" s="3" t="s">
        <v>22</v>
      </c>
      <c r="K3130" s="3" t="s">
        <v>58</v>
      </c>
      <c r="L3130" s="3" t="s">
        <v>182</v>
      </c>
      <c r="M3130" s="3" t="s">
        <v>1168</v>
      </c>
      <c r="N3130" s="3" t="s">
        <v>1568</v>
      </c>
      <c r="O3130" s="5">
        <v>1208.882</v>
      </c>
      <c r="P3130" s="6" t="str">
        <f t="shared" si="2"/>
        <v>Entertainment</v>
      </c>
    </row>
    <row r="3131" hidden="1">
      <c r="A3131" s="3" t="s">
        <v>12856</v>
      </c>
      <c r="B3131" s="4">
        <v>539470.0</v>
      </c>
      <c r="C3131" s="3" t="s">
        <v>12857</v>
      </c>
      <c r="D3131" s="3" t="s">
        <v>12858</v>
      </c>
      <c r="E3131" s="3" t="s">
        <v>12859</v>
      </c>
      <c r="F3131" s="3" t="s">
        <v>19</v>
      </c>
      <c r="G3131" s="3" t="s">
        <v>44</v>
      </c>
      <c r="H3131" s="3">
        <v>1.0</v>
      </c>
      <c r="I3131" s="3" t="s">
        <v>12856</v>
      </c>
      <c r="J3131" s="3" t="s">
        <v>22</v>
      </c>
      <c r="K3131" s="3" t="s">
        <v>45</v>
      </c>
      <c r="L3131" s="3" t="s">
        <v>45</v>
      </c>
      <c r="M3131" s="3" t="s">
        <v>46</v>
      </c>
      <c r="N3131" s="3" t="s">
        <v>3367</v>
      </c>
      <c r="O3131" s="5">
        <v>45.0581375</v>
      </c>
      <c r="P3131" s="6" t="str">
        <f t="shared" si="2"/>
        <v>Pharmaceuticals &amp; Biotechnology</v>
      </c>
    </row>
    <row r="3132" hidden="1">
      <c r="A3132" s="3" t="s">
        <v>12860</v>
      </c>
      <c r="B3132" s="4">
        <v>539479.0</v>
      </c>
      <c r="C3132" s="3" t="s">
        <v>12861</v>
      </c>
      <c r="D3132" s="3" t="s">
        <v>12862</v>
      </c>
      <c r="E3132" s="3" t="s">
        <v>12863</v>
      </c>
      <c r="F3132" s="3" t="s">
        <v>19</v>
      </c>
      <c r="G3132" s="3" t="s">
        <v>72</v>
      </c>
      <c r="H3132" s="3">
        <v>10.0</v>
      </c>
      <c r="I3132" s="3" t="s">
        <v>12860</v>
      </c>
      <c r="J3132" s="3" t="s">
        <v>22</v>
      </c>
      <c r="K3132" s="3" t="s">
        <v>97</v>
      </c>
      <c r="L3132" s="3" t="s">
        <v>98</v>
      </c>
      <c r="M3132" s="3" t="s">
        <v>99</v>
      </c>
      <c r="N3132" s="3" t="s">
        <v>100</v>
      </c>
      <c r="O3132" s="5">
        <v>175.5160879</v>
      </c>
      <c r="P3132" s="6" t="str">
        <f t="shared" si="2"/>
        <v>Industrial Products</v>
      </c>
    </row>
    <row r="3133" hidden="1">
      <c r="A3133" s="3" t="s">
        <v>12864</v>
      </c>
      <c r="B3133" s="4">
        <v>539488.0</v>
      </c>
      <c r="C3133" s="3" t="s">
        <v>12865</v>
      </c>
      <c r="D3133" s="3" t="s">
        <v>12866</v>
      </c>
      <c r="E3133" s="3" t="s">
        <v>12867</v>
      </c>
      <c r="F3133" s="3" t="s">
        <v>19</v>
      </c>
      <c r="G3133" s="3" t="s">
        <v>72</v>
      </c>
      <c r="H3133" s="3">
        <v>10.0</v>
      </c>
      <c r="I3133" s="3" t="s">
        <v>12864</v>
      </c>
      <c r="J3133" s="3" t="s">
        <v>22</v>
      </c>
      <c r="K3133" s="3" t="s">
        <v>204</v>
      </c>
      <c r="L3133" s="3" t="s">
        <v>204</v>
      </c>
      <c r="M3133" s="3" t="s">
        <v>378</v>
      </c>
      <c r="N3133" s="3" t="s">
        <v>384</v>
      </c>
      <c r="O3133" s="5">
        <v>1.0</v>
      </c>
      <c r="P3133" s="6" t="str">
        <f t="shared" si="2"/>
        <v>Finance</v>
      </c>
    </row>
    <row r="3134" hidden="1">
      <c r="A3134" s="3" t="s">
        <v>12868</v>
      </c>
      <c r="B3134" s="4">
        <v>539492.0</v>
      </c>
      <c r="C3134" s="3" t="s">
        <v>12869</v>
      </c>
      <c r="D3134" s="3" t="s">
        <v>12870</v>
      </c>
      <c r="E3134" s="3" t="s">
        <v>12871</v>
      </c>
      <c r="F3134" s="3" t="s">
        <v>19</v>
      </c>
      <c r="G3134" s="3" t="s">
        <v>72</v>
      </c>
      <c r="H3134" s="3">
        <v>10.0</v>
      </c>
      <c r="I3134" s="3" t="s">
        <v>12868</v>
      </c>
      <c r="J3134" s="3" t="s">
        <v>22</v>
      </c>
      <c r="K3134" s="3" t="s">
        <v>204</v>
      </c>
      <c r="L3134" s="3" t="s">
        <v>204</v>
      </c>
      <c r="M3134" s="3" t="s">
        <v>378</v>
      </c>
      <c r="N3134" s="3" t="s">
        <v>379</v>
      </c>
      <c r="O3134" s="5">
        <v>20.7559739</v>
      </c>
      <c r="P3134" s="6" t="str">
        <f t="shared" si="2"/>
        <v>Non Banking Financial Company (NBFC)</v>
      </c>
    </row>
    <row r="3135" hidden="1">
      <c r="A3135" s="3" t="s">
        <v>12872</v>
      </c>
      <c r="B3135" s="4">
        <v>539494.0</v>
      </c>
      <c r="C3135" s="3" t="s">
        <v>12873</v>
      </c>
      <c r="D3135" s="3" t="s">
        <v>12874</v>
      </c>
      <c r="E3135" s="3" t="s">
        <v>12875</v>
      </c>
      <c r="F3135" s="3" t="s">
        <v>19</v>
      </c>
      <c r="G3135" s="3" t="s">
        <v>44</v>
      </c>
      <c r="H3135" s="3">
        <v>1.0</v>
      </c>
      <c r="I3135" s="3" t="s">
        <v>12872</v>
      </c>
      <c r="J3135" s="3" t="s">
        <v>22</v>
      </c>
      <c r="K3135" s="3" t="s">
        <v>204</v>
      </c>
      <c r="L3135" s="3" t="s">
        <v>204</v>
      </c>
      <c r="M3135" s="3" t="s">
        <v>378</v>
      </c>
      <c r="N3135" s="3" t="s">
        <v>379</v>
      </c>
      <c r="O3135" s="5">
        <v>40.4186147</v>
      </c>
      <c r="P3135" s="6" t="str">
        <f t="shared" si="2"/>
        <v>Non Banking Financial Company (NBFC)</v>
      </c>
    </row>
    <row r="3136" hidden="1">
      <c r="A3136" s="3" t="s">
        <v>12876</v>
      </c>
      <c r="B3136" s="4">
        <v>539495.0</v>
      </c>
      <c r="C3136" s="3" t="s">
        <v>12877</v>
      </c>
      <c r="D3136" s="3" t="s">
        <v>12878</v>
      </c>
      <c r="E3136" s="3" t="s">
        <v>12879</v>
      </c>
      <c r="F3136" s="3" t="s">
        <v>19</v>
      </c>
      <c r="G3136" s="3" t="s">
        <v>44</v>
      </c>
      <c r="H3136" s="3">
        <v>10.0</v>
      </c>
      <c r="I3136" s="3" t="s">
        <v>12876</v>
      </c>
      <c r="J3136" s="3" t="s">
        <v>22</v>
      </c>
      <c r="K3136" s="3" t="s">
        <v>204</v>
      </c>
      <c r="L3136" s="3" t="s">
        <v>204</v>
      </c>
      <c r="M3136" s="3" t="s">
        <v>378</v>
      </c>
      <c r="N3136" s="3" t="s">
        <v>379</v>
      </c>
      <c r="O3136" s="5">
        <v>1.0</v>
      </c>
      <c r="P3136" s="6" t="str">
        <f t="shared" si="2"/>
        <v>Non Banking Financial Company (NBFC)</v>
      </c>
    </row>
    <row r="3137" hidden="1">
      <c r="A3137" s="3" t="s">
        <v>12880</v>
      </c>
      <c r="B3137" s="4">
        <v>539506.0</v>
      </c>
      <c r="C3137" s="3" t="s">
        <v>12881</v>
      </c>
      <c r="D3137" s="3" t="s">
        <v>12882</v>
      </c>
      <c r="E3137" s="3" t="s">
        <v>12883</v>
      </c>
      <c r="F3137" s="3" t="s">
        <v>19</v>
      </c>
      <c r="G3137" s="3" t="s">
        <v>72</v>
      </c>
      <c r="H3137" s="3">
        <v>1.0</v>
      </c>
      <c r="I3137" s="3" t="s">
        <v>12880</v>
      </c>
      <c r="J3137" s="3" t="s">
        <v>22</v>
      </c>
      <c r="K3137" s="3" t="s">
        <v>204</v>
      </c>
      <c r="L3137" s="3" t="s">
        <v>204</v>
      </c>
      <c r="M3137" s="3" t="s">
        <v>378</v>
      </c>
      <c r="N3137" s="3" t="s">
        <v>379</v>
      </c>
      <c r="O3137" s="5">
        <v>28.1643423</v>
      </c>
      <c r="P3137" s="6" t="str">
        <f t="shared" si="2"/>
        <v>Non Banking Financial Company (NBFC)</v>
      </c>
    </row>
    <row r="3138" hidden="1">
      <c r="A3138" s="3" t="s">
        <v>12884</v>
      </c>
      <c r="B3138" s="4">
        <v>539515.0</v>
      </c>
      <c r="C3138" s="3" t="s">
        <v>12885</v>
      </c>
      <c r="D3138" s="3" t="s">
        <v>12886</v>
      </c>
      <c r="E3138" s="3" t="s">
        <v>12887</v>
      </c>
      <c r="F3138" s="3" t="s">
        <v>19</v>
      </c>
      <c r="G3138" s="3" t="s">
        <v>44</v>
      </c>
      <c r="H3138" s="3">
        <v>10.0</v>
      </c>
      <c r="I3138" s="3" t="s">
        <v>12884</v>
      </c>
      <c r="J3138" s="3" t="s">
        <v>22</v>
      </c>
      <c r="K3138" s="3" t="s">
        <v>58</v>
      </c>
      <c r="L3138" s="3" t="s">
        <v>182</v>
      </c>
      <c r="M3138" s="3" t="s">
        <v>183</v>
      </c>
      <c r="N3138" s="3" t="s">
        <v>3454</v>
      </c>
      <c r="O3138" s="5">
        <v>447.3679</v>
      </c>
      <c r="P3138" s="6" t="str">
        <f t="shared" si="2"/>
        <v>Media</v>
      </c>
    </row>
    <row r="3139" hidden="1">
      <c r="A3139" s="3" t="s">
        <v>12888</v>
      </c>
      <c r="B3139" s="4">
        <v>539518.0</v>
      </c>
      <c r="C3139" s="3" t="s">
        <v>12889</v>
      </c>
      <c r="D3139" s="3" t="s">
        <v>12890</v>
      </c>
      <c r="E3139" s="3" t="s">
        <v>12891</v>
      </c>
      <c r="F3139" s="3" t="s">
        <v>19</v>
      </c>
      <c r="G3139" s="3" t="s">
        <v>44</v>
      </c>
      <c r="H3139" s="3">
        <v>10.0</v>
      </c>
      <c r="I3139" s="3" t="s">
        <v>12888</v>
      </c>
      <c r="J3139" s="3" t="s">
        <v>22</v>
      </c>
      <c r="K3139" s="3" t="s">
        <v>58</v>
      </c>
      <c r="L3139" s="3" t="s">
        <v>211</v>
      </c>
      <c r="M3139" s="3" t="s">
        <v>211</v>
      </c>
      <c r="N3139" s="3" t="s">
        <v>947</v>
      </c>
      <c r="O3139" s="5">
        <v>295.9172628</v>
      </c>
      <c r="P3139" s="6" t="str">
        <f t="shared" si="2"/>
        <v>Consumer Durables</v>
      </c>
    </row>
    <row r="3140" hidden="1">
      <c r="A3140" s="3" t="s">
        <v>12892</v>
      </c>
      <c r="B3140" s="4">
        <v>539521.0</v>
      </c>
      <c r="C3140" s="3" t="s">
        <v>12893</v>
      </c>
      <c r="D3140" s="3" t="s">
        <v>12894</v>
      </c>
      <c r="E3140" s="3" t="s">
        <v>12895</v>
      </c>
      <c r="F3140" s="3" t="s">
        <v>19</v>
      </c>
      <c r="G3140" s="3" t="s">
        <v>6293</v>
      </c>
      <c r="H3140" s="3">
        <v>10.0</v>
      </c>
      <c r="I3140" s="3" t="s">
        <v>12892</v>
      </c>
      <c r="J3140" s="3" t="s">
        <v>22</v>
      </c>
      <c r="K3140" s="3" t="s">
        <v>204</v>
      </c>
      <c r="L3140" s="3" t="s">
        <v>204</v>
      </c>
      <c r="M3140" s="3" t="s">
        <v>378</v>
      </c>
      <c r="N3140" s="3" t="s">
        <v>468</v>
      </c>
      <c r="O3140" s="5">
        <v>1.0</v>
      </c>
      <c r="P3140" s="6" t="str">
        <f t="shared" si="2"/>
        <v>Finance</v>
      </c>
    </row>
    <row r="3141" hidden="1">
      <c r="A3141" s="3" t="s">
        <v>12896</v>
      </c>
      <c r="B3141" s="4">
        <v>539522.0</v>
      </c>
      <c r="C3141" s="3" t="s">
        <v>12897</v>
      </c>
      <c r="D3141" s="3" t="s">
        <v>12898</v>
      </c>
      <c r="E3141" s="3" t="s">
        <v>12899</v>
      </c>
      <c r="F3141" s="3" t="s">
        <v>19</v>
      </c>
      <c r="G3141" s="3" t="s">
        <v>44</v>
      </c>
      <c r="H3141" s="3">
        <v>10.0</v>
      </c>
      <c r="I3141" s="3" t="s">
        <v>12896</v>
      </c>
      <c r="J3141" s="3" t="s">
        <v>22</v>
      </c>
      <c r="K3141" s="3" t="s">
        <v>58</v>
      </c>
      <c r="L3141" s="3" t="s">
        <v>59</v>
      </c>
      <c r="M3141" s="3" t="s">
        <v>59</v>
      </c>
      <c r="N3141" s="3" t="s">
        <v>60</v>
      </c>
      <c r="O3141" s="5">
        <v>57.3711398</v>
      </c>
      <c r="P3141" s="6" t="str">
        <f t="shared" si="2"/>
        <v>Residential, Commercial Projects</v>
      </c>
    </row>
    <row r="3142">
      <c r="A3142" s="3" t="s">
        <v>11459</v>
      </c>
      <c r="B3142" s="4">
        <v>500133.0</v>
      </c>
      <c r="C3142" s="3" t="s">
        <v>12900</v>
      </c>
      <c r="D3142" s="3" t="s">
        <v>12901</v>
      </c>
      <c r="E3142" s="3" t="s">
        <v>12902</v>
      </c>
      <c r="F3142" s="3" t="s">
        <v>19</v>
      </c>
      <c r="G3142" s="3" t="s">
        <v>20</v>
      </c>
      <c r="H3142" s="3">
        <v>10.0</v>
      </c>
      <c r="I3142" s="3" t="s">
        <v>357</v>
      </c>
      <c r="J3142" s="3" t="s">
        <v>22</v>
      </c>
      <c r="K3142" s="3" t="s">
        <v>97</v>
      </c>
      <c r="L3142" s="3" t="s">
        <v>98</v>
      </c>
      <c r="M3142" s="3" t="s">
        <v>100</v>
      </c>
      <c r="N3142" s="3" t="s">
        <v>1386</v>
      </c>
      <c r="O3142" s="5">
        <v>9318.9517</v>
      </c>
      <c r="P3142" s="6" t="str">
        <f t="shared" si="2"/>
        <v>Industrial Products</v>
      </c>
    </row>
    <row r="3143">
      <c r="A3143" s="3" t="s">
        <v>11489</v>
      </c>
      <c r="B3143" s="4">
        <v>500135.0</v>
      </c>
      <c r="C3143" s="3" t="s">
        <v>12903</v>
      </c>
      <c r="D3143" s="3" t="s">
        <v>12904</v>
      </c>
      <c r="E3143" s="3" t="s">
        <v>12905</v>
      </c>
      <c r="F3143" s="3" t="s">
        <v>19</v>
      </c>
      <c r="G3143" s="3" t="s">
        <v>20</v>
      </c>
      <c r="H3143" s="3">
        <v>2.0</v>
      </c>
      <c r="I3143" s="3" t="s">
        <v>363</v>
      </c>
      <c r="J3143" s="3" t="s">
        <v>22</v>
      </c>
      <c r="K3143" s="3" t="s">
        <v>97</v>
      </c>
      <c r="L3143" s="3" t="s">
        <v>98</v>
      </c>
      <c r="M3143" s="3" t="s">
        <v>100</v>
      </c>
      <c r="N3143" s="3" t="s">
        <v>373</v>
      </c>
      <c r="O3143" s="5">
        <v>6925.7406772</v>
      </c>
      <c r="P3143" s="6" t="str">
        <f t="shared" si="2"/>
        <v>Industrial Products</v>
      </c>
    </row>
    <row r="3144" hidden="1">
      <c r="A3144" s="3" t="s">
        <v>7153</v>
      </c>
      <c r="B3144" s="4">
        <v>511185.0</v>
      </c>
      <c r="C3144" s="3" t="s">
        <v>12906</v>
      </c>
      <c r="D3144" s="3" t="s">
        <v>12907</v>
      </c>
      <c r="E3144" s="3" t="s">
        <v>12908</v>
      </c>
      <c r="F3144" s="3" t="s">
        <v>19</v>
      </c>
      <c r="G3144" s="3" t="s">
        <v>72</v>
      </c>
      <c r="H3144" s="3">
        <v>10.0</v>
      </c>
      <c r="I3144" s="3" t="s">
        <v>3243</v>
      </c>
      <c r="J3144" s="3" t="s">
        <v>22</v>
      </c>
      <c r="K3144" s="3" t="s">
        <v>1673</v>
      </c>
      <c r="L3144" s="3" t="s">
        <v>1673</v>
      </c>
      <c r="M3144" s="3" t="s">
        <v>1689</v>
      </c>
      <c r="N3144" s="3" t="s">
        <v>1690</v>
      </c>
      <c r="O3144" s="5">
        <v>1.0</v>
      </c>
      <c r="P3144" s="6" t="str">
        <f t="shared" si="2"/>
        <v>Transport Services</v>
      </c>
    </row>
    <row r="3145" hidden="1">
      <c r="A3145" s="3" t="s">
        <v>12909</v>
      </c>
      <c r="B3145" s="4">
        <v>539527.0</v>
      </c>
      <c r="C3145" s="3" t="s">
        <v>12910</v>
      </c>
      <c r="D3145" s="3" t="s">
        <v>12911</v>
      </c>
      <c r="E3145" s="3" t="s">
        <v>12912</v>
      </c>
      <c r="F3145" s="3" t="s">
        <v>19</v>
      </c>
      <c r="G3145" s="3" t="s">
        <v>44</v>
      </c>
      <c r="H3145" s="3">
        <v>10.0</v>
      </c>
      <c r="I3145" s="3" t="s">
        <v>12909</v>
      </c>
      <c r="J3145" s="3" t="s">
        <v>22</v>
      </c>
      <c r="K3145" s="3" t="s">
        <v>97</v>
      </c>
      <c r="L3145" s="3" t="s">
        <v>98</v>
      </c>
      <c r="M3145" s="3" t="s">
        <v>100</v>
      </c>
      <c r="N3145" s="3" t="s">
        <v>1909</v>
      </c>
      <c r="O3145" s="5">
        <v>108.7817945</v>
      </c>
      <c r="P3145" s="6" t="str">
        <f t="shared" si="2"/>
        <v>Industrial Products</v>
      </c>
    </row>
    <row r="3146" hidden="1">
      <c r="A3146" s="3" t="s">
        <v>12913</v>
      </c>
      <c r="B3146" s="4">
        <v>539528.0</v>
      </c>
      <c r="C3146" s="3" t="s">
        <v>12914</v>
      </c>
      <c r="D3146" s="3" t="s">
        <v>12915</v>
      </c>
      <c r="E3146" s="3" t="s">
        <v>12916</v>
      </c>
      <c r="F3146" s="3" t="s">
        <v>19</v>
      </c>
      <c r="G3146" s="3" t="s">
        <v>72</v>
      </c>
      <c r="H3146" s="3">
        <v>10.0</v>
      </c>
      <c r="I3146" s="3" t="s">
        <v>12913</v>
      </c>
      <c r="J3146" s="3" t="s">
        <v>22</v>
      </c>
      <c r="K3146" s="3" t="s">
        <v>145</v>
      </c>
      <c r="L3146" s="3" t="s">
        <v>145</v>
      </c>
      <c r="M3146" s="3" t="s">
        <v>597</v>
      </c>
      <c r="N3146" s="3" t="s">
        <v>2344</v>
      </c>
      <c r="O3146" s="5">
        <v>1.0</v>
      </c>
      <c r="P3146" s="6" t="str">
        <f t="shared" si="2"/>
        <v>Food Products</v>
      </c>
    </row>
    <row r="3147" hidden="1">
      <c r="A3147" s="3" t="s">
        <v>12917</v>
      </c>
      <c r="B3147" s="4">
        <v>511187.0</v>
      </c>
      <c r="C3147" s="3" t="s">
        <v>12918</v>
      </c>
      <c r="D3147" s="3" t="s">
        <v>12919</v>
      </c>
      <c r="E3147" s="3" t="s">
        <v>12920</v>
      </c>
      <c r="F3147" s="3" t="s">
        <v>19</v>
      </c>
      <c r="G3147" s="3" t="s">
        <v>72</v>
      </c>
      <c r="H3147" s="3">
        <v>1.0</v>
      </c>
      <c r="I3147" s="3" t="s">
        <v>3248</v>
      </c>
      <c r="J3147" s="3" t="s">
        <v>22</v>
      </c>
      <c r="K3147" s="3" t="s">
        <v>1673</v>
      </c>
      <c r="L3147" s="3" t="s">
        <v>1673</v>
      </c>
      <c r="M3147" s="3" t="s">
        <v>1674</v>
      </c>
      <c r="N3147" s="3" t="s">
        <v>1675</v>
      </c>
      <c r="O3147" s="5">
        <v>1.0</v>
      </c>
      <c r="P3147" s="6" t="str">
        <f t="shared" si="2"/>
        <v>Commercial Services &amp; Supplies</v>
      </c>
    </row>
    <row r="3148" hidden="1">
      <c r="A3148" s="3" t="s">
        <v>12921</v>
      </c>
      <c r="B3148" s="4">
        <v>539542.0</v>
      </c>
      <c r="C3148" s="3" t="s">
        <v>12922</v>
      </c>
      <c r="D3148" s="3" t="s">
        <v>12923</v>
      </c>
      <c r="E3148" s="3" t="s">
        <v>12924</v>
      </c>
      <c r="F3148" s="3" t="s">
        <v>19</v>
      </c>
      <c r="G3148" s="3" t="s">
        <v>112</v>
      </c>
      <c r="H3148" s="3">
        <v>2.0</v>
      </c>
      <c r="I3148" s="3" t="s">
        <v>12921</v>
      </c>
      <c r="J3148" s="3" t="s">
        <v>22</v>
      </c>
      <c r="K3148" s="3" t="s">
        <v>58</v>
      </c>
      <c r="L3148" s="3" t="s">
        <v>80</v>
      </c>
      <c r="M3148" s="3" t="s">
        <v>81</v>
      </c>
      <c r="N3148" s="3" t="s">
        <v>944</v>
      </c>
      <c r="O3148" s="5">
        <v>4388.7210915</v>
      </c>
      <c r="P3148" s="6" t="str">
        <f t="shared" si="2"/>
        <v>Textiles &amp; Apparels</v>
      </c>
    </row>
    <row r="3149" hidden="1">
      <c r="A3149" s="3" t="s">
        <v>12925</v>
      </c>
      <c r="B3149" s="4">
        <v>539543.0</v>
      </c>
      <c r="C3149" s="3" t="s">
        <v>12926</v>
      </c>
      <c r="D3149" s="3" t="s">
        <v>12927</v>
      </c>
      <c r="E3149" s="3" t="s">
        <v>12928</v>
      </c>
      <c r="F3149" s="3" t="s">
        <v>19</v>
      </c>
      <c r="G3149" s="3" t="s">
        <v>44</v>
      </c>
      <c r="H3149" s="3">
        <v>10.0</v>
      </c>
      <c r="I3149" s="3" t="s">
        <v>12925</v>
      </c>
      <c r="J3149" s="3" t="s">
        <v>22</v>
      </c>
      <c r="K3149" s="3" t="s">
        <v>204</v>
      </c>
      <c r="L3149" s="3" t="s">
        <v>204</v>
      </c>
      <c r="M3149" s="3" t="s">
        <v>378</v>
      </c>
      <c r="N3149" s="3" t="s">
        <v>384</v>
      </c>
      <c r="O3149" s="5">
        <v>1.0</v>
      </c>
      <c r="P3149" s="6" t="str">
        <f t="shared" si="2"/>
        <v>Finance</v>
      </c>
    </row>
    <row r="3150" hidden="1">
      <c r="A3150" s="3" t="s">
        <v>12929</v>
      </c>
      <c r="B3150" s="4">
        <v>539544.0</v>
      </c>
      <c r="C3150" s="3" t="s">
        <v>12930</v>
      </c>
      <c r="D3150" s="3" t="s">
        <v>12931</v>
      </c>
      <c r="E3150" s="3" t="s">
        <v>12932</v>
      </c>
      <c r="F3150" s="3" t="s">
        <v>19</v>
      </c>
      <c r="G3150" s="3" t="s">
        <v>72</v>
      </c>
      <c r="H3150" s="3">
        <v>10.0</v>
      </c>
      <c r="I3150" s="3" t="s">
        <v>12929</v>
      </c>
      <c r="J3150" s="3" t="s">
        <v>22</v>
      </c>
      <c r="K3150" s="3" t="s">
        <v>58</v>
      </c>
      <c r="L3150" s="3" t="s">
        <v>59</v>
      </c>
      <c r="M3150" s="3" t="s">
        <v>59</v>
      </c>
      <c r="N3150" s="3" t="s">
        <v>60</v>
      </c>
      <c r="O3150" s="5">
        <v>1.0</v>
      </c>
      <c r="P3150" s="6" t="str">
        <f t="shared" si="2"/>
        <v>Residential, Commercial Projects</v>
      </c>
    </row>
    <row r="3151" hidden="1">
      <c r="A3151" s="3" t="s">
        <v>12933</v>
      </c>
      <c r="B3151" s="4">
        <v>539545.0</v>
      </c>
      <c r="C3151" s="3" t="s">
        <v>12934</v>
      </c>
      <c r="D3151" s="3" t="s">
        <v>12935</v>
      </c>
      <c r="E3151" s="3" t="s">
        <v>12936</v>
      </c>
      <c r="F3151" s="3" t="s">
        <v>19</v>
      </c>
      <c r="G3151" s="3" t="s">
        <v>44</v>
      </c>
      <c r="H3151" s="3">
        <v>10.0</v>
      </c>
      <c r="I3151" s="3" t="s">
        <v>12933</v>
      </c>
      <c r="J3151" s="3" t="s">
        <v>22</v>
      </c>
      <c r="K3151" s="3" t="s">
        <v>204</v>
      </c>
      <c r="L3151" s="3" t="s">
        <v>204</v>
      </c>
      <c r="M3151" s="3" t="s">
        <v>378</v>
      </c>
      <c r="N3151" s="3" t="s">
        <v>468</v>
      </c>
      <c r="O3151" s="5">
        <v>1.0</v>
      </c>
      <c r="P3151" s="6" t="str">
        <f t="shared" si="2"/>
        <v>Finance</v>
      </c>
    </row>
    <row r="3152" hidden="1">
      <c r="A3152" s="3" t="s">
        <v>7728</v>
      </c>
      <c r="B3152" s="4">
        <v>511563.0</v>
      </c>
      <c r="C3152" s="3" t="s">
        <v>12937</v>
      </c>
      <c r="D3152" s="3" t="s">
        <v>12938</v>
      </c>
      <c r="E3152" s="3" t="s">
        <v>12939</v>
      </c>
      <c r="F3152" s="3" t="s">
        <v>19</v>
      </c>
      <c r="G3152" s="3" t="s">
        <v>72</v>
      </c>
      <c r="H3152" s="3">
        <v>10.0</v>
      </c>
      <c r="I3152" s="3" t="s">
        <v>3404</v>
      </c>
      <c r="J3152" s="3" t="s">
        <v>22</v>
      </c>
      <c r="K3152" s="3" t="s">
        <v>1673</v>
      </c>
      <c r="L3152" s="3" t="s">
        <v>1673</v>
      </c>
      <c r="M3152" s="3" t="s">
        <v>1674</v>
      </c>
      <c r="N3152" s="3" t="s">
        <v>1675</v>
      </c>
      <c r="O3152" s="5">
        <v>1.0</v>
      </c>
      <c r="P3152" s="6" t="str">
        <f t="shared" si="2"/>
        <v>Commercial Services &amp; Supplies</v>
      </c>
    </row>
    <row r="3153">
      <c r="A3153" s="3" t="s">
        <v>11493</v>
      </c>
      <c r="B3153" s="4">
        <v>500144.0</v>
      </c>
      <c r="C3153" s="3" t="s">
        <v>12940</v>
      </c>
      <c r="D3153" s="3" t="s">
        <v>12941</v>
      </c>
      <c r="E3153" s="3" t="s">
        <v>12942</v>
      </c>
      <c r="F3153" s="3" t="s">
        <v>19</v>
      </c>
      <c r="G3153" s="3" t="s">
        <v>20</v>
      </c>
      <c r="H3153" s="3">
        <v>2.0</v>
      </c>
      <c r="I3153" s="3" t="s">
        <v>385</v>
      </c>
      <c r="J3153" s="3" t="s">
        <v>22</v>
      </c>
      <c r="K3153" s="3" t="s">
        <v>97</v>
      </c>
      <c r="L3153" s="3" t="s">
        <v>98</v>
      </c>
      <c r="M3153" s="3" t="s">
        <v>100</v>
      </c>
      <c r="N3153" s="3" t="s">
        <v>1804</v>
      </c>
      <c r="O3153" s="5">
        <v>23964.1023887</v>
      </c>
      <c r="P3153" s="6" t="str">
        <f t="shared" si="2"/>
        <v>Industrial Products</v>
      </c>
    </row>
    <row r="3154" hidden="1">
      <c r="A3154" s="3" t="s">
        <v>12943</v>
      </c>
      <c r="B3154" s="4">
        <v>539552.0</v>
      </c>
      <c r="C3154" s="3" t="s">
        <v>12944</v>
      </c>
      <c r="D3154" s="3" t="s">
        <v>12945</v>
      </c>
      <c r="E3154" s="3" t="s">
        <v>12946</v>
      </c>
      <c r="F3154" s="3" t="s">
        <v>19</v>
      </c>
      <c r="G3154" s="3" t="s">
        <v>44</v>
      </c>
      <c r="H3154" s="3">
        <v>10.0</v>
      </c>
      <c r="I3154" s="3" t="s">
        <v>12943</v>
      </c>
      <c r="J3154" s="3" t="s">
        <v>22</v>
      </c>
      <c r="K3154" s="3" t="s">
        <v>204</v>
      </c>
      <c r="L3154" s="3" t="s">
        <v>204</v>
      </c>
      <c r="M3154" s="3" t="s">
        <v>378</v>
      </c>
      <c r="N3154" s="3" t="s">
        <v>379</v>
      </c>
      <c r="O3154" s="5">
        <v>78.4528879</v>
      </c>
      <c r="P3154" s="6" t="str">
        <f t="shared" si="2"/>
        <v>Non Banking Financial Company (NBFC)</v>
      </c>
    </row>
    <row r="3155" hidden="1">
      <c r="A3155" s="3" t="s">
        <v>12947</v>
      </c>
      <c r="B3155" s="4">
        <v>539559.0</v>
      </c>
      <c r="C3155" s="3" t="s">
        <v>12948</v>
      </c>
      <c r="D3155" s="3" t="s">
        <v>12949</v>
      </c>
      <c r="E3155" s="3" t="s">
        <v>12950</v>
      </c>
      <c r="F3155" s="3" t="s">
        <v>19</v>
      </c>
      <c r="G3155" s="3" t="s">
        <v>44</v>
      </c>
      <c r="H3155" s="3">
        <v>1.0</v>
      </c>
      <c r="I3155" s="3" t="s">
        <v>12947</v>
      </c>
      <c r="J3155" s="3" t="s">
        <v>22</v>
      </c>
      <c r="K3155" s="3" t="s">
        <v>58</v>
      </c>
      <c r="L3155" s="3" t="s">
        <v>211</v>
      </c>
      <c r="M3155" s="3" t="s">
        <v>211</v>
      </c>
      <c r="N3155" s="3" t="s">
        <v>947</v>
      </c>
      <c r="O3155" s="5">
        <v>28.733736</v>
      </c>
      <c r="P3155" s="6" t="str">
        <f t="shared" si="2"/>
        <v>Consumer Durables</v>
      </c>
    </row>
    <row r="3156" hidden="1">
      <c r="A3156" s="3" t="s">
        <v>12951</v>
      </c>
      <c r="B3156" s="4">
        <v>539560.0</v>
      </c>
      <c r="C3156" s="3" t="s">
        <v>12952</v>
      </c>
      <c r="D3156" s="3" t="s">
        <v>12953</v>
      </c>
      <c r="E3156" s="3" t="s">
        <v>12954</v>
      </c>
      <c r="F3156" s="3" t="s">
        <v>19</v>
      </c>
      <c r="G3156" s="3" t="s">
        <v>72</v>
      </c>
      <c r="H3156" s="3">
        <v>10.0</v>
      </c>
      <c r="I3156" s="3" t="s">
        <v>12951</v>
      </c>
      <c r="J3156" s="3" t="s">
        <v>22</v>
      </c>
      <c r="K3156" s="3" t="s">
        <v>145</v>
      </c>
      <c r="L3156" s="3" t="s">
        <v>145</v>
      </c>
      <c r="M3156" s="3" t="s">
        <v>597</v>
      </c>
      <c r="N3156" s="3" t="s">
        <v>1065</v>
      </c>
      <c r="O3156" s="5">
        <v>1.0</v>
      </c>
      <c r="P3156" s="6" t="str">
        <f t="shared" si="2"/>
        <v>Food Products</v>
      </c>
    </row>
    <row r="3157" hidden="1">
      <c r="A3157" s="3" t="s">
        <v>3573</v>
      </c>
      <c r="B3157" s="4">
        <v>511585.0</v>
      </c>
      <c r="C3157" s="3" t="s">
        <v>12955</v>
      </c>
      <c r="D3157" s="3" t="s">
        <v>12956</v>
      </c>
      <c r="E3157" s="3" t="s">
        <v>12957</v>
      </c>
      <c r="F3157" s="3" t="s">
        <v>19</v>
      </c>
      <c r="G3157" s="3" t="s">
        <v>72</v>
      </c>
      <c r="H3157" s="3">
        <v>1.0</v>
      </c>
      <c r="I3157" s="3" t="s">
        <v>3413</v>
      </c>
      <c r="J3157" s="3" t="s">
        <v>22</v>
      </c>
      <c r="K3157" s="3" t="s">
        <v>1673</v>
      </c>
      <c r="L3157" s="3" t="s">
        <v>1673</v>
      </c>
      <c r="M3157" s="3" t="s">
        <v>1674</v>
      </c>
      <c r="N3157" s="3" t="s">
        <v>3189</v>
      </c>
      <c r="O3157" s="5">
        <v>1.0</v>
      </c>
      <c r="P3157" s="6" t="str">
        <f t="shared" si="2"/>
        <v>Commercial Services &amp; Supplies</v>
      </c>
    </row>
    <row r="3158" hidden="1">
      <c r="A3158" s="3" t="s">
        <v>12958</v>
      </c>
      <c r="B3158" s="4">
        <v>539562.0</v>
      </c>
      <c r="C3158" s="3" t="s">
        <v>12959</v>
      </c>
      <c r="D3158" s="3" t="s">
        <v>12960</v>
      </c>
      <c r="E3158" s="3" t="s">
        <v>12961</v>
      </c>
      <c r="F3158" s="3" t="s">
        <v>19</v>
      </c>
      <c r="G3158" s="3" t="s">
        <v>72</v>
      </c>
      <c r="H3158" s="3">
        <v>10.0</v>
      </c>
      <c r="I3158" s="3" t="s">
        <v>12958</v>
      </c>
      <c r="J3158" s="3" t="s">
        <v>22</v>
      </c>
      <c r="K3158" s="3" t="s">
        <v>58</v>
      </c>
      <c r="L3158" s="3" t="s">
        <v>80</v>
      </c>
      <c r="M3158" s="3" t="s">
        <v>81</v>
      </c>
      <c r="N3158" s="3" t="s">
        <v>2471</v>
      </c>
      <c r="O3158" s="5">
        <v>199.603642</v>
      </c>
      <c r="P3158" s="6" t="str">
        <f t="shared" si="2"/>
        <v>Textiles &amp; Apparels</v>
      </c>
    </row>
    <row r="3159" hidden="1">
      <c r="A3159" s="3" t="s">
        <v>12962</v>
      </c>
      <c r="B3159" s="4">
        <v>539574.0</v>
      </c>
      <c r="C3159" s="3" t="s">
        <v>12963</v>
      </c>
      <c r="D3159" s="3" t="s">
        <v>12964</v>
      </c>
      <c r="E3159" s="3" t="s">
        <v>12965</v>
      </c>
      <c r="F3159" s="3" t="s">
        <v>19</v>
      </c>
      <c r="G3159" s="3" t="s">
        <v>72</v>
      </c>
      <c r="H3159" s="3">
        <v>1.0</v>
      </c>
      <c r="I3159" s="3" t="s">
        <v>12962</v>
      </c>
      <c r="J3159" s="3" t="s">
        <v>22</v>
      </c>
      <c r="K3159" s="3" t="s">
        <v>204</v>
      </c>
      <c r="L3159" s="3" t="s">
        <v>204</v>
      </c>
      <c r="M3159" s="3" t="s">
        <v>378</v>
      </c>
      <c r="N3159" s="3" t="s">
        <v>379</v>
      </c>
      <c r="O3159" s="5">
        <v>284.7064895</v>
      </c>
      <c r="P3159" s="6" t="str">
        <f t="shared" si="2"/>
        <v>Non Banking Financial Company (NBFC)</v>
      </c>
    </row>
    <row r="3160" hidden="1">
      <c r="A3160" s="3" t="s">
        <v>12966</v>
      </c>
      <c r="B3160" s="4">
        <v>512004.0</v>
      </c>
      <c r="C3160" s="3" t="s">
        <v>12967</v>
      </c>
      <c r="D3160" s="3" t="s">
        <v>12968</v>
      </c>
      <c r="E3160" s="3" t="s">
        <v>12969</v>
      </c>
      <c r="F3160" s="3" t="s">
        <v>19</v>
      </c>
      <c r="G3160" s="3" t="s">
        <v>1858</v>
      </c>
      <c r="H3160" s="3">
        <v>10.0</v>
      </c>
      <c r="I3160" s="3" t="s">
        <v>3569</v>
      </c>
      <c r="J3160" s="3" t="s">
        <v>22</v>
      </c>
      <c r="K3160" s="3" t="s">
        <v>1673</v>
      </c>
      <c r="L3160" s="3" t="s">
        <v>1673</v>
      </c>
      <c r="M3160" s="3" t="s">
        <v>1674</v>
      </c>
      <c r="N3160" s="3" t="s">
        <v>1675</v>
      </c>
      <c r="O3160" s="5">
        <v>1.0</v>
      </c>
      <c r="P3160" s="6" t="str">
        <f t="shared" si="2"/>
        <v>Commercial Services &amp; Supplies</v>
      </c>
    </row>
    <row r="3161" hidden="1">
      <c r="A3161" s="3" t="s">
        <v>12970</v>
      </c>
      <c r="B3161" s="4">
        <v>539593.0</v>
      </c>
      <c r="C3161" s="3" t="s">
        <v>12971</v>
      </c>
      <c r="D3161" s="3" t="s">
        <v>12972</v>
      </c>
      <c r="E3161" s="3" t="s">
        <v>12973</v>
      </c>
      <c r="F3161" s="3" t="s">
        <v>19</v>
      </c>
      <c r="G3161" s="3" t="s">
        <v>72</v>
      </c>
      <c r="H3161" s="3">
        <v>10.0</v>
      </c>
      <c r="I3161" s="3" t="s">
        <v>12970</v>
      </c>
      <c r="J3161" s="3" t="s">
        <v>22</v>
      </c>
      <c r="K3161" s="3" t="s">
        <v>204</v>
      </c>
      <c r="L3161" s="3" t="s">
        <v>204</v>
      </c>
      <c r="M3161" s="3" t="s">
        <v>378</v>
      </c>
      <c r="N3161" s="3" t="s">
        <v>468</v>
      </c>
      <c r="O3161" s="5">
        <v>1.0</v>
      </c>
      <c r="P3161" s="6" t="str">
        <f t="shared" si="2"/>
        <v>Finance</v>
      </c>
    </row>
    <row r="3162" hidden="1">
      <c r="A3162" s="3" t="s">
        <v>12974</v>
      </c>
      <c r="B3162" s="4">
        <v>539594.0</v>
      </c>
      <c r="C3162" s="3" t="s">
        <v>12975</v>
      </c>
      <c r="D3162" s="3" t="s">
        <v>12976</v>
      </c>
      <c r="E3162" s="3" t="s">
        <v>12977</v>
      </c>
      <c r="F3162" s="3" t="s">
        <v>19</v>
      </c>
      <c r="G3162" s="3" t="s">
        <v>112</v>
      </c>
      <c r="H3162" s="3">
        <v>1.0</v>
      </c>
      <c r="I3162" s="3" t="s">
        <v>12974</v>
      </c>
      <c r="J3162" s="3" t="s">
        <v>22</v>
      </c>
      <c r="K3162" s="3" t="s">
        <v>145</v>
      </c>
      <c r="L3162" s="3" t="s">
        <v>145</v>
      </c>
      <c r="M3162" s="3" t="s">
        <v>597</v>
      </c>
      <c r="N3162" s="3" t="s">
        <v>2344</v>
      </c>
      <c r="O3162" s="5">
        <v>1865.2180488</v>
      </c>
      <c r="P3162" s="6" t="str">
        <f t="shared" si="2"/>
        <v>Food Products</v>
      </c>
    </row>
    <row r="3163" hidden="1">
      <c r="A3163" s="3" t="s">
        <v>12978</v>
      </c>
      <c r="B3163" s="4">
        <v>539596.0</v>
      </c>
      <c r="C3163" s="3" t="s">
        <v>12979</v>
      </c>
      <c r="D3163" s="3" t="s">
        <v>12980</v>
      </c>
      <c r="E3163" s="3" t="s">
        <v>12981</v>
      </c>
      <c r="F3163" s="3" t="s">
        <v>19</v>
      </c>
      <c r="G3163" s="3" t="s">
        <v>72</v>
      </c>
      <c r="H3163" s="3">
        <v>10.0</v>
      </c>
      <c r="I3163" s="3" t="s">
        <v>12978</v>
      </c>
      <c r="J3163" s="3" t="s">
        <v>22</v>
      </c>
      <c r="K3163" s="3" t="s">
        <v>204</v>
      </c>
      <c r="L3163" s="3" t="s">
        <v>204</v>
      </c>
      <c r="M3163" s="3" t="s">
        <v>378</v>
      </c>
      <c r="N3163" s="3" t="s">
        <v>468</v>
      </c>
      <c r="O3163" s="5">
        <v>1.0</v>
      </c>
      <c r="P3163" s="6" t="str">
        <f t="shared" si="2"/>
        <v>Finance</v>
      </c>
    </row>
    <row r="3164" hidden="1">
      <c r="A3164" s="3" t="s">
        <v>12982</v>
      </c>
      <c r="B3164" s="4">
        <v>539598.0</v>
      </c>
      <c r="C3164" s="3" t="s">
        <v>12983</v>
      </c>
      <c r="D3164" s="3" t="s">
        <v>12984</v>
      </c>
      <c r="E3164" s="3" t="s">
        <v>12985</v>
      </c>
      <c r="F3164" s="3" t="s">
        <v>19</v>
      </c>
      <c r="G3164" s="3" t="s">
        <v>44</v>
      </c>
      <c r="H3164" s="3">
        <v>10.0</v>
      </c>
      <c r="I3164" s="3" t="s">
        <v>12982</v>
      </c>
      <c r="J3164" s="3" t="s">
        <v>22</v>
      </c>
      <c r="K3164" s="3" t="s">
        <v>204</v>
      </c>
      <c r="L3164" s="3" t="s">
        <v>204</v>
      </c>
      <c r="M3164" s="3" t="s">
        <v>378</v>
      </c>
      <c r="N3164" s="3" t="s">
        <v>379</v>
      </c>
      <c r="O3164" s="5">
        <v>136.4040351</v>
      </c>
      <c r="P3164" s="6" t="str">
        <f t="shared" si="2"/>
        <v>Non Banking Financial Company (NBFC)</v>
      </c>
    </row>
    <row r="3165" hidden="1">
      <c r="A3165" s="3" t="s">
        <v>12986</v>
      </c>
      <c r="B3165" s="4">
        <v>539599.0</v>
      </c>
      <c r="C3165" s="3" t="s">
        <v>12987</v>
      </c>
      <c r="D3165" s="3" t="s">
        <v>12988</v>
      </c>
      <c r="E3165" s="3" t="s">
        <v>12989</v>
      </c>
      <c r="F3165" s="3" t="s">
        <v>19</v>
      </c>
      <c r="G3165" s="3" t="s">
        <v>72</v>
      </c>
      <c r="H3165" s="3">
        <v>10.0</v>
      </c>
      <c r="I3165" s="3" t="s">
        <v>12986</v>
      </c>
      <c r="J3165" s="3" t="s">
        <v>22</v>
      </c>
      <c r="K3165" s="3" t="s">
        <v>58</v>
      </c>
      <c r="L3165" s="3" t="s">
        <v>73</v>
      </c>
      <c r="M3165" s="3" t="s">
        <v>988</v>
      </c>
      <c r="N3165" s="3" t="s">
        <v>12244</v>
      </c>
      <c r="O3165" s="5">
        <v>1.0</v>
      </c>
      <c r="P3165" s="6" t="str">
        <f t="shared" si="2"/>
        <v>Retailing</v>
      </c>
    </row>
    <row r="3166" hidden="1">
      <c r="A3166" s="3" t="s">
        <v>12990</v>
      </c>
      <c r="B3166" s="4">
        <v>539607.0</v>
      </c>
      <c r="C3166" s="3" t="s">
        <v>12991</v>
      </c>
      <c r="D3166" s="3" t="s">
        <v>12992</v>
      </c>
      <c r="E3166" s="3" t="s">
        <v>12993</v>
      </c>
      <c r="F3166" s="3" t="s">
        <v>19</v>
      </c>
      <c r="G3166" s="3" t="s">
        <v>112</v>
      </c>
      <c r="H3166" s="3">
        <v>2.0</v>
      </c>
      <c r="I3166" s="3" t="s">
        <v>12990</v>
      </c>
      <c r="J3166" s="3" t="s">
        <v>22</v>
      </c>
      <c r="K3166" s="3" t="s">
        <v>473</v>
      </c>
      <c r="L3166" s="3" t="s">
        <v>473</v>
      </c>
      <c r="M3166" s="3" t="s">
        <v>1391</v>
      </c>
      <c r="N3166" s="3" t="s">
        <v>1392</v>
      </c>
      <c r="O3166" s="5">
        <v>4527.0540205</v>
      </c>
      <c r="P3166" s="6" t="str">
        <f t="shared" si="2"/>
        <v>IT - Software</v>
      </c>
    </row>
    <row r="3167" hidden="1">
      <c r="A3167" s="3" t="s">
        <v>12994</v>
      </c>
      <c r="B3167" s="4">
        <v>539620.0</v>
      </c>
      <c r="C3167" s="3" t="s">
        <v>12995</v>
      </c>
      <c r="D3167" s="3" t="s">
        <v>12996</v>
      </c>
      <c r="E3167" s="3" t="s">
        <v>12997</v>
      </c>
      <c r="F3167" s="3" t="s">
        <v>19</v>
      </c>
      <c r="G3167" s="3" t="s">
        <v>44</v>
      </c>
      <c r="H3167" s="3">
        <v>5.0</v>
      </c>
      <c r="I3167" s="3" t="s">
        <v>12994</v>
      </c>
      <c r="J3167" s="3" t="s">
        <v>22</v>
      </c>
      <c r="K3167" s="3" t="s">
        <v>23</v>
      </c>
      <c r="L3167" s="3" t="s">
        <v>162</v>
      </c>
      <c r="M3167" s="3" t="s">
        <v>163</v>
      </c>
      <c r="N3167" s="3" t="s">
        <v>163</v>
      </c>
      <c r="O3167" s="5">
        <v>267.815</v>
      </c>
      <c r="P3167" s="6" t="str">
        <f t="shared" si="2"/>
        <v>Cement &amp; Cement Products</v>
      </c>
    </row>
    <row r="3168" hidden="1">
      <c r="A3168" s="3" t="s">
        <v>12998</v>
      </c>
      <c r="B3168" s="4">
        <v>539621.0</v>
      </c>
      <c r="C3168" s="3" t="s">
        <v>12999</v>
      </c>
      <c r="D3168" s="3" t="s">
        <v>13000</v>
      </c>
      <c r="E3168" s="3" t="s">
        <v>13001</v>
      </c>
      <c r="F3168" s="3" t="s">
        <v>19</v>
      </c>
      <c r="G3168" s="3" t="s">
        <v>44</v>
      </c>
      <c r="H3168" s="3">
        <v>1.0</v>
      </c>
      <c r="I3168" s="3" t="s">
        <v>12998</v>
      </c>
      <c r="J3168" s="3" t="s">
        <v>22</v>
      </c>
      <c r="K3168" s="3" t="s">
        <v>204</v>
      </c>
      <c r="L3168" s="3" t="s">
        <v>204</v>
      </c>
      <c r="M3168" s="3" t="s">
        <v>378</v>
      </c>
      <c r="N3168" s="3" t="s">
        <v>379</v>
      </c>
      <c r="O3168" s="5">
        <v>1.0</v>
      </c>
      <c r="P3168" s="6" t="str">
        <f t="shared" si="2"/>
        <v>Non Banking Financial Company (NBFC)</v>
      </c>
    </row>
    <row r="3169" hidden="1">
      <c r="A3169" s="3" t="s">
        <v>13002</v>
      </c>
      <c r="B3169" s="4">
        <v>539636.0</v>
      </c>
      <c r="C3169" s="3" t="s">
        <v>13003</v>
      </c>
      <c r="D3169" s="3" t="s">
        <v>13004</v>
      </c>
      <c r="E3169" s="3" t="s">
        <v>13005</v>
      </c>
      <c r="F3169" s="3" t="s">
        <v>19</v>
      </c>
      <c r="G3169" s="3" t="s">
        <v>112</v>
      </c>
      <c r="H3169" s="3">
        <v>10.0</v>
      </c>
      <c r="I3169" s="3" t="s">
        <v>13002</v>
      </c>
      <c r="J3169" s="3" t="s">
        <v>22</v>
      </c>
      <c r="K3169" s="3" t="s">
        <v>58</v>
      </c>
      <c r="L3169" s="3" t="s">
        <v>133</v>
      </c>
      <c r="M3169" s="3" t="s">
        <v>134</v>
      </c>
      <c r="N3169" s="3" t="s">
        <v>135</v>
      </c>
      <c r="O3169" s="5">
        <v>1823.5473553</v>
      </c>
      <c r="P3169" s="6" t="str">
        <f t="shared" si="2"/>
        <v>Auto Components &amp; Equipments</v>
      </c>
    </row>
    <row r="3170" hidden="1">
      <c r="A3170" s="3" t="s">
        <v>1672</v>
      </c>
      <c r="B3170" s="4">
        <v>512014.0</v>
      </c>
      <c r="C3170" s="3" t="s">
        <v>13006</v>
      </c>
      <c r="D3170" s="3" t="s">
        <v>13007</v>
      </c>
      <c r="E3170" s="3" t="s">
        <v>13008</v>
      </c>
      <c r="F3170" s="3" t="s">
        <v>19</v>
      </c>
      <c r="G3170" s="3" t="s">
        <v>72</v>
      </c>
      <c r="H3170" s="3">
        <v>10.0</v>
      </c>
      <c r="I3170" s="3" t="s">
        <v>3579</v>
      </c>
      <c r="J3170" s="3" t="s">
        <v>22</v>
      </c>
      <c r="K3170" s="3" t="s">
        <v>1673</v>
      </c>
      <c r="L3170" s="3" t="s">
        <v>1673</v>
      </c>
      <c r="M3170" s="3" t="s">
        <v>1674</v>
      </c>
      <c r="N3170" s="3" t="s">
        <v>1675</v>
      </c>
      <c r="O3170" s="5">
        <v>1.0</v>
      </c>
      <c r="P3170" s="6" t="str">
        <f t="shared" si="2"/>
        <v>Commercial Services &amp; Supplies</v>
      </c>
    </row>
    <row r="3171" hidden="1">
      <c r="A3171" s="3" t="s">
        <v>13009</v>
      </c>
      <c r="B3171" s="4">
        <v>539659.0</v>
      </c>
      <c r="C3171" s="3" t="s">
        <v>13010</v>
      </c>
      <c r="D3171" s="3" t="s">
        <v>13011</v>
      </c>
      <c r="E3171" s="3" t="s">
        <v>13012</v>
      </c>
      <c r="F3171" s="3" t="s">
        <v>19</v>
      </c>
      <c r="G3171" s="3" t="s">
        <v>86</v>
      </c>
      <c r="H3171" s="3">
        <v>10.0</v>
      </c>
      <c r="I3171" s="3" t="s">
        <v>13009</v>
      </c>
      <c r="J3171" s="3" t="s">
        <v>22</v>
      </c>
      <c r="K3171" s="3" t="s">
        <v>58</v>
      </c>
      <c r="L3171" s="3" t="s">
        <v>73</v>
      </c>
      <c r="M3171" s="3" t="s">
        <v>74</v>
      </c>
      <c r="N3171" s="3" t="s">
        <v>1162</v>
      </c>
      <c r="O3171" s="5">
        <v>79.4557367</v>
      </c>
      <c r="P3171" s="6" t="str">
        <f t="shared" si="2"/>
        <v>Leisure Services</v>
      </c>
    </row>
    <row r="3172" hidden="1">
      <c r="A3172" s="3" t="s">
        <v>13013</v>
      </c>
      <c r="B3172" s="4">
        <v>539660.0</v>
      </c>
      <c r="C3172" s="3" t="s">
        <v>13014</v>
      </c>
      <c r="D3172" s="3" t="s">
        <v>13015</v>
      </c>
      <c r="E3172" s="3" t="s">
        <v>13016</v>
      </c>
      <c r="F3172" s="3" t="s">
        <v>19</v>
      </c>
      <c r="G3172" s="3" t="s">
        <v>20</v>
      </c>
      <c r="H3172" s="3">
        <v>10.0</v>
      </c>
      <c r="I3172" s="3" t="s">
        <v>13013</v>
      </c>
      <c r="J3172" s="3" t="s">
        <v>22</v>
      </c>
      <c r="K3172" s="3" t="s">
        <v>23</v>
      </c>
      <c r="L3172" s="3" t="s">
        <v>24</v>
      </c>
      <c r="M3172" s="3" t="s">
        <v>91</v>
      </c>
      <c r="N3172" s="3" t="s">
        <v>252</v>
      </c>
      <c r="O3172" s="5">
        <v>1608.3792</v>
      </c>
      <c r="P3172" s="6" t="str">
        <f t="shared" si="2"/>
        <v>Fertilizers &amp; Agrochemicals</v>
      </c>
    </row>
    <row r="3173" hidden="1">
      <c r="A3173" s="3" t="s">
        <v>13017</v>
      </c>
      <c r="B3173" s="4">
        <v>539661.0</v>
      </c>
      <c r="C3173" s="3" t="s">
        <v>13018</v>
      </c>
      <c r="D3173" s="3" t="s">
        <v>13019</v>
      </c>
      <c r="E3173" s="3" t="s">
        <v>13020</v>
      </c>
      <c r="F3173" s="3" t="s">
        <v>19</v>
      </c>
      <c r="G3173" s="3" t="s">
        <v>44</v>
      </c>
      <c r="H3173" s="3">
        <v>10.0</v>
      </c>
      <c r="I3173" s="3" t="s">
        <v>13017</v>
      </c>
      <c r="J3173" s="3" t="s">
        <v>22</v>
      </c>
      <c r="K3173" s="3" t="s">
        <v>58</v>
      </c>
      <c r="L3173" s="3" t="s">
        <v>73</v>
      </c>
      <c r="M3173" s="3" t="s">
        <v>988</v>
      </c>
      <c r="N3173" s="3" t="s">
        <v>12244</v>
      </c>
      <c r="O3173" s="5">
        <v>1.0</v>
      </c>
      <c r="P3173" s="6" t="str">
        <f t="shared" si="2"/>
        <v>Retailing</v>
      </c>
    </row>
    <row r="3174" hidden="1">
      <c r="A3174" s="3" t="s">
        <v>13021</v>
      </c>
      <c r="B3174" s="4">
        <v>539662.0</v>
      </c>
      <c r="C3174" s="3" t="s">
        <v>13022</v>
      </c>
      <c r="D3174" s="3" t="s">
        <v>13023</v>
      </c>
      <c r="E3174" s="3" t="s">
        <v>13024</v>
      </c>
      <c r="F3174" s="3" t="s">
        <v>19</v>
      </c>
      <c r="G3174" s="3" t="s">
        <v>44</v>
      </c>
      <c r="H3174" s="3">
        <v>10.0</v>
      </c>
      <c r="I3174" s="3" t="s">
        <v>13021</v>
      </c>
      <c r="J3174" s="3" t="s">
        <v>22</v>
      </c>
      <c r="K3174" s="3" t="s">
        <v>204</v>
      </c>
      <c r="L3174" s="3" t="s">
        <v>204</v>
      </c>
      <c r="M3174" s="3" t="s">
        <v>378</v>
      </c>
      <c r="N3174" s="3" t="s">
        <v>379</v>
      </c>
      <c r="O3174" s="5">
        <v>16.3165254</v>
      </c>
      <c r="P3174" s="6" t="str">
        <f t="shared" si="2"/>
        <v>Non Banking Financial Company (NBFC)</v>
      </c>
    </row>
    <row r="3175" hidden="1">
      <c r="A3175" s="3" t="s">
        <v>13025</v>
      </c>
      <c r="B3175" s="4">
        <v>539669.0</v>
      </c>
      <c r="C3175" s="3" t="s">
        <v>13026</v>
      </c>
      <c r="D3175" s="3" t="s">
        <v>13027</v>
      </c>
      <c r="E3175" s="3" t="s">
        <v>13028</v>
      </c>
      <c r="F3175" s="3" t="s">
        <v>19</v>
      </c>
      <c r="G3175" s="3" t="s">
        <v>72</v>
      </c>
      <c r="H3175" s="3">
        <v>1.0</v>
      </c>
      <c r="I3175" s="3" t="s">
        <v>13025</v>
      </c>
      <c r="J3175" s="3" t="s">
        <v>22</v>
      </c>
      <c r="K3175" s="3" t="s">
        <v>204</v>
      </c>
      <c r="L3175" s="3" t="s">
        <v>204</v>
      </c>
      <c r="M3175" s="3" t="s">
        <v>378</v>
      </c>
      <c r="N3175" s="3" t="s">
        <v>379</v>
      </c>
      <c r="O3175" s="5">
        <v>1.0</v>
      </c>
      <c r="P3175" s="6" t="str">
        <f t="shared" si="2"/>
        <v>Non Banking Financial Company (NBFC)</v>
      </c>
    </row>
    <row r="3176" hidden="1">
      <c r="A3176" s="3" t="s">
        <v>13029</v>
      </c>
      <c r="B3176" s="4">
        <v>539673.0</v>
      </c>
      <c r="C3176" s="3" t="s">
        <v>13030</v>
      </c>
      <c r="D3176" s="3" t="s">
        <v>13031</v>
      </c>
      <c r="E3176" s="3" t="s">
        <v>13032</v>
      </c>
      <c r="F3176" s="3" t="s">
        <v>19</v>
      </c>
      <c r="G3176" s="3" t="s">
        <v>57</v>
      </c>
      <c r="H3176" s="3">
        <v>1.0</v>
      </c>
      <c r="I3176" s="3" t="s">
        <v>13029</v>
      </c>
      <c r="J3176" s="3" t="s">
        <v>22</v>
      </c>
      <c r="K3176" s="3" t="s">
        <v>58</v>
      </c>
      <c r="L3176" s="3" t="s">
        <v>73</v>
      </c>
      <c r="M3176" s="3" t="s">
        <v>988</v>
      </c>
      <c r="N3176" s="3" t="s">
        <v>12244</v>
      </c>
      <c r="O3176" s="5">
        <v>1.0</v>
      </c>
      <c r="P3176" s="6" t="str">
        <f t="shared" si="2"/>
        <v>Retailing</v>
      </c>
    </row>
    <row r="3177" hidden="1">
      <c r="A3177" s="3" t="s">
        <v>13033</v>
      </c>
      <c r="B3177" s="4">
        <v>539678.0</v>
      </c>
      <c r="C3177" s="3" t="s">
        <v>13034</v>
      </c>
      <c r="D3177" s="3" t="s">
        <v>13035</v>
      </c>
      <c r="E3177" s="3" t="s">
        <v>13036</v>
      </c>
      <c r="F3177" s="3" t="s">
        <v>19</v>
      </c>
      <c r="G3177" s="3" t="s">
        <v>112</v>
      </c>
      <c r="H3177" s="3">
        <v>10.0</v>
      </c>
      <c r="I3177" s="3" t="s">
        <v>13033</v>
      </c>
      <c r="J3177" s="3" t="s">
        <v>22</v>
      </c>
      <c r="K3177" s="3" t="s">
        <v>473</v>
      </c>
      <c r="L3177" s="3" t="s">
        <v>473</v>
      </c>
      <c r="M3177" s="3" t="s">
        <v>1391</v>
      </c>
      <c r="N3177" s="3" t="s">
        <v>1392</v>
      </c>
      <c r="O3177" s="5">
        <v>2679.0197587</v>
      </c>
      <c r="P3177" s="6" t="str">
        <f t="shared" si="2"/>
        <v>IT - Software</v>
      </c>
    </row>
    <row r="3178" hidden="1">
      <c r="A3178" s="3" t="s">
        <v>13037</v>
      </c>
      <c r="B3178" s="4">
        <v>539679.0</v>
      </c>
      <c r="C3178" s="3" t="s">
        <v>13038</v>
      </c>
      <c r="D3178" s="3" t="s">
        <v>13039</v>
      </c>
      <c r="E3178" s="3" t="s">
        <v>13040</v>
      </c>
      <c r="F3178" s="3" t="s">
        <v>19</v>
      </c>
      <c r="G3178" s="3" t="s">
        <v>72</v>
      </c>
      <c r="H3178" s="3">
        <v>10.0</v>
      </c>
      <c r="I3178" s="3" t="s">
        <v>13037</v>
      </c>
      <c r="J3178" s="3" t="s">
        <v>22</v>
      </c>
      <c r="K3178" s="3" t="s">
        <v>204</v>
      </c>
      <c r="L3178" s="3" t="s">
        <v>204</v>
      </c>
      <c r="M3178" s="3" t="s">
        <v>378</v>
      </c>
      <c r="N3178" s="3" t="s">
        <v>379</v>
      </c>
      <c r="O3178" s="5">
        <v>24.9431823</v>
      </c>
      <c r="P3178" s="6" t="str">
        <f t="shared" si="2"/>
        <v>Non Banking Financial Company (NBFC)</v>
      </c>
    </row>
    <row r="3179" hidden="1">
      <c r="A3179" s="3" t="s">
        <v>13041</v>
      </c>
      <c r="B3179" s="4">
        <v>539680.0</v>
      </c>
      <c r="C3179" s="3" t="s">
        <v>13042</v>
      </c>
      <c r="D3179" s="3" t="s">
        <v>13043</v>
      </c>
      <c r="E3179" s="3" t="s">
        <v>13044</v>
      </c>
      <c r="F3179" s="3" t="s">
        <v>19</v>
      </c>
      <c r="G3179" s="3" t="s">
        <v>2428</v>
      </c>
      <c r="H3179" s="3">
        <v>10.0</v>
      </c>
      <c r="I3179" s="3" t="s">
        <v>13041</v>
      </c>
      <c r="J3179" s="3" t="s">
        <v>22</v>
      </c>
      <c r="K3179" s="3" t="s">
        <v>45</v>
      </c>
      <c r="L3179" s="3" t="s">
        <v>45</v>
      </c>
      <c r="M3179" s="3" t="s">
        <v>46</v>
      </c>
      <c r="N3179" s="3" t="s">
        <v>47</v>
      </c>
      <c r="O3179" s="5">
        <v>1.0</v>
      </c>
      <c r="P3179" s="6" t="str">
        <f t="shared" si="2"/>
        <v>Pharmaceuticals</v>
      </c>
    </row>
    <row r="3180" hidden="1">
      <c r="A3180" s="3" t="s">
        <v>13045</v>
      </c>
      <c r="B3180" s="4">
        <v>539681.0</v>
      </c>
      <c r="C3180" s="3" t="s">
        <v>13046</v>
      </c>
      <c r="D3180" s="3" t="s">
        <v>13047</v>
      </c>
      <c r="E3180" s="3" t="s">
        <v>13048</v>
      </c>
      <c r="F3180" s="3" t="s">
        <v>19</v>
      </c>
      <c r="G3180" s="3" t="s">
        <v>44</v>
      </c>
      <c r="H3180" s="3">
        <v>10.0</v>
      </c>
      <c r="I3180" s="3" t="s">
        <v>13045</v>
      </c>
      <c r="J3180" s="3" t="s">
        <v>22</v>
      </c>
      <c r="K3180" s="3" t="s">
        <v>204</v>
      </c>
      <c r="L3180" s="3" t="s">
        <v>204</v>
      </c>
      <c r="M3180" s="3" t="s">
        <v>378</v>
      </c>
      <c r="N3180" s="3" t="s">
        <v>379</v>
      </c>
      <c r="O3180" s="5">
        <v>23.80251</v>
      </c>
      <c r="P3180" s="6" t="str">
        <f t="shared" si="2"/>
        <v>Non Banking Financial Company (NBFC)</v>
      </c>
    </row>
    <row r="3181" hidden="1">
      <c r="A3181" s="3" t="s">
        <v>13049</v>
      </c>
      <c r="B3181" s="4">
        <v>539682.0</v>
      </c>
      <c r="C3181" s="3" t="s">
        <v>13050</v>
      </c>
      <c r="D3181" s="3" t="s">
        <v>13051</v>
      </c>
      <c r="E3181" s="3" t="s">
        <v>13052</v>
      </c>
      <c r="F3181" s="3" t="s">
        <v>19</v>
      </c>
      <c r="G3181" s="3" t="s">
        <v>86</v>
      </c>
      <c r="H3181" s="3">
        <v>10.0</v>
      </c>
      <c r="I3181" s="3" t="s">
        <v>13049</v>
      </c>
      <c r="J3181" s="3" t="s">
        <v>22</v>
      </c>
      <c r="K3181" s="3" t="s">
        <v>58</v>
      </c>
      <c r="L3181" s="3" t="s">
        <v>73</v>
      </c>
      <c r="M3181" s="3" t="s">
        <v>800</v>
      </c>
      <c r="N3181" s="3" t="s">
        <v>801</v>
      </c>
      <c r="O3181" s="5">
        <v>185.475</v>
      </c>
      <c r="P3181" s="6" t="str">
        <f t="shared" si="2"/>
        <v>Other Consumer Services</v>
      </c>
    </row>
    <row r="3182" hidden="1">
      <c r="A3182" s="3" t="s">
        <v>13053</v>
      </c>
      <c r="B3182" s="4">
        <v>539683.0</v>
      </c>
      <c r="C3182" s="3" t="s">
        <v>13054</v>
      </c>
      <c r="D3182" s="3" t="s">
        <v>13055</v>
      </c>
      <c r="E3182" s="3" t="s">
        <v>13056</v>
      </c>
      <c r="F3182" s="3" t="s">
        <v>19</v>
      </c>
      <c r="G3182" s="3" t="s">
        <v>44</v>
      </c>
      <c r="H3182" s="3">
        <v>10.0</v>
      </c>
      <c r="I3182" s="3" t="s">
        <v>13053</v>
      </c>
      <c r="J3182" s="3" t="s">
        <v>22</v>
      </c>
      <c r="K3182" s="3" t="s">
        <v>204</v>
      </c>
      <c r="L3182" s="3" t="s">
        <v>204</v>
      </c>
      <c r="M3182" s="3" t="s">
        <v>378</v>
      </c>
      <c r="N3182" s="3" t="s">
        <v>379</v>
      </c>
      <c r="O3182" s="5">
        <v>1.0</v>
      </c>
      <c r="P3182" s="6" t="str">
        <f t="shared" si="2"/>
        <v>Non Banking Financial Company (NBFC)</v>
      </c>
    </row>
    <row r="3183" hidden="1">
      <c r="A3183" s="3" t="s">
        <v>13057</v>
      </c>
      <c r="B3183" s="4">
        <v>539686.0</v>
      </c>
      <c r="C3183" s="3" t="s">
        <v>13058</v>
      </c>
      <c r="D3183" s="3" t="s">
        <v>13059</v>
      </c>
      <c r="E3183" s="3" t="s">
        <v>13060</v>
      </c>
      <c r="F3183" s="3" t="s">
        <v>19</v>
      </c>
      <c r="G3183" s="3" t="s">
        <v>112</v>
      </c>
      <c r="H3183" s="3">
        <v>5.0</v>
      </c>
      <c r="I3183" s="3" t="s">
        <v>13057</v>
      </c>
      <c r="J3183" s="3" t="s">
        <v>22</v>
      </c>
      <c r="K3183" s="3" t="s">
        <v>1647</v>
      </c>
      <c r="L3183" s="3" t="s">
        <v>1648</v>
      </c>
      <c r="M3183" s="3" t="s">
        <v>1648</v>
      </c>
      <c r="N3183" s="3" t="s">
        <v>1649</v>
      </c>
      <c r="O3183" s="5">
        <v>1.0</v>
      </c>
      <c r="P3183" s="6" t="str">
        <f t="shared" si="2"/>
        <v>Power</v>
      </c>
    </row>
    <row r="3184" hidden="1">
      <c r="A3184" s="3" t="s">
        <v>13061</v>
      </c>
      <c r="B3184" s="4">
        <v>539692.0</v>
      </c>
      <c r="C3184" s="3" t="s">
        <v>13062</v>
      </c>
      <c r="D3184" s="3" t="s">
        <v>13063</v>
      </c>
      <c r="E3184" s="3" t="s">
        <v>13064</v>
      </c>
      <c r="F3184" s="3" t="s">
        <v>19</v>
      </c>
      <c r="G3184" s="3" t="s">
        <v>44</v>
      </c>
      <c r="H3184" s="3">
        <v>10.0</v>
      </c>
      <c r="I3184" s="3" t="s">
        <v>13061</v>
      </c>
      <c r="J3184" s="3" t="s">
        <v>22</v>
      </c>
      <c r="K3184" s="3" t="s">
        <v>204</v>
      </c>
      <c r="L3184" s="3" t="s">
        <v>204</v>
      </c>
      <c r="M3184" s="3" t="s">
        <v>205</v>
      </c>
      <c r="N3184" s="3" t="s">
        <v>206</v>
      </c>
      <c r="O3184" s="5">
        <v>1.0</v>
      </c>
      <c r="P3184" s="6" t="str">
        <f t="shared" si="2"/>
        <v>Capital Markets</v>
      </c>
    </row>
    <row r="3185" hidden="1">
      <c r="A3185" s="3" t="s">
        <v>13065</v>
      </c>
      <c r="B3185" s="4">
        <v>539697.0</v>
      </c>
      <c r="C3185" s="3" t="s">
        <v>13066</v>
      </c>
      <c r="D3185" s="3" t="s">
        <v>13067</v>
      </c>
      <c r="E3185" s="3" t="s">
        <v>13068</v>
      </c>
      <c r="F3185" s="3" t="s">
        <v>19</v>
      </c>
      <c r="G3185" s="3" t="s">
        <v>72</v>
      </c>
      <c r="H3185" s="3">
        <v>10.0</v>
      </c>
      <c r="I3185" s="3" t="s">
        <v>13065</v>
      </c>
      <c r="J3185" s="3" t="s">
        <v>22</v>
      </c>
      <c r="K3185" s="3" t="s">
        <v>204</v>
      </c>
      <c r="L3185" s="3" t="s">
        <v>204</v>
      </c>
      <c r="M3185" s="3" t="s">
        <v>378</v>
      </c>
      <c r="N3185" s="3" t="s">
        <v>384</v>
      </c>
      <c r="O3185" s="5">
        <v>41.958</v>
      </c>
      <c r="P3185" s="6" t="str">
        <f t="shared" si="2"/>
        <v>Finance</v>
      </c>
    </row>
    <row r="3186" hidden="1">
      <c r="A3186" s="3" t="s">
        <v>13069</v>
      </c>
      <c r="B3186" s="4">
        <v>539725.0</v>
      </c>
      <c r="C3186" s="3" t="s">
        <v>13070</v>
      </c>
      <c r="D3186" s="3" t="s">
        <v>13071</v>
      </c>
      <c r="E3186" s="3" t="s">
        <v>13070</v>
      </c>
      <c r="F3186" s="3" t="s">
        <v>19</v>
      </c>
      <c r="G3186" s="3" t="s">
        <v>112</v>
      </c>
      <c r="H3186" s="3">
        <v>2.0</v>
      </c>
      <c r="I3186" s="3" t="s">
        <v>13069</v>
      </c>
      <c r="J3186" s="3" t="s">
        <v>22</v>
      </c>
      <c r="K3186" s="3" t="s">
        <v>145</v>
      </c>
      <c r="L3186" s="3" t="s">
        <v>145</v>
      </c>
      <c r="M3186" s="3" t="s">
        <v>146</v>
      </c>
      <c r="N3186" s="3" t="s">
        <v>575</v>
      </c>
      <c r="O3186" s="5">
        <v>2450.680245</v>
      </c>
      <c r="P3186" s="6" t="str">
        <f t="shared" si="2"/>
        <v>Agricultural Food &amp; other Products</v>
      </c>
    </row>
    <row r="3187" hidden="1">
      <c r="A3187" s="3" t="s">
        <v>13072</v>
      </c>
      <c r="B3187" s="4">
        <v>539730.0</v>
      </c>
      <c r="C3187" s="3" t="s">
        <v>13073</v>
      </c>
      <c r="D3187" s="3" t="s">
        <v>13074</v>
      </c>
      <c r="E3187" s="3" t="s">
        <v>13075</v>
      </c>
      <c r="F3187" s="3" t="s">
        <v>19</v>
      </c>
      <c r="G3187" s="3" t="s">
        <v>44</v>
      </c>
      <c r="H3187" s="3">
        <v>10.0</v>
      </c>
      <c r="I3187" s="3" t="s">
        <v>13072</v>
      </c>
      <c r="J3187" s="3" t="s">
        <v>22</v>
      </c>
      <c r="K3187" s="3" t="s">
        <v>45</v>
      </c>
      <c r="L3187" s="3" t="s">
        <v>45</v>
      </c>
      <c r="M3187" s="3" t="s">
        <v>46</v>
      </c>
      <c r="N3187" s="3" t="s">
        <v>47</v>
      </c>
      <c r="O3187" s="5">
        <v>414.228924</v>
      </c>
      <c r="P3187" s="6" t="str">
        <f t="shared" si="2"/>
        <v>Pharmaceuticals</v>
      </c>
    </row>
    <row r="3188" hidden="1">
      <c r="A3188" s="3" t="s">
        <v>13076</v>
      </c>
      <c r="B3188" s="4">
        <v>539742.0</v>
      </c>
      <c r="C3188" s="3" t="s">
        <v>13077</v>
      </c>
      <c r="D3188" s="3" t="s">
        <v>13078</v>
      </c>
      <c r="E3188" s="3" t="s">
        <v>13077</v>
      </c>
      <c r="F3188" s="3" t="s">
        <v>19</v>
      </c>
      <c r="G3188" s="3" t="s">
        <v>86</v>
      </c>
      <c r="H3188" s="3">
        <v>10.0</v>
      </c>
      <c r="I3188" s="3" t="s">
        <v>13076</v>
      </c>
      <c r="J3188" s="3" t="s">
        <v>22</v>
      </c>
      <c r="K3188" s="3" t="s">
        <v>145</v>
      </c>
      <c r="L3188" s="3" t="s">
        <v>145</v>
      </c>
      <c r="M3188" s="3" t="s">
        <v>146</v>
      </c>
      <c r="N3188" s="3" t="s">
        <v>147</v>
      </c>
      <c r="O3188" s="5">
        <v>140.8117773</v>
      </c>
      <c r="P3188" s="6" t="str">
        <f t="shared" si="2"/>
        <v>Agricultural Food &amp; other Products</v>
      </c>
    </row>
    <row r="3189" hidden="1">
      <c r="A3189" s="3" t="s">
        <v>13079</v>
      </c>
      <c r="B3189" s="4">
        <v>539760.0</v>
      </c>
      <c r="C3189" s="3" t="s">
        <v>13080</v>
      </c>
      <c r="D3189" s="3" t="s">
        <v>13081</v>
      </c>
      <c r="E3189" s="3" t="s">
        <v>13082</v>
      </c>
      <c r="F3189" s="3" t="s">
        <v>19</v>
      </c>
      <c r="G3189" s="3" t="s">
        <v>86</v>
      </c>
      <c r="H3189" s="3">
        <v>10.0</v>
      </c>
      <c r="I3189" s="3" t="s">
        <v>13079</v>
      </c>
      <c r="J3189" s="3" t="s">
        <v>22</v>
      </c>
      <c r="K3189" s="3" t="s">
        <v>97</v>
      </c>
      <c r="L3189" s="3" t="s">
        <v>98</v>
      </c>
      <c r="M3189" s="3" t="s">
        <v>1747</v>
      </c>
      <c r="N3189" s="3" t="s">
        <v>1748</v>
      </c>
      <c r="O3189" s="5">
        <v>1.0</v>
      </c>
      <c r="P3189" s="6" t="str">
        <f t="shared" si="2"/>
        <v>Electrical Equipment</v>
      </c>
    </row>
    <row r="3190" hidden="1">
      <c r="A3190" s="3" t="s">
        <v>13083</v>
      </c>
      <c r="B3190" s="4">
        <v>539761.0</v>
      </c>
      <c r="C3190" s="3" t="s">
        <v>13084</v>
      </c>
      <c r="D3190" s="3" t="s">
        <v>13085</v>
      </c>
      <c r="E3190" s="3" t="s">
        <v>13086</v>
      </c>
      <c r="F3190" s="3" t="s">
        <v>19</v>
      </c>
      <c r="G3190" s="3" t="s">
        <v>72</v>
      </c>
      <c r="H3190" s="3">
        <v>10.0</v>
      </c>
      <c r="I3190" s="3" t="s">
        <v>13083</v>
      </c>
      <c r="J3190" s="3" t="s">
        <v>22</v>
      </c>
      <c r="K3190" s="3" t="s">
        <v>58</v>
      </c>
      <c r="L3190" s="3" t="s">
        <v>73</v>
      </c>
      <c r="M3190" s="3" t="s">
        <v>800</v>
      </c>
      <c r="N3190" s="3" t="s">
        <v>801</v>
      </c>
      <c r="O3190" s="5">
        <v>436.4352441</v>
      </c>
      <c r="P3190" s="6" t="str">
        <f t="shared" si="2"/>
        <v>Other Consumer Services</v>
      </c>
    </row>
    <row r="3191" hidden="1">
      <c r="A3191" s="3" t="s">
        <v>13087</v>
      </c>
      <c r="B3191" s="4">
        <v>539762.0</v>
      </c>
      <c r="C3191" s="3" t="s">
        <v>13088</v>
      </c>
      <c r="D3191" s="3" t="s">
        <v>13089</v>
      </c>
      <c r="E3191" s="3" t="s">
        <v>13090</v>
      </c>
      <c r="F3191" s="3" t="s">
        <v>19</v>
      </c>
      <c r="G3191" s="3" t="s">
        <v>72</v>
      </c>
      <c r="H3191" s="3">
        <v>10.0</v>
      </c>
      <c r="I3191" s="3" t="s">
        <v>13087</v>
      </c>
      <c r="J3191" s="3" t="s">
        <v>22</v>
      </c>
      <c r="K3191" s="3" t="s">
        <v>97</v>
      </c>
      <c r="L3191" s="3" t="s">
        <v>965</v>
      </c>
      <c r="M3191" s="3" t="s">
        <v>965</v>
      </c>
      <c r="N3191" s="3" t="s">
        <v>966</v>
      </c>
      <c r="O3191" s="5">
        <v>1.0</v>
      </c>
      <c r="P3191" s="6" t="str">
        <f t="shared" si="2"/>
        <v>Civil Construction</v>
      </c>
    </row>
    <row r="3192" hidden="1">
      <c r="A3192" s="3" t="s">
        <v>13091</v>
      </c>
      <c r="B3192" s="4">
        <v>539767.0</v>
      </c>
      <c r="C3192" s="3" t="s">
        <v>13092</v>
      </c>
      <c r="D3192" s="3" t="s">
        <v>13093</v>
      </c>
      <c r="E3192" s="3" t="s">
        <v>13094</v>
      </c>
      <c r="F3192" s="3" t="s">
        <v>19</v>
      </c>
      <c r="G3192" s="3" t="s">
        <v>44</v>
      </c>
      <c r="H3192" s="3">
        <v>10.0</v>
      </c>
      <c r="I3192" s="3" t="s">
        <v>13091</v>
      </c>
      <c r="J3192" s="3" t="s">
        <v>22</v>
      </c>
      <c r="K3192" s="3" t="s">
        <v>58</v>
      </c>
      <c r="L3192" s="3" t="s">
        <v>59</v>
      </c>
      <c r="M3192" s="3" t="s">
        <v>59</v>
      </c>
      <c r="N3192" s="3" t="s">
        <v>60</v>
      </c>
      <c r="O3192" s="5">
        <v>5.5885935</v>
      </c>
      <c r="P3192" s="6" t="str">
        <f t="shared" si="2"/>
        <v>Residential, Commercial Projects</v>
      </c>
    </row>
    <row r="3193" hidden="1">
      <c r="A3193" s="3" t="s">
        <v>13095</v>
      </c>
      <c r="B3193" s="4">
        <v>539770.0</v>
      </c>
      <c r="C3193" s="3" t="s">
        <v>13096</v>
      </c>
      <c r="D3193" s="3" t="s">
        <v>13097</v>
      </c>
      <c r="E3193" s="3" t="s">
        <v>13098</v>
      </c>
      <c r="F3193" s="3" t="s">
        <v>19</v>
      </c>
      <c r="G3193" s="3" t="s">
        <v>44</v>
      </c>
      <c r="H3193" s="3">
        <v>10.0</v>
      </c>
      <c r="I3193" s="3" t="s">
        <v>13095</v>
      </c>
      <c r="J3193" s="3" t="s">
        <v>22</v>
      </c>
      <c r="K3193" s="3" t="s">
        <v>204</v>
      </c>
      <c r="L3193" s="3" t="s">
        <v>204</v>
      </c>
      <c r="M3193" s="3" t="s">
        <v>378</v>
      </c>
      <c r="N3193" s="3" t="s">
        <v>468</v>
      </c>
      <c r="O3193" s="5">
        <v>1.0</v>
      </c>
      <c r="P3193" s="6" t="str">
        <f t="shared" si="2"/>
        <v>Finance</v>
      </c>
    </row>
    <row r="3194" hidden="1">
      <c r="A3194" s="3" t="s">
        <v>13099</v>
      </c>
      <c r="B3194" s="4">
        <v>539773.0</v>
      </c>
      <c r="C3194" s="3" t="s">
        <v>13100</v>
      </c>
      <c r="D3194" s="3" t="s">
        <v>13101</v>
      </c>
      <c r="E3194" s="3" t="s">
        <v>13102</v>
      </c>
      <c r="F3194" s="3" t="s">
        <v>19</v>
      </c>
      <c r="G3194" s="3" t="s">
        <v>72</v>
      </c>
      <c r="H3194" s="3">
        <v>1.0</v>
      </c>
      <c r="I3194" s="3" t="s">
        <v>13099</v>
      </c>
      <c r="J3194" s="3" t="s">
        <v>22</v>
      </c>
      <c r="K3194" s="3" t="s">
        <v>204</v>
      </c>
      <c r="L3194" s="3" t="s">
        <v>204</v>
      </c>
      <c r="M3194" s="3" t="s">
        <v>378</v>
      </c>
      <c r="N3194" s="3" t="s">
        <v>379</v>
      </c>
      <c r="O3194" s="5">
        <v>114.307058</v>
      </c>
      <c r="P3194" s="6" t="str">
        <f t="shared" si="2"/>
        <v>Non Banking Financial Company (NBFC)</v>
      </c>
    </row>
    <row r="3195" hidden="1">
      <c r="A3195" s="3" t="s">
        <v>13103</v>
      </c>
      <c r="B3195" s="4">
        <v>539785.0</v>
      </c>
      <c r="C3195" s="3" t="s">
        <v>13104</v>
      </c>
      <c r="D3195" s="3" t="s">
        <v>13105</v>
      </c>
      <c r="E3195" s="3" t="s">
        <v>13106</v>
      </c>
      <c r="F3195" s="3" t="s">
        <v>19</v>
      </c>
      <c r="G3195" s="3" t="s">
        <v>112</v>
      </c>
      <c r="H3195" s="3">
        <v>1.0</v>
      </c>
      <c r="I3195" s="3" t="s">
        <v>13103</v>
      </c>
      <c r="J3195" s="3" t="s">
        <v>22</v>
      </c>
      <c r="K3195" s="3" t="s">
        <v>23</v>
      </c>
      <c r="L3195" s="3" t="s">
        <v>32</v>
      </c>
      <c r="M3195" s="3" t="s">
        <v>33</v>
      </c>
      <c r="N3195" s="3" t="s">
        <v>34</v>
      </c>
      <c r="O3195" s="5">
        <v>1204.0350506</v>
      </c>
      <c r="P3195" s="6" t="str">
        <f t="shared" si="2"/>
        <v>Paper, Forest &amp; Jute Products</v>
      </c>
    </row>
    <row r="3196">
      <c r="A3196" s="3" t="s">
        <v>11502</v>
      </c>
      <c r="B3196" s="4">
        <v>500185.0</v>
      </c>
      <c r="C3196" s="3" t="s">
        <v>13107</v>
      </c>
      <c r="D3196" s="3" t="s">
        <v>13108</v>
      </c>
      <c r="E3196" s="3" t="s">
        <v>13109</v>
      </c>
      <c r="F3196" s="3" t="s">
        <v>19</v>
      </c>
      <c r="G3196" s="3" t="s">
        <v>20</v>
      </c>
      <c r="H3196" s="3">
        <v>1.0</v>
      </c>
      <c r="I3196" s="3" t="s">
        <v>495</v>
      </c>
      <c r="J3196" s="3" t="s">
        <v>22</v>
      </c>
      <c r="K3196" s="3" t="s">
        <v>97</v>
      </c>
      <c r="L3196" s="3" t="s">
        <v>965</v>
      </c>
      <c r="M3196" s="3" t="s">
        <v>965</v>
      </c>
      <c r="N3196" s="3" t="s">
        <v>966</v>
      </c>
      <c r="O3196" s="5">
        <v>7932.513588</v>
      </c>
      <c r="P3196" s="6" t="str">
        <f t="shared" si="2"/>
        <v>Civil Construction</v>
      </c>
    </row>
    <row r="3197" hidden="1">
      <c r="A3197" s="3" t="s">
        <v>13110</v>
      </c>
      <c r="B3197" s="4">
        <v>539788.0</v>
      </c>
      <c r="C3197" s="3" t="s">
        <v>13111</v>
      </c>
      <c r="D3197" s="3" t="s">
        <v>13112</v>
      </c>
      <c r="E3197" s="3" t="s">
        <v>13113</v>
      </c>
      <c r="F3197" s="3" t="s">
        <v>19</v>
      </c>
      <c r="G3197" s="3" t="s">
        <v>6293</v>
      </c>
      <c r="H3197" s="3">
        <v>5.0</v>
      </c>
      <c r="I3197" s="3" t="s">
        <v>13110</v>
      </c>
      <c r="J3197" s="3" t="s">
        <v>22</v>
      </c>
      <c r="K3197" s="3" t="s">
        <v>58</v>
      </c>
      <c r="L3197" s="3" t="s">
        <v>73</v>
      </c>
      <c r="M3197" s="3" t="s">
        <v>988</v>
      </c>
      <c r="N3197" s="3" t="s">
        <v>12244</v>
      </c>
      <c r="O3197" s="5">
        <v>185.6299</v>
      </c>
      <c r="P3197" s="6" t="str">
        <f t="shared" si="2"/>
        <v>Retailing</v>
      </c>
    </row>
    <row r="3198" hidden="1">
      <c r="A3198" s="3" t="s">
        <v>13114</v>
      </c>
      <c r="B3198" s="4">
        <v>539798.0</v>
      </c>
      <c r="C3198" s="3" t="s">
        <v>13115</v>
      </c>
      <c r="D3198" s="3" t="s">
        <v>13116</v>
      </c>
      <c r="E3198" s="3" t="s">
        <v>13117</v>
      </c>
      <c r="F3198" s="3" t="s">
        <v>19</v>
      </c>
      <c r="G3198" s="3" t="s">
        <v>44</v>
      </c>
      <c r="H3198" s="3">
        <v>10.0</v>
      </c>
      <c r="I3198" s="3" t="s">
        <v>13114</v>
      </c>
      <c r="J3198" s="3" t="s">
        <v>22</v>
      </c>
      <c r="K3198" s="3" t="s">
        <v>97</v>
      </c>
      <c r="L3198" s="3" t="s">
        <v>98</v>
      </c>
      <c r="M3198" s="3" t="s">
        <v>100</v>
      </c>
      <c r="N3198" s="3" t="s">
        <v>612</v>
      </c>
      <c r="O3198" s="5">
        <v>6.8078135</v>
      </c>
      <c r="P3198" s="6" t="str">
        <f t="shared" si="2"/>
        <v>Industrial Products</v>
      </c>
    </row>
    <row r="3199" hidden="1">
      <c r="A3199" s="3" t="s">
        <v>13118</v>
      </c>
      <c r="B3199" s="4">
        <v>539799.0</v>
      </c>
      <c r="C3199" s="3" t="s">
        <v>13119</v>
      </c>
      <c r="D3199" s="3" t="s">
        <v>13120</v>
      </c>
      <c r="E3199" s="3" t="s">
        <v>13121</v>
      </c>
      <c r="F3199" s="3" t="s">
        <v>19</v>
      </c>
      <c r="G3199" s="3" t="s">
        <v>112</v>
      </c>
      <c r="H3199" s="3">
        <v>10.0</v>
      </c>
      <c r="I3199" s="3" t="s">
        <v>13118</v>
      </c>
      <c r="J3199" s="3" t="s">
        <v>22</v>
      </c>
      <c r="K3199" s="3" t="s">
        <v>97</v>
      </c>
      <c r="L3199" s="3" t="s">
        <v>98</v>
      </c>
      <c r="M3199" s="3" t="s">
        <v>100</v>
      </c>
      <c r="N3199" s="3" t="s">
        <v>612</v>
      </c>
      <c r="O3199" s="5">
        <v>1793.0754109</v>
      </c>
      <c r="P3199" s="6" t="str">
        <f t="shared" si="2"/>
        <v>Industrial Products</v>
      </c>
    </row>
    <row r="3200" hidden="1">
      <c r="A3200" s="3" t="s">
        <v>13122</v>
      </c>
      <c r="B3200" s="4">
        <v>539800.0</v>
      </c>
      <c r="C3200" s="3" t="s">
        <v>13123</v>
      </c>
      <c r="D3200" s="3" t="s">
        <v>13124</v>
      </c>
      <c r="E3200" s="3" t="s">
        <v>13125</v>
      </c>
      <c r="F3200" s="3" t="s">
        <v>19</v>
      </c>
      <c r="G3200" s="3" t="s">
        <v>112</v>
      </c>
      <c r="H3200" s="3">
        <v>10.0</v>
      </c>
      <c r="I3200" s="3" t="s">
        <v>13122</v>
      </c>
      <c r="J3200" s="3" t="s">
        <v>22</v>
      </c>
      <c r="K3200" s="3" t="s">
        <v>23</v>
      </c>
      <c r="L3200" s="3" t="s">
        <v>24</v>
      </c>
      <c r="M3200" s="3" t="s">
        <v>25</v>
      </c>
      <c r="N3200" s="3" t="s">
        <v>1036</v>
      </c>
      <c r="O3200" s="5">
        <v>7.1756401</v>
      </c>
      <c r="P3200" s="6" t="str">
        <f t="shared" si="2"/>
        <v>Chemicals &amp; Petrochemicals</v>
      </c>
    </row>
    <row r="3201">
      <c r="A3201" s="3" t="s">
        <v>10111</v>
      </c>
      <c r="B3201" s="4">
        <v>500191.0</v>
      </c>
      <c r="C3201" s="3" t="s">
        <v>13126</v>
      </c>
      <c r="D3201" s="3" t="s">
        <v>13127</v>
      </c>
      <c r="E3201" s="3" t="s">
        <v>13128</v>
      </c>
      <c r="F3201" s="3" t="s">
        <v>19</v>
      </c>
      <c r="G3201" s="3" t="s">
        <v>57</v>
      </c>
      <c r="H3201" s="3">
        <v>10.0</v>
      </c>
      <c r="I3201" s="3" t="s">
        <v>517</v>
      </c>
      <c r="J3201" s="3" t="s">
        <v>22</v>
      </c>
      <c r="K3201" s="3" t="s">
        <v>97</v>
      </c>
      <c r="L3201" s="3" t="s">
        <v>98</v>
      </c>
      <c r="M3201" s="3" t="s">
        <v>99</v>
      </c>
      <c r="N3201" s="3" t="s">
        <v>100</v>
      </c>
      <c r="O3201" s="5">
        <v>7699.2220338</v>
      </c>
      <c r="P3201" s="6" t="str">
        <f t="shared" si="2"/>
        <v>Industrial Products</v>
      </c>
    </row>
    <row r="3202" hidden="1">
      <c r="A3202" s="3" t="s">
        <v>5275</v>
      </c>
      <c r="B3202" s="4">
        <v>512025.0</v>
      </c>
      <c r="C3202" s="3" t="s">
        <v>13129</v>
      </c>
      <c r="D3202" s="3" t="s">
        <v>13130</v>
      </c>
      <c r="E3202" s="3" t="s">
        <v>13131</v>
      </c>
      <c r="F3202" s="3" t="s">
        <v>19</v>
      </c>
      <c r="G3202" s="3" t="s">
        <v>72</v>
      </c>
      <c r="H3202" s="3">
        <v>10.0</v>
      </c>
      <c r="I3202" s="3" t="s">
        <v>3596</v>
      </c>
      <c r="J3202" s="3" t="s">
        <v>22</v>
      </c>
      <c r="K3202" s="3" t="s">
        <v>1673</v>
      </c>
      <c r="L3202" s="3" t="s">
        <v>1673</v>
      </c>
      <c r="M3202" s="3" t="s">
        <v>1674</v>
      </c>
      <c r="N3202" s="3" t="s">
        <v>1675</v>
      </c>
      <c r="O3202" s="5">
        <v>1.0</v>
      </c>
      <c r="P3202" s="6" t="str">
        <f t="shared" si="2"/>
        <v>Commercial Services &amp; Supplies</v>
      </c>
    </row>
    <row r="3203" hidden="1">
      <c r="A3203" s="3" t="s">
        <v>13132</v>
      </c>
      <c r="B3203" s="4">
        <v>539819.0</v>
      </c>
      <c r="C3203" s="3" t="s">
        <v>13133</v>
      </c>
      <c r="D3203" s="3" t="s">
        <v>13134</v>
      </c>
      <c r="E3203" s="3" t="s">
        <v>13135</v>
      </c>
      <c r="F3203" s="3" t="s">
        <v>19</v>
      </c>
      <c r="G3203" s="3" t="s">
        <v>44</v>
      </c>
      <c r="H3203" s="3">
        <v>10.0</v>
      </c>
      <c r="I3203" s="3" t="s">
        <v>13132</v>
      </c>
      <c r="J3203" s="3" t="s">
        <v>22</v>
      </c>
      <c r="K3203" s="3" t="s">
        <v>204</v>
      </c>
      <c r="L3203" s="3" t="s">
        <v>204</v>
      </c>
      <c r="M3203" s="3" t="s">
        <v>378</v>
      </c>
      <c r="N3203" s="3" t="s">
        <v>468</v>
      </c>
      <c r="O3203" s="5">
        <v>1.0</v>
      </c>
      <c r="P3203" s="6" t="str">
        <f t="shared" si="2"/>
        <v>Finance</v>
      </c>
    </row>
    <row r="3204" hidden="1">
      <c r="A3204" s="3" t="s">
        <v>5429</v>
      </c>
      <c r="B3204" s="4">
        <v>512026.0</v>
      </c>
      <c r="C3204" s="3" t="s">
        <v>13136</v>
      </c>
      <c r="D3204" s="3" t="s">
        <v>13137</v>
      </c>
      <c r="E3204" s="3" t="s">
        <v>13138</v>
      </c>
      <c r="F3204" s="3" t="s">
        <v>19</v>
      </c>
      <c r="G3204" s="3" t="s">
        <v>57</v>
      </c>
      <c r="H3204" s="3">
        <v>10.0</v>
      </c>
      <c r="I3204" s="3" t="s">
        <v>3600</v>
      </c>
      <c r="J3204" s="3" t="s">
        <v>22</v>
      </c>
      <c r="K3204" s="3" t="s">
        <v>1673</v>
      </c>
      <c r="L3204" s="3" t="s">
        <v>1673</v>
      </c>
      <c r="M3204" s="3" t="s">
        <v>1674</v>
      </c>
      <c r="N3204" s="3" t="s">
        <v>1915</v>
      </c>
      <c r="O3204" s="5">
        <v>1.0</v>
      </c>
      <c r="P3204" s="6" t="str">
        <f t="shared" si="2"/>
        <v>Commercial Services &amp; Supplies</v>
      </c>
    </row>
    <row r="3205" hidden="1">
      <c r="A3205" s="3" t="s">
        <v>13139</v>
      </c>
      <c r="B3205" s="4">
        <v>539835.0</v>
      </c>
      <c r="C3205" s="3" t="s">
        <v>13140</v>
      </c>
      <c r="D3205" s="3" t="s">
        <v>13141</v>
      </c>
      <c r="E3205" s="3" t="s">
        <v>13142</v>
      </c>
      <c r="F3205" s="3" t="s">
        <v>19</v>
      </c>
      <c r="G3205" s="3" t="s">
        <v>44</v>
      </c>
      <c r="H3205" s="3">
        <v>1.0</v>
      </c>
      <c r="I3205" s="3" t="s">
        <v>13139</v>
      </c>
      <c r="J3205" s="3" t="s">
        <v>22</v>
      </c>
      <c r="K3205" s="3" t="s">
        <v>204</v>
      </c>
      <c r="L3205" s="3" t="s">
        <v>204</v>
      </c>
      <c r="M3205" s="3" t="s">
        <v>378</v>
      </c>
      <c r="N3205" s="3" t="s">
        <v>379</v>
      </c>
      <c r="O3205" s="5">
        <v>5.1580364</v>
      </c>
      <c r="P3205" s="6" t="str">
        <f t="shared" si="2"/>
        <v>Non Banking Financial Company (NBFC)</v>
      </c>
    </row>
    <row r="3206" hidden="1">
      <c r="A3206" s="3" t="s">
        <v>13143</v>
      </c>
      <c r="B3206" s="4">
        <v>539837.0</v>
      </c>
      <c r="C3206" s="3" t="s">
        <v>13144</v>
      </c>
      <c r="D3206" s="3" t="s">
        <v>13145</v>
      </c>
      <c r="E3206" s="3" t="s">
        <v>13146</v>
      </c>
      <c r="F3206" s="3" t="s">
        <v>19</v>
      </c>
      <c r="G3206" s="3" t="s">
        <v>112</v>
      </c>
      <c r="H3206" s="3">
        <v>10.0</v>
      </c>
      <c r="I3206" s="3" t="s">
        <v>13143</v>
      </c>
      <c r="J3206" s="3" t="s">
        <v>22</v>
      </c>
      <c r="K3206" s="3" t="s">
        <v>97</v>
      </c>
      <c r="L3206" s="3" t="s">
        <v>98</v>
      </c>
      <c r="M3206" s="3" t="s">
        <v>100</v>
      </c>
      <c r="N3206" s="3" t="s">
        <v>1500</v>
      </c>
      <c r="O3206" s="5">
        <v>1754.38142</v>
      </c>
      <c r="P3206" s="6" t="str">
        <f t="shared" si="2"/>
        <v>Industrial Products</v>
      </c>
    </row>
    <row r="3207" hidden="1">
      <c r="A3207" s="3" t="s">
        <v>13147</v>
      </c>
      <c r="B3207" s="4">
        <v>539839.0</v>
      </c>
      <c r="C3207" s="3" t="s">
        <v>13148</v>
      </c>
      <c r="D3207" s="3" t="s">
        <v>13149</v>
      </c>
      <c r="E3207" s="3" t="s">
        <v>13150</v>
      </c>
      <c r="F3207" s="3" t="s">
        <v>19</v>
      </c>
      <c r="G3207" s="3" t="s">
        <v>2428</v>
      </c>
      <c r="H3207" s="3">
        <v>10.0</v>
      </c>
      <c r="I3207" s="3" t="s">
        <v>13147</v>
      </c>
      <c r="J3207" s="3" t="s">
        <v>22</v>
      </c>
      <c r="K3207" s="3" t="s">
        <v>204</v>
      </c>
      <c r="L3207" s="3" t="s">
        <v>204</v>
      </c>
      <c r="M3207" s="3" t="s">
        <v>378</v>
      </c>
      <c r="N3207" s="3" t="s">
        <v>379</v>
      </c>
      <c r="O3207" s="5">
        <v>24.2467024</v>
      </c>
      <c r="P3207" s="6" t="str">
        <f t="shared" si="2"/>
        <v>Non Banking Financial Company (NBFC)</v>
      </c>
    </row>
    <row r="3208" hidden="1">
      <c r="A3208" s="3" t="s">
        <v>2924</v>
      </c>
      <c r="B3208" s="4">
        <v>512060.0</v>
      </c>
      <c r="C3208" s="3" t="s">
        <v>13151</v>
      </c>
      <c r="D3208" s="3" t="s">
        <v>13152</v>
      </c>
      <c r="E3208" s="3" t="s">
        <v>13153</v>
      </c>
      <c r="F3208" s="3" t="s">
        <v>19</v>
      </c>
      <c r="G3208" s="3" t="s">
        <v>1858</v>
      </c>
      <c r="H3208" s="3">
        <v>10.0</v>
      </c>
      <c r="I3208" s="3" t="s">
        <v>3619</v>
      </c>
      <c r="J3208" s="3" t="s">
        <v>22</v>
      </c>
      <c r="K3208" s="3" t="s">
        <v>1673</v>
      </c>
      <c r="L3208" s="3" t="s">
        <v>1673</v>
      </c>
      <c r="M3208" s="3" t="s">
        <v>1674</v>
      </c>
      <c r="N3208" s="3" t="s">
        <v>1675</v>
      </c>
      <c r="O3208" s="5">
        <v>1.0</v>
      </c>
      <c r="P3208" s="6" t="str">
        <f t="shared" si="2"/>
        <v>Commercial Services &amp; Supplies</v>
      </c>
    </row>
    <row r="3209" hidden="1">
      <c r="A3209" s="3" t="s">
        <v>13154</v>
      </c>
      <c r="B3209" s="4">
        <v>539843.0</v>
      </c>
      <c r="C3209" s="3" t="s">
        <v>13155</v>
      </c>
      <c r="D3209" s="3" t="s">
        <v>13156</v>
      </c>
      <c r="E3209" s="3" t="s">
        <v>13157</v>
      </c>
      <c r="F3209" s="3" t="s">
        <v>19</v>
      </c>
      <c r="G3209" s="3" t="s">
        <v>112</v>
      </c>
      <c r="H3209" s="3">
        <v>10.0</v>
      </c>
      <c r="I3209" s="3" t="s">
        <v>13154</v>
      </c>
      <c r="J3209" s="3" t="s">
        <v>22</v>
      </c>
      <c r="K3209" s="3" t="s">
        <v>473</v>
      </c>
      <c r="L3209" s="3" t="s">
        <v>473</v>
      </c>
      <c r="M3209" s="3" t="s">
        <v>1391</v>
      </c>
      <c r="N3209" s="3" t="s">
        <v>1840</v>
      </c>
      <c r="O3209" s="5">
        <v>901.326938</v>
      </c>
      <c r="P3209" s="6" t="str">
        <f t="shared" si="2"/>
        <v>Computers - Software &amp; Consulting</v>
      </c>
    </row>
    <row r="3210" hidden="1">
      <c r="A3210" s="3" t="s">
        <v>13158</v>
      </c>
      <c r="B3210" s="4">
        <v>539854.0</v>
      </c>
      <c r="C3210" s="3" t="s">
        <v>13159</v>
      </c>
      <c r="D3210" s="3" t="s">
        <v>13160</v>
      </c>
      <c r="E3210" s="3" t="s">
        <v>13161</v>
      </c>
      <c r="F3210" s="3" t="s">
        <v>19</v>
      </c>
      <c r="G3210" s="3" t="s">
        <v>72</v>
      </c>
      <c r="H3210" s="3">
        <v>10.0</v>
      </c>
      <c r="I3210" s="3" t="s">
        <v>13158</v>
      </c>
      <c r="J3210" s="3" t="s">
        <v>22</v>
      </c>
      <c r="K3210" s="3" t="s">
        <v>145</v>
      </c>
      <c r="L3210" s="3" t="s">
        <v>145</v>
      </c>
      <c r="M3210" s="3" t="s">
        <v>146</v>
      </c>
      <c r="N3210" s="3" t="s">
        <v>2645</v>
      </c>
      <c r="O3210" s="5">
        <v>229.0052667</v>
      </c>
      <c r="P3210" s="6" t="str">
        <f t="shared" si="2"/>
        <v>Agricultural Food &amp; other Products</v>
      </c>
    </row>
    <row r="3211" hidden="1">
      <c r="A3211" s="3" t="s">
        <v>13162</v>
      </c>
      <c r="B3211" s="4">
        <v>539871.0</v>
      </c>
      <c r="C3211" s="3" t="s">
        <v>13163</v>
      </c>
      <c r="D3211" s="3" t="s">
        <v>13164</v>
      </c>
      <c r="E3211" s="3" t="s">
        <v>13165</v>
      </c>
      <c r="F3211" s="3" t="s">
        <v>19</v>
      </c>
      <c r="G3211" s="3" t="s">
        <v>112</v>
      </c>
      <c r="H3211" s="3">
        <v>10.0</v>
      </c>
      <c r="I3211" s="3" t="s">
        <v>13162</v>
      </c>
      <c r="J3211" s="3" t="s">
        <v>22</v>
      </c>
      <c r="K3211" s="3" t="s">
        <v>45</v>
      </c>
      <c r="L3211" s="3" t="s">
        <v>45</v>
      </c>
      <c r="M3211" s="3" t="s">
        <v>4488</v>
      </c>
      <c r="N3211" s="3" t="s">
        <v>4489</v>
      </c>
      <c r="O3211" s="5">
        <v>3332.9053682</v>
      </c>
      <c r="P3211" s="6" t="str">
        <f t="shared" si="2"/>
        <v>Healthcare Services</v>
      </c>
    </row>
    <row r="3212" hidden="1">
      <c r="A3212" s="3" t="s">
        <v>13166</v>
      </c>
      <c r="B3212" s="4">
        <v>539872.0</v>
      </c>
      <c r="C3212" s="3" t="s">
        <v>13167</v>
      </c>
      <c r="D3212" s="3" t="s">
        <v>13168</v>
      </c>
      <c r="E3212" s="3" t="s">
        <v>13169</v>
      </c>
      <c r="F3212" s="3" t="s">
        <v>19</v>
      </c>
      <c r="G3212" s="3" t="s">
        <v>112</v>
      </c>
      <c r="H3212" s="3">
        <v>5.0</v>
      </c>
      <c r="I3212" s="3" t="s">
        <v>13166</v>
      </c>
      <c r="J3212" s="3" t="s">
        <v>22</v>
      </c>
      <c r="K3212" s="3" t="s">
        <v>45</v>
      </c>
      <c r="L3212" s="3" t="s">
        <v>45</v>
      </c>
      <c r="M3212" s="3" t="s">
        <v>46</v>
      </c>
      <c r="N3212" s="3" t="s">
        <v>47</v>
      </c>
      <c r="O3212" s="5">
        <v>918.2155643</v>
      </c>
      <c r="P3212" s="6" t="str">
        <f t="shared" si="2"/>
        <v>Pharmaceuticals</v>
      </c>
    </row>
    <row r="3213" hidden="1">
      <c r="A3213" s="3" t="s">
        <v>13170</v>
      </c>
      <c r="B3213" s="4">
        <v>539875.0</v>
      </c>
      <c r="C3213" s="3" t="s">
        <v>13171</v>
      </c>
      <c r="D3213" s="3" t="s">
        <v>13172</v>
      </c>
      <c r="E3213" s="3" t="s">
        <v>13173</v>
      </c>
      <c r="F3213" s="3" t="s">
        <v>19</v>
      </c>
      <c r="G3213" s="3" t="s">
        <v>44</v>
      </c>
      <c r="H3213" s="3">
        <v>5.0</v>
      </c>
      <c r="I3213" s="3" t="s">
        <v>13170</v>
      </c>
      <c r="J3213" s="3" t="s">
        <v>22</v>
      </c>
      <c r="K3213" s="3" t="s">
        <v>204</v>
      </c>
      <c r="L3213" s="3" t="s">
        <v>204</v>
      </c>
      <c r="M3213" s="3" t="s">
        <v>378</v>
      </c>
      <c r="N3213" s="3" t="s">
        <v>379</v>
      </c>
      <c r="O3213" s="5">
        <v>137.2197983</v>
      </c>
      <c r="P3213" s="6" t="str">
        <f t="shared" si="2"/>
        <v>Non Banking Financial Company (NBFC)</v>
      </c>
    </row>
    <row r="3214">
      <c r="A3214" s="3" t="s">
        <v>2537</v>
      </c>
      <c r="B3214" s="4">
        <v>500210.0</v>
      </c>
      <c r="C3214" s="3" t="s">
        <v>13174</v>
      </c>
      <c r="D3214" s="3" t="s">
        <v>13175</v>
      </c>
      <c r="E3214" s="3" t="s">
        <v>13176</v>
      </c>
      <c r="F3214" s="3" t="s">
        <v>19</v>
      </c>
      <c r="G3214" s="3" t="s">
        <v>20</v>
      </c>
      <c r="H3214" s="3">
        <v>10.0</v>
      </c>
      <c r="I3214" s="3" t="s">
        <v>556</v>
      </c>
      <c r="J3214" s="3" t="s">
        <v>22</v>
      </c>
      <c r="K3214" s="3" t="s">
        <v>97</v>
      </c>
      <c r="L3214" s="3" t="s">
        <v>98</v>
      </c>
      <c r="M3214" s="3" t="s">
        <v>100</v>
      </c>
      <c r="N3214" s="3" t="s">
        <v>983</v>
      </c>
      <c r="O3214" s="5">
        <v>14152.3720259</v>
      </c>
      <c r="P3214" s="6" t="str">
        <f t="shared" si="2"/>
        <v>Industrial Products</v>
      </c>
    </row>
    <row r="3215">
      <c r="A3215" s="3" t="s">
        <v>10126</v>
      </c>
      <c r="B3215" s="4">
        <v>500241.0</v>
      </c>
      <c r="C3215" s="3" t="s">
        <v>13177</v>
      </c>
      <c r="D3215" s="3" t="s">
        <v>13178</v>
      </c>
      <c r="E3215" s="3" t="s">
        <v>13179</v>
      </c>
      <c r="F3215" s="3" t="s">
        <v>19</v>
      </c>
      <c r="G3215" s="3" t="s">
        <v>20</v>
      </c>
      <c r="H3215" s="3">
        <v>2.0</v>
      </c>
      <c r="I3215" s="3" t="s">
        <v>631</v>
      </c>
      <c r="J3215" s="3" t="s">
        <v>22</v>
      </c>
      <c r="K3215" s="3" t="s">
        <v>97</v>
      </c>
      <c r="L3215" s="3" t="s">
        <v>98</v>
      </c>
      <c r="M3215" s="3" t="s">
        <v>100</v>
      </c>
      <c r="N3215" s="3" t="s">
        <v>983</v>
      </c>
      <c r="O3215" s="5">
        <v>17836.0153962</v>
      </c>
      <c r="P3215" s="6" t="str">
        <f t="shared" si="2"/>
        <v>Industrial Products</v>
      </c>
    </row>
    <row r="3216" hidden="1">
      <c r="A3216" s="3" t="s">
        <v>13180</v>
      </c>
      <c r="B3216" s="4">
        <v>539884.0</v>
      </c>
      <c r="C3216" s="3" t="s">
        <v>13181</v>
      </c>
      <c r="D3216" s="3" t="s">
        <v>13182</v>
      </c>
      <c r="E3216" s="3" t="s">
        <v>13183</v>
      </c>
      <c r="F3216" s="3" t="s">
        <v>19</v>
      </c>
      <c r="G3216" s="3" t="s">
        <v>44</v>
      </c>
      <c r="H3216" s="3">
        <v>2.0</v>
      </c>
      <c r="I3216" s="3" t="s">
        <v>13180</v>
      </c>
      <c r="J3216" s="3" t="s">
        <v>22</v>
      </c>
      <c r="K3216" s="3" t="s">
        <v>58</v>
      </c>
      <c r="L3216" s="3" t="s">
        <v>211</v>
      </c>
      <c r="M3216" s="3" t="s">
        <v>211</v>
      </c>
      <c r="N3216" s="3" t="s">
        <v>947</v>
      </c>
      <c r="O3216" s="5">
        <v>21.5674311</v>
      </c>
      <c r="P3216" s="6" t="str">
        <f t="shared" si="2"/>
        <v>Consumer Durables</v>
      </c>
    </row>
    <row r="3217" hidden="1">
      <c r="A3217" s="3" t="s">
        <v>13184</v>
      </c>
      <c r="B3217" s="4">
        <v>539889.0</v>
      </c>
      <c r="C3217" s="3" t="s">
        <v>13185</v>
      </c>
      <c r="D3217" s="3" t="s">
        <v>13186</v>
      </c>
      <c r="E3217" s="3" t="s">
        <v>13187</v>
      </c>
      <c r="F3217" s="3" t="s">
        <v>19</v>
      </c>
      <c r="G3217" s="3" t="s">
        <v>112</v>
      </c>
      <c r="H3217" s="3">
        <v>10.0</v>
      </c>
      <c r="I3217" s="3" t="s">
        <v>13184</v>
      </c>
      <c r="J3217" s="3" t="s">
        <v>22</v>
      </c>
      <c r="K3217" s="3" t="s">
        <v>145</v>
      </c>
      <c r="L3217" s="3" t="s">
        <v>145</v>
      </c>
      <c r="M3217" s="3" t="s">
        <v>597</v>
      </c>
      <c r="N3217" s="3" t="s">
        <v>598</v>
      </c>
      <c r="O3217" s="5">
        <v>2087.0707021</v>
      </c>
      <c r="P3217" s="6" t="str">
        <f t="shared" si="2"/>
        <v>Food Products</v>
      </c>
    </row>
    <row r="3218" hidden="1">
      <c r="A3218" s="3" t="s">
        <v>13188</v>
      </c>
      <c r="B3218" s="4">
        <v>539894.0</v>
      </c>
      <c r="C3218" s="3" t="s">
        <v>13189</v>
      </c>
      <c r="D3218" s="3" t="s">
        <v>13190</v>
      </c>
      <c r="E3218" s="3" t="s">
        <v>13191</v>
      </c>
      <c r="F3218" s="3" t="s">
        <v>19</v>
      </c>
      <c r="G3218" s="3" t="s">
        <v>72</v>
      </c>
      <c r="H3218" s="3">
        <v>1.0</v>
      </c>
      <c r="I3218" s="3" t="s">
        <v>13188</v>
      </c>
      <c r="J3218" s="3" t="s">
        <v>22</v>
      </c>
      <c r="K3218" s="3" t="s">
        <v>97</v>
      </c>
      <c r="L3218" s="3" t="s">
        <v>965</v>
      </c>
      <c r="M3218" s="3" t="s">
        <v>965</v>
      </c>
      <c r="N3218" s="3" t="s">
        <v>966</v>
      </c>
      <c r="O3218" s="5">
        <v>284.6862242</v>
      </c>
      <c r="P3218" s="6" t="str">
        <f t="shared" si="2"/>
        <v>Civil Construction</v>
      </c>
    </row>
    <row r="3219" hidden="1">
      <c r="A3219" s="3" t="s">
        <v>13192</v>
      </c>
      <c r="B3219" s="4">
        <v>539917.0</v>
      </c>
      <c r="C3219" s="3" t="s">
        <v>13193</v>
      </c>
      <c r="D3219" s="3" t="s">
        <v>13194</v>
      </c>
      <c r="E3219" s="3" t="s">
        <v>13195</v>
      </c>
      <c r="F3219" s="3" t="s">
        <v>19</v>
      </c>
      <c r="G3219" s="3" t="s">
        <v>112</v>
      </c>
      <c r="H3219" s="3">
        <v>1.0</v>
      </c>
      <c r="I3219" s="3" t="s">
        <v>13192</v>
      </c>
      <c r="J3219" s="3" t="s">
        <v>22</v>
      </c>
      <c r="K3219" s="3" t="s">
        <v>23</v>
      </c>
      <c r="L3219" s="3" t="s">
        <v>24</v>
      </c>
      <c r="M3219" s="3" t="s">
        <v>91</v>
      </c>
      <c r="N3219" s="3" t="s">
        <v>92</v>
      </c>
      <c r="O3219" s="5">
        <v>763.1885184</v>
      </c>
      <c r="P3219" s="6" t="str">
        <f t="shared" si="2"/>
        <v>Fertilizers &amp; Agrochemicals</v>
      </c>
    </row>
    <row r="3220" hidden="1">
      <c r="A3220" s="3" t="s">
        <v>13196</v>
      </c>
      <c r="B3220" s="4">
        <v>539921.0</v>
      </c>
      <c r="C3220" s="3" t="s">
        <v>13197</v>
      </c>
      <c r="D3220" s="3" t="s">
        <v>13198</v>
      </c>
      <c r="E3220" s="3" t="s">
        <v>13199</v>
      </c>
      <c r="F3220" s="3" t="s">
        <v>19</v>
      </c>
      <c r="G3220" s="3" t="s">
        <v>44</v>
      </c>
      <c r="H3220" s="3">
        <v>1.0</v>
      </c>
      <c r="I3220" s="3" t="s">
        <v>13196</v>
      </c>
      <c r="J3220" s="3" t="s">
        <v>22</v>
      </c>
      <c r="K3220" s="3" t="s">
        <v>58</v>
      </c>
      <c r="L3220" s="3" t="s">
        <v>73</v>
      </c>
      <c r="M3220" s="3" t="s">
        <v>800</v>
      </c>
      <c r="N3220" s="3" t="s">
        <v>801</v>
      </c>
      <c r="O3220" s="5">
        <v>1404.2140854</v>
      </c>
      <c r="P3220" s="6" t="str">
        <f t="shared" si="2"/>
        <v>Other Consumer Services</v>
      </c>
    </row>
    <row r="3221" hidden="1">
      <c r="A3221" s="3" t="s">
        <v>4411</v>
      </c>
      <c r="B3221" s="4">
        <v>512062.0</v>
      </c>
      <c r="C3221" s="3" t="s">
        <v>13200</v>
      </c>
      <c r="D3221" s="3" t="s">
        <v>13201</v>
      </c>
      <c r="E3221" s="3" t="s">
        <v>13202</v>
      </c>
      <c r="F3221" s="3" t="s">
        <v>19</v>
      </c>
      <c r="G3221" s="3" t="s">
        <v>72</v>
      </c>
      <c r="H3221" s="3">
        <v>10.0</v>
      </c>
      <c r="I3221" s="3" t="s">
        <v>3624</v>
      </c>
      <c r="J3221" s="3" t="s">
        <v>22</v>
      </c>
      <c r="K3221" s="3" t="s">
        <v>1673</v>
      </c>
      <c r="L3221" s="3" t="s">
        <v>1673</v>
      </c>
      <c r="M3221" s="3" t="s">
        <v>1674</v>
      </c>
      <c r="N3221" s="3" t="s">
        <v>1675</v>
      </c>
      <c r="O3221" s="5">
        <v>1.0</v>
      </c>
      <c r="P3221" s="6" t="str">
        <f t="shared" si="2"/>
        <v>Commercial Services &amp; Supplies</v>
      </c>
    </row>
    <row r="3222" hidden="1">
      <c r="A3222" s="3" t="s">
        <v>13203</v>
      </c>
      <c r="B3222" s="4">
        <v>512063.0</v>
      </c>
      <c r="C3222" s="3" t="s">
        <v>13204</v>
      </c>
      <c r="D3222" s="3" t="s">
        <v>13205</v>
      </c>
      <c r="E3222" s="3" t="s">
        <v>13206</v>
      </c>
      <c r="F3222" s="3" t="s">
        <v>19</v>
      </c>
      <c r="G3222" s="3" t="s">
        <v>1858</v>
      </c>
      <c r="H3222" s="3">
        <v>10.0</v>
      </c>
      <c r="I3222" s="3" t="s">
        <v>3629</v>
      </c>
      <c r="J3222" s="3" t="s">
        <v>22</v>
      </c>
      <c r="K3222" s="3" t="s">
        <v>1673</v>
      </c>
      <c r="L3222" s="3" t="s">
        <v>1673</v>
      </c>
      <c r="M3222" s="3" t="s">
        <v>1674</v>
      </c>
      <c r="N3222" s="3" t="s">
        <v>1915</v>
      </c>
      <c r="O3222" s="5">
        <v>1.0</v>
      </c>
      <c r="P3222" s="6" t="str">
        <f t="shared" si="2"/>
        <v>Commercial Services &amp; Supplies</v>
      </c>
    </row>
    <row r="3223" hidden="1">
      <c r="A3223" s="3" t="s">
        <v>13207</v>
      </c>
      <c r="B3223" s="4">
        <v>539939.0</v>
      </c>
      <c r="C3223" s="3" t="s">
        <v>13208</v>
      </c>
      <c r="D3223" s="3" t="s">
        <v>13209</v>
      </c>
      <c r="E3223" s="3" t="s">
        <v>13210</v>
      </c>
      <c r="F3223" s="3" t="s">
        <v>19</v>
      </c>
      <c r="G3223" s="3" t="s">
        <v>44</v>
      </c>
      <c r="H3223" s="3">
        <v>10.0</v>
      </c>
      <c r="I3223" s="3" t="s">
        <v>13207</v>
      </c>
      <c r="J3223" s="3" t="s">
        <v>22</v>
      </c>
      <c r="K3223" s="3" t="s">
        <v>23</v>
      </c>
      <c r="L3223" s="3" t="s">
        <v>24</v>
      </c>
      <c r="M3223" s="3" t="s">
        <v>25</v>
      </c>
      <c r="N3223" s="3" t="s">
        <v>1036</v>
      </c>
      <c r="O3223" s="5">
        <v>55.2120353</v>
      </c>
      <c r="P3223" s="6" t="str">
        <f t="shared" si="2"/>
        <v>Chemicals &amp; Petrochemicals</v>
      </c>
    </row>
    <row r="3224" hidden="1">
      <c r="A3224" s="3" t="s">
        <v>13211</v>
      </c>
      <c r="B3224" s="4">
        <v>539946.0</v>
      </c>
      <c r="C3224" s="3" t="s">
        <v>13212</v>
      </c>
      <c r="D3224" s="3" t="s">
        <v>13213</v>
      </c>
      <c r="E3224" s="3" t="s">
        <v>13214</v>
      </c>
      <c r="F3224" s="3" t="s">
        <v>19</v>
      </c>
      <c r="G3224" s="3" t="s">
        <v>72</v>
      </c>
      <c r="H3224" s="3">
        <v>10.0</v>
      </c>
      <c r="I3224" s="3" t="s">
        <v>13211</v>
      </c>
      <c r="J3224" s="3" t="s">
        <v>22</v>
      </c>
      <c r="K3224" s="3" t="s">
        <v>204</v>
      </c>
      <c r="L3224" s="3" t="s">
        <v>204</v>
      </c>
      <c r="M3224" s="3" t="s">
        <v>378</v>
      </c>
      <c r="N3224" s="3" t="s">
        <v>379</v>
      </c>
      <c r="O3224" s="5">
        <v>1.0</v>
      </c>
      <c r="P3224" s="6" t="str">
        <f t="shared" si="2"/>
        <v>Non Banking Financial Company (NBFC)</v>
      </c>
    </row>
    <row r="3225" hidden="1">
      <c r="A3225" s="3" t="s">
        <v>13215</v>
      </c>
      <c r="B3225" s="4">
        <v>539947.0</v>
      </c>
      <c r="C3225" s="3" t="s">
        <v>13216</v>
      </c>
      <c r="D3225" s="3" t="s">
        <v>13217</v>
      </c>
      <c r="E3225" s="3" t="s">
        <v>13218</v>
      </c>
      <c r="F3225" s="3" t="s">
        <v>19</v>
      </c>
      <c r="G3225" s="3" t="s">
        <v>72</v>
      </c>
      <c r="H3225" s="3">
        <v>10.0</v>
      </c>
      <c r="I3225" s="3" t="s">
        <v>13215</v>
      </c>
      <c r="J3225" s="3" t="s">
        <v>22</v>
      </c>
      <c r="K3225" s="3" t="s">
        <v>204</v>
      </c>
      <c r="L3225" s="3" t="s">
        <v>204</v>
      </c>
      <c r="M3225" s="3" t="s">
        <v>378</v>
      </c>
      <c r="N3225" s="3" t="s">
        <v>384</v>
      </c>
      <c r="O3225" s="5">
        <v>1.0</v>
      </c>
      <c r="P3225" s="6" t="str">
        <f t="shared" si="2"/>
        <v>Finance</v>
      </c>
    </row>
    <row r="3226" hidden="1">
      <c r="A3226" s="3" t="s">
        <v>3247</v>
      </c>
      <c r="B3226" s="4">
        <v>512064.0</v>
      </c>
      <c r="C3226" s="3" t="s">
        <v>13219</v>
      </c>
      <c r="D3226" s="3" t="s">
        <v>13220</v>
      </c>
      <c r="E3226" s="3" t="s">
        <v>13221</v>
      </c>
      <c r="F3226" s="3" t="s">
        <v>19</v>
      </c>
      <c r="G3226" s="3" t="s">
        <v>72</v>
      </c>
      <c r="H3226" s="3">
        <v>10.0</v>
      </c>
      <c r="I3226" s="3" t="s">
        <v>3634</v>
      </c>
      <c r="J3226" s="3" t="s">
        <v>22</v>
      </c>
      <c r="K3226" s="3" t="s">
        <v>1673</v>
      </c>
      <c r="L3226" s="3" t="s">
        <v>1673</v>
      </c>
      <c r="M3226" s="3" t="s">
        <v>1674</v>
      </c>
      <c r="N3226" s="3" t="s">
        <v>1675</v>
      </c>
      <c r="O3226" s="5">
        <v>1.0</v>
      </c>
      <c r="P3226" s="6" t="str">
        <f t="shared" si="2"/>
        <v>Commercial Services &amp; Supplies</v>
      </c>
    </row>
    <row r="3227">
      <c r="A3227" s="3" t="s">
        <v>6528</v>
      </c>
      <c r="B3227" s="4">
        <v>500243.0</v>
      </c>
      <c r="C3227" s="3" t="s">
        <v>13222</v>
      </c>
      <c r="D3227" s="3" t="s">
        <v>13223</v>
      </c>
      <c r="E3227" s="3" t="s">
        <v>13222</v>
      </c>
      <c r="F3227" s="3" t="s">
        <v>19</v>
      </c>
      <c r="G3227" s="3" t="s">
        <v>112</v>
      </c>
      <c r="H3227" s="3">
        <v>10.0</v>
      </c>
      <c r="I3227" s="3" t="s">
        <v>636</v>
      </c>
      <c r="J3227" s="3" t="s">
        <v>22</v>
      </c>
      <c r="K3227" s="3" t="s">
        <v>97</v>
      </c>
      <c r="L3227" s="3" t="s">
        <v>98</v>
      </c>
      <c r="M3227" s="3" t="s">
        <v>100</v>
      </c>
      <c r="N3227" s="3" t="s">
        <v>1386</v>
      </c>
      <c r="O3227" s="5">
        <v>5959.7322005</v>
      </c>
      <c r="P3227" s="6" t="str">
        <f t="shared" si="2"/>
        <v>Industrial Products</v>
      </c>
    </row>
    <row r="3228" hidden="1">
      <c r="A3228" s="3" t="s">
        <v>13224</v>
      </c>
      <c r="B3228" s="4">
        <v>539963.0</v>
      </c>
      <c r="C3228" s="3" t="s">
        <v>13225</v>
      </c>
      <c r="D3228" s="3" t="s">
        <v>13226</v>
      </c>
      <c r="E3228" s="3" t="s">
        <v>13227</v>
      </c>
      <c r="F3228" s="3" t="s">
        <v>19</v>
      </c>
      <c r="G3228" s="3" t="s">
        <v>112</v>
      </c>
      <c r="H3228" s="3">
        <v>1.0</v>
      </c>
      <c r="I3228" s="3" t="s">
        <v>13224</v>
      </c>
      <c r="J3228" s="3" t="s">
        <v>22</v>
      </c>
      <c r="K3228" s="3" t="s">
        <v>145</v>
      </c>
      <c r="L3228" s="3" t="s">
        <v>145</v>
      </c>
      <c r="M3228" s="3" t="s">
        <v>597</v>
      </c>
      <c r="N3228" s="3" t="s">
        <v>1438</v>
      </c>
      <c r="O3228" s="5">
        <v>144.345453</v>
      </c>
      <c r="P3228" s="6" t="str">
        <f t="shared" si="2"/>
        <v>Food Products</v>
      </c>
    </row>
    <row r="3229" hidden="1">
      <c r="A3229" s="3" t="s">
        <v>13228</v>
      </c>
      <c r="B3229" s="4">
        <v>512117.0</v>
      </c>
      <c r="C3229" s="3" t="s">
        <v>13229</v>
      </c>
      <c r="D3229" s="3" t="s">
        <v>13230</v>
      </c>
      <c r="E3229" s="3" t="s">
        <v>13231</v>
      </c>
      <c r="F3229" s="3" t="s">
        <v>19</v>
      </c>
      <c r="G3229" s="3" t="s">
        <v>72</v>
      </c>
      <c r="H3229" s="3">
        <v>10.0</v>
      </c>
      <c r="I3229" s="3" t="s">
        <v>3680</v>
      </c>
      <c r="J3229" s="3" t="s">
        <v>22</v>
      </c>
      <c r="K3229" s="3" t="s">
        <v>1673</v>
      </c>
      <c r="L3229" s="3" t="s">
        <v>1673</v>
      </c>
      <c r="M3229" s="3" t="s">
        <v>1674</v>
      </c>
      <c r="N3229" s="3" t="s">
        <v>1675</v>
      </c>
      <c r="O3229" s="5">
        <v>1.0</v>
      </c>
      <c r="P3229" s="6" t="str">
        <f t="shared" si="2"/>
        <v>Commercial Services &amp; Supplies</v>
      </c>
    </row>
    <row r="3230" hidden="1">
      <c r="A3230" s="3" t="s">
        <v>13232</v>
      </c>
      <c r="B3230" s="4">
        <v>539979.0</v>
      </c>
      <c r="C3230" s="3" t="s">
        <v>13233</v>
      </c>
      <c r="D3230" s="3" t="s">
        <v>13234</v>
      </c>
      <c r="E3230" s="3" t="s">
        <v>13235</v>
      </c>
      <c r="F3230" s="3" t="s">
        <v>19</v>
      </c>
      <c r="G3230" s="3" t="s">
        <v>86</v>
      </c>
      <c r="H3230" s="3">
        <v>10.0</v>
      </c>
      <c r="I3230" s="3" t="s">
        <v>13232</v>
      </c>
      <c r="J3230" s="3" t="s">
        <v>22</v>
      </c>
      <c r="K3230" s="3" t="s">
        <v>58</v>
      </c>
      <c r="L3230" s="3" t="s">
        <v>80</v>
      </c>
      <c r="M3230" s="3" t="s">
        <v>81</v>
      </c>
      <c r="N3230" s="3" t="s">
        <v>82</v>
      </c>
      <c r="O3230" s="5">
        <v>165.3988848</v>
      </c>
      <c r="P3230" s="6" t="str">
        <f t="shared" si="2"/>
        <v>Textiles &amp; Apparels</v>
      </c>
    </row>
    <row r="3231" hidden="1">
      <c r="A3231" s="3" t="s">
        <v>13236</v>
      </c>
      <c r="B3231" s="4">
        <v>539984.0</v>
      </c>
      <c r="C3231" s="3" t="s">
        <v>13237</v>
      </c>
      <c r="D3231" s="3" t="s">
        <v>13238</v>
      </c>
      <c r="E3231" s="3" t="s">
        <v>13239</v>
      </c>
      <c r="F3231" s="3" t="s">
        <v>19</v>
      </c>
      <c r="G3231" s="3" t="s">
        <v>44</v>
      </c>
      <c r="H3231" s="3">
        <v>10.0</v>
      </c>
      <c r="I3231" s="3" t="s">
        <v>13236</v>
      </c>
      <c r="J3231" s="3" t="s">
        <v>22</v>
      </c>
      <c r="K3231" s="3" t="s">
        <v>97</v>
      </c>
      <c r="L3231" s="3" t="s">
        <v>98</v>
      </c>
      <c r="M3231" s="3" t="s">
        <v>1747</v>
      </c>
      <c r="N3231" s="3" t="s">
        <v>1748</v>
      </c>
      <c r="O3231" s="5">
        <v>370.0698053</v>
      </c>
      <c r="P3231" s="6" t="str">
        <f t="shared" si="2"/>
        <v>Electrical Equipment</v>
      </c>
    </row>
    <row r="3232" hidden="1">
      <c r="A3232" s="3" t="s">
        <v>13240</v>
      </c>
      <c r="B3232" s="4">
        <v>539985.0</v>
      </c>
      <c r="C3232" s="3" t="s">
        <v>13241</v>
      </c>
      <c r="D3232" s="3" t="s">
        <v>13242</v>
      </c>
      <c r="E3232" s="3" t="s">
        <v>13243</v>
      </c>
      <c r="F3232" s="3" t="s">
        <v>19</v>
      </c>
      <c r="G3232" s="3" t="s">
        <v>2428</v>
      </c>
      <c r="H3232" s="3">
        <v>10.0</v>
      </c>
      <c r="I3232" s="3" t="s">
        <v>13240</v>
      </c>
      <c r="J3232" s="3" t="s">
        <v>22</v>
      </c>
      <c r="K3232" s="3" t="s">
        <v>58</v>
      </c>
      <c r="L3232" s="3" t="s">
        <v>80</v>
      </c>
      <c r="M3232" s="3" t="s">
        <v>81</v>
      </c>
      <c r="N3232" s="3" t="s">
        <v>82</v>
      </c>
      <c r="O3232" s="5">
        <v>23.19028</v>
      </c>
      <c r="P3232" s="6" t="str">
        <f t="shared" si="2"/>
        <v>Textiles &amp; Apparels</v>
      </c>
    </row>
    <row r="3233" hidden="1">
      <c r="A3233" s="3" t="s">
        <v>13244</v>
      </c>
      <c r="B3233" s="4">
        <v>539986.0</v>
      </c>
      <c r="C3233" s="3" t="s">
        <v>13245</v>
      </c>
      <c r="D3233" s="3" t="s">
        <v>13246</v>
      </c>
      <c r="E3233" s="3" t="s">
        <v>13247</v>
      </c>
      <c r="F3233" s="3" t="s">
        <v>19</v>
      </c>
      <c r="G3233" s="3" t="s">
        <v>112</v>
      </c>
      <c r="H3233" s="3">
        <v>10.0</v>
      </c>
      <c r="I3233" s="3" t="s">
        <v>13244</v>
      </c>
      <c r="J3233" s="3" t="s">
        <v>22</v>
      </c>
      <c r="K3233" s="3" t="s">
        <v>97</v>
      </c>
      <c r="L3233" s="3" t="s">
        <v>98</v>
      </c>
      <c r="M3233" s="3" t="s">
        <v>100</v>
      </c>
      <c r="N3233" s="3" t="s">
        <v>373</v>
      </c>
      <c r="O3233" s="5">
        <v>302.4643522</v>
      </c>
      <c r="P3233" s="6" t="str">
        <f t="shared" si="2"/>
        <v>Industrial Products</v>
      </c>
    </row>
    <row r="3234" hidden="1">
      <c r="A3234" s="3" t="s">
        <v>3766</v>
      </c>
      <c r="B3234" s="4">
        <v>512153.0</v>
      </c>
      <c r="C3234" s="3" t="s">
        <v>13248</v>
      </c>
      <c r="D3234" s="3" t="s">
        <v>13249</v>
      </c>
      <c r="E3234" s="3" t="s">
        <v>13250</v>
      </c>
      <c r="F3234" s="3" t="s">
        <v>19</v>
      </c>
      <c r="G3234" s="3" t="s">
        <v>72</v>
      </c>
      <c r="H3234" s="3">
        <v>10.0</v>
      </c>
      <c r="I3234" s="3" t="s">
        <v>3698</v>
      </c>
      <c r="J3234" s="3" t="s">
        <v>22</v>
      </c>
      <c r="K3234" s="3" t="s">
        <v>1673</v>
      </c>
      <c r="L3234" s="3" t="s">
        <v>1673</v>
      </c>
      <c r="M3234" s="3" t="s">
        <v>1674</v>
      </c>
      <c r="N3234" s="3" t="s">
        <v>1915</v>
      </c>
      <c r="O3234" s="5">
        <v>1.0</v>
      </c>
      <c r="P3234" s="6" t="str">
        <f t="shared" si="2"/>
        <v>Commercial Services &amp; Supplies</v>
      </c>
    </row>
    <row r="3235">
      <c r="A3235" s="3" t="s">
        <v>13251</v>
      </c>
      <c r="B3235" s="4">
        <v>500249.0</v>
      </c>
      <c r="C3235" s="3" t="s">
        <v>13252</v>
      </c>
      <c r="D3235" s="3" t="s">
        <v>13253</v>
      </c>
      <c r="E3235" s="3" t="s">
        <v>13254</v>
      </c>
      <c r="F3235" s="3" t="s">
        <v>19</v>
      </c>
      <c r="G3235" s="3" t="s">
        <v>20</v>
      </c>
      <c r="H3235" s="3">
        <v>10.0</v>
      </c>
      <c r="I3235" s="3" t="s">
        <v>658</v>
      </c>
      <c r="J3235" s="3" t="s">
        <v>22</v>
      </c>
      <c r="K3235" s="3" t="s">
        <v>97</v>
      </c>
      <c r="L3235" s="3" t="s">
        <v>98</v>
      </c>
      <c r="M3235" s="3" t="s">
        <v>100</v>
      </c>
      <c r="N3235" s="3" t="s">
        <v>983</v>
      </c>
      <c r="O3235" s="5">
        <v>17008.7900074</v>
      </c>
      <c r="P3235" s="6" t="str">
        <f t="shared" si="2"/>
        <v>Industrial Products</v>
      </c>
    </row>
    <row r="3236" hidden="1">
      <c r="A3236" s="3" t="s">
        <v>13255</v>
      </c>
      <c r="B3236" s="4">
        <v>539997.0</v>
      </c>
      <c r="C3236" s="3" t="s">
        <v>13256</v>
      </c>
      <c r="D3236" s="3" t="s">
        <v>13257</v>
      </c>
      <c r="E3236" s="3" t="s">
        <v>13258</v>
      </c>
      <c r="F3236" s="3" t="s">
        <v>19</v>
      </c>
      <c r="G3236" s="3" t="s">
        <v>112</v>
      </c>
      <c r="H3236" s="3">
        <v>10.0</v>
      </c>
      <c r="I3236" s="3" t="s">
        <v>13255</v>
      </c>
      <c r="J3236" s="3" t="s">
        <v>22</v>
      </c>
      <c r="K3236" s="3" t="s">
        <v>45</v>
      </c>
      <c r="L3236" s="3" t="s">
        <v>45</v>
      </c>
      <c r="M3236" s="3" t="s">
        <v>46</v>
      </c>
      <c r="N3236" s="3" t="s">
        <v>47</v>
      </c>
      <c r="O3236" s="5">
        <v>511.17918</v>
      </c>
      <c r="P3236" s="6" t="str">
        <f t="shared" si="2"/>
        <v>Pharmaceuticals</v>
      </c>
    </row>
    <row r="3237">
      <c r="A3237" s="3" t="s">
        <v>13259</v>
      </c>
      <c r="B3237" s="4">
        <v>500252.0</v>
      </c>
      <c r="C3237" s="3" t="s">
        <v>13260</v>
      </c>
      <c r="D3237" s="3" t="s">
        <v>13261</v>
      </c>
      <c r="E3237" s="3" t="s">
        <v>13262</v>
      </c>
      <c r="F3237" s="3" t="s">
        <v>19</v>
      </c>
      <c r="G3237" s="3" t="s">
        <v>20</v>
      </c>
      <c r="H3237" s="3">
        <v>10.0</v>
      </c>
      <c r="I3237" s="3" t="s">
        <v>673</v>
      </c>
      <c r="J3237" s="3" t="s">
        <v>22</v>
      </c>
      <c r="K3237" s="3" t="s">
        <v>97</v>
      </c>
      <c r="L3237" s="3" t="s">
        <v>98</v>
      </c>
      <c r="M3237" s="3" t="s">
        <v>99</v>
      </c>
      <c r="N3237" s="3" t="s">
        <v>100</v>
      </c>
      <c r="O3237" s="5">
        <v>17826.3528629</v>
      </c>
      <c r="P3237" s="6" t="str">
        <f t="shared" si="2"/>
        <v>Industrial Products</v>
      </c>
    </row>
    <row r="3238" hidden="1">
      <c r="A3238" s="3" t="s">
        <v>5234</v>
      </c>
      <c r="B3238" s="4">
        <v>512157.0</v>
      </c>
      <c r="C3238" s="3" t="s">
        <v>13263</v>
      </c>
      <c r="D3238" s="3" t="s">
        <v>13264</v>
      </c>
      <c r="E3238" s="3" t="s">
        <v>13263</v>
      </c>
      <c r="F3238" s="3" t="s">
        <v>19</v>
      </c>
      <c r="G3238" s="3" t="s">
        <v>1858</v>
      </c>
      <c r="H3238" s="3">
        <v>10.0</v>
      </c>
      <c r="I3238" s="3" t="s">
        <v>3703</v>
      </c>
      <c r="J3238" s="3" t="s">
        <v>22</v>
      </c>
      <c r="K3238" s="3" t="s">
        <v>1673</v>
      </c>
      <c r="L3238" s="3" t="s">
        <v>1673</v>
      </c>
      <c r="M3238" s="3" t="s">
        <v>1674</v>
      </c>
      <c r="N3238" s="3" t="s">
        <v>1675</v>
      </c>
      <c r="O3238" s="5">
        <v>1.0</v>
      </c>
      <c r="P3238" s="6" t="str">
        <f t="shared" si="2"/>
        <v>Commercial Services &amp; Supplies</v>
      </c>
    </row>
    <row r="3239" hidden="1">
      <c r="A3239" s="3" t="s">
        <v>13265</v>
      </c>
      <c r="B3239" s="4">
        <v>540025.0</v>
      </c>
      <c r="C3239" s="3" t="s">
        <v>13266</v>
      </c>
      <c r="D3239" s="3" t="s">
        <v>13267</v>
      </c>
      <c r="E3239" s="3" t="s">
        <v>13268</v>
      </c>
      <c r="F3239" s="3" t="s">
        <v>19</v>
      </c>
      <c r="G3239" s="3" t="s">
        <v>112</v>
      </c>
      <c r="H3239" s="3">
        <v>2.0</v>
      </c>
      <c r="I3239" s="3" t="s">
        <v>13265</v>
      </c>
      <c r="J3239" s="3" t="s">
        <v>22</v>
      </c>
      <c r="K3239" s="3" t="s">
        <v>45</v>
      </c>
      <c r="L3239" s="3" t="s">
        <v>45</v>
      </c>
      <c r="M3239" s="3" t="s">
        <v>46</v>
      </c>
      <c r="N3239" s="3" t="s">
        <v>3367</v>
      </c>
      <c r="O3239" s="5">
        <v>4252.96344</v>
      </c>
      <c r="P3239" s="6" t="str">
        <f t="shared" si="2"/>
        <v>Pharmaceuticals &amp; Biotechnology</v>
      </c>
    </row>
    <row r="3240" hidden="1">
      <c r="A3240" s="3" t="s">
        <v>13269</v>
      </c>
      <c r="B3240" s="4">
        <v>540026.0</v>
      </c>
      <c r="C3240" s="3" t="s">
        <v>13270</v>
      </c>
      <c r="D3240" s="3" t="s">
        <v>13271</v>
      </c>
      <c r="E3240" s="3" t="s">
        <v>13272</v>
      </c>
      <c r="F3240" s="3" t="s">
        <v>19</v>
      </c>
      <c r="G3240" s="3" t="s">
        <v>44</v>
      </c>
      <c r="H3240" s="3">
        <v>5.0</v>
      </c>
      <c r="I3240" s="3" t="s">
        <v>13269</v>
      </c>
      <c r="J3240" s="3" t="s">
        <v>22</v>
      </c>
      <c r="K3240" s="3" t="s">
        <v>58</v>
      </c>
      <c r="L3240" s="3" t="s">
        <v>59</v>
      </c>
      <c r="M3240" s="3" t="s">
        <v>59</v>
      </c>
      <c r="N3240" s="3" t="s">
        <v>60</v>
      </c>
      <c r="O3240" s="5">
        <v>1.0</v>
      </c>
      <c r="P3240" s="6" t="str">
        <f t="shared" si="2"/>
        <v>Residential, Commercial Projects</v>
      </c>
    </row>
    <row r="3241">
      <c r="A3241" s="3" t="s">
        <v>13273</v>
      </c>
      <c r="B3241" s="4">
        <v>500265.0</v>
      </c>
      <c r="C3241" s="3" t="s">
        <v>13274</v>
      </c>
      <c r="D3241" s="3" t="s">
        <v>13275</v>
      </c>
      <c r="E3241" s="3" t="s">
        <v>13276</v>
      </c>
      <c r="F3241" s="3" t="s">
        <v>19</v>
      </c>
      <c r="G3241" s="3" t="s">
        <v>20</v>
      </c>
      <c r="H3241" s="3">
        <v>5.0</v>
      </c>
      <c r="I3241" s="3" t="s">
        <v>704</v>
      </c>
      <c r="J3241" s="3" t="s">
        <v>22</v>
      </c>
      <c r="K3241" s="3" t="s">
        <v>97</v>
      </c>
      <c r="L3241" s="3" t="s">
        <v>98</v>
      </c>
      <c r="M3241" s="3" t="s">
        <v>100</v>
      </c>
      <c r="N3241" s="3" t="s">
        <v>612</v>
      </c>
      <c r="O3241" s="5">
        <v>8687.39141</v>
      </c>
      <c r="P3241" s="6" t="str">
        <f t="shared" si="2"/>
        <v>Industrial Products</v>
      </c>
    </row>
    <row r="3242" hidden="1">
      <c r="A3242" s="3" t="s">
        <v>13277</v>
      </c>
      <c r="B3242" s="4">
        <v>540048.0</v>
      </c>
      <c r="C3242" s="3" t="s">
        <v>13278</v>
      </c>
      <c r="D3242" s="3" t="s">
        <v>13279</v>
      </c>
      <c r="E3242" s="3" t="s">
        <v>13280</v>
      </c>
      <c r="F3242" s="3" t="s">
        <v>19</v>
      </c>
      <c r="G3242" s="3" t="s">
        <v>112</v>
      </c>
      <c r="H3242" s="3">
        <v>10.0</v>
      </c>
      <c r="I3242" s="3" t="s">
        <v>13277</v>
      </c>
      <c r="J3242" s="3" t="s">
        <v>22</v>
      </c>
      <c r="K3242" s="3" t="s">
        <v>58</v>
      </c>
      <c r="L3242" s="3" t="s">
        <v>80</v>
      </c>
      <c r="M3242" s="3" t="s">
        <v>81</v>
      </c>
      <c r="N3242" s="3" t="s">
        <v>944</v>
      </c>
      <c r="O3242" s="5">
        <v>1769.5287148</v>
      </c>
      <c r="P3242" s="6" t="str">
        <f t="shared" si="2"/>
        <v>Textiles &amp; Apparels</v>
      </c>
    </row>
    <row r="3243" hidden="1">
      <c r="A3243" s="3" t="s">
        <v>13281</v>
      </c>
      <c r="B3243" s="4">
        <v>540061.0</v>
      </c>
      <c r="C3243" s="3" t="s">
        <v>13282</v>
      </c>
      <c r="D3243" s="3" t="s">
        <v>13283</v>
      </c>
      <c r="E3243" s="3" t="s">
        <v>13284</v>
      </c>
      <c r="F3243" s="3" t="s">
        <v>19</v>
      </c>
      <c r="G3243" s="3" t="s">
        <v>112</v>
      </c>
      <c r="H3243" s="3">
        <v>2.0</v>
      </c>
      <c r="I3243" s="3" t="s">
        <v>13281</v>
      </c>
      <c r="J3243" s="3" t="s">
        <v>22</v>
      </c>
      <c r="K3243" s="3" t="s">
        <v>23</v>
      </c>
      <c r="L3243" s="3" t="s">
        <v>162</v>
      </c>
      <c r="M3243" s="3" t="s">
        <v>163</v>
      </c>
      <c r="N3243" s="3" t="s">
        <v>163</v>
      </c>
      <c r="O3243" s="5">
        <v>1668.0216988</v>
      </c>
      <c r="P3243" s="6" t="str">
        <f t="shared" si="2"/>
        <v>Cement &amp; Cement Products</v>
      </c>
    </row>
    <row r="3244" hidden="1">
      <c r="A3244" s="3" t="s">
        <v>13285</v>
      </c>
      <c r="B3244" s="4">
        <v>540062.0</v>
      </c>
      <c r="C3244" s="3" t="s">
        <v>13286</v>
      </c>
      <c r="D3244" s="3" t="s">
        <v>13287</v>
      </c>
      <c r="E3244" s="3" t="s">
        <v>13288</v>
      </c>
      <c r="F3244" s="3" t="s">
        <v>19</v>
      </c>
      <c r="G3244" s="3" t="s">
        <v>44</v>
      </c>
      <c r="H3244" s="3">
        <v>10.0</v>
      </c>
      <c r="I3244" s="3" t="s">
        <v>13285</v>
      </c>
      <c r="J3244" s="3" t="s">
        <v>22</v>
      </c>
      <c r="K3244" s="3" t="s">
        <v>58</v>
      </c>
      <c r="L3244" s="3" t="s">
        <v>73</v>
      </c>
      <c r="M3244" s="3" t="s">
        <v>800</v>
      </c>
      <c r="N3244" s="3" t="s">
        <v>801</v>
      </c>
      <c r="O3244" s="5">
        <v>41.6453</v>
      </c>
      <c r="P3244" s="6" t="str">
        <f t="shared" si="2"/>
        <v>Other Consumer Services</v>
      </c>
    </row>
    <row r="3245" hidden="1">
      <c r="A3245" s="3" t="s">
        <v>13289</v>
      </c>
      <c r="B3245" s="4">
        <v>540063.0</v>
      </c>
      <c r="C3245" s="3" t="s">
        <v>13290</v>
      </c>
      <c r="D3245" s="3" t="s">
        <v>13291</v>
      </c>
      <c r="E3245" s="3" t="s">
        <v>13292</v>
      </c>
      <c r="F3245" s="3" t="s">
        <v>19</v>
      </c>
      <c r="G3245" s="3" t="s">
        <v>44</v>
      </c>
      <c r="H3245" s="3">
        <v>10.0</v>
      </c>
      <c r="I3245" s="3" t="s">
        <v>13289</v>
      </c>
      <c r="J3245" s="3" t="s">
        <v>22</v>
      </c>
      <c r="K3245" s="3" t="s">
        <v>473</v>
      </c>
      <c r="L3245" s="3" t="s">
        <v>473</v>
      </c>
      <c r="M3245" s="3" t="s">
        <v>1391</v>
      </c>
      <c r="N3245" s="3" t="s">
        <v>1840</v>
      </c>
      <c r="O3245" s="5">
        <v>26.9285912</v>
      </c>
      <c r="P3245" s="6" t="str">
        <f t="shared" si="2"/>
        <v>Computers - Software &amp; Consulting</v>
      </c>
    </row>
    <row r="3246">
      <c r="A3246" s="3" t="s">
        <v>10138</v>
      </c>
      <c r="B3246" s="4">
        <v>500294.0</v>
      </c>
      <c r="C3246" s="3" t="s">
        <v>13293</v>
      </c>
      <c r="D3246" s="3" t="s">
        <v>13294</v>
      </c>
      <c r="E3246" s="3" t="s">
        <v>13293</v>
      </c>
      <c r="F3246" s="3" t="s">
        <v>19</v>
      </c>
      <c r="G3246" s="3" t="s">
        <v>20</v>
      </c>
      <c r="H3246" s="3">
        <v>2.0</v>
      </c>
      <c r="I3246" s="3" t="s">
        <v>770</v>
      </c>
      <c r="J3246" s="3" t="s">
        <v>22</v>
      </c>
      <c r="K3246" s="3" t="s">
        <v>97</v>
      </c>
      <c r="L3246" s="3" t="s">
        <v>965</v>
      </c>
      <c r="M3246" s="3" t="s">
        <v>965</v>
      </c>
      <c r="N3246" s="3" t="s">
        <v>966</v>
      </c>
      <c r="O3246" s="5">
        <v>21437.0686339</v>
      </c>
      <c r="P3246" s="6" t="str">
        <f t="shared" si="2"/>
        <v>Civil Construction</v>
      </c>
    </row>
    <row r="3247" hidden="1">
      <c r="A3247" s="3" t="s">
        <v>13295</v>
      </c>
      <c r="B3247" s="4">
        <v>540066.0</v>
      </c>
      <c r="C3247" s="3" t="s">
        <v>13296</v>
      </c>
      <c r="D3247" s="3" t="s">
        <v>13297</v>
      </c>
      <c r="E3247" s="3" t="s">
        <v>13298</v>
      </c>
      <c r="F3247" s="3" t="s">
        <v>19</v>
      </c>
      <c r="G3247" s="3" t="s">
        <v>72</v>
      </c>
      <c r="H3247" s="3">
        <v>10.0</v>
      </c>
      <c r="I3247" s="3" t="s">
        <v>13295</v>
      </c>
      <c r="J3247" s="3" t="s">
        <v>22</v>
      </c>
      <c r="K3247" s="3" t="s">
        <v>23</v>
      </c>
      <c r="L3247" s="3" t="s">
        <v>24</v>
      </c>
      <c r="M3247" s="3" t="s">
        <v>25</v>
      </c>
      <c r="N3247" s="3" t="s">
        <v>26</v>
      </c>
      <c r="O3247" s="5">
        <v>1.0</v>
      </c>
      <c r="P3247" s="6" t="str">
        <f t="shared" si="2"/>
        <v>Specialty Chemicals</v>
      </c>
    </row>
    <row r="3248" hidden="1">
      <c r="A3248" s="3" t="s">
        <v>13299</v>
      </c>
      <c r="B3248" s="4">
        <v>540072.0</v>
      </c>
      <c r="C3248" s="3" t="s">
        <v>13300</v>
      </c>
      <c r="D3248" s="3" t="s">
        <v>13301</v>
      </c>
      <c r="E3248" s="3" t="s">
        <v>13302</v>
      </c>
      <c r="F3248" s="3" t="s">
        <v>19</v>
      </c>
      <c r="G3248" s="3" t="s">
        <v>6293</v>
      </c>
      <c r="H3248" s="3">
        <v>10.0</v>
      </c>
      <c r="I3248" s="3" t="s">
        <v>13299</v>
      </c>
      <c r="J3248" s="3" t="s">
        <v>22</v>
      </c>
      <c r="K3248" s="3" t="s">
        <v>23</v>
      </c>
      <c r="L3248" s="3" t="s">
        <v>162</v>
      </c>
      <c r="M3248" s="3" t="s">
        <v>1491</v>
      </c>
      <c r="N3248" s="3" t="s">
        <v>1491</v>
      </c>
      <c r="O3248" s="5">
        <v>1.0</v>
      </c>
      <c r="P3248" s="6" t="str">
        <f t="shared" si="2"/>
        <v>Other Construction Materials</v>
      </c>
    </row>
    <row r="3249">
      <c r="A3249" s="3" t="s">
        <v>2661</v>
      </c>
      <c r="B3249" s="4">
        <v>500336.0</v>
      </c>
      <c r="C3249" s="3" t="s">
        <v>13303</v>
      </c>
      <c r="D3249" s="3" t="s">
        <v>13304</v>
      </c>
      <c r="E3249" s="3" t="s">
        <v>13305</v>
      </c>
      <c r="F3249" s="3" t="s">
        <v>19</v>
      </c>
      <c r="G3249" s="3" t="s">
        <v>112</v>
      </c>
      <c r="H3249" s="3">
        <v>5.0</v>
      </c>
      <c r="I3249" s="3" t="s">
        <v>867</v>
      </c>
      <c r="J3249" s="3" t="s">
        <v>22</v>
      </c>
      <c r="K3249" s="3" t="s">
        <v>97</v>
      </c>
      <c r="L3249" s="3" t="s">
        <v>98</v>
      </c>
      <c r="M3249" s="3" t="s">
        <v>100</v>
      </c>
      <c r="N3249" s="3" t="s">
        <v>612</v>
      </c>
      <c r="O3249" s="5">
        <v>7277.0238305</v>
      </c>
      <c r="P3249" s="6" t="str">
        <f t="shared" si="2"/>
        <v>Industrial Products</v>
      </c>
    </row>
    <row r="3250" hidden="1">
      <c r="A3250" s="3" t="s">
        <v>13306</v>
      </c>
      <c r="B3250" s="4">
        <v>540078.0</v>
      </c>
      <c r="C3250" s="3" t="s">
        <v>13307</v>
      </c>
      <c r="D3250" s="3" t="s">
        <v>13308</v>
      </c>
      <c r="E3250" s="3" t="s">
        <v>13309</v>
      </c>
      <c r="F3250" s="3" t="s">
        <v>19</v>
      </c>
      <c r="G3250" s="3" t="s">
        <v>112</v>
      </c>
      <c r="H3250" s="3">
        <v>10.0</v>
      </c>
      <c r="I3250" s="3" t="s">
        <v>13306</v>
      </c>
      <c r="J3250" s="3" t="s">
        <v>22</v>
      </c>
      <c r="K3250" s="3" t="s">
        <v>97</v>
      </c>
      <c r="L3250" s="3" t="s">
        <v>98</v>
      </c>
      <c r="M3250" s="3" t="s">
        <v>100</v>
      </c>
      <c r="N3250" s="3" t="s">
        <v>373</v>
      </c>
      <c r="O3250" s="5">
        <v>210.927783</v>
      </c>
      <c r="P3250" s="6" t="str">
        <f t="shared" si="2"/>
        <v>Industrial Products</v>
      </c>
    </row>
    <row r="3251" hidden="1">
      <c r="A3251" s="3" t="s">
        <v>13310</v>
      </c>
      <c r="B3251" s="4">
        <v>540079.0</v>
      </c>
      <c r="C3251" s="3" t="s">
        <v>13311</v>
      </c>
      <c r="D3251" s="3" t="s">
        <v>13312</v>
      </c>
      <c r="E3251" s="3" t="s">
        <v>13313</v>
      </c>
      <c r="F3251" s="3" t="s">
        <v>19</v>
      </c>
      <c r="G3251" s="3" t="s">
        <v>112</v>
      </c>
      <c r="H3251" s="3">
        <v>2.0</v>
      </c>
      <c r="I3251" s="3" t="s">
        <v>13310</v>
      </c>
      <c r="J3251" s="3" t="s">
        <v>22</v>
      </c>
      <c r="K3251" s="3" t="s">
        <v>97</v>
      </c>
      <c r="L3251" s="3" t="s">
        <v>98</v>
      </c>
      <c r="M3251" s="3" t="s">
        <v>100</v>
      </c>
      <c r="N3251" s="3" t="s">
        <v>1386</v>
      </c>
      <c r="O3251" s="5">
        <v>203.9680747</v>
      </c>
      <c r="P3251" s="6" t="str">
        <f t="shared" si="2"/>
        <v>Industrial Products</v>
      </c>
    </row>
    <row r="3252" hidden="1">
      <c r="A3252" s="3" t="s">
        <v>13314</v>
      </c>
      <c r="B3252" s="4">
        <v>540080.0</v>
      </c>
      <c r="C3252" s="3" t="s">
        <v>13315</v>
      </c>
      <c r="D3252" s="3" t="s">
        <v>13316</v>
      </c>
      <c r="E3252" s="3" t="s">
        <v>13317</v>
      </c>
      <c r="F3252" s="3" t="s">
        <v>19</v>
      </c>
      <c r="G3252" s="3" t="s">
        <v>72</v>
      </c>
      <c r="H3252" s="3">
        <v>1.0</v>
      </c>
      <c r="I3252" s="3" t="s">
        <v>13314</v>
      </c>
      <c r="J3252" s="3" t="s">
        <v>22</v>
      </c>
      <c r="K3252" s="3" t="s">
        <v>97</v>
      </c>
      <c r="L3252" s="3" t="s">
        <v>98</v>
      </c>
      <c r="M3252" s="3" t="s">
        <v>100</v>
      </c>
      <c r="N3252" s="3" t="s">
        <v>612</v>
      </c>
      <c r="O3252" s="5">
        <v>188.8779513</v>
      </c>
      <c r="P3252" s="6" t="str">
        <f t="shared" si="2"/>
        <v>Industrial Products</v>
      </c>
    </row>
    <row r="3253" hidden="1">
      <c r="A3253" s="3" t="s">
        <v>13318</v>
      </c>
      <c r="B3253" s="4">
        <v>540081.0</v>
      </c>
      <c r="C3253" s="3" t="s">
        <v>13319</v>
      </c>
      <c r="D3253" s="3" t="s">
        <v>13320</v>
      </c>
      <c r="E3253" s="3" t="s">
        <v>13321</v>
      </c>
      <c r="F3253" s="3" t="s">
        <v>19</v>
      </c>
      <c r="G3253" s="3" t="s">
        <v>86</v>
      </c>
      <c r="H3253" s="3">
        <v>10.0</v>
      </c>
      <c r="I3253" s="3" t="s">
        <v>13318</v>
      </c>
      <c r="J3253" s="3" t="s">
        <v>22</v>
      </c>
      <c r="K3253" s="3" t="s">
        <v>58</v>
      </c>
      <c r="L3253" s="3" t="s">
        <v>182</v>
      </c>
      <c r="M3253" s="3" t="s">
        <v>183</v>
      </c>
      <c r="N3253" s="3" t="s">
        <v>3454</v>
      </c>
      <c r="O3253" s="5">
        <v>1.0</v>
      </c>
      <c r="P3253" s="6" t="str">
        <f t="shared" si="2"/>
        <v>Media</v>
      </c>
    </row>
    <row r="3254" hidden="1">
      <c r="A3254" s="3" t="s">
        <v>13322</v>
      </c>
      <c r="B3254" s="4">
        <v>540082.0</v>
      </c>
      <c r="C3254" s="3" t="s">
        <v>13323</v>
      </c>
      <c r="D3254" s="3" t="s">
        <v>13324</v>
      </c>
      <c r="E3254" s="3" t="s">
        <v>13325</v>
      </c>
      <c r="F3254" s="3" t="s">
        <v>19</v>
      </c>
      <c r="G3254" s="3" t="s">
        <v>2428</v>
      </c>
      <c r="H3254" s="3">
        <v>10.0</v>
      </c>
      <c r="I3254" s="3" t="s">
        <v>13322</v>
      </c>
      <c r="J3254" s="3" t="s">
        <v>22</v>
      </c>
      <c r="K3254" s="3" t="s">
        <v>97</v>
      </c>
      <c r="L3254" s="3" t="s">
        <v>98</v>
      </c>
      <c r="M3254" s="3" t="s">
        <v>100</v>
      </c>
      <c r="N3254" s="3" t="s">
        <v>612</v>
      </c>
      <c r="O3254" s="5">
        <v>46.42541</v>
      </c>
      <c r="P3254" s="6" t="str">
        <f t="shared" si="2"/>
        <v>Industrial Products</v>
      </c>
    </row>
    <row r="3255" hidden="1">
      <c r="A3255" s="3" t="s">
        <v>13326</v>
      </c>
      <c r="B3255" s="4">
        <v>540083.0</v>
      </c>
      <c r="C3255" s="3" t="s">
        <v>13327</v>
      </c>
      <c r="D3255" s="3" t="s">
        <v>13328</v>
      </c>
      <c r="E3255" s="3" t="s">
        <v>13329</v>
      </c>
      <c r="F3255" s="3" t="s">
        <v>19</v>
      </c>
      <c r="G3255" s="3" t="s">
        <v>86</v>
      </c>
      <c r="H3255" s="3">
        <v>10.0</v>
      </c>
      <c r="I3255" s="3" t="s">
        <v>13326</v>
      </c>
      <c r="J3255" s="3" t="s">
        <v>22</v>
      </c>
      <c r="K3255" s="3" t="s">
        <v>58</v>
      </c>
      <c r="L3255" s="3" t="s">
        <v>182</v>
      </c>
      <c r="M3255" s="3" t="s">
        <v>1168</v>
      </c>
      <c r="N3255" s="3" t="s">
        <v>1169</v>
      </c>
      <c r="O3255" s="5">
        <v>28.4489057</v>
      </c>
      <c r="P3255" s="6" t="str">
        <f t="shared" si="2"/>
        <v>Entertainment</v>
      </c>
    </row>
    <row r="3256" hidden="1">
      <c r="A3256" s="3" t="s">
        <v>13330</v>
      </c>
      <c r="B3256" s="4">
        <v>540097.0</v>
      </c>
      <c r="C3256" s="3" t="s">
        <v>13331</v>
      </c>
      <c r="D3256" s="3" t="s">
        <v>13332</v>
      </c>
      <c r="E3256" s="3" t="s">
        <v>13331</v>
      </c>
      <c r="F3256" s="3" t="s">
        <v>19</v>
      </c>
      <c r="G3256" s="3" t="s">
        <v>72</v>
      </c>
      <c r="H3256" s="3">
        <v>2.0</v>
      </c>
      <c r="I3256" s="3" t="s">
        <v>13330</v>
      </c>
      <c r="J3256" s="3" t="s">
        <v>22</v>
      </c>
      <c r="K3256" s="3" t="s">
        <v>204</v>
      </c>
      <c r="L3256" s="3" t="s">
        <v>204</v>
      </c>
      <c r="M3256" s="3" t="s">
        <v>378</v>
      </c>
      <c r="N3256" s="3" t="s">
        <v>468</v>
      </c>
      <c r="O3256" s="5">
        <v>166.1288527</v>
      </c>
      <c r="P3256" s="6" t="str">
        <f t="shared" si="2"/>
        <v>Finance</v>
      </c>
    </row>
    <row r="3257" hidden="1">
      <c r="A3257" s="3" t="s">
        <v>13333</v>
      </c>
      <c r="B3257" s="4">
        <v>540108.0</v>
      </c>
      <c r="C3257" s="3" t="s">
        <v>13334</v>
      </c>
      <c r="D3257" s="3" t="s">
        <v>13335</v>
      </c>
      <c r="E3257" s="3" t="s">
        <v>13336</v>
      </c>
      <c r="F3257" s="3" t="s">
        <v>19</v>
      </c>
      <c r="G3257" s="3" t="s">
        <v>57</v>
      </c>
      <c r="H3257" s="3">
        <v>10.0</v>
      </c>
      <c r="I3257" s="3" t="s">
        <v>13333</v>
      </c>
      <c r="J3257" s="3" t="s">
        <v>22</v>
      </c>
      <c r="K3257" s="3" t="s">
        <v>145</v>
      </c>
      <c r="L3257" s="3" t="s">
        <v>145</v>
      </c>
      <c r="M3257" s="3" t="s">
        <v>2790</v>
      </c>
      <c r="N3257" s="3" t="s">
        <v>2791</v>
      </c>
      <c r="O3257" s="5">
        <v>2.872467</v>
      </c>
      <c r="P3257" s="6" t="str">
        <f t="shared" si="2"/>
        <v>Personal Products</v>
      </c>
    </row>
    <row r="3258">
      <c r="A3258" s="3" t="s">
        <v>13337</v>
      </c>
      <c r="B3258" s="4">
        <v>500378.0</v>
      </c>
      <c r="C3258" s="3" t="s">
        <v>13338</v>
      </c>
      <c r="D3258" s="3" t="s">
        <v>13339</v>
      </c>
      <c r="E3258" s="3" t="s">
        <v>13340</v>
      </c>
      <c r="F3258" s="3" t="s">
        <v>19</v>
      </c>
      <c r="G3258" s="3" t="s">
        <v>20</v>
      </c>
      <c r="H3258" s="3">
        <v>2.0</v>
      </c>
      <c r="I3258" s="3" t="s">
        <v>937</v>
      </c>
      <c r="J3258" s="3" t="s">
        <v>22</v>
      </c>
      <c r="K3258" s="3" t="s">
        <v>97</v>
      </c>
      <c r="L3258" s="3" t="s">
        <v>98</v>
      </c>
      <c r="M3258" s="3" t="s">
        <v>100</v>
      </c>
      <c r="N3258" s="3" t="s">
        <v>612</v>
      </c>
      <c r="O3258" s="5">
        <v>17692.2927955</v>
      </c>
      <c r="P3258" s="6" t="str">
        <f t="shared" si="2"/>
        <v>Industrial Products</v>
      </c>
    </row>
    <row r="3259" hidden="1">
      <c r="A3259" s="3" t="s">
        <v>13341</v>
      </c>
      <c r="B3259" s="4">
        <v>540124.0</v>
      </c>
      <c r="C3259" s="3" t="s">
        <v>13342</v>
      </c>
      <c r="D3259" s="3" t="s">
        <v>13343</v>
      </c>
      <c r="E3259" s="3" t="s">
        <v>13344</v>
      </c>
      <c r="F3259" s="3" t="s">
        <v>19</v>
      </c>
      <c r="G3259" s="3" t="s">
        <v>112</v>
      </c>
      <c r="H3259" s="3">
        <v>10.0</v>
      </c>
      <c r="I3259" s="3" t="s">
        <v>13341</v>
      </c>
      <c r="J3259" s="3" t="s">
        <v>22</v>
      </c>
      <c r="K3259" s="3" t="s">
        <v>58</v>
      </c>
      <c r="L3259" s="3" t="s">
        <v>133</v>
      </c>
      <c r="M3259" s="3" t="s">
        <v>134</v>
      </c>
      <c r="N3259" s="3" t="s">
        <v>135</v>
      </c>
      <c r="O3259" s="5">
        <v>1723.2993998</v>
      </c>
      <c r="P3259" s="6" t="str">
        <f t="shared" si="2"/>
        <v>Auto Components &amp; Equipments</v>
      </c>
    </row>
    <row r="3260" hidden="1">
      <c r="A3260" s="3" t="s">
        <v>13345</v>
      </c>
      <c r="B3260" s="4">
        <v>540125.0</v>
      </c>
      <c r="C3260" s="3" t="s">
        <v>13346</v>
      </c>
      <c r="D3260" s="3" t="s">
        <v>13347</v>
      </c>
      <c r="E3260" s="3" t="s">
        <v>13348</v>
      </c>
      <c r="F3260" s="3" t="s">
        <v>19</v>
      </c>
      <c r="G3260" s="3" t="s">
        <v>112</v>
      </c>
      <c r="H3260" s="3">
        <v>2.0</v>
      </c>
      <c r="I3260" s="3" t="s">
        <v>13345</v>
      </c>
      <c r="J3260" s="3" t="s">
        <v>22</v>
      </c>
      <c r="K3260" s="3" t="s">
        <v>58</v>
      </c>
      <c r="L3260" s="3" t="s">
        <v>211</v>
      </c>
      <c r="M3260" s="3" t="s">
        <v>211</v>
      </c>
      <c r="N3260" s="3" t="s">
        <v>947</v>
      </c>
      <c r="O3260" s="5">
        <v>706.3224166</v>
      </c>
      <c r="P3260" s="6" t="str">
        <f t="shared" si="2"/>
        <v>Consumer Durables</v>
      </c>
    </row>
    <row r="3261" hidden="1">
      <c r="A3261" s="3" t="s">
        <v>13349</v>
      </c>
      <c r="B3261" s="4">
        <v>512195.0</v>
      </c>
      <c r="C3261" s="3" t="s">
        <v>13350</v>
      </c>
      <c r="D3261" s="3" t="s">
        <v>13351</v>
      </c>
      <c r="E3261" s="3" t="s">
        <v>13352</v>
      </c>
      <c r="F3261" s="3" t="s">
        <v>19</v>
      </c>
      <c r="G3261" s="3" t="s">
        <v>1858</v>
      </c>
      <c r="H3261" s="3">
        <v>10.0</v>
      </c>
      <c r="I3261" s="3" t="s">
        <v>3724</v>
      </c>
      <c r="J3261" s="3" t="s">
        <v>22</v>
      </c>
      <c r="K3261" s="3" t="s">
        <v>1673</v>
      </c>
      <c r="L3261" s="3" t="s">
        <v>1673</v>
      </c>
      <c r="M3261" s="3" t="s">
        <v>1674</v>
      </c>
      <c r="N3261" s="3" t="s">
        <v>1675</v>
      </c>
      <c r="O3261" s="5">
        <v>1.0</v>
      </c>
      <c r="P3261" s="6" t="str">
        <f t="shared" si="2"/>
        <v>Commercial Services &amp; Supplies</v>
      </c>
    </row>
    <row r="3262">
      <c r="A3262" s="3" t="s">
        <v>10159</v>
      </c>
      <c r="B3262" s="4">
        <v>500411.0</v>
      </c>
      <c r="C3262" s="3" t="s">
        <v>13353</v>
      </c>
      <c r="D3262" s="3" t="s">
        <v>13354</v>
      </c>
      <c r="E3262" s="3" t="s">
        <v>13355</v>
      </c>
      <c r="F3262" s="3" t="s">
        <v>19</v>
      </c>
      <c r="G3262" s="3" t="s">
        <v>20</v>
      </c>
      <c r="H3262" s="3">
        <v>2.0</v>
      </c>
      <c r="I3262" s="3" t="s">
        <v>993</v>
      </c>
      <c r="J3262" s="3" t="s">
        <v>22</v>
      </c>
      <c r="K3262" s="3" t="s">
        <v>97</v>
      </c>
      <c r="L3262" s="3" t="s">
        <v>98</v>
      </c>
      <c r="M3262" s="3" t="s">
        <v>1747</v>
      </c>
      <c r="N3262" s="3" t="s">
        <v>1767</v>
      </c>
      <c r="O3262" s="5">
        <v>58881.9104685</v>
      </c>
      <c r="P3262" s="6" t="str">
        <f t="shared" si="2"/>
        <v>Heavy Electrical Equipment</v>
      </c>
    </row>
    <row r="3263" hidden="1">
      <c r="A3263" s="3" t="s">
        <v>13356</v>
      </c>
      <c r="B3263" s="4">
        <v>540134.0</v>
      </c>
      <c r="C3263" s="3" t="s">
        <v>13357</v>
      </c>
      <c r="D3263" s="3" t="s">
        <v>13358</v>
      </c>
      <c r="E3263" s="3" t="s">
        <v>13359</v>
      </c>
      <c r="F3263" s="3" t="s">
        <v>19</v>
      </c>
      <c r="G3263" s="3" t="s">
        <v>72</v>
      </c>
      <c r="H3263" s="3">
        <v>10.0</v>
      </c>
      <c r="I3263" s="3" t="s">
        <v>13356</v>
      </c>
      <c r="J3263" s="3" t="s">
        <v>22</v>
      </c>
      <c r="K3263" s="3" t="s">
        <v>97</v>
      </c>
      <c r="L3263" s="3" t="s">
        <v>965</v>
      </c>
      <c r="M3263" s="3" t="s">
        <v>965</v>
      </c>
      <c r="N3263" s="3" t="s">
        <v>966</v>
      </c>
      <c r="O3263" s="5">
        <v>1.0</v>
      </c>
      <c r="P3263" s="6" t="str">
        <f t="shared" si="2"/>
        <v>Civil Construction</v>
      </c>
    </row>
    <row r="3264" hidden="1">
      <c r="A3264" s="3" t="s">
        <v>13360</v>
      </c>
      <c r="B3264" s="4">
        <v>540135.0</v>
      </c>
      <c r="C3264" s="3" t="s">
        <v>13361</v>
      </c>
      <c r="D3264" s="3" t="s">
        <v>13362</v>
      </c>
      <c r="E3264" s="3" t="s">
        <v>13363</v>
      </c>
      <c r="F3264" s="3" t="s">
        <v>19</v>
      </c>
      <c r="G3264" s="3" t="s">
        <v>44</v>
      </c>
      <c r="H3264" s="3">
        <v>1.0</v>
      </c>
      <c r="I3264" s="3" t="s">
        <v>13360</v>
      </c>
      <c r="J3264" s="3" t="s">
        <v>22</v>
      </c>
      <c r="K3264" s="3" t="s">
        <v>204</v>
      </c>
      <c r="L3264" s="3" t="s">
        <v>204</v>
      </c>
      <c r="M3264" s="3" t="s">
        <v>378</v>
      </c>
      <c r="N3264" s="3" t="s">
        <v>468</v>
      </c>
      <c r="O3264" s="5">
        <v>59.0791463</v>
      </c>
      <c r="P3264" s="6" t="str">
        <f t="shared" si="2"/>
        <v>Finance</v>
      </c>
    </row>
    <row r="3265" hidden="1">
      <c r="A3265" s="3" t="s">
        <v>13364</v>
      </c>
      <c r="B3265" s="4">
        <v>540136.0</v>
      </c>
      <c r="C3265" s="3" t="s">
        <v>13365</v>
      </c>
      <c r="D3265" s="3" t="s">
        <v>13366</v>
      </c>
      <c r="E3265" s="3" t="s">
        <v>13367</v>
      </c>
      <c r="F3265" s="3" t="s">
        <v>19</v>
      </c>
      <c r="G3265" s="3" t="s">
        <v>112</v>
      </c>
      <c r="H3265" s="3">
        <v>10.0</v>
      </c>
      <c r="I3265" s="3" t="s">
        <v>13364</v>
      </c>
      <c r="J3265" s="3" t="s">
        <v>22</v>
      </c>
      <c r="K3265" s="3" t="s">
        <v>58</v>
      </c>
      <c r="L3265" s="3" t="s">
        <v>211</v>
      </c>
      <c r="M3265" s="3" t="s">
        <v>211</v>
      </c>
      <c r="N3265" s="3" t="s">
        <v>212</v>
      </c>
      <c r="O3265" s="5">
        <v>2862.4509567</v>
      </c>
      <c r="P3265" s="6" t="str">
        <f t="shared" si="2"/>
        <v>Consumer Durables</v>
      </c>
    </row>
    <row r="3266" hidden="1">
      <c r="A3266" s="3" t="s">
        <v>13368</v>
      </c>
      <c r="B3266" s="4">
        <v>540143.0</v>
      </c>
      <c r="C3266" s="3" t="s">
        <v>13369</v>
      </c>
      <c r="D3266" s="3" t="s">
        <v>13370</v>
      </c>
      <c r="E3266" s="3" t="s">
        <v>13371</v>
      </c>
      <c r="F3266" s="3" t="s">
        <v>19</v>
      </c>
      <c r="G3266" s="3" t="s">
        <v>44</v>
      </c>
      <c r="H3266" s="3">
        <v>10.0</v>
      </c>
      <c r="I3266" s="3" t="s">
        <v>13368</v>
      </c>
      <c r="J3266" s="3" t="s">
        <v>22</v>
      </c>
      <c r="K3266" s="3" t="s">
        <v>473</v>
      </c>
      <c r="L3266" s="3" t="s">
        <v>473</v>
      </c>
      <c r="M3266" s="3" t="s">
        <v>1391</v>
      </c>
      <c r="N3266" s="3" t="s">
        <v>1840</v>
      </c>
      <c r="O3266" s="5">
        <v>128.2521379</v>
      </c>
      <c r="P3266" s="6" t="str">
        <f t="shared" si="2"/>
        <v>Computers - Software &amp; Consulting</v>
      </c>
    </row>
    <row r="3267" hidden="1">
      <c r="A3267" s="3" t="s">
        <v>6391</v>
      </c>
      <c r="B3267" s="4">
        <v>512213.0</v>
      </c>
      <c r="C3267" s="3" t="s">
        <v>13372</v>
      </c>
      <c r="D3267" s="3" t="s">
        <v>13373</v>
      </c>
      <c r="E3267" s="3" t="s">
        <v>13374</v>
      </c>
      <c r="F3267" s="3" t="s">
        <v>19</v>
      </c>
      <c r="G3267" s="3" t="s">
        <v>72</v>
      </c>
      <c r="H3267" s="3">
        <v>10.0</v>
      </c>
      <c r="I3267" s="3" t="s">
        <v>3729</v>
      </c>
      <c r="J3267" s="3" t="s">
        <v>22</v>
      </c>
      <c r="K3267" s="3" t="s">
        <v>1673</v>
      </c>
      <c r="L3267" s="3" t="s">
        <v>1673</v>
      </c>
      <c r="M3267" s="3" t="s">
        <v>1674</v>
      </c>
      <c r="N3267" s="3" t="s">
        <v>1915</v>
      </c>
      <c r="O3267" s="5">
        <v>1.0</v>
      </c>
      <c r="P3267" s="6" t="str">
        <f t="shared" si="2"/>
        <v>Commercial Services &amp; Supplies</v>
      </c>
    </row>
    <row r="3268" hidden="1">
      <c r="A3268" s="3" t="s">
        <v>13375</v>
      </c>
      <c r="B3268" s="4">
        <v>540145.0</v>
      </c>
      <c r="C3268" s="3" t="s">
        <v>13376</v>
      </c>
      <c r="D3268" s="3" t="s">
        <v>13377</v>
      </c>
      <c r="E3268" s="3" t="s">
        <v>13378</v>
      </c>
      <c r="F3268" s="3" t="s">
        <v>19</v>
      </c>
      <c r="G3268" s="3" t="s">
        <v>112</v>
      </c>
      <c r="H3268" s="3">
        <v>10.0</v>
      </c>
      <c r="I3268" s="3" t="s">
        <v>13375</v>
      </c>
      <c r="J3268" s="3" t="s">
        <v>22</v>
      </c>
      <c r="K3268" s="3" t="s">
        <v>23</v>
      </c>
      <c r="L3268" s="3" t="s">
        <v>24</v>
      </c>
      <c r="M3268" s="3" t="s">
        <v>25</v>
      </c>
      <c r="N3268" s="3" t="s">
        <v>26</v>
      </c>
      <c r="O3268" s="5">
        <v>1132.8829103</v>
      </c>
      <c r="P3268" s="6" t="str">
        <f t="shared" si="2"/>
        <v>Specialty Chemicals</v>
      </c>
    </row>
    <row r="3269" hidden="1">
      <c r="A3269" s="3" t="s">
        <v>13379</v>
      </c>
      <c r="B3269" s="4">
        <v>540146.0</v>
      </c>
      <c r="C3269" s="3" t="s">
        <v>13380</v>
      </c>
      <c r="D3269" s="3" t="s">
        <v>13381</v>
      </c>
      <c r="E3269" s="3" t="s">
        <v>13382</v>
      </c>
      <c r="F3269" s="3" t="s">
        <v>19</v>
      </c>
      <c r="G3269" s="3" t="s">
        <v>2428</v>
      </c>
      <c r="H3269" s="3">
        <v>10.0</v>
      </c>
      <c r="I3269" s="3" t="s">
        <v>13379</v>
      </c>
      <c r="J3269" s="3" t="s">
        <v>22</v>
      </c>
      <c r="K3269" s="3" t="s">
        <v>58</v>
      </c>
      <c r="L3269" s="3" t="s">
        <v>73</v>
      </c>
      <c r="M3269" s="3" t="s">
        <v>988</v>
      </c>
      <c r="N3269" s="3" t="s">
        <v>1509</v>
      </c>
      <c r="O3269" s="5">
        <v>126.371401</v>
      </c>
      <c r="P3269" s="6" t="str">
        <f t="shared" si="2"/>
        <v>Retailing</v>
      </c>
    </row>
    <row r="3270" hidden="1">
      <c r="A3270" s="3" t="s">
        <v>13383</v>
      </c>
      <c r="B3270" s="4">
        <v>540147.0</v>
      </c>
      <c r="C3270" s="3" t="s">
        <v>13384</v>
      </c>
      <c r="D3270" s="3" t="s">
        <v>13385</v>
      </c>
      <c r="E3270" s="3" t="s">
        <v>13386</v>
      </c>
      <c r="F3270" s="3" t="s">
        <v>19</v>
      </c>
      <c r="G3270" s="3" t="s">
        <v>112</v>
      </c>
      <c r="H3270" s="3">
        <v>2.0</v>
      </c>
      <c r="I3270" s="3" t="s">
        <v>13383</v>
      </c>
      <c r="J3270" s="3" t="s">
        <v>22</v>
      </c>
      <c r="K3270" s="3" t="s">
        <v>97</v>
      </c>
      <c r="L3270" s="3" t="s">
        <v>965</v>
      </c>
      <c r="M3270" s="3" t="s">
        <v>965</v>
      </c>
      <c r="N3270" s="3" t="s">
        <v>966</v>
      </c>
      <c r="O3270" s="5">
        <v>37.2412087</v>
      </c>
      <c r="P3270" s="6" t="str">
        <f t="shared" si="2"/>
        <v>Civil Construction</v>
      </c>
    </row>
    <row r="3271" hidden="1">
      <c r="A3271" s="3" t="s">
        <v>13387</v>
      </c>
      <c r="B3271" s="4">
        <v>540148.0</v>
      </c>
      <c r="C3271" s="3" t="s">
        <v>13388</v>
      </c>
      <c r="D3271" s="3" t="s">
        <v>13389</v>
      </c>
      <c r="E3271" s="3" t="s">
        <v>13390</v>
      </c>
      <c r="F3271" s="3" t="s">
        <v>19</v>
      </c>
      <c r="G3271" s="3" t="s">
        <v>6293</v>
      </c>
      <c r="H3271" s="3">
        <v>10.0</v>
      </c>
      <c r="I3271" s="3" t="s">
        <v>13387</v>
      </c>
      <c r="J3271" s="3" t="s">
        <v>22</v>
      </c>
      <c r="K3271" s="3" t="s">
        <v>58</v>
      </c>
      <c r="L3271" s="3" t="s">
        <v>211</v>
      </c>
      <c r="M3271" s="3" t="s">
        <v>211</v>
      </c>
      <c r="N3271" s="3" t="s">
        <v>947</v>
      </c>
      <c r="O3271" s="5">
        <v>10.3969</v>
      </c>
      <c r="P3271" s="6" t="str">
        <f t="shared" si="2"/>
        <v>Consumer Durables</v>
      </c>
    </row>
    <row r="3272" hidden="1">
      <c r="A3272" s="3" t="s">
        <v>13391</v>
      </c>
      <c r="B3272" s="4">
        <v>540151.0</v>
      </c>
      <c r="C3272" s="3" t="s">
        <v>13392</v>
      </c>
      <c r="D3272" s="3" t="s">
        <v>13393</v>
      </c>
      <c r="E3272" s="3" t="s">
        <v>13394</v>
      </c>
      <c r="F3272" s="3" t="s">
        <v>19</v>
      </c>
      <c r="G3272" s="3" t="s">
        <v>6293</v>
      </c>
      <c r="H3272" s="3">
        <v>10.0</v>
      </c>
      <c r="I3272" s="3" t="s">
        <v>13391</v>
      </c>
      <c r="J3272" s="3" t="s">
        <v>22</v>
      </c>
      <c r="K3272" s="3" t="s">
        <v>58</v>
      </c>
      <c r="L3272" s="3" t="s">
        <v>182</v>
      </c>
      <c r="M3272" s="3" t="s">
        <v>1168</v>
      </c>
      <c r="N3272" s="3" t="s">
        <v>1568</v>
      </c>
      <c r="O3272" s="5">
        <v>229.8117</v>
      </c>
      <c r="P3272" s="6" t="str">
        <f t="shared" si="2"/>
        <v>Entertainment</v>
      </c>
    </row>
    <row r="3273">
      <c r="A3273" s="3" t="s">
        <v>2670</v>
      </c>
      <c r="B3273" s="4">
        <v>500472.0</v>
      </c>
      <c r="C3273" s="3" t="s">
        <v>13395</v>
      </c>
      <c r="D3273" s="3" t="s">
        <v>13396</v>
      </c>
      <c r="E3273" s="3" t="s">
        <v>13397</v>
      </c>
      <c r="F3273" s="3" t="s">
        <v>19</v>
      </c>
      <c r="G3273" s="3" t="s">
        <v>20</v>
      </c>
      <c r="H3273" s="3">
        <v>10.0</v>
      </c>
      <c r="I3273" s="3" t="s">
        <v>1096</v>
      </c>
      <c r="J3273" s="3" t="s">
        <v>22</v>
      </c>
      <c r="K3273" s="3" t="s">
        <v>97</v>
      </c>
      <c r="L3273" s="3" t="s">
        <v>98</v>
      </c>
      <c r="M3273" s="3" t="s">
        <v>100</v>
      </c>
      <c r="N3273" s="3" t="s">
        <v>2079</v>
      </c>
      <c r="O3273" s="5">
        <v>31924.82835</v>
      </c>
      <c r="P3273" s="6" t="str">
        <f t="shared" si="2"/>
        <v>Industrial Products</v>
      </c>
    </row>
    <row r="3274" hidden="1">
      <c r="A3274" s="3" t="s">
        <v>13398</v>
      </c>
      <c r="B3274" s="4">
        <v>540159.0</v>
      </c>
      <c r="C3274" s="3" t="s">
        <v>13399</v>
      </c>
      <c r="D3274" s="3" t="s">
        <v>13400</v>
      </c>
      <c r="E3274" s="3" t="s">
        <v>13401</v>
      </c>
      <c r="F3274" s="3" t="s">
        <v>19</v>
      </c>
      <c r="G3274" s="3" t="s">
        <v>72</v>
      </c>
      <c r="H3274" s="3">
        <v>10.0</v>
      </c>
      <c r="I3274" s="3" t="s">
        <v>13398</v>
      </c>
      <c r="J3274" s="3" t="s">
        <v>22</v>
      </c>
      <c r="K3274" s="3" t="s">
        <v>58</v>
      </c>
      <c r="L3274" s="3" t="s">
        <v>182</v>
      </c>
      <c r="M3274" s="3" t="s">
        <v>1168</v>
      </c>
      <c r="N3274" s="3" t="s">
        <v>1568</v>
      </c>
      <c r="O3274" s="5">
        <v>4.2042283</v>
      </c>
      <c r="P3274" s="6" t="str">
        <f t="shared" si="2"/>
        <v>Entertainment</v>
      </c>
    </row>
    <row r="3275" hidden="1">
      <c r="A3275" s="3" t="s">
        <v>13402</v>
      </c>
      <c r="B3275" s="4">
        <v>540168.0</v>
      </c>
      <c r="C3275" s="3" t="s">
        <v>13403</v>
      </c>
      <c r="D3275" s="3" t="s">
        <v>13404</v>
      </c>
      <c r="E3275" s="3" t="s">
        <v>13405</v>
      </c>
      <c r="F3275" s="3" t="s">
        <v>19</v>
      </c>
      <c r="G3275" s="3" t="s">
        <v>44</v>
      </c>
      <c r="H3275" s="3">
        <v>10.0</v>
      </c>
      <c r="I3275" s="3" t="s">
        <v>13402</v>
      </c>
      <c r="J3275" s="3" t="s">
        <v>22</v>
      </c>
      <c r="K3275" s="3" t="s">
        <v>204</v>
      </c>
      <c r="L3275" s="3" t="s">
        <v>204</v>
      </c>
      <c r="M3275" s="3" t="s">
        <v>378</v>
      </c>
      <c r="N3275" s="3" t="s">
        <v>379</v>
      </c>
      <c r="O3275" s="5">
        <v>83.13969</v>
      </c>
      <c r="P3275" s="6" t="str">
        <f t="shared" si="2"/>
        <v>Non Banking Financial Company (NBFC)</v>
      </c>
    </row>
    <row r="3276">
      <c r="A3276" s="3" t="s">
        <v>10164</v>
      </c>
      <c r="B3276" s="4">
        <v>500477.0</v>
      </c>
      <c r="C3276" s="3" t="s">
        <v>13406</v>
      </c>
      <c r="D3276" s="3" t="s">
        <v>13407</v>
      </c>
      <c r="E3276" s="3" t="s">
        <v>13408</v>
      </c>
      <c r="F3276" s="3" t="s">
        <v>19</v>
      </c>
      <c r="G3276" s="3" t="s">
        <v>20</v>
      </c>
      <c r="H3276" s="3">
        <v>1.0</v>
      </c>
      <c r="I3276" s="3" t="s">
        <v>1101</v>
      </c>
      <c r="J3276" s="3" t="s">
        <v>22</v>
      </c>
      <c r="K3276" s="3" t="s">
        <v>97</v>
      </c>
      <c r="L3276" s="3" t="s">
        <v>98</v>
      </c>
      <c r="M3276" s="3" t="s">
        <v>1993</v>
      </c>
      <c r="N3276" s="3" t="s">
        <v>1994</v>
      </c>
      <c r="O3276" s="5">
        <v>68066.13375</v>
      </c>
      <c r="P3276" s="6" t="str">
        <f t="shared" si="2"/>
        <v>Agricultural, Commercial &amp; Construction Vehicles</v>
      </c>
    </row>
    <row r="3277" hidden="1">
      <c r="A3277" s="3" t="s">
        <v>13409</v>
      </c>
      <c r="B3277" s="4">
        <v>540174.0</v>
      </c>
      <c r="C3277" s="3" t="s">
        <v>13410</v>
      </c>
      <c r="D3277" s="3" t="s">
        <v>13411</v>
      </c>
      <c r="E3277" s="3" t="s">
        <v>13412</v>
      </c>
      <c r="F3277" s="3" t="s">
        <v>19</v>
      </c>
      <c r="G3277" s="3" t="s">
        <v>44</v>
      </c>
      <c r="H3277" s="3">
        <v>10.0</v>
      </c>
      <c r="I3277" s="3" t="s">
        <v>13409</v>
      </c>
      <c r="J3277" s="3" t="s">
        <v>22</v>
      </c>
      <c r="K3277" s="3" t="s">
        <v>473</v>
      </c>
      <c r="L3277" s="3" t="s">
        <v>473</v>
      </c>
      <c r="M3277" s="3" t="s">
        <v>1391</v>
      </c>
      <c r="N3277" s="3" t="s">
        <v>1840</v>
      </c>
      <c r="O3277" s="5">
        <v>1.0</v>
      </c>
      <c r="P3277" s="6" t="str">
        <f t="shared" si="2"/>
        <v>Computers - Software &amp; Consulting</v>
      </c>
    </row>
    <row r="3278" hidden="1">
      <c r="A3278" s="3" t="s">
        <v>13413</v>
      </c>
      <c r="B3278" s="4">
        <v>540175.0</v>
      </c>
      <c r="C3278" s="3" t="s">
        <v>13414</v>
      </c>
      <c r="D3278" s="3" t="s">
        <v>13415</v>
      </c>
      <c r="E3278" s="3" t="s">
        <v>13416</v>
      </c>
      <c r="F3278" s="3" t="s">
        <v>19</v>
      </c>
      <c r="G3278" s="3" t="s">
        <v>44</v>
      </c>
      <c r="H3278" s="3">
        <v>10.0</v>
      </c>
      <c r="I3278" s="3" t="s">
        <v>13413</v>
      </c>
      <c r="J3278" s="3" t="s">
        <v>22</v>
      </c>
      <c r="K3278" s="3" t="s">
        <v>204</v>
      </c>
      <c r="L3278" s="3" t="s">
        <v>204</v>
      </c>
      <c r="M3278" s="3" t="s">
        <v>378</v>
      </c>
      <c r="N3278" s="3" t="s">
        <v>468</v>
      </c>
      <c r="O3278" s="5">
        <v>53.7225394</v>
      </c>
      <c r="P3278" s="6" t="str">
        <f t="shared" si="2"/>
        <v>Finance</v>
      </c>
    </row>
    <row r="3279">
      <c r="A3279" s="3" t="s">
        <v>9389</v>
      </c>
      <c r="B3279" s="4">
        <v>500480.0</v>
      </c>
      <c r="C3279" s="3" t="s">
        <v>13417</v>
      </c>
      <c r="D3279" s="3" t="s">
        <v>13418</v>
      </c>
      <c r="E3279" s="3" t="s">
        <v>13419</v>
      </c>
      <c r="F3279" s="3" t="s">
        <v>19</v>
      </c>
      <c r="G3279" s="3" t="s">
        <v>20</v>
      </c>
      <c r="H3279" s="3">
        <v>2.0</v>
      </c>
      <c r="I3279" s="3" t="s">
        <v>1106</v>
      </c>
      <c r="J3279" s="3" t="s">
        <v>22</v>
      </c>
      <c r="K3279" s="3" t="s">
        <v>97</v>
      </c>
      <c r="L3279" s="3" t="s">
        <v>98</v>
      </c>
      <c r="M3279" s="3" t="s">
        <v>100</v>
      </c>
      <c r="N3279" s="3" t="s">
        <v>983</v>
      </c>
      <c r="O3279" s="5">
        <v>109109.9897924</v>
      </c>
      <c r="P3279" s="6" t="str">
        <f t="shared" si="2"/>
        <v>Industrial Products</v>
      </c>
    </row>
    <row r="3280" hidden="1">
      <c r="A3280" s="3" t="s">
        <v>13420</v>
      </c>
      <c r="B3280" s="4">
        <v>540181.0</v>
      </c>
      <c r="C3280" s="3" t="s">
        <v>13421</v>
      </c>
      <c r="D3280" s="3" t="s">
        <v>13422</v>
      </c>
      <c r="E3280" s="3" t="s">
        <v>13423</v>
      </c>
      <c r="F3280" s="3" t="s">
        <v>19</v>
      </c>
      <c r="G3280" s="3" t="s">
        <v>72</v>
      </c>
      <c r="H3280" s="3">
        <v>1.0</v>
      </c>
      <c r="I3280" s="3" t="s">
        <v>13420</v>
      </c>
      <c r="J3280" s="3" t="s">
        <v>22</v>
      </c>
      <c r="K3280" s="3" t="s">
        <v>204</v>
      </c>
      <c r="L3280" s="3" t="s">
        <v>204</v>
      </c>
      <c r="M3280" s="3" t="s">
        <v>378</v>
      </c>
      <c r="N3280" s="3" t="s">
        <v>379</v>
      </c>
      <c r="O3280" s="5">
        <v>55.3494067</v>
      </c>
      <c r="P3280" s="6" t="str">
        <f t="shared" si="2"/>
        <v>Non Banking Financial Company (NBFC)</v>
      </c>
    </row>
    <row r="3281" hidden="1">
      <c r="A3281" s="3" t="s">
        <v>13424</v>
      </c>
      <c r="B3281" s="4">
        <v>512245.0</v>
      </c>
      <c r="C3281" s="3" t="s">
        <v>13425</v>
      </c>
      <c r="D3281" s="3" t="s">
        <v>13426</v>
      </c>
      <c r="E3281" s="3" t="s">
        <v>13427</v>
      </c>
      <c r="F3281" s="3" t="s">
        <v>19</v>
      </c>
      <c r="G3281" s="3" t="s">
        <v>1858</v>
      </c>
      <c r="H3281" s="3">
        <v>10.0</v>
      </c>
      <c r="I3281" s="3" t="s">
        <v>3751</v>
      </c>
      <c r="J3281" s="3" t="s">
        <v>22</v>
      </c>
      <c r="K3281" s="3" t="s">
        <v>1673</v>
      </c>
      <c r="L3281" s="3" t="s">
        <v>1673</v>
      </c>
      <c r="M3281" s="3" t="s">
        <v>1674</v>
      </c>
      <c r="N3281" s="3" t="s">
        <v>1675</v>
      </c>
      <c r="O3281" s="5">
        <v>1.0</v>
      </c>
      <c r="P3281" s="6" t="str">
        <f t="shared" si="2"/>
        <v>Commercial Services &amp; Supplies</v>
      </c>
    </row>
    <row r="3282" hidden="1">
      <c r="A3282" s="3" t="s">
        <v>13428</v>
      </c>
      <c r="B3282" s="4">
        <v>540192.0</v>
      </c>
      <c r="C3282" s="3" t="s">
        <v>13429</v>
      </c>
      <c r="D3282" s="3" t="s">
        <v>13430</v>
      </c>
      <c r="E3282" s="3" t="s">
        <v>13431</v>
      </c>
      <c r="F3282" s="3" t="s">
        <v>19</v>
      </c>
      <c r="G3282" s="3" t="s">
        <v>72</v>
      </c>
      <c r="H3282" s="3">
        <v>2.0</v>
      </c>
      <c r="I3282" s="3" t="s">
        <v>13428</v>
      </c>
      <c r="J3282" s="3" t="s">
        <v>22</v>
      </c>
      <c r="K3282" s="3" t="s">
        <v>204</v>
      </c>
      <c r="L3282" s="3" t="s">
        <v>204</v>
      </c>
      <c r="M3282" s="3" t="s">
        <v>205</v>
      </c>
      <c r="N3282" s="3" t="s">
        <v>2109</v>
      </c>
      <c r="O3282" s="5">
        <v>173.9662857</v>
      </c>
      <c r="P3282" s="6" t="str">
        <f t="shared" si="2"/>
        <v>Capital Markets</v>
      </c>
    </row>
    <row r="3283" hidden="1">
      <c r="A3283" s="3" t="s">
        <v>13432</v>
      </c>
      <c r="B3283" s="4">
        <v>540198.0</v>
      </c>
      <c r="C3283" s="3" t="s">
        <v>13433</v>
      </c>
      <c r="D3283" s="3" t="s">
        <v>13434</v>
      </c>
      <c r="E3283" s="3" t="s">
        <v>13435</v>
      </c>
      <c r="F3283" s="3" t="s">
        <v>19</v>
      </c>
      <c r="G3283" s="3" t="s">
        <v>44</v>
      </c>
      <c r="H3283" s="3">
        <v>10.0</v>
      </c>
      <c r="I3283" s="3" t="s">
        <v>13432</v>
      </c>
      <c r="J3283" s="3" t="s">
        <v>22</v>
      </c>
      <c r="K3283" s="3" t="s">
        <v>58</v>
      </c>
      <c r="L3283" s="3" t="s">
        <v>80</v>
      </c>
      <c r="M3283" s="3" t="s">
        <v>81</v>
      </c>
      <c r="N3283" s="3" t="s">
        <v>82</v>
      </c>
      <c r="O3283" s="5">
        <v>21.2059069</v>
      </c>
      <c r="P3283" s="6" t="str">
        <f t="shared" si="2"/>
        <v>Textiles &amp; Apparels</v>
      </c>
    </row>
    <row r="3284" hidden="1">
      <c r="A3284" s="3" t="s">
        <v>13436</v>
      </c>
      <c r="B3284" s="4">
        <v>540199.0</v>
      </c>
      <c r="C3284" s="3" t="s">
        <v>13437</v>
      </c>
      <c r="D3284" s="3" t="s">
        <v>13438</v>
      </c>
      <c r="E3284" s="3" t="s">
        <v>13439</v>
      </c>
      <c r="F3284" s="3" t="s">
        <v>19</v>
      </c>
      <c r="G3284" s="3" t="s">
        <v>44</v>
      </c>
      <c r="H3284" s="3">
        <v>10.0</v>
      </c>
      <c r="I3284" s="3" t="s">
        <v>13436</v>
      </c>
      <c r="J3284" s="3" t="s">
        <v>22</v>
      </c>
      <c r="K3284" s="3" t="s">
        <v>204</v>
      </c>
      <c r="L3284" s="3" t="s">
        <v>204</v>
      </c>
      <c r="M3284" s="3" t="s">
        <v>378</v>
      </c>
      <c r="N3284" s="3" t="s">
        <v>468</v>
      </c>
      <c r="O3284" s="5">
        <v>1.0</v>
      </c>
      <c r="P3284" s="6" t="str">
        <f t="shared" si="2"/>
        <v>Finance</v>
      </c>
    </row>
    <row r="3285">
      <c r="A3285" s="3" t="s">
        <v>2712</v>
      </c>
      <c r="B3285" s="4">
        <v>500495.0</v>
      </c>
      <c r="C3285" s="3" t="s">
        <v>13440</v>
      </c>
      <c r="D3285" s="3" t="s">
        <v>13441</v>
      </c>
      <c r="E3285" s="3" t="s">
        <v>13442</v>
      </c>
      <c r="F3285" s="3" t="s">
        <v>19</v>
      </c>
      <c r="G3285" s="3" t="s">
        <v>20</v>
      </c>
      <c r="H3285" s="3">
        <v>10.0</v>
      </c>
      <c r="I3285" s="3" t="s">
        <v>1130</v>
      </c>
      <c r="J3285" s="3" t="s">
        <v>22</v>
      </c>
      <c r="K3285" s="3" t="s">
        <v>97</v>
      </c>
      <c r="L3285" s="3" t="s">
        <v>98</v>
      </c>
      <c r="M3285" s="3" t="s">
        <v>1993</v>
      </c>
      <c r="N3285" s="3" t="s">
        <v>8334</v>
      </c>
      <c r="O3285" s="5">
        <v>44795.4183202</v>
      </c>
      <c r="P3285" s="6" t="str">
        <f t="shared" si="2"/>
        <v>Agricultural, Commercial &amp; Construction Vehicles</v>
      </c>
    </row>
    <row r="3286" hidden="1">
      <c r="A3286" s="3" t="s">
        <v>13443</v>
      </c>
      <c r="B3286" s="4">
        <v>540204.0</v>
      </c>
      <c r="C3286" s="3" t="s">
        <v>13444</v>
      </c>
      <c r="D3286" s="3" t="s">
        <v>13445</v>
      </c>
      <c r="E3286" s="3" t="s">
        <v>13446</v>
      </c>
      <c r="F3286" s="3" t="s">
        <v>19</v>
      </c>
      <c r="G3286" s="3" t="s">
        <v>44</v>
      </c>
      <c r="H3286" s="3">
        <v>10.0</v>
      </c>
      <c r="I3286" s="3" t="s">
        <v>13443</v>
      </c>
      <c r="J3286" s="3" t="s">
        <v>22</v>
      </c>
      <c r="K3286" s="3" t="s">
        <v>23</v>
      </c>
      <c r="L3286" s="3" t="s">
        <v>24</v>
      </c>
      <c r="M3286" s="3" t="s">
        <v>25</v>
      </c>
      <c r="N3286" s="3" t="s">
        <v>26</v>
      </c>
      <c r="O3286" s="5">
        <v>66.6067313</v>
      </c>
      <c r="P3286" s="6" t="str">
        <f t="shared" si="2"/>
        <v>Specialty Chemicals</v>
      </c>
    </row>
    <row r="3287">
      <c r="A3287" s="3" t="s">
        <v>2748</v>
      </c>
      <c r="B3287" s="4">
        <v>500510.0</v>
      </c>
      <c r="C3287" s="3" t="s">
        <v>13447</v>
      </c>
      <c r="D3287" s="3" t="s">
        <v>13448</v>
      </c>
      <c r="E3287" s="3" t="s">
        <v>13449</v>
      </c>
      <c r="F3287" s="3" t="s">
        <v>19</v>
      </c>
      <c r="G3287" s="3" t="s">
        <v>20</v>
      </c>
      <c r="H3287" s="3">
        <v>2.0</v>
      </c>
      <c r="I3287" s="3" t="s">
        <v>1139</v>
      </c>
      <c r="J3287" s="3" t="s">
        <v>22</v>
      </c>
      <c r="K3287" s="3" t="s">
        <v>97</v>
      </c>
      <c r="L3287" s="3" t="s">
        <v>965</v>
      </c>
      <c r="M3287" s="3" t="s">
        <v>965</v>
      </c>
      <c r="N3287" s="3" t="s">
        <v>966</v>
      </c>
      <c r="O3287" s="5">
        <v>500145.3141</v>
      </c>
      <c r="P3287" s="6" t="str">
        <f t="shared" si="2"/>
        <v>Civil Construction</v>
      </c>
    </row>
    <row r="3288" hidden="1">
      <c r="A3288" s="3" t="s">
        <v>13450</v>
      </c>
      <c r="B3288" s="4">
        <v>540210.0</v>
      </c>
      <c r="C3288" s="3" t="s">
        <v>13451</v>
      </c>
      <c r="D3288" s="3" t="s">
        <v>13452</v>
      </c>
      <c r="E3288" s="3" t="s">
        <v>13453</v>
      </c>
      <c r="F3288" s="3" t="s">
        <v>19</v>
      </c>
      <c r="G3288" s="3" t="s">
        <v>86</v>
      </c>
      <c r="H3288" s="3">
        <v>10.0</v>
      </c>
      <c r="I3288" s="3" t="s">
        <v>13450</v>
      </c>
      <c r="J3288" s="3" t="s">
        <v>22</v>
      </c>
      <c r="K3288" s="3" t="s">
        <v>58</v>
      </c>
      <c r="L3288" s="3" t="s">
        <v>80</v>
      </c>
      <c r="M3288" s="3" t="s">
        <v>81</v>
      </c>
      <c r="N3288" s="3" t="s">
        <v>2471</v>
      </c>
      <c r="O3288" s="5">
        <v>25.7918433</v>
      </c>
      <c r="P3288" s="6" t="str">
        <f t="shared" si="2"/>
        <v>Textiles &amp; Apparels</v>
      </c>
    </row>
    <row r="3289" hidden="1">
      <c r="A3289" s="3" t="s">
        <v>1688</v>
      </c>
      <c r="B3289" s="4">
        <v>512261.0</v>
      </c>
      <c r="C3289" s="3" t="s">
        <v>13454</v>
      </c>
      <c r="D3289" s="3" t="s">
        <v>13455</v>
      </c>
      <c r="E3289" s="3" t="s">
        <v>13456</v>
      </c>
      <c r="F3289" s="3" t="s">
        <v>19</v>
      </c>
      <c r="G3289" s="3" t="s">
        <v>72</v>
      </c>
      <c r="H3289" s="3">
        <v>10.0</v>
      </c>
      <c r="I3289" s="3" t="s">
        <v>3762</v>
      </c>
      <c r="J3289" s="3" t="s">
        <v>22</v>
      </c>
      <c r="K3289" s="3" t="s">
        <v>1673</v>
      </c>
      <c r="L3289" s="3" t="s">
        <v>1673</v>
      </c>
      <c r="M3289" s="3" t="s">
        <v>1674</v>
      </c>
      <c r="N3289" s="3" t="s">
        <v>1915</v>
      </c>
      <c r="O3289" s="5">
        <v>1.0</v>
      </c>
      <c r="P3289" s="6" t="str">
        <f t="shared" si="2"/>
        <v>Commercial Services &amp; Supplies</v>
      </c>
    </row>
    <row r="3290" hidden="1">
      <c r="A3290" s="3" t="s">
        <v>13457</v>
      </c>
      <c r="B3290" s="4">
        <v>512271.0</v>
      </c>
      <c r="C3290" s="3" t="s">
        <v>13458</v>
      </c>
      <c r="D3290" s="3" t="s">
        <v>13459</v>
      </c>
      <c r="E3290" s="3" t="s">
        <v>13460</v>
      </c>
      <c r="F3290" s="3" t="s">
        <v>19</v>
      </c>
      <c r="G3290" s="3" t="s">
        <v>72</v>
      </c>
      <c r="H3290" s="3">
        <v>10.0</v>
      </c>
      <c r="I3290" s="3" t="s">
        <v>3771</v>
      </c>
      <c r="J3290" s="3" t="s">
        <v>22</v>
      </c>
      <c r="K3290" s="3" t="s">
        <v>1673</v>
      </c>
      <c r="L3290" s="3" t="s">
        <v>1673</v>
      </c>
      <c r="M3290" s="3" t="s">
        <v>1674</v>
      </c>
      <c r="N3290" s="3" t="s">
        <v>1675</v>
      </c>
      <c r="O3290" s="5">
        <v>1.0</v>
      </c>
      <c r="P3290" s="6" t="str">
        <f t="shared" si="2"/>
        <v>Commercial Services &amp; Supplies</v>
      </c>
    </row>
    <row r="3291">
      <c r="A3291" s="3" t="s">
        <v>11511</v>
      </c>
      <c r="B3291" s="4">
        <v>500550.0</v>
      </c>
      <c r="C3291" s="3" t="s">
        <v>13461</v>
      </c>
      <c r="D3291" s="3" t="s">
        <v>13462</v>
      </c>
      <c r="E3291" s="3" t="s">
        <v>13463</v>
      </c>
      <c r="F3291" s="3" t="s">
        <v>19</v>
      </c>
      <c r="G3291" s="3" t="s">
        <v>20</v>
      </c>
      <c r="H3291" s="3">
        <v>2.0</v>
      </c>
      <c r="I3291" s="3" t="s">
        <v>1163</v>
      </c>
      <c r="J3291" s="3" t="s">
        <v>22</v>
      </c>
      <c r="K3291" s="3" t="s">
        <v>97</v>
      </c>
      <c r="L3291" s="3" t="s">
        <v>98</v>
      </c>
      <c r="M3291" s="3" t="s">
        <v>1747</v>
      </c>
      <c r="N3291" s="3" t="s">
        <v>1767</v>
      </c>
      <c r="O3291" s="5">
        <v>274737.12014</v>
      </c>
      <c r="P3291" s="6" t="str">
        <f t="shared" si="2"/>
        <v>Heavy Electrical Equipment</v>
      </c>
    </row>
    <row r="3292" hidden="1">
      <c r="A3292" s="3" t="s">
        <v>13464</v>
      </c>
      <c r="B3292" s="4">
        <v>512277.0</v>
      </c>
      <c r="C3292" s="3" t="s">
        <v>13465</v>
      </c>
      <c r="D3292" s="3" t="s">
        <v>13466</v>
      </c>
      <c r="E3292" s="3" t="s">
        <v>13467</v>
      </c>
      <c r="F3292" s="3" t="s">
        <v>19</v>
      </c>
      <c r="G3292" s="3" t="s">
        <v>72</v>
      </c>
      <c r="H3292" s="3">
        <v>10.0</v>
      </c>
      <c r="I3292" s="3" t="s">
        <v>3776</v>
      </c>
      <c r="J3292" s="3" t="s">
        <v>22</v>
      </c>
      <c r="K3292" s="3" t="s">
        <v>1673</v>
      </c>
      <c r="L3292" s="3" t="s">
        <v>1673</v>
      </c>
      <c r="M3292" s="3" t="s">
        <v>1689</v>
      </c>
      <c r="N3292" s="3" t="s">
        <v>1690</v>
      </c>
      <c r="O3292" s="5">
        <v>1.0</v>
      </c>
      <c r="P3292" s="6" t="str">
        <f t="shared" si="2"/>
        <v>Transport Services</v>
      </c>
    </row>
    <row r="3293" hidden="1">
      <c r="A3293" s="3" t="s">
        <v>13468</v>
      </c>
      <c r="B3293" s="4">
        <v>540252.0</v>
      </c>
      <c r="C3293" s="3" t="s">
        <v>13469</v>
      </c>
      <c r="D3293" s="3" t="s">
        <v>13470</v>
      </c>
      <c r="E3293" s="3" t="s">
        <v>13471</v>
      </c>
      <c r="F3293" s="3" t="s">
        <v>19</v>
      </c>
      <c r="G3293" s="3" t="s">
        <v>112</v>
      </c>
      <c r="H3293" s="3">
        <v>2.0</v>
      </c>
      <c r="I3293" s="3" t="s">
        <v>13468</v>
      </c>
      <c r="J3293" s="3" t="s">
        <v>22</v>
      </c>
      <c r="K3293" s="3" t="s">
        <v>58</v>
      </c>
      <c r="L3293" s="3" t="s">
        <v>211</v>
      </c>
      <c r="M3293" s="3" t="s">
        <v>211</v>
      </c>
      <c r="N3293" s="3" t="s">
        <v>947</v>
      </c>
      <c r="O3293" s="5">
        <v>67.10234</v>
      </c>
      <c r="P3293" s="6" t="str">
        <f t="shared" si="2"/>
        <v>Consumer Durables</v>
      </c>
    </row>
    <row r="3294" hidden="1">
      <c r="A3294" s="3" t="s">
        <v>13472</v>
      </c>
      <c r="B3294" s="4">
        <v>540254.0</v>
      </c>
      <c r="C3294" s="3" t="s">
        <v>13473</v>
      </c>
      <c r="D3294" s="3" t="s">
        <v>13474</v>
      </c>
      <c r="E3294" s="3" t="s">
        <v>13475</v>
      </c>
      <c r="F3294" s="3" t="s">
        <v>19</v>
      </c>
      <c r="G3294" s="3" t="s">
        <v>72</v>
      </c>
      <c r="H3294" s="3">
        <v>10.0</v>
      </c>
      <c r="I3294" s="3" t="s">
        <v>13472</v>
      </c>
      <c r="J3294" s="3" t="s">
        <v>22</v>
      </c>
      <c r="K3294" s="3" t="s">
        <v>204</v>
      </c>
      <c r="L3294" s="3" t="s">
        <v>204</v>
      </c>
      <c r="M3294" s="3" t="s">
        <v>378</v>
      </c>
      <c r="N3294" s="3" t="s">
        <v>379</v>
      </c>
      <c r="O3294" s="5">
        <v>1.0</v>
      </c>
      <c r="P3294" s="6" t="str">
        <f t="shared" si="2"/>
        <v>Non Banking Financial Company (NBFC)</v>
      </c>
    </row>
    <row r="3295" hidden="1">
      <c r="A3295" s="3" t="s">
        <v>13476</v>
      </c>
      <c r="B3295" s="4">
        <v>512301.0</v>
      </c>
      <c r="C3295" s="3" t="s">
        <v>13477</v>
      </c>
      <c r="D3295" s="3" t="s">
        <v>13478</v>
      </c>
      <c r="E3295" s="3" t="s">
        <v>13479</v>
      </c>
      <c r="F3295" s="3" t="s">
        <v>19</v>
      </c>
      <c r="G3295" s="3" t="s">
        <v>72</v>
      </c>
      <c r="H3295" s="3">
        <v>10.0</v>
      </c>
      <c r="I3295" s="3" t="s">
        <v>3791</v>
      </c>
      <c r="J3295" s="3" t="s">
        <v>22</v>
      </c>
      <c r="K3295" s="3" t="s">
        <v>1673</v>
      </c>
      <c r="L3295" s="3" t="s">
        <v>1673</v>
      </c>
      <c r="M3295" s="3" t="s">
        <v>1674</v>
      </c>
      <c r="N3295" s="3" t="s">
        <v>1915</v>
      </c>
      <c r="O3295" s="5">
        <v>1.0</v>
      </c>
      <c r="P3295" s="6" t="str">
        <f t="shared" si="2"/>
        <v>Commercial Services &amp; Supplies</v>
      </c>
    </row>
    <row r="3296" hidden="1">
      <c r="A3296" s="3" t="s">
        <v>13480</v>
      </c>
      <c r="B3296" s="4">
        <v>512303.0</v>
      </c>
      <c r="C3296" s="3" t="s">
        <v>13481</v>
      </c>
      <c r="D3296" s="3" t="s">
        <v>13482</v>
      </c>
      <c r="E3296" s="3" t="s">
        <v>13483</v>
      </c>
      <c r="F3296" s="3" t="s">
        <v>19</v>
      </c>
      <c r="G3296" s="3" t="s">
        <v>1858</v>
      </c>
      <c r="H3296" s="3">
        <v>10.0</v>
      </c>
      <c r="I3296" s="3" t="s">
        <v>3796</v>
      </c>
      <c r="J3296" s="3" t="s">
        <v>22</v>
      </c>
      <c r="K3296" s="3" t="s">
        <v>1673</v>
      </c>
      <c r="L3296" s="3" t="s">
        <v>1673</v>
      </c>
      <c r="M3296" s="3" t="s">
        <v>1674</v>
      </c>
      <c r="N3296" s="3" t="s">
        <v>1675</v>
      </c>
      <c r="O3296" s="5">
        <v>1.0</v>
      </c>
      <c r="P3296" s="6" t="str">
        <f t="shared" si="2"/>
        <v>Commercial Services &amp; Supplies</v>
      </c>
    </row>
    <row r="3297" hidden="1">
      <c r="A3297" s="3" t="s">
        <v>13484</v>
      </c>
      <c r="B3297" s="4">
        <v>540268.0</v>
      </c>
      <c r="C3297" s="3" t="s">
        <v>13485</v>
      </c>
      <c r="D3297" s="3" t="s">
        <v>13486</v>
      </c>
      <c r="E3297" s="3" t="s">
        <v>13487</v>
      </c>
      <c r="F3297" s="3" t="s">
        <v>19</v>
      </c>
      <c r="G3297" s="3" t="s">
        <v>112</v>
      </c>
      <c r="H3297" s="3">
        <v>2.0</v>
      </c>
      <c r="I3297" s="3" t="s">
        <v>13484</v>
      </c>
      <c r="J3297" s="3" t="s">
        <v>22</v>
      </c>
      <c r="K3297" s="3" t="s">
        <v>204</v>
      </c>
      <c r="L3297" s="3" t="s">
        <v>204</v>
      </c>
      <c r="M3297" s="3" t="s">
        <v>378</v>
      </c>
      <c r="N3297" s="3" t="s">
        <v>379</v>
      </c>
      <c r="O3297" s="5">
        <v>557.7905321</v>
      </c>
      <c r="P3297" s="6" t="str">
        <f t="shared" si="2"/>
        <v>Non Banking Financial Company (NBFC)</v>
      </c>
    </row>
    <row r="3298" hidden="1">
      <c r="A3298" s="3" t="s">
        <v>13488</v>
      </c>
      <c r="B3298" s="4">
        <v>540269.0</v>
      </c>
      <c r="C3298" s="3" t="s">
        <v>13489</v>
      </c>
      <c r="D3298" s="3" t="s">
        <v>13490</v>
      </c>
      <c r="E3298" s="3" t="s">
        <v>13491</v>
      </c>
      <c r="F3298" s="3" t="s">
        <v>19</v>
      </c>
      <c r="G3298" s="3" t="s">
        <v>6293</v>
      </c>
      <c r="H3298" s="3">
        <v>10.0</v>
      </c>
      <c r="I3298" s="3" t="s">
        <v>13488</v>
      </c>
      <c r="J3298" s="3" t="s">
        <v>22</v>
      </c>
      <c r="K3298" s="3" t="s">
        <v>58</v>
      </c>
      <c r="L3298" s="3" t="s">
        <v>211</v>
      </c>
      <c r="M3298" s="3" t="s">
        <v>211</v>
      </c>
      <c r="N3298" s="3" t="s">
        <v>947</v>
      </c>
      <c r="O3298" s="5">
        <v>15.56261</v>
      </c>
      <c r="P3298" s="6" t="str">
        <f t="shared" si="2"/>
        <v>Consumer Durables</v>
      </c>
    </row>
    <row r="3299" hidden="1">
      <c r="A3299" s="3" t="s">
        <v>13492</v>
      </c>
      <c r="B3299" s="4">
        <v>512341.0</v>
      </c>
      <c r="C3299" s="3" t="s">
        <v>13493</v>
      </c>
      <c r="D3299" s="3" t="s">
        <v>13494</v>
      </c>
      <c r="E3299" s="3" t="s">
        <v>13493</v>
      </c>
      <c r="F3299" s="3" t="s">
        <v>19</v>
      </c>
      <c r="G3299" s="3" t="s">
        <v>72</v>
      </c>
      <c r="H3299" s="3">
        <v>10.0</v>
      </c>
      <c r="I3299" s="3" t="s">
        <v>3806</v>
      </c>
      <c r="J3299" s="3" t="s">
        <v>22</v>
      </c>
      <c r="K3299" s="3" t="s">
        <v>1673</v>
      </c>
      <c r="L3299" s="3" t="s">
        <v>1673</v>
      </c>
      <c r="M3299" s="3" t="s">
        <v>1674</v>
      </c>
      <c r="N3299" s="3" t="s">
        <v>1705</v>
      </c>
      <c r="O3299" s="5">
        <v>1.0</v>
      </c>
      <c r="P3299" s="6" t="str">
        <f t="shared" si="2"/>
        <v>Commercial Services &amp; Supplies</v>
      </c>
    </row>
    <row r="3300">
      <c r="A3300" s="3" t="s">
        <v>2841</v>
      </c>
      <c r="B3300" s="4">
        <v>500655.0</v>
      </c>
      <c r="C3300" s="3" t="s">
        <v>13495</v>
      </c>
      <c r="D3300" s="3" t="s">
        <v>13496</v>
      </c>
      <c r="E3300" s="3" t="s">
        <v>13497</v>
      </c>
      <c r="F3300" s="3" t="s">
        <v>19</v>
      </c>
      <c r="G3300" s="3" t="s">
        <v>112</v>
      </c>
      <c r="H3300" s="3">
        <v>10.0</v>
      </c>
      <c r="I3300" s="3" t="s">
        <v>1191</v>
      </c>
      <c r="J3300" s="3" t="s">
        <v>22</v>
      </c>
      <c r="K3300" s="3" t="s">
        <v>97</v>
      </c>
      <c r="L3300" s="3" t="s">
        <v>98</v>
      </c>
      <c r="M3300" s="3" t="s">
        <v>100</v>
      </c>
      <c r="N3300" s="3" t="s">
        <v>580</v>
      </c>
      <c r="O3300" s="5">
        <v>5531.32944</v>
      </c>
      <c r="P3300" s="6" t="str">
        <f t="shared" si="2"/>
        <v>Industrial Products</v>
      </c>
    </row>
    <row r="3301" hidden="1">
      <c r="A3301" s="3" t="s">
        <v>13498</v>
      </c>
      <c r="B3301" s="4">
        <v>540310.0</v>
      </c>
      <c r="C3301" s="3" t="s">
        <v>13499</v>
      </c>
      <c r="D3301" s="3" t="s">
        <v>13500</v>
      </c>
      <c r="E3301" s="3" t="s">
        <v>13501</v>
      </c>
      <c r="F3301" s="3" t="s">
        <v>19</v>
      </c>
      <c r="G3301" s="3" t="s">
        <v>44</v>
      </c>
      <c r="H3301" s="3">
        <v>10.0</v>
      </c>
      <c r="I3301" s="3" t="s">
        <v>13498</v>
      </c>
      <c r="J3301" s="3" t="s">
        <v>22</v>
      </c>
      <c r="K3301" s="3" t="s">
        <v>58</v>
      </c>
      <c r="L3301" s="3" t="s">
        <v>80</v>
      </c>
      <c r="M3301" s="3" t="s">
        <v>81</v>
      </c>
      <c r="N3301" s="3" t="s">
        <v>82</v>
      </c>
      <c r="O3301" s="5">
        <v>21.775971</v>
      </c>
      <c r="P3301" s="6" t="str">
        <f t="shared" si="2"/>
        <v>Textiles &amp; Apparels</v>
      </c>
    </row>
    <row r="3302" hidden="1">
      <c r="A3302" s="3" t="s">
        <v>13502</v>
      </c>
      <c r="B3302" s="4">
        <v>540311.0</v>
      </c>
      <c r="C3302" s="3" t="s">
        <v>13503</v>
      </c>
      <c r="D3302" s="3" t="s">
        <v>13504</v>
      </c>
      <c r="E3302" s="3" t="s">
        <v>13505</v>
      </c>
      <c r="F3302" s="3" t="s">
        <v>19</v>
      </c>
      <c r="G3302" s="3" t="s">
        <v>112</v>
      </c>
      <c r="H3302" s="3">
        <v>2.0</v>
      </c>
      <c r="I3302" s="3" t="s">
        <v>13502</v>
      </c>
      <c r="J3302" s="3" t="s">
        <v>22</v>
      </c>
      <c r="K3302" s="3" t="s">
        <v>1647</v>
      </c>
      <c r="L3302" s="3" t="s">
        <v>1647</v>
      </c>
      <c r="M3302" s="3" t="s">
        <v>7778</v>
      </c>
      <c r="N3302" s="3" t="s">
        <v>13506</v>
      </c>
      <c r="O3302" s="5">
        <v>2206.5420146</v>
      </c>
      <c r="P3302" s="6" t="str">
        <f t="shared" si="2"/>
        <v>Other Utilities</v>
      </c>
    </row>
    <row r="3303" hidden="1">
      <c r="A3303" s="3" t="s">
        <v>13507</v>
      </c>
      <c r="B3303" s="4">
        <v>540318.0</v>
      </c>
      <c r="C3303" s="3" t="s">
        <v>13508</v>
      </c>
      <c r="D3303" s="3" t="s">
        <v>13509</v>
      </c>
      <c r="E3303" s="3" t="s">
        <v>13510</v>
      </c>
      <c r="F3303" s="3" t="s">
        <v>19</v>
      </c>
      <c r="G3303" s="3" t="s">
        <v>72</v>
      </c>
      <c r="H3303" s="3">
        <v>10.0</v>
      </c>
      <c r="I3303" s="3" t="s">
        <v>13507</v>
      </c>
      <c r="J3303" s="3" t="s">
        <v>22</v>
      </c>
      <c r="K3303" s="3" t="s">
        <v>58</v>
      </c>
      <c r="L3303" s="3" t="s">
        <v>80</v>
      </c>
      <c r="M3303" s="3" t="s">
        <v>81</v>
      </c>
      <c r="N3303" s="3" t="s">
        <v>82</v>
      </c>
      <c r="O3303" s="5">
        <v>1.0</v>
      </c>
      <c r="P3303" s="6" t="str">
        <f t="shared" si="2"/>
        <v>Textiles &amp; Apparels</v>
      </c>
    </row>
    <row r="3304" hidden="1">
      <c r="A3304" s="3" t="s">
        <v>13511</v>
      </c>
      <c r="B3304" s="4">
        <v>540332.0</v>
      </c>
      <c r="C3304" s="3" t="s">
        <v>13512</v>
      </c>
      <c r="D3304" s="3" t="s">
        <v>13513</v>
      </c>
      <c r="E3304" s="3" t="s">
        <v>13514</v>
      </c>
      <c r="F3304" s="3" t="s">
        <v>19</v>
      </c>
      <c r="G3304" s="3" t="s">
        <v>2428</v>
      </c>
      <c r="H3304" s="3">
        <v>10.0</v>
      </c>
      <c r="I3304" s="3" t="s">
        <v>13511</v>
      </c>
      <c r="J3304" s="3" t="s">
        <v>22</v>
      </c>
      <c r="K3304" s="3" t="s">
        <v>145</v>
      </c>
      <c r="L3304" s="3" t="s">
        <v>145</v>
      </c>
      <c r="M3304" s="3" t="s">
        <v>597</v>
      </c>
      <c r="N3304" s="3" t="s">
        <v>2344</v>
      </c>
      <c r="O3304" s="5">
        <v>160.5696816</v>
      </c>
      <c r="P3304" s="6" t="str">
        <f t="shared" si="2"/>
        <v>Food Products</v>
      </c>
    </row>
    <row r="3305" hidden="1">
      <c r="A3305" s="3" t="s">
        <v>13515</v>
      </c>
      <c r="B3305" s="4">
        <v>540358.0</v>
      </c>
      <c r="C3305" s="3" t="s">
        <v>13516</v>
      </c>
      <c r="D3305" s="3" t="s">
        <v>13517</v>
      </c>
      <c r="E3305" s="3" t="s">
        <v>13518</v>
      </c>
      <c r="F3305" s="3" t="s">
        <v>19</v>
      </c>
      <c r="G3305" s="3" t="s">
        <v>2428</v>
      </c>
      <c r="H3305" s="3">
        <v>10.0</v>
      </c>
      <c r="I3305" s="3" t="s">
        <v>13515</v>
      </c>
      <c r="J3305" s="3" t="s">
        <v>22</v>
      </c>
      <c r="K3305" s="3" t="s">
        <v>97</v>
      </c>
      <c r="L3305" s="3" t="s">
        <v>98</v>
      </c>
      <c r="M3305" s="3" t="s">
        <v>1747</v>
      </c>
      <c r="N3305" s="3" t="s">
        <v>1748</v>
      </c>
      <c r="O3305" s="5">
        <v>751.7986051</v>
      </c>
      <c r="P3305" s="6" t="str">
        <f t="shared" si="2"/>
        <v>Electrical Equipment</v>
      </c>
    </row>
    <row r="3306" hidden="1">
      <c r="A3306" s="3" t="s">
        <v>13519</v>
      </c>
      <c r="B3306" s="4">
        <v>540359.0</v>
      </c>
      <c r="C3306" s="3" t="s">
        <v>13520</v>
      </c>
      <c r="D3306" s="3" t="s">
        <v>13521</v>
      </c>
      <c r="E3306" s="3" t="s">
        <v>13522</v>
      </c>
      <c r="F3306" s="3" t="s">
        <v>19</v>
      </c>
      <c r="G3306" s="3" t="s">
        <v>44</v>
      </c>
      <c r="H3306" s="3">
        <v>10.0</v>
      </c>
      <c r="I3306" s="3" t="s">
        <v>13519</v>
      </c>
      <c r="J3306" s="3" t="s">
        <v>22</v>
      </c>
      <c r="K3306" s="3" t="s">
        <v>45</v>
      </c>
      <c r="L3306" s="3" t="s">
        <v>45</v>
      </c>
      <c r="M3306" s="3" t="s">
        <v>46</v>
      </c>
      <c r="N3306" s="3" t="s">
        <v>47</v>
      </c>
      <c r="O3306" s="5">
        <v>1.0</v>
      </c>
      <c r="P3306" s="6" t="str">
        <f t="shared" si="2"/>
        <v>Pharmaceuticals</v>
      </c>
    </row>
    <row r="3307" hidden="1">
      <c r="A3307" s="3" t="s">
        <v>13523</v>
      </c>
      <c r="B3307" s="4">
        <v>540360.0</v>
      </c>
      <c r="C3307" s="3" t="s">
        <v>13524</v>
      </c>
      <c r="D3307" s="3" t="s">
        <v>13525</v>
      </c>
      <c r="E3307" s="3" t="s">
        <v>13526</v>
      </c>
      <c r="F3307" s="3" t="s">
        <v>19</v>
      </c>
      <c r="G3307" s="3" t="s">
        <v>72</v>
      </c>
      <c r="H3307" s="3">
        <v>1.0</v>
      </c>
      <c r="I3307" s="3" t="s">
        <v>13523</v>
      </c>
      <c r="J3307" s="3" t="s">
        <v>22</v>
      </c>
      <c r="K3307" s="3" t="s">
        <v>204</v>
      </c>
      <c r="L3307" s="3" t="s">
        <v>204</v>
      </c>
      <c r="M3307" s="3" t="s">
        <v>378</v>
      </c>
      <c r="N3307" s="3" t="s">
        <v>379</v>
      </c>
      <c r="O3307" s="5">
        <v>31.593609</v>
      </c>
      <c r="P3307" s="6" t="str">
        <f t="shared" si="2"/>
        <v>Non Banking Financial Company (NBFC)</v>
      </c>
    </row>
    <row r="3308" hidden="1">
      <c r="A3308" s="3" t="s">
        <v>7993</v>
      </c>
      <c r="B3308" s="4">
        <v>512377.0</v>
      </c>
      <c r="C3308" s="3" t="s">
        <v>13527</v>
      </c>
      <c r="D3308" s="3" t="s">
        <v>13528</v>
      </c>
      <c r="E3308" s="3" t="s">
        <v>13529</v>
      </c>
      <c r="F3308" s="3" t="s">
        <v>19</v>
      </c>
      <c r="G3308" s="3" t="s">
        <v>72</v>
      </c>
      <c r="H3308" s="3">
        <v>10.0</v>
      </c>
      <c r="I3308" s="3" t="s">
        <v>3824</v>
      </c>
      <c r="J3308" s="3" t="s">
        <v>22</v>
      </c>
      <c r="K3308" s="3" t="s">
        <v>1673</v>
      </c>
      <c r="L3308" s="3" t="s">
        <v>1673</v>
      </c>
      <c r="M3308" s="3" t="s">
        <v>1674</v>
      </c>
      <c r="N3308" s="3" t="s">
        <v>1675</v>
      </c>
      <c r="O3308" s="5">
        <v>1.0</v>
      </c>
      <c r="P3308" s="6" t="str">
        <f t="shared" si="2"/>
        <v>Commercial Services &amp; Supplies</v>
      </c>
    </row>
    <row r="3309" hidden="1">
      <c r="A3309" s="3" t="s">
        <v>13530</v>
      </c>
      <c r="B3309" s="4">
        <v>540366.0</v>
      </c>
      <c r="C3309" s="3" t="s">
        <v>13531</v>
      </c>
      <c r="D3309" s="3" t="s">
        <v>13532</v>
      </c>
      <c r="E3309" s="3" t="s">
        <v>13533</v>
      </c>
      <c r="F3309" s="3" t="s">
        <v>19</v>
      </c>
      <c r="G3309" s="3" t="s">
        <v>112</v>
      </c>
      <c r="H3309" s="3">
        <v>2.0</v>
      </c>
      <c r="I3309" s="3" t="s">
        <v>13530</v>
      </c>
      <c r="J3309" s="3" t="s">
        <v>22</v>
      </c>
      <c r="K3309" s="3" t="s">
        <v>58</v>
      </c>
      <c r="L3309" s="3" t="s">
        <v>182</v>
      </c>
      <c r="M3309" s="3" t="s">
        <v>1168</v>
      </c>
      <c r="N3309" s="3" t="s">
        <v>1336</v>
      </c>
      <c r="O3309" s="5">
        <v>660.7986497</v>
      </c>
      <c r="P3309" s="6" t="str">
        <f t="shared" si="2"/>
        <v>Entertainment</v>
      </c>
    </row>
    <row r="3310">
      <c r="A3310" s="3" t="s">
        <v>3015</v>
      </c>
      <c r="B3310" s="4">
        <v>500940.0</v>
      </c>
      <c r="C3310" s="3" t="s">
        <v>13534</v>
      </c>
      <c r="D3310" s="3" t="s">
        <v>13535</v>
      </c>
      <c r="E3310" s="3" t="s">
        <v>13536</v>
      </c>
      <c r="F3310" s="3" t="s">
        <v>19</v>
      </c>
      <c r="G3310" s="3" t="s">
        <v>20</v>
      </c>
      <c r="H3310" s="3">
        <v>2.0</v>
      </c>
      <c r="I3310" s="3" t="s">
        <v>1301</v>
      </c>
      <c r="J3310" s="3" t="s">
        <v>22</v>
      </c>
      <c r="K3310" s="3" t="s">
        <v>97</v>
      </c>
      <c r="L3310" s="3" t="s">
        <v>98</v>
      </c>
      <c r="M3310" s="3" t="s">
        <v>100</v>
      </c>
      <c r="N3310" s="3" t="s">
        <v>580</v>
      </c>
      <c r="O3310" s="5">
        <v>19797.1745705</v>
      </c>
      <c r="P3310" s="6" t="str">
        <f t="shared" si="2"/>
        <v>Industrial Products</v>
      </c>
    </row>
    <row r="3311" hidden="1">
      <c r="A3311" s="3" t="s">
        <v>4608</v>
      </c>
      <c r="B3311" s="4">
        <v>512415.0</v>
      </c>
      <c r="C3311" s="3" t="s">
        <v>13537</v>
      </c>
      <c r="D3311" s="3" t="s">
        <v>13538</v>
      </c>
      <c r="E3311" s="3" t="s">
        <v>13539</v>
      </c>
      <c r="F3311" s="3" t="s">
        <v>19</v>
      </c>
      <c r="G3311" s="3" t="s">
        <v>72</v>
      </c>
      <c r="H3311" s="3">
        <v>10.0</v>
      </c>
      <c r="I3311" s="3" t="s">
        <v>3853</v>
      </c>
      <c r="J3311" s="3" t="s">
        <v>22</v>
      </c>
      <c r="K3311" s="3" t="s">
        <v>1673</v>
      </c>
      <c r="L3311" s="3" t="s">
        <v>1673</v>
      </c>
      <c r="M3311" s="3" t="s">
        <v>1674</v>
      </c>
      <c r="N3311" s="3" t="s">
        <v>1675</v>
      </c>
      <c r="O3311" s="5">
        <v>1.0</v>
      </c>
      <c r="P3311" s="6" t="str">
        <f t="shared" si="2"/>
        <v>Commercial Services &amp; Supplies</v>
      </c>
    </row>
    <row r="3312" hidden="1">
      <c r="A3312" s="3" t="s">
        <v>13540</v>
      </c>
      <c r="B3312" s="4">
        <v>540386.0</v>
      </c>
      <c r="C3312" s="3" t="s">
        <v>13541</v>
      </c>
      <c r="D3312" s="3" t="s">
        <v>13542</v>
      </c>
      <c r="E3312" s="3" t="s">
        <v>13543</v>
      </c>
      <c r="F3312" s="3" t="s">
        <v>19</v>
      </c>
      <c r="G3312" s="3" t="s">
        <v>44</v>
      </c>
      <c r="H3312" s="3">
        <v>1.0</v>
      </c>
      <c r="I3312" s="3" t="s">
        <v>13540</v>
      </c>
      <c r="J3312" s="3" t="s">
        <v>22</v>
      </c>
      <c r="K3312" s="3" t="s">
        <v>204</v>
      </c>
      <c r="L3312" s="3" t="s">
        <v>204</v>
      </c>
      <c r="M3312" s="3" t="s">
        <v>378</v>
      </c>
      <c r="N3312" s="3" t="s">
        <v>468</v>
      </c>
      <c r="O3312" s="5">
        <v>1.0</v>
      </c>
      <c r="P3312" s="6" t="str">
        <f t="shared" si="2"/>
        <v>Finance</v>
      </c>
    </row>
    <row r="3313" hidden="1">
      <c r="A3313" s="3" t="s">
        <v>13544</v>
      </c>
      <c r="B3313" s="4">
        <v>540393.0</v>
      </c>
      <c r="C3313" s="3" t="s">
        <v>13545</v>
      </c>
      <c r="D3313" s="3" t="s">
        <v>13546</v>
      </c>
      <c r="E3313" s="3" t="s">
        <v>13547</v>
      </c>
      <c r="F3313" s="3" t="s">
        <v>19</v>
      </c>
      <c r="G3313" s="3" t="s">
        <v>112</v>
      </c>
      <c r="H3313" s="3">
        <v>10.0</v>
      </c>
      <c r="I3313" s="3" t="s">
        <v>13544</v>
      </c>
      <c r="J3313" s="3" t="s">
        <v>22</v>
      </c>
      <c r="K3313" s="3" t="s">
        <v>97</v>
      </c>
      <c r="L3313" s="3" t="s">
        <v>98</v>
      </c>
      <c r="M3313" s="3" t="s">
        <v>100</v>
      </c>
      <c r="N3313" s="3" t="s">
        <v>612</v>
      </c>
      <c r="O3313" s="5">
        <v>266.3150377</v>
      </c>
      <c r="P3313" s="6" t="str">
        <f t="shared" si="2"/>
        <v>Industrial Products</v>
      </c>
    </row>
    <row r="3314" hidden="1">
      <c r="A3314" s="3" t="s">
        <v>13548</v>
      </c>
      <c r="B3314" s="4">
        <v>540395.0</v>
      </c>
      <c r="C3314" s="3" t="s">
        <v>13549</v>
      </c>
      <c r="D3314" s="3" t="s">
        <v>13550</v>
      </c>
      <c r="E3314" s="3" t="s">
        <v>13551</v>
      </c>
      <c r="F3314" s="3" t="s">
        <v>19</v>
      </c>
      <c r="G3314" s="3" t="s">
        <v>112</v>
      </c>
      <c r="H3314" s="3">
        <v>10.0</v>
      </c>
      <c r="I3314" s="3" t="s">
        <v>13548</v>
      </c>
      <c r="J3314" s="3" t="s">
        <v>22</v>
      </c>
      <c r="K3314" s="3" t="s">
        <v>23</v>
      </c>
      <c r="L3314" s="3" t="s">
        <v>24</v>
      </c>
      <c r="M3314" s="3" t="s">
        <v>25</v>
      </c>
      <c r="N3314" s="3" t="s">
        <v>26</v>
      </c>
      <c r="O3314" s="5">
        <v>357.6231451</v>
      </c>
      <c r="P3314" s="6" t="str">
        <f t="shared" si="2"/>
        <v>Specialty Chemicals</v>
      </c>
    </row>
    <row r="3315" hidden="1">
      <c r="A3315" s="3" t="s">
        <v>13552</v>
      </c>
      <c r="B3315" s="4">
        <v>540396.0</v>
      </c>
      <c r="C3315" s="3" t="s">
        <v>13553</v>
      </c>
      <c r="D3315" s="3" t="s">
        <v>13554</v>
      </c>
      <c r="E3315" s="3" t="s">
        <v>13555</v>
      </c>
      <c r="F3315" s="3" t="s">
        <v>19</v>
      </c>
      <c r="G3315" s="3" t="s">
        <v>112</v>
      </c>
      <c r="H3315" s="3">
        <v>10.0</v>
      </c>
      <c r="I3315" s="3" t="s">
        <v>13552</v>
      </c>
      <c r="J3315" s="3" t="s">
        <v>22</v>
      </c>
      <c r="K3315" s="3" t="s">
        <v>58</v>
      </c>
      <c r="L3315" s="3" t="s">
        <v>80</v>
      </c>
      <c r="M3315" s="3" t="s">
        <v>81</v>
      </c>
      <c r="N3315" s="3" t="s">
        <v>82</v>
      </c>
      <c r="O3315" s="5">
        <v>330.5569861</v>
      </c>
      <c r="P3315" s="6" t="str">
        <f t="shared" si="2"/>
        <v>Textiles &amp; Apparels</v>
      </c>
    </row>
    <row r="3316" hidden="1">
      <c r="A3316" s="3" t="s">
        <v>3800</v>
      </c>
      <c r="B3316" s="4">
        <v>512425.0</v>
      </c>
      <c r="C3316" s="3" t="s">
        <v>13556</v>
      </c>
      <c r="D3316" s="3" t="s">
        <v>13557</v>
      </c>
      <c r="E3316" s="3" t="s">
        <v>13558</v>
      </c>
      <c r="F3316" s="3" t="s">
        <v>19</v>
      </c>
      <c r="G3316" s="3" t="s">
        <v>44</v>
      </c>
      <c r="H3316" s="3">
        <v>10.0</v>
      </c>
      <c r="I3316" s="3" t="s">
        <v>3858</v>
      </c>
      <c r="J3316" s="3" t="s">
        <v>22</v>
      </c>
      <c r="K3316" s="3" t="s">
        <v>1673</v>
      </c>
      <c r="L3316" s="3" t="s">
        <v>1673</v>
      </c>
      <c r="M3316" s="3" t="s">
        <v>1674</v>
      </c>
      <c r="N3316" s="3" t="s">
        <v>1915</v>
      </c>
      <c r="O3316" s="5">
        <v>1.0</v>
      </c>
      <c r="P3316" s="6" t="str">
        <f t="shared" si="2"/>
        <v>Commercial Services &amp; Supplies</v>
      </c>
    </row>
    <row r="3317" hidden="1">
      <c r="A3317" s="3" t="s">
        <v>13559</v>
      </c>
      <c r="B3317" s="4">
        <v>540402.0</v>
      </c>
      <c r="C3317" s="3" t="s">
        <v>13560</v>
      </c>
      <c r="D3317" s="3" t="s">
        <v>13561</v>
      </c>
      <c r="E3317" s="3" t="s">
        <v>13562</v>
      </c>
      <c r="F3317" s="3" t="s">
        <v>19</v>
      </c>
      <c r="G3317" s="3" t="s">
        <v>6293</v>
      </c>
      <c r="H3317" s="3">
        <v>10.0</v>
      </c>
      <c r="I3317" s="3" t="s">
        <v>13559</v>
      </c>
      <c r="J3317" s="3" t="s">
        <v>22</v>
      </c>
      <c r="K3317" s="3" t="s">
        <v>58</v>
      </c>
      <c r="L3317" s="3" t="s">
        <v>59</v>
      </c>
      <c r="M3317" s="3" t="s">
        <v>59</v>
      </c>
      <c r="N3317" s="3" t="s">
        <v>60</v>
      </c>
      <c r="O3317" s="5">
        <v>162.24</v>
      </c>
      <c r="P3317" s="6" t="str">
        <f t="shared" si="2"/>
        <v>Residential, Commercial Projects</v>
      </c>
    </row>
    <row r="3318" hidden="1">
      <c r="A3318" s="3" t="s">
        <v>13563</v>
      </c>
      <c r="B3318" s="4">
        <v>540403.0</v>
      </c>
      <c r="C3318" s="3" t="s">
        <v>13564</v>
      </c>
      <c r="D3318" s="3" t="s">
        <v>13565</v>
      </c>
      <c r="E3318" s="3" t="s">
        <v>13566</v>
      </c>
      <c r="F3318" s="3" t="s">
        <v>19</v>
      </c>
      <c r="G3318" s="3" t="s">
        <v>112</v>
      </c>
      <c r="H3318" s="3">
        <v>5.0</v>
      </c>
      <c r="I3318" s="3" t="s">
        <v>13563</v>
      </c>
      <c r="J3318" s="3" t="s">
        <v>22</v>
      </c>
      <c r="K3318" s="3" t="s">
        <v>58</v>
      </c>
      <c r="L3318" s="3" t="s">
        <v>73</v>
      </c>
      <c r="M3318" s="3" t="s">
        <v>800</v>
      </c>
      <c r="N3318" s="3" t="s">
        <v>801</v>
      </c>
      <c r="O3318" s="5">
        <v>451.5397284</v>
      </c>
      <c r="P3318" s="6" t="str">
        <f t="shared" si="2"/>
        <v>Other Consumer Services</v>
      </c>
    </row>
    <row r="3319" hidden="1">
      <c r="A3319" s="3" t="s">
        <v>13567</v>
      </c>
      <c r="B3319" s="4">
        <v>540404.0</v>
      </c>
      <c r="C3319" s="3" t="s">
        <v>13568</v>
      </c>
      <c r="D3319" s="3" t="s">
        <v>13569</v>
      </c>
      <c r="E3319" s="3" t="s">
        <v>13570</v>
      </c>
      <c r="F3319" s="3" t="s">
        <v>19</v>
      </c>
      <c r="G3319" s="3" t="s">
        <v>2428</v>
      </c>
      <c r="H3319" s="3">
        <v>10.0</v>
      </c>
      <c r="I3319" s="3" t="s">
        <v>13567</v>
      </c>
      <c r="J3319" s="3" t="s">
        <v>22</v>
      </c>
      <c r="K3319" s="3" t="s">
        <v>145</v>
      </c>
      <c r="L3319" s="3" t="s">
        <v>145</v>
      </c>
      <c r="M3319" s="3" t="s">
        <v>146</v>
      </c>
      <c r="N3319" s="3" t="s">
        <v>2645</v>
      </c>
      <c r="O3319" s="5">
        <v>282.4674</v>
      </c>
      <c r="P3319" s="6" t="str">
        <f t="shared" si="2"/>
        <v>Agricultural Food &amp; other Products</v>
      </c>
    </row>
    <row r="3320" hidden="1">
      <c r="A3320" s="3" t="s">
        <v>13571</v>
      </c>
      <c r="B3320" s="4">
        <v>540416.0</v>
      </c>
      <c r="C3320" s="3" t="s">
        <v>13572</v>
      </c>
      <c r="D3320" s="3" t="s">
        <v>13573</v>
      </c>
      <c r="E3320" s="3" t="s">
        <v>13574</v>
      </c>
      <c r="F3320" s="3" t="s">
        <v>19</v>
      </c>
      <c r="G3320" s="3" t="s">
        <v>2428</v>
      </c>
      <c r="H3320" s="3">
        <v>10.0</v>
      </c>
      <c r="I3320" s="3" t="s">
        <v>13571</v>
      </c>
      <c r="J3320" s="3" t="s">
        <v>22</v>
      </c>
      <c r="K3320" s="3" t="s">
        <v>473</v>
      </c>
      <c r="L3320" s="3" t="s">
        <v>473</v>
      </c>
      <c r="M3320" s="3" t="s">
        <v>1538</v>
      </c>
      <c r="N3320" s="3" t="s">
        <v>1539</v>
      </c>
      <c r="O3320" s="5">
        <v>21.1299443</v>
      </c>
      <c r="P3320" s="6" t="str">
        <f t="shared" si="2"/>
        <v>IT - Services</v>
      </c>
    </row>
    <row r="3321" hidden="1">
      <c r="A3321" s="3" t="s">
        <v>13575</v>
      </c>
      <c r="B3321" s="4">
        <v>540425.0</v>
      </c>
      <c r="C3321" s="3" t="s">
        <v>13576</v>
      </c>
      <c r="D3321" s="3" t="s">
        <v>13577</v>
      </c>
      <c r="E3321" s="3" t="s">
        <v>13578</v>
      </c>
      <c r="F3321" s="3" t="s">
        <v>19</v>
      </c>
      <c r="G3321" s="3" t="s">
        <v>112</v>
      </c>
      <c r="H3321" s="3">
        <v>10.0</v>
      </c>
      <c r="I3321" s="3" t="s">
        <v>13575</v>
      </c>
      <c r="J3321" s="3" t="s">
        <v>22</v>
      </c>
      <c r="K3321" s="3" t="s">
        <v>58</v>
      </c>
      <c r="L3321" s="3" t="s">
        <v>73</v>
      </c>
      <c r="M3321" s="3" t="s">
        <v>988</v>
      </c>
      <c r="N3321" s="3" t="s">
        <v>989</v>
      </c>
      <c r="O3321" s="5">
        <v>1743.4249</v>
      </c>
      <c r="P3321" s="6" t="str">
        <f t="shared" si="2"/>
        <v>Retailing</v>
      </c>
    </row>
    <row r="3322" hidden="1">
      <c r="A3322" s="3" t="s">
        <v>13579</v>
      </c>
      <c r="B3322" s="4">
        <v>540455.0</v>
      </c>
      <c r="C3322" s="3" t="s">
        <v>13580</v>
      </c>
      <c r="D3322" s="3" t="s">
        <v>13581</v>
      </c>
      <c r="E3322" s="3" t="s">
        <v>13582</v>
      </c>
      <c r="F3322" s="3" t="s">
        <v>19</v>
      </c>
      <c r="G3322" s="3" t="s">
        <v>6293</v>
      </c>
      <c r="H3322" s="3">
        <v>10.0</v>
      </c>
      <c r="I3322" s="3" t="s">
        <v>13579</v>
      </c>
      <c r="J3322" s="3" t="s">
        <v>22</v>
      </c>
      <c r="K3322" s="3" t="s">
        <v>204</v>
      </c>
      <c r="L3322" s="3" t="s">
        <v>204</v>
      </c>
      <c r="M3322" s="3" t="s">
        <v>378</v>
      </c>
      <c r="N3322" s="3" t="s">
        <v>468</v>
      </c>
      <c r="O3322" s="5">
        <v>81.76297</v>
      </c>
      <c r="P3322" s="6" t="str">
        <f t="shared" si="2"/>
        <v>Finance</v>
      </c>
    </row>
    <row r="3323" hidden="1">
      <c r="A3323" s="3" t="s">
        <v>13583</v>
      </c>
      <c r="B3323" s="4">
        <v>540467.0</v>
      </c>
      <c r="C3323" s="3" t="s">
        <v>13584</v>
      </c>
      <c r="D3323" s="3" t="s">
        <v>13585</v>
      </c>
      <c r="E3323" s="3" t="s">
        <v>13586</v>
      </c>
      <c r="F3323" s="3" t="s">
        <v>19</v>
      </c>
      <c r="G3323" s="3" t="s">
        <v>44</v>
      </c>
      <c r="H3323" s="3">
        <v>10.0</v>
      </c>
      <c r="I3323" s="3" t="s">
        <v>13583</v>
      </c>
      <c r="J3323" s="3" t="s">
        <v>22</v>
      </c>
      <c r="K3323" s="3" t="s">
        <v>58</v>
      </c>
      <c r="L3323" s="3" t="s">
        <v>80</v>
      </c>
      <c r="M3323" s="3" t="s">
        <v>81</v>
      </c>
      <c r="N3323" s="3" t="s">
        <v>82</v>
      </c>
      <c r="O3323" s="5">
        <v>1.0</v>
      </c>
      <c r="P3323" s="6" t="str">
        <f t="shared" si="2"/>
        <v>Textiles &amp; Apparels</v>
      </c>
    </row>
    <row r="3324" hidden="1">
      <c r="A3324" s="3" t="s">
        <v>13587</v>
      </c>
      <c r="B3324" s="4">
        <v>540468.0</v>
      </c>
      <c r="C3324" s="3" t="s">
        <v>13588</v>
      </c>
      <c r="D3324" s="3" t="s">
        <v>13589</v>
      </c>
      <c r="E3324" s="3" t="s">
        <v>13590</v>
      </c>
      <c r="F3324" s="3" t="s">
        <v>19</v>
      </c>
      <c r="G3324" s="3" t="s">
        <v>6293</v>
      </c>
      <c r="H3324" s="3">
        <v>10.0</v>
      </c>
      <c r="I3324" s="3" t="s">
        <v>13587</v>
      </c>
      <c r="J3324" s="3" t="s">
        <v>22</v>
      </c>
      <c r="K3324" s="3" t="s">
        <v>45</v>
      </c>
      <c r="L3324" s="3" t="s">
        <v>45</v>
      </c>
      <c r="M3324" s="3" t="s">
        <v>7249</v>
      </c>
      <c r="N3324" s="3" t="s">
        <v>7250</v>
      </c>
      <c r="O3324" s="5">
        <v>41.25</v>
      </c>
      <c r="P3324" s="6" t="str">
        <f t="shared" si="2"/>
        <v>Healthcare Equipment &amp; Supplies</v>
      </c>
    </row>
    <row r="3325" hidden="1">
      <c r="A3325" s="3" t="s">
        <v>13591</v>
      </c>
      <c r="B3325" s="4">
        <v>540481.0</v>
      </c>
      <c r="C3325" s="3" t="s">
        <v>13592</v>
      </c>
      <c r="D3325" s="3" t="s">
        <v>13593</v>
      </c>
      <c r="E3325" s="3" t="s">
        <v>13594</v>
      </c>
      <c r="F3325" s="3" t="s">
        <v>19</v>
      </c>
      <c r="G3325" s="3" t="s">
        <v>72</v>
      </c>
      <c r="H3325" s="3">
        <v>10.0</v>
      </c>
      <c r="I3325" s="3" t="s">
        <v>13591</v>
      </c>
      <c r="J3325" s="3" t="s">
        <v>22</v>
      </c>
      <c r="K3325" s="3" t="s">
        <v>204</v>
      </c>
      <c r="L3325" s="3" t="s">
        <v>204</v>
      </c>
      <c r="M3325" s="3" t="s">
        <v>378</v>
      </c>
      <c r="N3325" s="3" t="s">
        <v>468</v>
      </c>
      <c r="O3325" s="5">
        <v>1.0</v>
      </c>
      <c r="P3325" s="6" t="str">
        <f t="shared" si="2"/>
        <v>Finance</v>
      </c>
    </row>
    <row r="3326" hidden="1">
      <c r="A3326" s="3" t="s">
        <v>13595</v>
      </c>
      <c r="B3326" s="4">
        <v>540492.0</v>
      </c>
      <c r="C3326" s="3" t="s">
        <v>13596</v>
      </c>
      <c r="D3326" s="3" t="s">
        <v>13597</v>
      </c>
      <c r="E3326" s="3" t="s">
        <v>13598</v>
      </c>
      <c r="F3326" s="3" t="s">
        <v>19</v>
      </c>
      <c r="G3326" s="3" t="s">
        <v>112</v>
      </c>
      <c r="H3326" s="3">
        <v>5.0</v>
      </c>
      <c r="I3326" s="3" t="s">
        <v>13595</v>
      </c>
      <c r="J3326" s="3" t="s">
        <v>22</v>
      </c>
      <c r="K3326" s="3" t="s">
        <v>23</v>
      </c>
      <c r="L3326" s="3" t="s">
        <v>65</v>
      </c>
      <c r="M3326" s="3" t="s">
        <v>438</v>
      </c>
      <c r="N3326" s="3" t="s">
        <v>439</v>
      </c>
      <c r="O3326" s="5">
        <v>599.8163</v>
      </c>
      <c r="P3326" s="6" t="str">
        <f t="shared" si="2"/>
        <v>Metals &amp; Minerals Trading</v>
      </c>
    </row>
    <row r="3327" hidden="1">
      <c r="A3327" s="3" t="s">
        <v>13599</v>
      </c>
      <c r="B3327" s="4">
        <v>540497.0</v>
      </c>
      <c r="C3327" s="3" t="s">
        <v>13600</v>
      </c>
      <c r="D3327" s="3" t="s">
        <v>13601</v>
      </c>
      <c r="E3327" s="3" t="s">
        <v>13602</v>
      </c>
      <c r="F3327" s="3" t="s">
        <v>19</v>
      </c>
      <c r="G3327" s="3" t="s">
        <v>112</v>
      </c>
      <c r="H3327" s="3">
        <v>5.0</v>
      </c>
      <c r="I3327" s="3" t="s">
        <v>13599</v>
      </c>
      <c r="J3327" s="3" t="s">
        <v>22</v>
      </c>
      <c r="K3327" s="3" t="s">
        <v>58</v>
      </c>
      <c r="L3327" s="3" t="s">
        <v>182</v>
      </c>
      <c r="M3327" s="3" t="s">
        <v>2898</v>
      </c>
      <c r="N3327" s="3" t="s">
        <v>2898</v>
      </c>
      <c r="O3327" s="5">
        <v>813.588736</v>
      </c>
      <c r="P3327" s="6" t="str">
        <f t="shared" si="2"/>
        <v>Printing &amp; Publication</v>
      </c>
    </row>
    <row r="3328" hidden="1">
      <c r="A3328" s="3" t="s">
        <v>13603</v>
      </c>
      <c r="B3328" s="4">
        <v>540515.0</v>
      </c>
      <c r="C3328" s="3" t="s">
        <v>13604</v>
      </c>
      <c r="D3328" s="3" t="s">
        <v>13605</v>
      </c>
      <c r="E3328" s="3" t="s">
        <v>13606</v>
      </c>
      <c r="F3328" s="3" t="s">
        <v>19</v>
      </c>
      <c r="G3328" s="3" t="s">
        <v>72</v>
      </c>
      <c r="H3328" s="3">
        <v>10.0</v>
      </c>
      <c r="I3328" s="3" t="s">
        <v>13603</v>
      </c>
      <c r="J3328" s="3" t="s">
        <v>22</v>
      </c>
      <c r="K3328" s="3" t="s">
        <v>204</v>
      </c>
      <c r="L3328" s="3" t="s">
        <v>204</v>
      </c>
      <c r="M3328" s="3" t="s">
        <v>378</v>
      </c>
      <c r="N3328" s="3" t="s">
        <v>468</v>
      </c>
      <c r="O3328" s="5">
        <v>1.0</v>
      </c>
      <c r="P3328" s="6" t="str">
        <f t="shared" si="2"/>
        <v>Finance</v>
      </c>
    </row>
    <row r="3329" hidden="1">
      <c r="A3329" s="3" t="s">
        <v>13607</v>
      </c>
      <c r="B3329" s="4">
        <v>540519.0</v>
      </c>
      <c r="C3329" s="3" t="s">
        <v>13608</v>
      </c>
      <c r="D3329" s="3" t="s">
        <v>13609</v>
      </c>
      <c r="E3329" s="3" t="s">
        <v>13610</v>
      </c>
      <c r="F3329" s="3" t="s">
        <v>19</v>
      </c>
      <c r="G3329" s="3" t="s">
        <v>112</v>
      </c>
      <c r="H3329" s="3">
        <v>10.0</v>
      </c>
      <c r="I3329" s="3" t="s">
        <v>13607</v>
      </c>
      <c r="J3329" s="3" t="s">
        <v>22</v>
      </c>
      <c r="K3329" s="3" t="s">
        <v>97</v>
      </c>
      <c r="L3329" s="3" t="s">
        <v>98</v>
      </c>
      <c r="M3329" s="3" t="s">
        <v>99</v>
      </c>
      <c r="N3329" s="3" t="s">
        <v>100</v>
      </c>
      <c r="O3329" s="5">
        <v>54.4438723</v>
      </c>
      <c r="P3329" s="6" t="str">
        <f t="shared" si="2"/>
        <v>Industrial Products</v>
      </c>
    </row>
    <row r="3330">
      <c r="A3330" s="3" t="s">
        <v>10168</v>
      </c>
      <c r="B3330" s="4">
        <v>502219.0</v>
      </c>
      <c r="C3330" s="3" t="s">
        <v>13611</v>
      </c>
      <c r="D3330" s="3" t="s">
        <v>13612</v>
      </c>
      <c r="E3330" s="3" t="s">
        <v>13613</v>
      </c>
      <c r="F3330" s="3" t="s">
        <v>19</v>
      </c>
      <c r="G3330" s="3" t="s">
        <v>20</v>
      </c>
      <c r="H3330" s="3">
        <v>1.0</v>
      </c>
      <c r="I3330" s="3" t="s">
        <v>1482</v>
      </c>
      <c r="J3330" s="3" t="s">
        <v>22</v>
      </c>
      <c r="K3330" s="3" t="s">
        <v>97</v>
      </c>
      <c r="L3330" s="3" t="s">
        <v>98</v>
      </c>
      <c r="M3330" s="3" t="s">
        <v>100</v>
      </c>
      <c r="N3330" s="3" t="s">
        <v>7867</v>
      </c>
      <c r="O3330" s="5">
        <v>6713.1827001</v>
      </c>
      <c r="P3330" s="6" t="str">
        <f t="shared" si="2"/>
        <v>Industrial Products</v>
      </c>
    </row>
    <row r="3331" hidden="1">
      <c r="A3331" s="3" t="s">
        <v>13614</v>
      </c>
      <c r="B3331" s="4">
        <v>540544.0</v>
      </c>
      <c r="C3331" s="3" t="s">
        <v>13615</v>
      </c>
      <c r="D3331" s="3" t="s">
        <v>13616</v>
      </c>
      <c r="E3331" s="3" t="s">
        <v>13617</v>
      </c>
      <c r="F3331" s="3" t="s">
        <v>19</v>
      </c>
      <c r="G3331" s="3" t="s">
        <v>112</v>
      </c>
      <c r="H3331" s="3">
        <v>10.0</v>
      </c>
      <c r="I3331" s="3" t="s">
        <v>13614</v>
      </c>
      <c r="J3331" s="3" t="s">
        <v>22</v>
      </c>
      <c r="K3331" s="3" t="s">
        <v>97</v>
      </c>
      <c r="L3331" s="3" t="s">
        <v>965</v>
      </c>
      <c r="M3331" s="3" t="s">
        <v>965</v>
      </c>
      <c r="N3331" s="3" t="s">
        <v>966</v>
      </c>
      <c r="O3331" s="5">
        <v>2709.3686397</v>
      </c>
      <c r="P3331" s="6" t="str">
        <f t="shared" si="2"/>
        <v>Civil Construction</v>
      </c>
    </row>
    <row r="3332" hidden="1">
      <c r="A3332" s="3" t="s">
        <v>13618</v>
      </c>
      <c r="B3332" s="4">
        <v>540545.0</v>
      </c>
      <c r="C3332" s="3" t="s">
        <v>13619</v>
      </c>
      <c r="D3332" s="3" t="s">
        <v>13620</v>
      </c>
      <c r="E3332" s="3" t="s">
        <v>13621</v>
      </c>
      <c r="F3332" s="3" t="s">
        <v>19</v>
      </c>
      <c r="G3332" s="3" t="s">
        <v>112</v>
      </c>
      <c r="H3332" s="3">
        <v>10.0</v>
      </c>
      <c r="I3332" s="3" t="s">
        <v>13618</v>
      </c>
      <c r="J3332" s="3" t="s">
        <v>22</v>
      </c>
      <c r="K3332" s="3" t="s">
        <v>58</v>
      </c>
      <c r="L3332" s="3" t="s">
        <v>211</v>
      </c>
      <c r="M3332" s="3" t="s">
        <v>211</v>
      </c>
      <c r="N3332" s="3" t="s">
        <v>947</v>
      </c>
      <c r="O3332" s="5">
        <v>26.6080212</v>
      </c>
      <c r="P3332" s="6" t="str">
        <f t="shared" si="2"/>
        <v>Consumer Durables</v>
      </c>
    </row>
    <row r="3333" hidden="1">
      <c r="A3333" s="3" t="s">
        <v>13622</v>
      </c>
      <c r="B3333" s="4">
        <v>540550.0</v>
      </c>
      <c r="C3333" s="3" t="s">
        <v>13623</v>
      </c>
      <c r="D3333" s="3" t="s">
        <v>13624</v>
      </c>
      <c r="E3333" s="3" t="s">
        <v>13625</v>
      </c>
      <c r="F3333" s="3" t="s">
        <v>19</v>
      </c>
      <c r="G3333" s="3" t="s">
        <v>2428</v>
      </c>
      <c r="H3333" s="3">
        <v>10.0</v>
      </c>
      <c r="I3333" s="3" t="s">
        <v>13622</v>
      </c>
      <c r="J3333" s="3" t="s">
        <v>22</v>
      </c>
      <c r="K3333" s="3" t="s">
        <v>23</v>
      </c>
      <c r="L3333" s="3" t="s">
        <v>24</v>
      </c>
      <c r="M3333" s="3" t="s">
        <v>25</v>
      </c>
      <c r="N3333" s="3" t="s">
        <v>26</v>
      </c>
      <c r="O3333" s="5">
        <v>44.236007</v>
      </c>
      <c r="P3333" s="6" t="str">
        <f t="shared" si="2"/>
        <v>Specialty Chemicals</v>
      </c>
    </row>
    <row r="3334" hidden="1">
      <c r="A3334" s="3" t="s">
        <v>3679</v>
      </c>
      <c r="B3334" s="4">
        <v>512431.0</v>
      </c>
      <c r="C3334" s="3" t="s">
        <v>13626</v>
      </c>
      <c r="D3334" s="3" t="s">
        <v>13627</v>
      </c>
      <c r="E3334" s="3" t="s">
        <v>13628</v>
      </c>
      <c r="F3334" s="3" t="s">
        <v>19</v>
      </c>
      <c r="G3334" s="3" t="s">
        <v>72</v>
      </c>
      <c r="H3334" s="3">
        <v>10.0</v>
      </c>
      <c r="I3334" s="3" t="s">
        <v>3863</v>
      </c>
      <c r="J3334" s="3" t="s">
        <v>22</v>
      </c>
      <c r="K3334" s="3" t="s">
        <v>1673</v>
      </c>
      <c r="L3334" s="3" t="s">
        <v>1673</v>
      </c>
      <c r="M3334" s="3" t="s">
        <v>1674</v>
      </c>
      <c r="N3334" s="3" t="s">
        <v>1675</v>
      </c>
      <c r="O3334" s="5">
        <v>1.0</v>
      </c>
      <c r="P3334" s="6" t="str">
        <f t="shared" si="2"/>
        <v>Commercial Services &amp; Supplies</v>
      </c>
    </row>
    <row r="3335">
      <c r="A3335" s="3" t="s">
        <v>708</v>
      </c>
      <c r="B3335" s="4">
        <v>503960.0</v>
      </c>
      <c r="C3335" s="3" t="s">
        <v>13629</v>
      </c>
      <c r="D3335" s="3" t="s">
        <v>13630</v>
      </c>
      <c r="E3335" s="3" t="s">
        <v>13631</v>
      </c>
      <c r="F3335" s="3" t="s">
        <v>19</v>
      </c>
      <c r="G3335" s="3" t="s">
        <v>20</v>
      </c>
      <c r="H3335" s="3">
        <v>5.0</v>
      </c>
      <c r="I3335" s="3" t="s">
        <v>1734</v>
      </c>
      <c r="J3335" s="3" t="s">
        <v>22</v>
      </c>
      <c r="K3335" s="3" t="s">
        <v>97</v>
      </c>
      <c r="L3335" s="3" t="s">
        <v>98</v>
      </c>
      <c r="M3335" s="3" t="s">
        <v>1747</v>
      </c>
      <c r="N3335" s="3" t="s">
        <v>1748</v>
      </c>
      <c r="O3335" s="5">
        <v>5488.233244</v>
      </c>
      <c r="P3335" s="6" t="str">
        <f t="shared" si="2"/>
        <v>Electrical Equipment</v>
      </c>
    </row>
    <row r="3336" hidden="1">
      <c r="A3336" s="3" t="s">
        <v>13632</v>
      </c>
      <c r="B3336" s="4">
        <v>540590.0</v>
      </c>
      <c r="C3336" s="3" t="s">
        <v>13633</v>
      </c>
      <c r="D3336" s="3" t="s">
        <v>13634</v>
      </c>
      <c r="E3336" s="3" t="s">
        <v>13635</v>
      </c>
      <c r="F3336" s="3" t="s">
        <v>19</v>
      </c>
      <c r="G3336" s="3" t="s">
        <v>112</v>
      </c>
      <c r="H3336" s="3">
        <v>10.0</v>
      </c>
      <c r="I3336" s="3" t="s">
        <v>13632</v>
      </c>
      <c r="J3336" s="3" t="s">
        <v>22</v>
      </c>
      <c r="K3336" s="3" t="s">
        <v>473</v>
      </c>
      <c r="L3336" s="3" t="s">
        <v>473</v>
      </c>
      <c r="M3336" s="3" t="s">
        <v>1538</v>
      </c>
      <c r="N3336" s="3" t="s">
        <v>1539</v>
      </c>
      <c r="O3336" s="5">
        <v>99.8701293</v>
      </c>
      <c r="P3336" s="6" t="str">
        <f t="shared" si="2"/>
        <v>IT - Services</v>
      </c>
    </row>
    <row r="3337">
      <c r="A3337" s="3" t="s">
        <v>13636</v>
      </c>
      <c r="B3337" s="4">
        <v>505255.0</v>
      </c>
      <c r="C3337" s="3" t="s">
        <v>13637</v>
      </c>
      <c r="D3337" s="3" t="s">
        <v>13638</v>
      </c>
      <c r="E3337" s="3" t="s">
        <v>13639</v>
      </c>
      <c r="F3337" s="3" t="s">
        <v>19</v>
      </c>
      <c r="G3337" s="3" t="s">
        <v>20</v>
      </c>
      <c r="H3337" s="3">
        <v>2.0</v>
      </c>
      <c r="I3337" s="3" t="s">
        <v>2022</v>
      </c>
      <c r="J3337" s="3" t="s">
        <v>22</v>
      </c>
      <c r="K3337" s="3" t="s">
        <v>97</v>
      </c>
      <c r="L3337" s="3" t="s">
        <v>98</v>
      </c>
      <c r="M3337" s="3" t="s">
        <v>99</v>
      </c>
      <c r="N3337" s="3" t="s">
        <v>100</v>
      </c>
      <c r="O3337" s="5">
        <v>6056.8113003</v>
      </c>
      <c r="P3337" s="6" t="str">
        <f t="shared" si="2"/>
        <v>Industrial Products</v>
      </c>
    </row>
    <row r="3338">
      <c r="A3338" s="3" t="s">
        <v>11546</v>
      </c>
      <c r="B3338" s="4">
        <v>505700.0</v>
      </c>
      <c r="C3338" s="3" t="s">
        <v>13640</v>
      </c>
      <c r="D3338" s="3" t="s">
        <v>13641</v>
      </c>
      <c r="E3338" s="3" t="s">
        <v>13642</v>
      </c>
      <c r="F3338" s="3" t="s">
        <v>19</v>
      </c>
      <c r="G3338" s="3" t="s">
        <v>20</v>
      </c>
      <c r="H3338" s="3">
        <v>2.0</v>
      </c>
      <c r="I3338" s="3" t="s">
        <v>2156</v>
      </c>
      <c r="J3338" s="3" t="s">
        <v>22</v>
      </c>
      <c r="K3338" s="3" t="s">
        <v>97</v>
      </c>
      <c r="L3338" s="3" t="s">
        <v>98</v>
      </c>
      <c r="M3338" s="3" t="s">
        <v>99</v>
      </c>
      <c r="N3338" s="3" t="s">
        <v>100</v>
      </c>
      <c r="O3338" s="5">
        <v>15101.4423753</v>
      </c>
      <c r="P3338" s="6" t="str">
        <f t="shared" si="2"/>
        <v>Industrial Products</v>
      </c>
    </row>
    <row r="3339" hidden="1">
      <c r="A3339" s="3" t="s">
        <v>13643</v>
      </c>
      <c r="B3339" s="4">
        <v>540602.0</v>
      </c>
      <c r="C3339" s="3" t="s">
        <v>13644</v>
      </c>
      <c r="D3339" s="3" t="s">
        <v>13645</v>
      </c>
      <c r="E3339" s="3" t="s">
        <v>13646</v>
      </c>
      <c r="F3339" s="3" t="s">
        <v>19</v>
      </c>
      <c r="G3339" s="3" t="s">
        <v>112</v>
      </c>
      <c r="H3339" s="3">
        <v>10.0</v>
      </c>
      <c r="I3339" s="3" t="s">
        <v>13643</v>
      </c>
      <c r="J3339" s="3" t="s">
        <v>22</v>
      </c>
      <c r="K3339" s="3" t="s">
        <v>58</v>
      </c>
      <c r="L3339" s="3" t="s">
        <v>182</v>
      </c>
      <c r="M3339" s="3" t="s">
        <v>1168</v>
      </c>
      <c r="N3339" s="3" t="s">
        <v>1169</v>
      </c>
      <c r="O3339" s="5">
        <v>1981.9806538</v>
      </c>
      <c r="P3339" s="6" t="str">
        <f t="shared" si="2"/>
        <v>Entertainment</v>
      </c>
    </row>
    <row r="3340">
      <c r="A3340" s="3" t="s">
        <v>10184</v>
      </c>
      <c r="B3340" s="4">
        <v>505890.0</v>
      </c>
      <c r="C3340" s="3" t="s">
        <v>13647</v>
      </c>
      <c r="D3340" s="3" t="s">
        <v>13648</v>
      </c>
      <c r="E3340" s="3" t="s">
        <v>13649</v>
      </c>
      <c r="F3340" s="3" t="s">
        <v>19</v>
      </c>
      <c r="G3340" s="3" t="s">
        <v>112</v>
      </c>
      <c r="H3340" s="3">
        <v>10.0</v>
      </c>
      <c r="I3340" s="3" t="s">
        <v>2241</v>
      </c>
      <c r="J3340" s="3" t="s">
        <v>22</v>
      </c>
      <c r="K3340" s="3" t="s">
        <v>97</v>
      </c>
      <c r="L3340" s="3" t="s">
        <v>98</v>
      </c>
      <c r="M3340" s="3" t="s">
        <v>99</v>
      </c>
      <c r="N3340" s="3" t="s">
        <v>100</v>
      </c>
      <c r="O3340" s="5">
        <v>7141.08996</v>
      </c>
      <c r="P3340" s="6" t="str">
        <f t="shared" si="2"/>
        <v>Industrial Products</v>
      </c>
    </row>
    <row r="3341" hidden="1">
      <c r="A3341" s="3" t="s">
        <v>8764</v>
      </c>
      <c r="B3341" s="4">
        <v>512433.0</v>
      </c>
      <c r="C3341" s="3" t="s">
        <v>13650</v>
      </c>
      <c r="D3341" s="3" t="s">
        <v>13651</v>
      </c>
      <c r="E3341" s="3" t="s">
        <v>13652</v>
      </c>
      <c r="F3341" s="3" t="s">
        <v>19</v>
      </c>
      <c r="G3341" s="3" t="s">
        <v>1858</v>
      </c>
      <c r="H3341" s="3">
        <v>10.0</v>
      </c>
      <c r="I3341" s="3" t="s">
        <v>3868</v>
      </c>
      <c r="J3341" s="3" t="s">
        <v>22</v>
      </c>
      <c r="K3341" s="3" t="s">
        <v>1673</v>
      </c>
      <c r="L3341" s="3" t="s">
        <v>1673</v>
      </c>
      <c r="M3341" s="3" t="s">
        <v>1674</v>
      </c>
      <c r="N3341" s="3" t="s">
        <v>1915</v>
      </c>
      <c r="O3341" s="5">
        <v>1.0</v>
      </c>
      <c r="P3341" s="6" t="str">
        <f t="shared" si="2"/>
        <v>Commercial Services &amp; Supplies</v>
      </c>
    </row>
    <row r="3342" hidden="1">
      <c r="A3342" s="3" t="s">
        <v>13653</v>
      </c>
      <c r="B3342" s="4">
        <v>540614.0</v>
      </c>
      <c r="C3342" s="3" t="s">
        <v>13654</v>
      </c>
      <c r="D3342" s="3" t="s">
        <v>13655</v>
      </c>
      <c r="E3342" s="3" t="s">
        <v>13656</v>
      </c>
      <c r="F3342" s="3" t="s">
        <v>19</v>
      </c>
      <c r="G3342" s="3" t="s">
        <v>112</v>
      </c>
      <c r="H3342" s="3">
        <v>1.0</v>
      </c>
      <c r="I3342" s="3" t="s">
        <v>13653</v>
      </c>
      <c r="J3342" s="3" t="s">
        <v>22</v>
      </c>
      <c r="K3342" s="3" t="s">
        <v>97</v>
      </c>
      <c r="L3342" s="3" t="s">
        <v>98</v>
      </c>
      <c r="M3342" s="3" t="s">
        <v>1747</v>
      </c>
      <c r="N3342" s="3" t="s">
        <v>1767</v>
      </c>
      <c r="O3342" s="5">
        <v>395.8061654</v>
      </c>
      <c r="P3342" s="6" t="str">
        <f t="shared" si="2"/>
        <v>Heavy Electrical Equipment</v>
      </c>
    </row>
    <row r="3343" hidden="1">
      <c r="A3343" s="3" t="s">
        <v>13657</v>
      </c>
      <c r="B3343" s="4">
        <v>540615.0</v>
      </c>
      <c r="C3343" s="3" t="s">
        <v>13658</v>
      </c>
      <c r="D3343" s="3" t="s">
        <v>13659</v>
      </c>
      <c r="E3343" s="3" t="s">
        <v>13660</v>
      </c>
      <c r="F3343" s="3" t="s">
        <v>19</v>
      </c>
      <c r="G3343" s="3" t="s">
        <v>86</v>
      </c>
      <c r="H3343" s="3">
        <v>10.0</v>
      </c>
      <c r="I3343" s="3" t="s">
        <v>13657</v>
      </c>
      <c r="J3343" s="3" t="s">
        <v>22</v>
      </c>
      <c r="K3343" s="3" t="s">
        <v>58</v>
      </c>
      <c r="L3343" s="3" t="s">
        <v>73</v>
      </c>
      <c r="M3343" s="3" t="s">
        <v>988</v>
      </c>
      <c r="N3343" s="3" t="s">
        <v>989</v>
      </c>
      <c r="O3343" s="5">
        <v>15.3916306</v>
      </c>
      <c r="P3343" s="6" t="str">
        <f t="shared" si="2"/>
        <v>Retailing</v>
      </c>
    </row>
    <row r="3344" hidden="1">
      <c r="A3344" s="3" t="s">
        <v>13661</v>
      </c>
      <c r="B3344" s="4">
        <v>540642.0</v>
      </c>
      <c r="C3344" s="3" t="s">
        <v>13662</v>
      </c>
      <c r="D3344" s="3" t="s">
        <v>13663</v>
      </c>
      <c r="E3344" s="3" t="s">
        <v>13664</v>
      </c>
      <c r="F3344" s="3" t="s">
        <v>19</v>
      </c>
      <c r="G3344" s="3" t="s">
        <v>112</v>
      </c>
      <c r="H3344" s="3">
        <v>1.0</v>
      </c>
      <c r="I3344" s="3" t="s">
        <v>13661</v>
      </c>
      <c r="J3344" s="3" t="s">
        <v>22</v>
      </c>
      <c r="K3344" s="3" t="s">
        <v>97</v>
      </c>
      <c r="L3344" s="3" t="s">
        <v>98</v>
      </c>
      <c r="M3344" s="3" t="s">
        <v>99</v>
      </c>
      <c r="N3344" s="3" t="s">
        <v>100</v>
      </c>
      <c r="O3344" s="5">
        <v>3255.3475429</v>
      </c>
      <c r="P3344" s="6" t="str">
        <f t="shared" si="2"/>
        <v>Industrial Products</v>
      </c>
    </row>
    <row r="3345" hidden="1">
      <c r="A3345" s="3" t="s">
        <v>13665</v>
      </c>
      <c r="B3345" s="4">
        <v>540647.0</v>
      </c>
      <c r="C3345" s="3" t="s">
        <v>13666</v>
      </c>
      <c r="D3345" s="3" t="s">
        <v>13667</v>
      </c>
      <c r="E3345" s="3" t="s">
        <v>13668</v>
      </c>
      <c r="F3345" s="3" t="s">
        <v>19</v>
      </c>
      <c r="G3345" s="3" t="s">
        <v>112</v>
      </c>
      <c r="H3345" s="3">
        <v>10.0</v>
      </c>
      <c r="I3345" s="3" t="s">
        <v>13665</v>
      </c>
      <c r="J3345" s="3" t="s">
        <v>22</v>
      </c>
      <c r="K3345" s="3" t="s">
        <v>145</v>
      </c>
      <c r="L3345" s="3" t="s">
        <v>145</v>
      </c>
      <c r="M3345" s="3" t="s">
        <v>146</v>
      </c>
      <c r="N3345" s="3" t="s">
        <v>444</v>
      </c>
      <c r="O3345" s="5">
        <v>170.8652701</v>
      </c>
      <c r="P3345" s="6" t="str">
        <f t="shared" si="2"/>
        <v>Agricultural Food &amp; other Products</v>
      </c>
    </row>
    <row r="3346" hidden="1">
      <c r="A3346" s="3" t="s">
        <v>13669</v>
      </c>
      <c r="B3346" s="4">
        <v>540648.0</v>
      </c>
      <c r="C3346" s="3" t="s">
        <v>13670</v>
      </c>
      <c r="D3346" s="3" t="s">
        <v>13671</v>
      </c>
      <c r="E3346" s="3" t="s">
        <v>13672</v>
      </c>
      <c r="F3346" s="3" t="s">
        <v>19</v>
      </c>
      <c r="G3346" s="3" t="s">
        <v>112</v>
      </c>
      <c r="H3346" s="3">
        <v>10.0</v>
      </c>
      <c r="I3346" s="3" t="s">
        <v>13669</v>
      </c>
      <c r="J3346" s="3" t="s">
        <v>22</v>
      </c>
      <c r="K3346" s="3" t="s">
        <v>145</v>
      </c>
      <c r="L3346" s="3" t="s">
        <v>145</v>
      </c>
      <c r="M3346" s="3" t="s">
        <v>597</v>
      </c>
      <c r="N3346" s="3" t="s">
        <v>2344</v>
      </c>
      <c r="O3346" s="5">
        <v>142.6305284</v>
      </c>
      <c r="P3346" s="6" t="str">
        <f t="shared" si="2"/>
        <v>Food Products</v>
      </c>
    </row>
    <row r="3347" hidden="1">
      <c r="A3347" s="3" t="s">
        <v>13673</v>
      </c>
      <c r="B3347" s="4">
        <v>540649.0</v>
      </c>
      <c r="C3347" s="3" t="s">
        <v>13674</v>
      </c>
      <c r="D3347" s="3" t="s">
        <v>13675</v>
      </c>
      <c r="E3347" s="3" t="s">
        <v>13676</v>
      </c>
      <c r="F3347" s="3" t="s">
        <v>19</v>
      </c>
      <c r="G3347" s="3" t="s">
        <v>112</v>
      </c>
      <c r="H3347" s="3">
        <v>10.0</v>
      </c>
      <c r="I3347" s="3" t="s">
        <v>13673</v>
      </c>
      <c r="J3347" s="3" t="s">
        <v>22</v>
      </c>
      <c r="K3347" s="3" t="s">
        <v>145</v>
      </c>
      <c r="L3347" s="3" t="s">
        <v>145</v>
      </c>
      <c r="M3347" s="3" t="s">
        <v>146</v>
      </c>
      <c r="N3347" s="3" t="s">
        <v>147</v>
      </c>
      <c r="O3347" s="5">
        <v>1312.9984443</v>
      </c>
      <c r="P3347" s="6" t="str">
        <f t="shared" si="2"/>
        <v>Agricultural Food &amp; other Products</v>
      </c>
    </row>
    <row r="3348" hidden="1">
      <c r="A3348" s="3" t="s">
        <v>13677</v>
      </c>
      <c r="B3348" s="4">
        <v>540650.0</v>
      </c>
      <c r="C3348" s="3" t="s">
        <v>13678</v>
      </c>
      <c r="D3348" s="3" t="s">
        <v>13679</v>
      </c>
      <c r="E3348" s="3" t="s">
        <v>13680</v>
      </c>
      <c r="F3348" s="3" t="s">
        <v>19</v>
      </c>
      <c r="G3348" s="3" t="s">
        <v>112</v>
      </c>
      <c r="H3348" s="3">
        <v>10.0</v>
      </c>
      <c r="I3348" s="3" t="s">
        <v>13677</v>
      </c>
      <c r="J3348" s="3" t="s">
        <v>22</v>
      </c>
      <c r="K3348" s="3" t="s">
        <v>145</v>
      </c>
      <c r="L3348" s="3" t="s">
        <v>145</v>
      </c>
      <c r="M3348" s="3" t="s">
        <v>146</v>
      </c>
      <c r="N3348" s="3" t="s">
        <v>147</v>
      </c>
      <c r="O3348" s="5">
        <v>1078.9895737</v>
      </c>
      <c r="P3348" s="6" t="str">
        <f t="shared" si="2"/>
        <v>Agricultural Food &amp; other Products</v>
      </c>
    </row>
    <row r="3349" hidden="1">
      <c r="A3349" s="3" t="s">
        <v>13681</v>
      </c>
      <c r="B3349" s="4">
        <v>540651.0</v>
      </c>
      <c r="C3349" s="3" t="s">
        <v>13682</v>
      </c>
      <c r="D3349" s="3" t="s">
        <v>13683</v>
      </c>
      <c r="E3349" s="3" t="s">
        <v>13684</v>
      </c>
      <c r="F3349" s="3" t="s">
        <v>19</v>
      </c>
      <c r="G3349" s="3" t="s">
        <v>2428</v>
      </c>
      <c r="H3349" s="3">
        <v>10.0</v>
      </c>
      <c r="I3349" s="3" t="s">
        <v>13681</v>
      </c>
      <c r="J3349" s="3" t="s">
        <v>22</v>
      </c>
      <c r="K3349" s="3" t="s">
        <v>97</v>
      </c>
      <c r="L3349" s="3" t="s">
        <v>98</v>
      </c>
      <c r="M3349" s="3" t="s">
        <v>1747</v>
      </c>
      <c r="N3349" s="3" t="s">
        <v>1748</v>
      </c>
      <c r="O3349" s="5">
        <v>35.23032</v>
      </c>
      <c r="P3349" s="6" t="str">
        <f t="shared" si="2"/>
        <v>Electrical Equipment</v>
      </c>
    </row>
    <row r="3350" hidden="1">
      <c r="A3350" s="3" t="s">
        <v>13685</v>
      </c>
      <c r="B3350" s="4">
        <v>540652.0</v>
      </c>
      <c r="C3350" s="3" t="s">
        <v>13686</v>
      </c>
      <c r="D3350" s="3" t="s">
        <v>13687</v>
      </c>
      <c r="E3350" s="3" t="s">
        <v>13688</v>
      </c>
      <c r="F3350" s="3" t="s">
        <v>19</v>
      </c>
      <c r="G3350" s="3" t="s">
        <v>2428</v>
      </c>
      <c r="H3350" s="3">
        <v>10.0</v>
      </c>
      <c r="I3350" s="3" t="s">
        <v>13685</v>
      </c>
      <c r="J3350" s="3" t="s">
        <v>22</v>
      </c>
      <c r="K3350" s="3" t="s">
        <v>97</v>
      </c>
      <c r="L3350" s="3" t="s">
        <v>98</v>
      </c>
      <c r="M3350" s="3" t="s">
        <v>99</v>
      </c>
      <c r="N3350" s="3" t="s">
        <v>100</v>
      </c>
      <c r="O3350" s="5">
        <v>207.264</v>
      </c>
      <c r="P3350" s="6" t="str">
        <f t="shared" si="2"/>
        <v>Industrial Products</v>
      </c>
    </row>
    <row r="3351" hidden="1">
      <c r="A3351" s="3" t="s">
        <v>13689</v>
      </c>
      <c r="B3351" s="4">
        <v>540654.0</v>
      </c>
      <c r="C3351" s="3" t="s">
        <v>13690</v>
      </c>
      <c r="D3351" s="3" t="s">
        <v>13691</v>
      </c>
      <c r="E3351" s="3" t="s">
        <v>13692</v>
      </c>
      <c r="F3351" s="3" t="s">
        <v>19</v>
      </c>
      <c r="G3351" s="3" t="s">
        <v>112</v>
      </c>
      <c r="H3351" s="3">
        <v>10.0</v>
      </c>
      <c r="I3351" s="3" t="s">
        <v>13689</v>
      </c>
      <c r="J3351" s="3" t="s">
        <v>22</v>
      </c>
      <c r="K3351" s="3" t="s">
        <v>473</v>
      </c>
      <c r="L3351" s="3" t="s">
        <v>473</v>
      </c>
      <c r="M3351" s="3" t="s">
        <v>1391</v>
      </c>
      <c r="N3351" s="3" t="s">
        <v>1840</v>
      </c>
      <c r="O3351" s="5">
        <v>62.1365386</v>
      </c>
      <c r="P3351" s="6" t="str">
        <f t="shared" si="2"/>
        <v>Computers - Software &amp; Consulting</v>
      </c>
    </row>
    <row r="3352" hidden="1">
      <c r="A3352" s="3" t="s">
        <v>13693</v>
      </c>
      <c r="B3352" s="4">
        <v>512461.0</v>
      </c>
      <c r="C3352" s="3" t="s">
        <v>13694</v>
      </c>
      <c r="D3352" s="3" t="s">
        <v>13695</v>
      </c>
      <c r="E3352" s="3" t="s">
        <v>13696</v>
      </c>
      <c r="F3352" s="3" t="s">
        <v>19</v>
      </c>
      <c r="G3352" s="3" t="s">
        <v>1858</v>
      </c>
      <c r="H3352" s="3">
        <v>10.0</v>
      </c>
      <c r="I3352" s="3" t="s">
        <v>3897</v>
      </c>
      <c r="J3352" s="3" t="s">
        <v>22</v>
      </c>
      <c r="K3352" s="3" t="s">
        <v>1673</v>
      </c>
      <c r="L3352" s="3" t="s">
        <v>1673</v>
      </c>
      <c r="M3352" s="3" t="s">
        <v>1674</v>
      </c>
      <c r="N3352" s="3" t="s">
        <v>1675</v>
      </c>
      <c r="O3352" s="5">
        <v>1.0</v>
      </c>
      <c r="P3352" s="6" t="str">
        <f t="shared" si="2"/>
        <v>Commercial Services &amp; Supplies</v>
      </c>
    </row>
    <row r="3353">
      <c r="A3353" s="3" t="s">
        <v>13697</v>
      </c>
      <c r="B3353" s="4">
        <v>506076.0</v>
      </c>
      <c r="C3353" s="3" t="s">
        <v>13698</v>
      </c>
      <c r="D3353" s="3" t="s">
        <v>13699</v>
      </c>
      <c r="E3353" s="3" t="s">
        <v>13700</v>
      </c>
      <c r="F3353" s="3" t="s">
        <v>19</v>
      </c>
      <c r="G3353" s="3" t="s">
        <v>20</v>
      </c>
      <c r="H3353" s="3">
        <v>5.0</v>
      </c>
      <c r="I3353" s="3" t="s">
        <v>2277</v>
      </c>
      <c r="J3353" s="3" t="s">
        <v>22</v>
      </c>
      <c r="K3353" s="3" t="s">
        <v>97</v>
      </c>
      <c r="L3353" s="3" t="s">
        <v>98</v>
      </c>
      <c r="M3353" s="3" t="s">
        <v>100</v>
      </c>
      <c r="N3353" s="3" t="s">
        <v>2079</v>
      </c>
      <c r="O3353" s="5">
        <v>30578.9154751</v>
      </c>
      <c r="P3353" s="6" t="str">
        <f t="shared" si="2"/>
        <v>Industrial Products</v>
      </c>
    </row>
    <row r="3354" hidden="1">
      <c r="A3354" s="3" t="s">
        <v>13701</v>
      </c>
      <c r="B3354" s="4">
        <v>540679.0</v>
      </c>
      <c r="C3354" s="3" t="s">
        <v>13702</v>
      </c>
      <c r="D3354" s="3" t="s">
        <v>13703</v>
      </c>
      <c r="E3354" s="3" t="s">
        <v>13702</v>
      </c>
      <c r="F3354" s="3" t="s">
        <v>19</v>
      </c>
      <c r="G3354" s="3" t="s">
        <v>112</v>
      </c>
      <c r="H3354" s="3">
        <v>10.0</v>
      </c>
      <c r="I3354" s="3" t="s">
        <v>13701</v>
      </c>
      <c r="J3354" s="3" t="s">
        <v>22</v>
      </c>
      <c r="K3354" s="3" t="s">
        <v>45</v>
      </c>
      <c r="L3354" s="3" t="s">
        <v>45</v>
      </c>
      <c r="M3354" s="3" t="s">
        <v>46</v>
      </c>
      <c r="N3354" s="3" t="s">
        <v>47</v>
      </c>
      <c r="O3354" s="5">
        <v>256.1269261</v>
      </c>
      <c r="P3354" s="6" t="str">
        <f t="shared" si="2"/>
        <v>Pharmaceuticals</v>
      </c>
    </row>
    <row r="3355">
      <c r="A3355" s="3" t="s">
        <v>713</v>
      </c>
      <c r="B3355" s="4">
        <v>509488.0</v>
      </c>
      <c r="C3355" s="3" t="s">
        <v>13704</v>
      </c>
      <c r="D3355" s="3" t="s">
        <v>13705</v>
      </c>
      <c r="E3355" s="3" t="s">
        <v>13706</v>
      </c>
      <c r="F3355" s="3" t="s">
        <v>19</v>
      </c>
      <c r="G3355" s="3" t="s">
        <v>20</v>
      </c>
      <c r="H3355" s="3">
        <v>2.0</v>
      </c>
      <c r="I3355" s="3" t="s">
        <v>3020</v>
      </c>
      <c r="J3355" s="3" t="s">
        <v>22</v>
      </c>
      <c r="K3355" s="3" t="s">
        <v>97</v>
      </c>
      <c r="L3355" s="3" t="s">
        <v>98</v>
      </c>
      <c r="M3355" s="3" t="s">
        <v>100</v>
      </c>
      <c r="N3355" s="3" t="s">
        <v>1500</v>
      </c>
      <c r="O3355" s="5">
        <v>11044.9149124</v>
      </c>
      <c r="P3355" s="6" t="str">
        <f t="shared" si="2"/>
        <v>Industrial Products</v>
      </c>
    </row>
    <row r="3356" hidden="1">
      <c r="A3356" s="3" t="s">
        <v>13707</v>
      </c>
      <c r="B3356" s="4">
        <v>540681.0</v>
      </c>
      <c r="C3356" s="3" t="s">
        <v>13708</v>
      </c>
      <c r="D3356" s="3" t="s">
        <v>13709</v>
      </c>
      <c r="E3356" s="3" t="s">
        <v>13710</v>
      </c>
      <c r="F3356" s="3" t="s">
        <v>19</v>
      </c>
      <c r="G3356" s="3" t="s">
        <v>6293</v>
      </c>
      <c r="H3356" s="3">
        <v>10.0</v>
      </c>
      <c r="I3356" s="3" t="s">
        <v>13707</v>
      </c>
      <c r="J3356" s="3" t="s">
        <v>22</v>
      </c>
      <c r="K3356" s="3" t="s">
        <v>145</v>
      </c>
      <c r="L3356" s="3" t="s">
        <v>145</v>
      </c>
      <c r="M3356" s="3" t="s">
        <v>597</v>
      </c>
      <c r="N3356" s="3" t="s">
        <v>2344</v>
      </c>
      <c r="O3356" s="5">
        <v>31.1836</v>
      </c>
      <c r="P3356" s="6" t="str">
        <f t="shared" si="2"/>
        <v>Food Products</v>
      </c>
    </row>
    <row r="3357" hidden="1">
      <c r="A3357" s="3" t="s">
        <v>13711</v>
      </c>
      <c r="B3357" s="4">
        <v>540686.0</v>
      </c>
      <c r="C3357" s="3" t="s">
        <v>13712</v>
      </c>
      <c r="D3357" s="3" t="s">
        <v>13713</v>
      </c>
      <c r="E3357" s="3" t="s">
        <v>13714</v>
      </c>
      <c r="F3357" s="3" t="s">
        <v>19</v>
      </c>
      <c r="G3357" s="3" t="s">
        <v>44</v>
      </c>
      <c r="H3357" s="3">
        <v>10.0</v>
      </c>
      <c r="I3357" s="3" t="s">
        <v>13711</v>
      </c>
      <c r="J3357" s="3" t="s">
        <v>22</v>
      </c>
      <c r="K3357" s="3" t="s">
        <v>45</v>
      </c>
      <c r="L3357" s="3" t="s">
        <v>45</v>
      </c>
      <c r="M3357" s="3" t="s">
        <v>46</v>
      </c>
      <c r="N3357" s="3" t="s">
        <v>47</v>
      </c>
      <c r="O3357" s="5">
        <v>195.878725</v>
      </c>
      <c r="P3357" s="6" t="str">
        <f t="shared" si="2"/>
        <v>Pharmaceuticals</v>
      </c>
    </row>
    <row r="3358">
      <c r="A3358" s="3" t="s">
        <v>10198</v>
      </c>
      <c r="B3358" s="4">
        <v>509496.0</v>
      </c>
      <c r="C3358" s="3" t="s">
        <v>13715</v>
      </c>
      <c r="D3358" s="3" t="s">
        <v>13716</v>
      </c>
      <c r="E3358" s="3" t="s">
        <v>13717</v>
      </c>
      <c r="F3358" s="3" t="s">
        <v>19</v>
      </c>
      <c r="G3358" s="3" t="s">
        <v>20</v>
      </c>
      <c r="H3358" s="3">
        <v>1.0</v>
      </c>
      <c r="I3358" s="3" t="s">
        <v>3025</v>
      </c>
      <c r="J3358" s="3" t="s">
        <v>22</v>
      </c>
      <c r="K3358" s="3" t="s">
        <v>97</v>
      </c>
      <c r="L3358" s="3" t="s">
        <v>965</v>
      </c>
      <c r="M3358" s="3" t="s">
        <v>965</v>
      </c>
      <c r="N3358" s="3" t="s">
        <v>966</v>
      </c>
      <c r="O3358" s="5">
        <v>9158.1210409</v>
      </c>
      <c r="P3358" s="6" t="str">
        <f t="shared" si="2"/>
        <v>Civil Construction</v>
      </c>
    </row>
    <row r="3359" hidden="1">
      <c r="A3359" s="3" t="s">
        <v>13718</v>
      </c>
      <c r="B3359" s="4">
        <v>540692.0</v>
      </c>
      <c r="C3359" s="3" t="s">
        <v>13719</v>
      </c>
      <c r="D3359" s="3" t="s">
        <v>13720</v>
      </c>
      <c r="E3359" s="3" t="s">
        <v>13721</v>
      </c>
      <c r="F3359" s="3" t="s">
        <v>19</v>
      </c>
      <c r="G3359" s="3" t="s">
        <v>112</v>
      </c>
      <c r="H3359" s="3">
        <v>10.0</v>
      </c>
      <c r="I3359" s="3" t="s">
        <v>13718</v>
      </c>
      <c r="J3359" s="3" t="s">
        <v>22</v>
      </c>
      <c r="K3359" s="3" t="s">
        <v>145</v>
      </c>
      <c r="L3359" s="3" t="s">
        <v>145</v>
      </c>
      <c r="M3359" s="3" t="s">
        <v>597</v>
      </c>
      <c r="N3359" s="3" t="s">
        <v>1438</v>
      </c>
      <c r="O3359" s="5">
        <v>695.4915054</v>
      </c>
      <c r="P3359" s="6" t="str">
        <f t="shared" si="2"/>
        <v>Food Products</v>
      </c>
    </row>
    <row r="3360" hidden="1">
      <c r="A3360" s="3" t="s">
        <v>13722</v>
      </c>
      <c r="B3360" s="4">
        <v>540693.0</v>
      </c>
      <c r="C3360" s="3" t="s">
        <v>13723</v>
      </c>
      <c r="D3360" s="3" t="s">
        <v>13724</v>
      </c>
      <c r="E3360" s="3" t="s">
        <v>13725</v>
      </c>
      <c r="F3360" s="3" t="s">
        <v>19</v>
      </c>
      <c r="G3360" s="3" t="s">
        <v>112</v>
      </c>
      <c r="H3360" s="3">
        <v>10.0</v>
      </c>
      <c r="I3360" s="3" t="s">
        <v>13722</v>
      </c>
      <c r="J3360" s="3" t="s">
        <v>22</v>
      </c>
      <c r="K3360" s="3" t="s">
        <v>97</v>
      </c>
      <c r="L3360" s="3" t="s">
        <v>98</v>
      </c>
      <c r="M3360" s="3" t="s">
        <v>100</v>
      </c>
      <c r="N3360" s="3" t="s">
        <v>580</v>
      </c>
      <c r="O3360" s="5">
        <v>475.34108</v>
      </c>
      <c r="P3360" s="6" t="str">
        <f t="shared" si="2"/>
        <v>Industrial Products</v>
      </c>
    </row>
    <row r="3361" hidden="1">
      <c r="A3361" s="3" t="s">
        <v>13726</v>
      </c>
      <c r="B3361" s="4">
        <v>540694.0</v>
      </c>
      <c r="C3361" s="3" t="s">
        <v>13727</v>
      </c>
      <c r="D3361" s="3" t="s">
        <v>13728</v>
      </c>
      <c r="E3361" s="3" t="s">
        <v>13729</v>
      </c>
      <c r="F3361" s="3" t="s">
        <v>19</v>
      </c>
      <c r="G3361" s="3" t="s">
        <v>112</v>
      </c>
      <c r="H3361" s="3">
        <v>10.0</v>
      </c>
      <c r="I3361" s="3" t="s">
        <v>13726</v>
      </c>
      <c r="J3361" s="3" t="s">
        <v>22</v>
      </c>
      <c r="K3361" s="3" t="s">
        <v>45</v>
      </c>
      <c r="L3361" s="3" t="s">
        <v>45</v>
      </c>
      <c r="M3361" s="3" t="s">
        <v>46</v>
      </c>
      <c r="N3361" s="3" t="s">
        <v>47</v>
      </c>
      <c r="O3361" s="5">
        <v>69.5942965</v>
      </c>
      <c r="P3361" s="6" t="str">
        <f t="shared" si="2"/>
        <v>Pharmaceuticals</v>
      </c>
    </row>
    <row r="3362" hidden="1">
      <c r="A3362" s="3" t="s">
        <v>13730</v>
      </c>
      <c r="B3362" s="4">
        <v>512511.0</v>
      </c>
      <c r="C3362" s="3" t="s">
        <v>13731</v>
      </c>
      <c r="D3362" s="3" t="s">
        <v>13732</v>
      </c>
      <c r="E3362" s="3" t="s">
        <v>13733</v>
      </c>
      <c r="F3362" s="3" t="s">
        <v>19</v>
      </c>
      <c r="G3362" s="3" t="s">
        <v>72</v>
      </c>
      <c r="H3362" s="3">
        <v>10.0</v>
      </c>
      <c r="I3362" s="3" t="s">
        <v>3935</v>
      </c>
      <c r="J3362" s="3" t="s">
        <v>22</v>
      </c>
      <c r="K3362" s="3" t="s">
        <v>1673</v>
      </c>
      <c r="L3362" s="3" t="s">
        <v>1673</v>
      </c>
      <c r="M3362" s="3" t="s">
        <v>1674</v>
      </c>
      <c r="N3362" s="3" t="s">
        <v>1675</v>
      </c>
      <c r="O3362" s="5">
        <v>1.0</v>
      </c>
      <c r="P3362" s="6" t="str">
        <f t="shared" si="2"/>
        <v>Commercial Services &amp; Supplies</v>
      </c>
    </row>
    <row r="3363">
      <c r="A3363" s="3" t="s">
        <v>3024</v>
      </c>
      <c r="B3363" s="4">
        <v>509631.0</v>
      </c>
      <c r="C3363" s="3" t="s">
        <v>13734</v>
      </c>
      <c r="D3363" s="3" t="s">
        <v>13735</v>
      </c>
      <c r="E3363" s="3" t="s">
        <v>13736</v>
      </c>
      <c r="F3363" s="3" t="s">
        <v>19</v>
      </c>
      <c r="G3363" s="3" t="s">
        <v>20</v>
      </c>
      <c r="H3363" s="3">
        <v>10.0</v>
      </c>
      <c r="I3363" s="3" t="s">
        <v>3053</v>
      </c>
      <c r="J3363" s="3" t="s">
        <v>22</v>
      </c>
      <c r="K3363" s="3" t="s">
        <v>97</v>
      </c>
      <c r="L3363" s="3" t="s">
        <v>98</v>
      </c>
      <c r="M3363" s="3" t="s">
        <v>100</v>
      </c>
      <c r="N3363" s="3" t="s">
        <v>1500</v>
      </c>
      <c r="O3363" s="5">
        <v>8390.039756</v>
      </c>
      <c r="P3363" s="6" t="str">
        <f t="shared" si="2"/>
        <v>Industrial Products</v>
      </c>
    </row>
    <row r="3364" hidden="1">
      <c r="A3364" s="3" t="s">
        <v>13737</v>
      </c>
      <c r="B3364" s="4">
        <v>540700.0</v>
      </c>
      <c r="C3364" s="3" t="s">
        <v>13738</v>
      </c>
      <c r="D3364" s="3" t="s">
        <v>13739</v>
      </c>
      <c r="E3364" s="3" t="s">
        <v>13740</v>
      </c>
      <c r="F3364" s="3" t="s">
        <v>19</v>
      </c>
      <c r="G3364" s="3" t="s">
        <v>86</v>
      </c>
      <c r="H3364" s="3">
        <v>10.0</v>
      </c>
      <c r="I3364" s="3" t="s">
        <v>13737</v>
      </c>
      <c r="J3364" s="3" t="s">
        <v>22</v>
      </c>
      <c r="K3364" s="3" t="s">
        <v>97</v>
      </c>
      <c r="L3364" s="3" t="s">
        <v>965</v>
      </c>
      <c r="M3364" s="3" t="s">
        <v>965</v>
      </c>
      <c r="N3364" s="3" t="s">
        <v>966</v>
      </c>
      <c r="O3364" s="5">
        <v>415.1391695</v>
      </c>
      <c r="P3364" s="6" t="str">
        <f t="shared" si="2"/>
        <v>Civil Construction</v>
      </c>
    </row>
    <row r="3365" hidden="1">
      <c r="A3365" s="3" t="s">
        <v>13741</v>
      </c>
      <c r="B3365" s="4">
        <v>540701.0</v>
      </c>
      <c r="C3365" s="3" t="s">
        <v>13742</v>
      </c>
      <c r="D3365" s="3" t="s">
        <v>13743</v>
      </c>
      <c r="E3365" s="3" t="s">
        <v>13744</v>
      </c>
      <c r="F3365" s="3" t="s">
        <v>19</v>
      </c>
      <c r="G3365" s="3" t="s">
        <v>20</v>
      </c>
      <c r="H3365" s="3">
        <v>2.0</v>
      </c>
      <c r="I3365" s="3" t="s">
        <v>13741</v>
      </c>
      <c r="J3365" s="3" t="s">
        <v>22</v>
      </c>
      <c r="K3365" s="3" t="s">
        <v>45</v>
      </c>
      <c r="L3365" s="3" t="s">
        <v>45</v>
      </c>
      <c r="M3365" s="3" t="s">
        <v>46</v>
      </c>
      <c r="N3365" s="3" t="s">
        <v>47</v>
      </c>
      <c r="O3365" s="5">
        <v>2772.652255</v>
      </c>
      <c r="P3365" s="6" t="str">
        <f t="shared" si="2"/>
        <v>Pharmaceuticals</v>
      </c>
    </row>
    <row r="3366" hidden="1">
      <c r="A3366" s="3" t="s">
        <v>13745</v>
      </c>
      <c r="B3366" s="4">
        <v>540702.0</v>
      </c>
      <c r="C3366" s="3" t="s">
        <v>13746</v>
      </c>
      <c r="D3366" s="3" t="s">
        <v>13747</v>
      </c>
      <c r="E3366" s="3" t="s">
        <v>13748</v>
      </c>
      <c r="F3366" s="3" t="s">
        <v>19</v>
      </c>
      <c r="G3366" s="3" t="s">
        <v>112</v>
      </c>
      <c r="H3366" s="3">
        <v>10.0</v>
      </c>
      <c r="I3366" s="3" t="s">
        <v>13745</v>
      </c>
      <c r="J3366" s="3" t="s">
        <v>22</v>
      </c>
      <c r="K3366" s="3" t="s">
        <v>45</v>
      </c>
      <c r="L3366" s="3" t="s">
        <v>45</v>
      </c>
      <c r="M3366" s="3" t="s">
        <v>46</v>
      </c>
      <c r="N3366" s="3" t="s">
        <v>47</v>
      </c>
      <c r="O3366" s="5">
        <v>116.6973426</v>
      </c>
      <c r="P3366" s="6" t="str">
        <f t="shared" si="2"/>
        <v>Pharmaceuticals</v>
      </c>
    </row>
    <row r="3367" hidden="1">
      <c r="A3367" s="3" t="s">
        <v>13749</v>
      </c>
      <c r="B3367" s="4">
        <v>512517.0</v>
      </c>
      <c r="C3367" s="3" t="s">
        <v>13750</v>
      </c>
      <c r="D3367" s="3" t="s">
        <v>13751</v>
      </c>
      <c r="E3367" s="3" t="s">
        <v>13752</v>
      </c>
      <c r="F3367" s="3" t="s">
        <v>19</v>
      </c>
      <c r="G3367" s="3" t="s">
        <v>72</v>
      </c>
      <c r="H3367" s="3">
        <v>10.0</v>
      </c>
      <c r="I3367" s="3" t="s">
        <v>3939</v>
      </c>
      <c r="J3367" s="3" t="s">
        <v>22</v>
      </c>
      <c r="K3367" s="3" t="s">
        <v>1673</v>
      </c>
      <c r="L3367" s="3" t="s">
        <v>1673</v>
      </c>
      <c r="M3367" s="3" t="s">
        <v>1674</v>
      </c>
      <c r="N3367" s="3" t="s">
        <v>1675</v>
      </c>
      <c r="O3367" s="5">
        <v>1.0</v>
      </c>
      <c r="P3367" s="6" t="str">
        <f t="shared" si="2"/>
        <v>Commercial Services &amp; Supplies</v>
      </c>
    </row>
    <row r="3368" hidden="1">
      <c r="A3368" s="3" t="s">
        <v>13753</v>
      </c>
      <c r="B3368" s="4">
        <v>540704.0</v>
      </c>
      <c r="C3368" s="3" t="s">
        <v>13754</v>
      </c>
      <c r="D3368" s="3" t="s">
        <v>13755</v>
      </c>
      <c r="E3368" s="3" t="s">
        <v>13756</v>
      </c>
      <c r="F3368" s="3" t="s">
        <v>19</v>
      </c>
      <c r="G3368" s="3" t="s">
        <v>112</v>
      </c>
      <c r="H3368" s="3">
        <v>5.0</v>
      </c>
      <c r="I3368" s="3" t="s">
        <v>13753</v>
      </c>
      <c r="J3368" s="3" t="s">
        <v>22</v>
      </c>
      <c r="K3368" s="3" t="s">
        <v>58</v>
      </c>
      <c r="L3368" s="3" t="s">
        <v>73</v>
      </c>
      <c r="M3368" s="3" t="s">
        <v>988</v>
      </c>
      <c r="N3368" s="3" t="s">
        <v>1614</v>
      </c>
      <c r="O3368" s="5">
        <v>1368.8912385</v>
      </c>
      <c r="P3368" s="6" t="str">
        <f t="shared" si="2"/>
        <v>Retailing</v>
      </c>
    </row>
    <row r="3369" hidden="1">
      <c r="A3369" s="3" t="s">
        <v>13757</v>
      </c>
      <c r="B3369" s="4">
        <v>540709.0</v>
      </c>
      <c r="C3369" s="3" t="s">
        <v>13758</v>
      </c>
      <c r="D3369" s="3" t="s">
        <v>13759</v>
      </c>
      <c r="E3369" s="3" t="s">
        <v>13760</v>
      </c>
      <c r="F3369" s="3" t="s">
        <v>19</v>
      </c>
      <c r="G3369" s="3" t="s">
        <v>86</v>
      </c>
      <c r="H3369" s="3">
        <v>10.0</v>
      </c>
      <c r="I3369" s="3" t="s">
        <v>13757</v>
      </c>
      <c r="J3369" s="3" t="s">
        <v>22</v>
      </c>
      <c r="K3369" s="3" t="s">
        <v>204</v>
      </c>
      <c r="L3369" s="3" t="s">
        <v>204</v>
      </c>
      <c r="M3369" s="3" t="s">
        <v>378</v>
      </c>
      <c r="N3369" s="3" t="s">
        <v>3066</v>
      </c>
      <c r="O3369" s="5">
        <v>177.5703071</v>
      </c>
      <c r="P3369" s="6" t="str">
        <f t="shared" si="2"/>
        <v>Finance</v>
      </c>
    </row>
    <row r="3370" hidden="1">
      <c r="A3370" s="3" t="s">
        <v>13761</v>
      </c>
      <c r="B3370" s="4">
        <v>540710.0</v>
      </c>
      <c r="C3370" s="3" t="s">
        <v>13762</v>
      </c>
      <c r="D3370" s="3" t="s">
        <v>13763</v>
      </c>
      <c r="E3370" s="3" t="s">
        <v>13764</v>
      </c>
      <c r="F3370" s="3" t="s">
        <v>19</v>
      </c>
      <c r="G3370" s="3" t="s">
        <v>112</v>
      </c>
      <c r="H3370" s="3">
        <v>10.0</v>
      </c>
      <c r="I3370" s="3" t="s">
        <v>13761</v>
      </c>
      <c r="J3370" s="3" t="s">
        <v>22</v>
      </c>
      <c r="K3370" s="3" t="s">
        <v>97</v>
      </c>
      <c r="L3370" s="3" t="s">
        <v>965</v>
      </c>
      <c r="M3370" s="3" t="s">
        <v>965</v>
      </c>
      <c r="N3370" s="3" t="s">
        <v>966</v>
      </c>
      <c r="O3370" s="5">
        <v>2605.6154129</v>
      </c>
      <c r="P3370" s="6" t="str">
        <f t="shared" si="2"/>
        <v>Civil Construction</v>
      </c>
    </row>
    <row r="3371" hidden="1">
      <c r="A3371" s="3" t="s">
        <v>13765</v>
      </c>
      <c r="B3371" s="4">
        <v>540715.0</v>
      </c>
      <c r="C3371" s="3" t="s">
        <v>13766</v>
      </c>
      <c r="D3371" s="3" t="s">
        <v>13767</v>
      </c>
      <c r="E3371" s="3" t="s">
        <v>13768</v>
      </c>
      <c r="F3371" s="3" t="s">
        <v>19</v>
      </c>
      <c r="G3371" s="3" t="s">
        <v>2428</v>
      </c>
      <c r="H3371" s="3">
        <v>10.0</v>
      </c>
      <c r="I3371" s="3" t="s">
        <v>13765</v>
      </c>
      <c r="J3371" s="3" t="s">
        <v>22</v>
      </c>
      <c r="K3371" s="3" t="s">
        <v>58</v>
      </c>
      <c r="L3371" s="3" t="s">
        <v>211</v>
      </c>
      <c r="M3371" s="3" t="s">
        <v>211</v>
      </c>
      <c r="N3371" s="3" t="s">
        <v>947</v>
      </c>
      <c r="O3371" s="5">
        <v>34.0874755</v>
      </c>
      <c r="P3371" s="6" t="str">
        <f t="shared" si="2"/>
        <v>Consumer Durables</v>
      </c>
    </row>
    <row r="3372">
      <c r="A3372" s="3" t="s">
        <v>10226</v>
      </c>
      <c r="B3372" s="4">
        <v>509930.0</v>
      </c>
      <c r="C3372" s="3" t="s">
        <v>13769</v>
      </c>
      <c r="D3372" s="3" t="s">
        <v>13770</v>
      </c>
      <c r="E3372" s="3" t="s">
        <v>13771</v>
      </c>
      <c r="F3372" s="3" t="s">
        <v>19</v>
      </c>
      <c r="G3372" s="3" t="s">
        <v>20</v>
      </c>
      <c r="H3372" s="3">
        <v>2.0</v>
      </c>
      <c r="I3372" s="3" t="s">
        <v>3134</v>
      </c>
      <c r="J3372" s="3" t="s">
        <v>22</v>
      </c>
      <c r="K3372" s="3" t="s">
        <v>97</v>
      </c>
      <c r="L3372" s="3" t="s">
        <v>98</v>
      </c>
      <c r="M3372" s="3" t="s">
        <v>100</v>
      </c>
      <c r="N3372" s="3" t="s">
        <v>580</v>
      </c>
      <c r="O3372" s="5">
        <v>76703.9200403</v>
      </c>
      <c r="P3372" s="6" t="str">
        <f t="shared" si="2"/>
        <v>Industrial Products</v>
      </c>
    </row>
    <row r="3373" hidden="1">
      <c r="A3373" s="3" t="s">
        <v>2356</v>
      </c>
      <c r="B3373" s="4">
        <v>512589.0</v>
      </c>
      <c r="C3373" s="3" t="s">
        <v>13772</v>
      </c>
      <c r="D3373" s="3" t="s">
        <v>13773</v>
      </c>
      <c r="E3373" s="3" t="s">
        <v>13774</v>
      </c>
      <c r="F3373" s="3" t="s">
        <v>19</v>
      </c>
      <c r="G3373" s="3" t="s">
        <v>44</v>
      </c>
      <c r="H3373" s="3">
        <v>10.0</v>
      </c>
      <c r="I3373" s="3" t="s">
        <v>3982</v>
      </c>
      <c r="J3373" s="3" t="s">
        <v>22</v>
      </c>
      <c r="K3373" s="3" t="s">
        <v>1673</v>
      </c>
      <c r="L3373" s="3" t="s">
        <v>1673</v>
      </c>
      <c r="M3373" s="3" t="s">
        <v>1674</v>
      </c>
      <c r="N3373" s="3" t="s">
        <v>1915</v>
      </c>
      <c r="O3373" s="5">
        <v>1.0</v>
      </c>
      <c r="P3373" s="6" t="str">
        <f t="shared" si="2"/>
        <v>Commercial Services &amp; Supplies</v>
      </c>
    </row>
    <row r="3374" hidden="1">
      <c r="A3374" s="3" t="s">
        <v>13775</v>
      </c>
      <c r="B3374" s="4">
        <v>540718.0</v>
      </c>
      <c r="C3374" s="3" t="s">
        <v>13776</v>
      </c>
      <c r="D3374" s="3" t="s">
        <v>13777</v>
      </c>
      <c r="E3374" s="3" t="s">
        <v>13778</v>
      </c>
      <c r="F3374" s="3" t="s">
        <v>19</v>
      </c>
      <c r="G3374" s="3" t="s">
        <v>2428</v>
      </c>
      <c r="H3374" s="3">
        <v>10.0</v>
      </c>
      <c r="I3374" s="3" t="s">
        <v>13775</v>
      </c>
      <c r="J3374" s="3" t="s">
        <v>22</v>
      </c>
      <c r="K3374" s="3" t="s">
        <v>58</v>
      </c>
      <c r="L3374" s="3" t="s">
        <v>80</v>
      </c>
      <c r="M3374" s="3" t="s">
        <v>81</v>
      </c>
      <c r="N3374" s="3" t="s">
        <v>82</v>
      </c>
      <c r="O3374" s="5">
        <v>1.0</v>
      </c>
      <c r="P3374" s="6" t="str">
        <f t="shared" si="2"/>
        <v>Textiles &amp; Apparels</v>
      </c>
    </row>
    <row r="3375">
      <c r="A3375" s="3" t="s">
        <v>10252</v>
      </c>
      <c r="B3375" s="4">
        <v>512237.0</v>
      </c>
      <c r="C3375" s="3" t="s">
        <v>13779</v>
      </c>
      <c r="D3375" s="3" t="s">
        <v>13780</v>
      </c>
      <c r="E3375" s="3" t="s">
        <v>13781</v>
      </c>
      <c r="F3375" s="3" t="s">
        <v>19</v>
      </c>
      <c r="G3375" s="3" t="s">
        <v>20</v>
      </c>
      <c r="H3375" s="3">
        <v>1.0</v>
      </c>
      <c r="I3375" s="3" t="s">
        <v>3746</v>
      </c>
      <c r="J3375" s="3" t="s">
        <v>22</v>
      </c>
      <c r="K3375" s="3" t="s">
        <v>97</v>
      </c>
      <c r="L3375" s="3" t="s">
        <v>98</v>
      </c>
      <c r="M3375" s="3" t="s">
        <v>100</v>
      </c>
      <c r="N3375" s="3" t="s">
        <v>580</v>
      </c>
      <c r="O3375" s="5">
        <v>6864.3956755</v>
      </c>
      <c r="P3375" s="6" t="str">
        <f t="shared" si="2"/>
        <v>Industrial Products</v>
      </c>
    </row>
    <row r="3376" hidden="1">
      <c r="A3376" s="3" t="s">
        <v>13782</v>
      </c>
      <c r="B3376" s="4">
        <v>540724.0</v>
      </c>
      <c r="C3376" s="3" t="s">
        <v>13783</v>
      </c>
      <c r="D3376" s="3" t="s">
        <v>13784</v>
      </c>
      <c r="E3376" s="3" t="s">
        <v>13785</v>
      </c>
      <c r="F3376" s="3" t="s">
        <v>19</v>
      </c>
      <c r="G3376" s="3" t="s">
        <v>112</v>
      </c>
      <c r="H3376" s="3">
        <v>5.0</v>
      </c>
      <c r="I3376" s="3" t="s">
        <v>13782</v>
      </c>
      <c r="J3376" s="3" t="s">
        <v>22</v>
      </c>
      <c r="K3376" s="3" t="s">
        <v>145</v>
      </c>
      <c r="L3376" s="3" t="s">
        <v>145</v>
      </c>
      <c r="M3376" s="3" t="s">
        <v>597</v>
      </c>
      <c r="N3376" s="3" t="s">
        <v>2344</v>
      </c>
      <c r="O3376" s="5">
        <v>2210.7804066</v>
      </c>
      <c r="P3376" s="6" t="str">
        <f t="shared" si="2"/>
        <v>Food Products</v>
      </c>
    </row>
    <row r="3377">
      <c r="A3377" s="3" t="s">
        <v>10268</v>
      </c>
      <c r="B3377" s="4">
        <v>512329.0</v>
      </c>
      <c r="C3377" s="3" t="s">
        <v>13786</v>
      </c>
      <c r="D3377" s="3" t="s">
        <v>13787</v>
      </c>
      <c r="E3377" s="3" t="s">
        <v>13788</v>
      </c>
      <c r="F3377" s="3" t="s">
        <v>19</v>
      </c>
      <c r="G3377" s="3" t="s">
        <v>86</v>
      </c>
      <c r="H3377" s="3">
        <v>1.0</v>
      </c>
      <c r="I3377" s="3" t="s">
        <v>3801</v>
      </c>
      <c r="J3377" s="3" t="s">
        <v>22</v>
      </c>
      <c r="K3377" s="3" t="s">
        <v>97</v>
      </c>
      <c r="L3377" s="3" t="s">
        <v>965</v>
      </c>
      <c r="M3377" s="3" t="s">
        <v>965</v>
      </c>
      <c r="N3377" s="3" t="s">
        <v>966</v>
      </c>
      <c r="O3377" s="5">
        <v>5017.627</v>
      </c>
      <c r="P3377" s="6" t="str">
        <f t="shared" si="2"/>
        <v>Civil Construction</v>
      </c>
    </row>
    <row r="3378" hidden="1">
      <c r="A3378" s="3" t="s">
        <v>13789</v>
      </c>
      <c r="B3378" s="4">
        <v>540726.0</v>
      </c>
      <c r="C3378" s="3" t="s">
        <v>13790</v>
      </c>
      <c r="D3378" s="3" t="s">
        <v>13791</v>
      </c>
      <c r="E3378" s="3" t="s">
        <v>13792</v>
      </c>
      <c r="F3378" s="3" t="s">
        <v>19</v>
      </c>
      <c r="G3378" s="3" t="s">
        <v>112</v>
      </c>
      <c r="H3378" s="3">
        <v>10.0</v>
      </c>
      <c r="I3378" s="3" t="s">
        <v>13789</v>
      </c>
      <c r="J3378" s="3" t="s">
        <v>22</v>
      </c>
      <c r="K3378" s="3" t="s">
        <v>58</v>
      </c>
      <c r="L3378" s="3" t="s">
        <v>80</v>
      </c>
      <c r="M3378" s="3" t="s">
        <v>81</v>
      </c>
      <c r="N3378" s="3" t="s">
        <v>82</v>
      </c>
      <c r="O3378" s="5">
        <v>42.7844701</v>
      </c>
      <c r="P3378" s="6" t="str">
        <f t="shared" si="2"/>
        <v>Textiles &amp; Apparels</v>
      </c>
    </row>
    <row r="3379" hidden="1">
      <c r="A3379" s="3" t="s">
        <v>13793</v>
      </c>
      <c r="B3379" s="4">
        <v>540727.0</v>
      </c>
      <c r="C3379" s="3" t="s">
        <v>13794</v>
      </c>
      <c r="D3379" s="3" t="s">
        <v>13795</v>
      </c>
      <c r="E3379" s="3" t="s">
        <v>13796</v>
      </c>
      <c r="F3379" s="3" t="s">
        <v>19</v>
      </c>
      <c r="G3379" s="3" t="s">
        <v>86</v>
      </c>
      <c r="H3379" s="3">
        <v>10.0</v>
      </c>
      <c r="I3379" s="3" t="s">
        <v>13793</v>
      </c>
      <c r="J3379" s="3" t="s">
        <v>22</v>
      </c>
      <c r="K3379" s="3" t="s">
        <v>97</v>
      </c>
      <c r="L3379" s="3" t="s">
        <v>98</v>
      </c>
      <c r="M3379" s="3" t="s">
        <v>100</v>
      </c>
      <c r="N3379" s="3" t="s">
        <v>1386</v>
      </c>
      <c r="O3379" s="5">
        <v>43.7453412</v>
      </c>
      <c r="P3379" s="6" t="str">
        <f t="shared" si="2"/>
        <v>Industrial Products</v>
      </c>
    </row>
    <row r="3380" hidden="1">
      <c r="A3380" s="3" t="s">
        <v>13797</v>
      </c>
      <c r="B3380" s="4">
        <v>540728.0</v>
      </c>
      <c r="C3380" s="3" t="s">
        <v>13798</v>
      </c>
      <c r="D3380" s="3" t="s">
        <v>13799</v>
      </c>
      <c r="E3380" s="3" t="s">
        <v>13800</v>
      </c>
      <c r="F3380" s="3" t="s">
        <v>19</v>
      </c>
      <c r="G3380" s="3" t="s">
        <v>44</v>
      </c>
      <c r="H3380" s="3">
        <v>5.0</v>
      </c>
      <c r="I3380" s="3" t="s">
        <v>13797</v>
      </c>
      <c r="J3380" s="3" t="s">
        <v>22</v>
      </c>
      <c r="K3380" s="3" t="s">
        <v>145</v>
      </c>
      <c r="L3380" s="3" t="s">
        <v>145</v>
      </c>
      <c r="M3380" s="3" t="s">
        <v>146</v>
      </c>
      <c r="N3380" s="3" t="s">
        <v>2645</v>
      </c>
      <c r="O3380" s="5">
        <v>103.0919274</v>
      </c>
      <c r="P3380" s="6" t="str">
        <f t="shared" si="2"/>
        <v>Agricultural Food &amp; other Products</v>
      </c>
    </row>
    <row r="3381" hidden="1">
      <c r="A3381" s="3" t="s">
        <v>13801</v>
      </c>
      <c r="B3381" s="4">
        <v>540729.0</v>
      </c>
      <c r="C3381" s="3" t="s">
        <v>13802</v>
      </c>
      <c r="D3381" s="3" t="s">
        <v>13803</v>
      </c>
      <c r="E3381" s="3" t="s">
        <v>13804</v>
      </c>
      <c r="F3381" s="3" t="s">
        <v>19</v>
      </c>
      <c r="G3381" s="3" t="s">
        <v>2428</v>
      </c>
      <c r="H3381" s="3">
        <v>10.0</v>
      </c>
      <c r="I3381" s="3" t="s">
        <v>13801</v>
      </c>
      <c r="J3381" s="3" t="s">
        <v>22</v>
      </c>
      <c r="K3381" s="3" t="s">
        <v>45</v>
      </c>
      <c r="L3381" s="3" t="s">
        <v>45</v>
      </c>
      <c r="M3381" s="3" t="s">
        <v>4488</v>
      </c>
      <c r="N3381" s="3" t="s">
        <v>6244</v>
      </c>
      <c r="O3381" s="5">
        <v>31.52864</v>
      </c>
      <c r="P3381" s="6" t="str">
        <f t="shared" si="2"/>
        <v>Healthcare Services</v>
      </c>
    </row>
    <row r="3382" hidden="1">
      <c r="A3382" s="3" t="s">
        <v>5285</v>
      </c>
      <c r="B3382" s="4">
        <v>512591.0</v>
      </c>
      <c r="C3382" s="3" t="s">
        <v>13805</v>
      </c>
      <c r="D3382" s="3" t="s">
        <v>13806</v>
      </c>
      <c r="E3382" s="3" t="s">
        <v>13807</v>
      </c>
      <c r="F3382" s="3" t="s">
        <v>19</v>
      </c>
      <c r="G3382" s="3" t="s">
        <v>72</v>
      </c>
      <c r="H3382" s="3">
        <v>1.0</v>
      </c>
      <c r="I3382" s="3" t="s">
        <v>3987</v>
      </c>
      <c r="J3382" s="3" t="s">
        <v>22</v>
      </c>
      <c r="K3382" s="3" t="s">
        <v>1673</v>
      </c>
      <c r="L3382" s="3" t="s">
        <v>1673</v>
      </c>
      <c r="M3382" s="3" t="s">
        <v>1674</v>
      </c>
      <c r="N3382" s="3" t="s">
        <v>1915</v>
      </c>
      <c r="O3382" s="5">
        <v>1.0</v>
      </c>
      <c r="P3382" s="6" t="str">
        <f t="shared" si="2"/>
        <v>Commercial Services &amp; Supplies</v>
      </c>
    </row>
    <row r="3383" hidden="1">
      <c r="A3383" s="3" t="s">
        <v>13808</v>
      </c>
      <c r="B3383" s="4">
        <v>540735.0</v>
      </c>
      <c r="C3383" s="3" t="s">
        <v>13809</v>
      </c>
      <c r="D3383" s="3" t="s">
        <v>13810</v>
      </c>
      <c r="E3383" s="3" t="s">
        <v>13811</v>
      </c>
      <c r="F3383" s="3" t="s">
        <v>19</v>
      </c>
      <c r="G3383" s="3" t="s">
        <v>86</v>
      </c>
      <c r="H3383" s="3">
        <v>10.0</v>
      </c>
      <c r="I3383" s="3" t="s">
        <v>13808</v>
      </c>
      <c r="J3383" s="3" t="s">
        <v>22</v>
      </c>
      <c r="K3383" s="3" t="s">
        <v>473</v>
      </c>
      <c r="L3383" s="3" t="s">
        <v>473</v>
      </c>
      <c r="M3383" s="3" t="s">
        <v>1391</v>
      </c>
      <c r="N3383" s="3" t="s">
        <v>1392</v>
      </c>
      <c r="O3383" s="5">
        <v>420.9413696</v>
      </c>
      <c r="P3383" s="6" t="str">
        <f t="shared" si="2"/>
        <v>IT - Software</v>
      </c>
    </row>
    <row r="3384" hidden="1">
      <c r="A3384" s="3" t="s">
        <v>13812</v>
      </c>
      <c r="B3384" s="4">
        <v>540737.0</v>
      </c>
      <c r="C3384" s="3" t="s">
        <v>13813</v>
      </c>
      <c r="D3384" s="3" t="s">
        <v>13814</v>
      </c>
      <c r="E3384" s="3" t="s">
        <v>13815</v>
      </c>
      <c r="F3384" s="3" t="s">
        <v>19</v>
      </c>
      <c r="G3384" s="3" t="s">
        <v>112</v>
      </c>
      <c r="H3384" s="3">
        <v>10.0</v>
      </c>
      <c r="I3384" s="3" t="s">
        <v>13812</v>
      </c>
      <c r="J3384" s="3" t="s">
        <v>22</v>
      </c>
      <c r="K3384" s="3" t="s">
        <v>45</v>
      </c>
      <c r="L3384" s="3" t="s">
        <v>45</v>
      </c>
      <c r="M3384" s="3" t="s">
        <v>46</v>
      </c>
      <c r="N3384" s="3" t="s">
        <v>47</v>
      </c>
      <c r="O3384" s="5">
        <v>1040.17238</v>
      </c>
      <c r="P3384" s="6" t="str">
        <f t="shared" si="2"/>
        <v>Pharmaceuticals</v>
      </c>
    </row>
    <row r="3385" hidden="1">
      <c r="A3385" s="3" t="s">
        <v>3918</v>
      </c>
      <c r="B3385" s="4">
        <v>512600.0</v>
      </c>
      <c r="C3385" s="3" t="s">
        <v>13816</v>
      </c>
      <c r="D3385" s="3" t="s">
        <v>13817</v>
      </c>
      <c r="E3385" s="3" t="s">
        <v>13818</v>
      </c>
      <c r="F3385" s="3" t="s">
        <v>19</v>
      </c>
      <c r="G3385" s="3" t="s">
        <v>72</v>
      </c>
      <c r="H3385" s="3">
        <v>10.0</v>
      </c>
      <c r="I3385" s="3" t="s">
        <v>4005</v>
      </c>
      <c r="J3385" s="3" t="s">
        <v>22</v>
      </c>
      <c r="K3385" s="3" t="s">
        <v>1673</v>
      </c>
      <c r="L3385" s="3" t="s">
        <v>1673</v>
      </c>
      <c r="M3385" s="3" t="s">
        <v>1674</v>
      </c>
      <c r="N3385" s="3" t="s">
        <v>1915</v>
      </c>
      <c r="O3385" s="5">
        <v>1.0</v>
      </c>
      <c r="P3385" s="6" t="str">
        <f t="shared" si="2"/>
        <v>Commercial Services &amp; Supplies</v>
      </c>
    </row>
    <row r="3386">
      <c r="A3386" s="3" t="s">
        <v>9393</v>
      </c>
      <c r="B3386" s="4">
        <v>513375.0</v>
      </c>
      <c r="C3386" s="3" t="s">
        <v>13819</v>
      </c>
      <c r="D3386" s="3" t="s">
        <v>13820</v>
      </c>
      <c r="E3386" s="3" t="s">
        <v>13821</v>
      </c>
      <c r="F3386" s="3" t="s">
        <v>19</v>
      </c>
      <c r="G3386" s="3" t="s">
        <v>20</v>
      </c>
      <c r="H3386" s="3">
        <v>1.0</v>
      </c>
      <c r="I3386" s="3" t="s">
        <v>4141</v>
      </c>
      <c r="J3386" s="3" t="s">
        <v>22</v>
      </c>
      <c r="K3386" s="3" t="s">
        <v>97</v>
      </c>
      <c r="L3386" s="3" t="s">
        <v>98</v>
      </c>
      <c r="M3386" s="3" t="s">
        <v>100</v>
      </c>
      <c r="N3386" s="3" t="s">
        <v>2079</v>
      </c>
      <c r="O3386" s="5">
        <v>32836.6690468</v>
      </c>
      <c r="P3386" s="6" t="str">
        <f t="shared" si="2"/>
        <v>Industrial Products</v>
      </c>
    </row>
    <row r="3387">
      <c r="A3387" s="3" t="s">
        <v>10284</v>
      </c>
      <c r="B3387" s="4">
        <v>517146.0</v>
      </c>
      <c r="C3387" s="3" t="s">
        <v>13822</v>
      </c>
      <c r="D3387" s="3" t="s">
        <v>13823</v>
      </c>
      <c r="E3387" s="3" t="s">
        <v>13824</v>
      </c>
      <c r="F3387" s="3" t="s">
        <v>19</v>
      </c>
      <c r="G3387" s="3" t="s">
        <v>20</v>
      </c>
      <c r="H3387" s="3">
        <v>1.0</v>
      </c>
      <c r="I3387" s="3" t="s">
        <v>4720</v>
      </c>
      <c r="J3387" s="3" t="s">
        <v>22</v>
      </c>
      <c r="K3387" s="3" t="s">
        <v>97</v>
      </c>
      <c r="L3387" s="3" t="s">
        <v>98</v>
      </c>
      <c r="M3387" s="3" t="s">
        <v>100</v>
      </c>
      <c r="N3387" s="3" t="s">
        <v>612</v>
      </c>
      <c r="O3387" s="5">
        <v>11779.7470613</v>
      </c>
      <c r="P3387" s="6" t="str">
        <f t="shared" si="2"/>
        <v>Industrial Products</v>
      </c>
    </row>
    <row r="3388">
      <c r="A3388" s="3" t="s">
        <v>10289</v>
      </c>
      <c r="B3388" s="4">
        <v>517174.0</v>
      </c>
      <c r="C3388" s="3" t="s">
        <v>13825</v>
      </c>
      <c r="D3388" s="3" t="s">
        <v>13826</v>
      </c>
      <c r="E3388" s="3" t="s">
        <v>13827</v>
      </c>
      <c r="F3388" s="3" t="s">
        <v>19</v>
      </c>
      <c r="G3388" s="3" t="s">
        <v>20</v>
      </c>
      <c r="H3388" s="3">
        <v>10.0</v>
      </c>
      <c r="I3388" s="3" t="s">
        <v>4742</v>
      </c>
      <c r="J3388" s="3" t="s">
        <v>22</v>
      </c>
      <c r="K3388" s="3" t="s">
        <v>97</v>
      </c>
      <c r="L3388" s="3" t="s">
        <v>98</v>
      </c>
      <c r="M3388" s="3" t="s">
        <v>99</v>
      </c>
      <c r="N3388" s="3" t="s">
        <v>100</v>
      </c>
      <c r="O3388" s="5">
        <v>50519.9715085</v>
      </c>
      <c r="P3388" s="6" t="str">
        <f t="shared" si="2"/>
        <v>Industrial Products</v>
      </c>
    </row>
    <row r="3389">
      <c r="A3389" s="3" t="s">
        <v>10308</v>
      </c>
      <c r="B3389" s="4">
        <v>517569.0</v>
      </c>
      <c r="C3389" s="3" t="s">
        <v>13828</v>
      </c>
      <c r="D3389" s="3" t="s">
        <v>13829</v>
      </c>
      <c r="E3389" s="3" t="s">
        <v>13830</v>
      </c>
      <c r="F3389" s="3" t="s">
        <v>19</v>
      </c>
      <c r="G3389" s="3" t="s">
        <v>20</v>
      </c>
      <c r="H3389" s="3">
        <v>2.0</v>
      </c>
      <c r="I3389" s="3" t="s">
        <v>4942</v>
      </c>
      <c r="J3389" s="3" t="s">
        <v>22</v>
      </c>
      <c r="K3389" s="3" t="s">
        <v>97</v>
      </c>
      <c r="L3389" s="3" t="s">
        <v>98</v>
      </c>
      <c r="M3389" s="3" t="s">
        <v>100</v>
      </c>
      <c r="N3389" s="3" t="s">
        <v>1804</v>
      </c>
      <c r="O3389" s="5">
        <v>40872.4186183</v>
      </c>
      <c r="P3389" s="6" t="str">
        <f t="shared" si="2"/>
        <v>Industrial Products</v>
      </c>
    </row>
    <row r="3390" hidden="1">
      <c r="A3390" s="3" t="s">
        <v>11764</v>
      </c>
      <c r="B3390" s="4">
        <v>512624.0</v>
      </c>
      <c r="C3390" s="3" t="s">
        <v>13831</v>
      </c>
      <c r="D3390" s="3" t="s">
        <v>13832</v>
      </c>
      <c r="E3390" s="3" t="s">
        <v>13833</v>
      </c>
      <c r="F3390" s="3" t="s">
        <v>19</v>
      </c>
      <c r="G3390" s="3" t="s">
        <v>44</v>
      </c>
      <c r="H3390" s="3">
        <v>10.0</v>
      </c>
      <c r="I3390" s="3" t="s">
        <v>4022</v>
      </c>
      <c r="J3390" s="3" t="s">
        <v>22</v>
      </c>
      <c r="K3390" s="3" t="s">
        <v>1673</v>
      </c>
      <c r="L3390" s="3" t="s">
        <v>1673</v>
      </c>
      <c r="M3390" s="3" t="s">
        <v>1674</v>
      </c>
      <c r="N3390" s="3" t="s">
        <v>1915</v>
      </c>
      <c r="O3390" s="5">
        <v>1.0</v>
      </c>
      <c r="P3390" s="6" t="str">
        <f t="shared" si="2"/>
        <v>Commercial Services &amp; Supplies</v>
      </c>
    </row>
    <row r="3391" hidden="1">
      <c r="A3391" s="3" t="s">
        <v>13834</v>
      </c>
      <c r="B3391" s="4">
        <v>540757.0</v>
      </c>
      <c r="C3391" s="3" t="s">
        <v>13835</v>
      </c>
      <c r="D3391" s="3" t="s">
        <v>13836</v>
      </c>
      <c r="E3391" s="3" t="s">
        <v>13837</v>
      </c>
      <c r="F3391" s="3" t="s">
        <v>19</v>
      </c>
      <c r="G3391" s="3" t="s">
        <v>112</v>
      </c>
      <c r="H3391" s="3">
        <v>10.0</v>
      </c>
      <c r="I3391" s="3" t="s">
        <v>13834</v>
      </c>
      <c r="J3391" s="3" t="s">
        <v>22</v>
      </c>
      <c r="K3391" s="3" t="s">
        <v>145</v>
      </c>
      <c r="L3391" s="3" t="s">
        <v>145</v>
      </c>
      <c r="M3391" s="3" t="s">
        <v>597</v>
      </c>
      <c r="N3391" s="3" t="s">
        <v>598</v>
      </c>
      <c r="O3391" s="5">
        <v>572.8083875</v>
      </c>
      <c r="P3391" s="6" t="str">
        <f t="shared" si="2"/>
        <v>Food Products</v>
      </c>
    </row>
    <row r="3392">
      <c r="A3392" s="3" t="s">
        <v>3028</v>
      </c>
      <c r="B3392" s="4">
        <v>520111.0</v>
      </c>
      <c r="C3392" s="3" t="s">
        <v>13838</v>
      </c>
      <c r="D3392" s="3" t="s">
        <v>13839</v>
      </c>
      <c r="E3392" s="3" t="s">
        <v>13840</v>
      </c>
      <c r="F3392" s="3" t="s">
        <v>19</v>
      </c>
      <c r="G3392" s="3" t="s">
        <v>20</v>
      </c>
      <c r="H3392" s="3">
        <v>2.0</v>
      </c>
      <c r="I3392" s="3" t="s">
        <v>5235</v>
      </c>
      <c r="J3392" s="3" t="s">
        <v>22</v>
      </c>
      <c r="K3392" s="3" t="s">
        <v>97</v>
      </c>
      <c r="L3392" s="3" t="s">
        <v>98</v>
      </c>
      <c r="M3392" s="3" t="s">
        <v>100</v>
      </c>
      <c r="N3392" s="3" t="s">
        <v>612</v>
      </c>
      <c r="O3392" s="5">
        <v>25048.6127775</v>
      </c>
      <c r="P3392" s="6" t="str">
        <f t="shared" si="2"/>
        <v>Industrial Products</v>
      </c>
    </row>
    <row r="3393">
      <c r="A3393" s="3" t="s">
        <v>10313</v>
      </c>
      <c r="B3393" s="4">
        <v>520113.0</v>
      </c>
      <c r="C3393" s="3" t="s">
        <v>13841</v>
      </c>
      <c r="D3393" s="3" t="s">
        <v>13842</v>
      </c>
      <c r="E3393" s="3" t="s">
        <v>13843</v>
      </c>
      <c r="F3393" s="3" t="s">
        <v>19</v>
      </c>
      <c r="G3393" s="3" t="s">
        <v>20</v>
      </c>
      <c r="H3393" s="3">
        <v>10.0</v>
      </c>
      <c r="I3393" s="3" t="s">
        <v>5240</v>
      </c>
      <c r="J3393" s="3" t="s">
        <v>22</v>
      </c>
      <c r="K3393" s="3" t="s">
        <v>97</v>
      </c>
      <c r="L3393" s="3" t="s">
        <v>98</v>
      </c>
      <c r="M3393" s="3" t="s">
        <v>100</v>
      </c>
      <c r="N3393" s="3" t="s">
        <v>1500</v>
      </c>
      <c r="O3393" s="5">
        <v>10082.6420575</v>
      </c>
      <c r="P3393" s="6" t="str">
        <f t="shared" si="2"/>
        <v>Industrial Products</v>
      </c>
    </row>
    <row r="3394" hidden="1">
      <c r="A3394" s="3" t="s">
        <v>1853</v>
      </c>
      <c r="B3394" s="4">
        <v>513012.0</v>
      </c>
      <c r="C3394" s="3" t="s">
        <v>13844</v>
      </c>
      <c r="D3394" s="3" t="s">
        <v>13845</v>
      </c>
      <c r="E3394" s="3" t="s">
        <v>13846</v>
      </c>
      <c r="F3394" s="3" t="s">
        <v>19</v>
      </c>
      <c r="G3394" s="3" t="s">
        <v>72</v>
      </c>
      <c r="H3394" s="3">
        <v>10.0</v>
      </c>
      <c r="I3394" s="3" t="s">
        <v>4040</v>
      </c>
      <c r="J3394" s="3" t="s">
        <v>22</v>
      </c>
      <c r="K3394" s="3" t="s">
        <v>1673</v>
      </c>
      <c r="L3394" s="3" t="s">
        <v>1673</v>
      </c>
      <c r="M3394" s="3" t="s">
        <v>1674</v>
      </c>
      <c r="N3394" s="3" t="s">
        <v>1915</v>
      </c>
      <c r="O3394" s="5">
        <v>1.0</v>
      </c>
      <c r="P3394" s="6" t="str">
        <f t="shared" si="2"/>
        <v>Commercial Services &amp; Supplies</v>
      </c>
    </row>
    <row r="3395">
      <c r="A3395" s="3" t="s">
        <v>10318</v>
      </c>
      <c r="B3395" s="4">
        <v>522074.0</v>
      </c>
      <c r="C3395" s="3" t="s">
        <v>13847</v>
      </c>
      <c r="D3395" s="3" t="s">
        <v>13848</v>
      </c>
      <c r="E3395" s="3" t="s">
        <v>13849</v>
      </c>
      <c r="F3395" s="3" t="s">
        <v>19</v>
      </c>
      <c r="G3395" s="3" t="s">
        <v>20</v>
      </c>
      <c r="H3395" s="3">
        <v>1.0</v>
      </c>
      <c r="I3395" s="3" t="s">
        <v>5502</v>
      </c>
      <c r="J3395" s="3" t="s">
        <v>22</v>
      </c>
      <c r="K3395" s="3" t="s">
        <v>97</v>
      </c>
      <c r="L3395" s="3" t="s">
        <v>98</v>
      </c>
      <c r="M3395" s="3" t="s">
        <v>100</v>
      </c>
      <c r="N3395" s="3" t="s">
        <v>983</v>
      </c>
      <c r="O3395" s="5">
        <v>22968.703385</v>
      </c>
      <c r="P3395" s="6" t="str">
        <f t="shared" si="2"/>
        <v>Industrial Products</v>
      </c>
    </row>
    <row r="3396" hidden="1">
      <c r="A3396" s="3" t="s">
        <v>13850</v>
      </c>
      <c r="B3396" s="4">
        <v>540774.0</v>
      </c>
      <c r="C3396" s="3" t="s">
        <v>13851</v>
      </c>
      <c r="D3396" s="3" t="s">
        <v>13852</v>
      </c>
      <c r="E3396" s="3" t="s">
        <v>13853</v>
      </c>
      <c r="F3396" s="3" t="s">
        <v>19</v>
      </c>
      <c r="G3396" s="3" t="s">
        <v>112</v>
      </c>
      <c r="H3396" s="3">
        <v>10.0</v>
      </c>
      <c r="I3396" s="3" t="s">
        <v>13850</v>
      </c>
      <c r="J3396" s="3" t="s">
        <v>22</v>
      </c>
      <c r="K3396" s="3" t="s">
        <v>97</v>
      </c>
      <c r="L3396" s="3" t="s">
        <v>98</v>
      </c>
      <c r="M3396" s="3" t="s">
        <v>100</v>
      </c>
      <c r="N3396" s="3" t="s">
        <v>1500</v>
      </c>
      <c r="O3396" s="5">
        <v>2414.0565798</v>
      </c>
      <c r="P3396" s="6" t="str">
        <f t="shared" si="2"/>
        <v>Industrial Products</v>
      </c>
    </row>
    <row r="3397" hidden="1">
      <c r="A3397" s="3" t="s">
        <v>13854</v>
      </c>
      <c r="B3397" s="4">
        <v>540775.0</v>
      </c>
      <c r="C3397" s="3" t="s">
        <v>13855</v>
      </c>
      <c r="D3397" s="3" t="s">
        <v>13856</v>
      </c>
      <c r="E3397" s="3" t="s">
        <v>13857</v>
      </c>
      <c r="F3397" s="3" t="s">
        <v>19</v>
      </c>
      <c r="G3397" s="3" t="s">
        <v>112</v>
      </c>
      <c r="H3397" s="3">
        <v>10.0</v>
      </c>
      <c r="I3397" s="3" t="s">
        <v>13854</v>
      </c>
      <c r="J3397" s="3" t="s">
        <v>22</v>
      </c>
      <c r="K3397" s="3" t="s">
        <v>58</v>
      </c>
      <c r="L3397" s="3" t="s">
        <v>211</v>
      </c>
      <c r="M3397" s="3" t="s">
        <v>211</v>
      </c>
      <c r="N3397" s="3" t="s">
        <v>932</v>
      </c>
      <c r="O3397" s="5">
        <v>671.7237666</v>
      </c>
      <c r="P3397" s="6" t="str">
        <f t="shared" si="2"/>
        <v>Consumer Durables</v>
      </c>
    </row>
    <row r="3398" hidden="1">
      <c r="A3398" s="3" t="s">
        <v>13858</v>
      </c>
      <c r="B3398" s="4">
        <v>540776.0</v>
      </c>
      <c r="C3398" s="3" t="s">
        <v>13859</v>
      </c>
      <c r="D3398" s="3" t="s">
        <v>13860</v>
      </c>
      <c r="E3398" s="3" t="s">
        <v>13861</v>
      </c>
      <c r="F3398" s="3" t="s">
        <v>19</v>
      </c>
      <c r="G3398" s="3" t="s">
        <v>112</v>
      </c>
      <c r="H3398" s="3">
        <v>10.0</v>
      </c>
      <c r="I3398" s="3" t="s">
        <v>13858</v>
      </c>
      <c r="J3398" s="3" t="s">
        <v>22</v>
      </c>
      <c r="K3398" s="3" t="s">
        <v>204</v>
      </c>
      <c r="L3398" s="3" t="s">
        <v>204</v>
      </c>
      <c r="M3398" s="3" t="s">
        <v>205</v>
      </c>
      <c r="N3398" s="3" t="s">
        <v>2109</v>
      </c>
      <c r="O3398" s="5">
        <v>1577.5656084</v>
      </c>
      <c r="P3398" s="6" t="str">
        <f t="shared" si="2"/>
        <v>Capital Markets</v>
      </c>
    </row>
    <row r="3399">
      <c r="A3399" s="3" t="s">
        <v>10363</v>
      </c>
      <c r="B3399" s="4">
        <v>522113.0</v>
      </c>
      <c r="C3399" s="3" t="s">
        <v>13862</v>
      </c>
      <c r="D3399" s="3" t="s">
        <v>13863</v>
      </c>
      <c r="E3399" s="3" t="s">
        <v>13864</v>
      </c>
      <c r="F3399" s="3" t="s">
        <v>19</v>
      </c>
      <c r="G3399" s="3" t="s">
        <v>20</v>
      </c>
      <c r="H3399" s="3">
        <v>10.0</v>
      </c>
      <c r="I3399" s="3" t="s">
        <v>5523</v>
      </c>
      <c r="J3399" s="3" t="s">
        <v>22</v>
      </c>
      <c r="K3399" s="3" t="s">
        <v>97</v>
      </c>
      <c r="L3399" s="3" t="s">
        <v>98</v>
      </c>
      <c r="M3399" s="3" t="s">
        <v>100</v>
      </c>
      <c r="N3399" s="3" t="s">
        <v>2079</v>
      </c>
      <c r="O3399" s="5">
        <v>32908.3368858</v>
      </c>
      <c r="P3399" s="6" t="str">
        <f t="shared" si="2"/>
        <v>Industrial Products</v>
      </c>
    </row>
    <row r="3400" hidden="1">
      <c r="A3400" s="3" t="s">
        <v>13865</v>
      </c>
      <c r="B3400" s="4">
        <v>540782.0</v>
      </c>
      <c r="C3400" s="3" t="s">
        <v>13866</v>
      </c>
      <c r="D3400" s="3" t="s">
        <v>13867</v>
      </c>
      <c r="E3400" s="3" t="s">
        <v>13868</v>
      </c>
      <c r="F3400" s="3" t="s">
        <v>19</v>
      </c>
      <c r="G3400" s="3" t="s">
        <v>2428</v>
      </c>
      <c r="H3400" s="3">
        <v>10.0</v>
      </c>
      <c r="I3400" s="3" t="s">
        <v>13865</v>
      </c>
      <c r="J3400" s="3" t="s">
        <v>22</v>
      </c>
      <c r="K3400" s="3" t="s">
        <v>58</v>
      </c>
      <c r="L3400" s="3" t="s">
        <v>73</v>
      </c>
      <c r="M3400" s="3" t="s">
        <v>74</v>
      </c>
      <c r="N3400" s="3" t="s">
        <v>75</v>
      </c>
      <c r="O3400" s="5">
        <v>20.83176</v>
      </c>
      <c r="P3400" s="6" t="str">
        <f t="shared" si="2"/>
        <v>Leisure Services</v>
      </c>
    </row>
    <row r="3401" hidden="1">
      <c r="A3401" s="3" t="s">
        <v>5151</v>
      </c>
      <c r="B3401" s="4">
        <v>514223.0</v>
      </c>
      <c r="C3401" s="3" t="s">
        <v>13869</v>
      </c>
      <c r="D3401" s="3" t="s">
        <v>13870</v>
      </c>
      <c r="E3401" s="3" t="s">
        <v>13871</v>
      </c>
      <c r="F3401" s="3" t="s">
        <v>19</v>
      </c>
      <c r="G3401" s="3" t="s">
        <v>44</v>
      </c>
      <c r="H3401" s="3">
        <v>10.0</v>
      </c>
      <c r="I3401" s="3" t="s">
        <v>4398</v>
      </c>
      <c r="J3401" s="3" t="s">
        <v>22</v>
      </c>
      <c r="K3401" s="3" t="s">
        <v>1673</v>
      </c>
      <c r="L3401" s="3" t="s">
        <v>1673</v>
      </c>
      <c r="M3401" s="3" t="s">
        <v>1674</v>
      </c>
      <c r="N3401" s="3" t="s">
        <v>1915</v>
      </c>
      <c r="O3401" s="5">
        <v>1.0</v>
      </c>
      <c r="P3401" s="6" t="str">
        <f t="shared" si="2"/>
        <v>Commercial Services &amp; Supplies</v>
      </c>
    </row>
    <row r="3402" hidden="1">
      <c r="A3402" s="3" t="s">
        <v>13872</v>
      </c>
      <c r="B3402" s="4">
        <v>540788.0</v>
      </c>
      <c r="C3402" s="3" t="s">
        <v>13873</v>
      </c>
      <c r="D3402" s="3" t="s">
        <v>13874</v>
      </c>
      <c r="E3402" s="3" t="s">
        <v>13875</v>
      </c>
      <c r="F3402" s="3" t="s">
        <v>19</v>
      </c>
      <c r="G3402" s="3" t="s">
        <v>44</v>
      </c>
      <c r="H3402" s="3">
        <v>10.0</v>
      </c>
      <c r="I3402" s="3" t="s">
        <v>13872</v>
      </c>
      <c r="J3402" s="3" t="s">
        <v>22</v>
      </c>
      <c r="K3402" s="3" t="s">
        <v>45</v>
      </c>
      <c r="L3402" s="3" t="s">
        <v>45</v>
      </c>
      <c r="M3402" s="3" t="s">
        <v>4488</v>
      </c>
      <c r="N3402" s="3" t="s">
        <v>4489</v>
      </c>
      <c r="O3402" s="5">
        <v>30.3818174</v>
      </c>
      <c r="P3402" s="6" t="str">
        <f t="shared" si="2"/>
        <v>Healthcare Services</v>
      </c>
    </row>
    <row r="3403" hidden="1">
      <c r="A3403" s="3" t="s">
        <v>13876</v>
      </c>
      <c r="B3403" s="4">
        <v>540789.0</v>
      </c>
      <c r="C3403" s="3" t="s">
        <v>13877</v>
      </c>
      <c r="D3403" s="3" t="s">
        <v>13878</v>
      </c>
      <c r="E3403" s="3" t="s">
        <v>13879</v>
      </c>
      <c r="F3403" s="3" t="s">
        <v>19</v>
      </c>
      <c r="G3403" s="3" t="s">
        <v>112</v>
      </c>
      <c r="H3403" s="3">
        <v>1.0</v>
      </c>
      <c r="I3403" s="3" t="s">
        <v>13876</v>
      </c>
      <c r="J3403" s="3" t="s">
        <v>22</v>
      </c>
      <c r="K3403" s="3" t="s">
        <v>58</v>
      </c>
      <c r="L3403" s="3" t="s">
        <v>182</v>
      </c>
      <c r="M3403" s="3" t="s">
        <v>183</v>
      </c>
      <c r="N3403" s="3" t="s">
        <v>3454</v>
      </c>
      <c r="O3403" s="5">
        <v>64.7514217</v>
      </c>
      <c r="P3403" s="6" t="str">
        <f t="shared" si="2"/>
        <v>Media</v>
      </c>
    </row>
    <row r="3404" hidden="1">
      <c r="A3404" s="3" t="s">
        <v>13880</v>
      </c>
      <c r="B3404" s="4">
        <v>540795.0</v>
      </c>
      <c r="C3404" s="3" t="s">
        <v>13881</v>
      </c>
      <c r="D3404" s="3" t="s">
        <v>13882</v>
      </c>
      <c r="E3404" s="3" t="s">
        <v>13883</v>
      </c>
      <c r="F3404" s="3" t="s">
        <v>19</v>
      </c>
      <c r="G3404" s="3" t="s">
        <v>112</v>
      </c>
      <c r="H3404" s="3">
        <v>10.0</v>
      </c>
      <c r="I3404" s="3" t="s">
        <v>13880</v>
      </c>
      <c r="J3404" s="3" t="s">
        <v>22</v>
      </c>
      <c r="K3404" s="3" t="s">
        <v>97</v>
      </c>
      <c r="L3404" s="3" t="s">
        <v>98</v>
      </c>
      <c r="M3404" s="3" t="s">
        <v>100</v>
      </c>
      <c r="N3404" s="3" t="s">
        <v>1804</v>
      </c>
      <c r="O3404" s="5">
        <v>1415.2496032</v>
      </c>
      <c r="P3404" s="6" t="str">
        <f t="shared" si="2"/>
        <v>Industrial Products</v>
      </c>
    </row>
    <row r="3405" hidden="1">
      <c r="A3405" s="3" t="s">
        <v>13884</v>
      </c>
      <c r="B3405" s="4">
        <v>540796.0</v>
      </c>
      <c r="C3405" s="3" t="s">
        <v>13885</v>
      </c>
      <c r="D3405" s="3" t="s">
        <v>13886</v>
      </c>
      <c r="E3405" s="3" t="s">
        <v>13887</v>
      </c>
      <c r="F3405" s="3" t="s">
        <v>19</v>
      </c>
      <c r="G3405" s="3" t="s">
        <v>86</v>
      </c>
      <c r="H3405" s="3">
        <v>10.0</v>
      </c>
      <c r="I3405" s="3" t="s">
        <v>13884</v>
      </c>
      <c r="J3405" s="3" t="s">
        <v>22</v>
      </c>
      <c r="K3405" s="3" t="s">
        <v>58</v>
      </c>
      <c r="L3405" s="3" t="s">
        <v>59</v>
      </c>
      <c r="M3405" s="3" t="s">
        <v>59</v>
      </c>
      <c r="N3405" s="3" t="s">
        <v>60</v>
      </c>
      <c r="O3405" s="5">
        <v>231.08436</v>
      </c>
      <c r="P3405" s="6" t="str">
        <f t="shared" si="2"/>
        <v>Residential, Commercial Projects</v>
      </c>
    </row>
    <row r="3406" hidden="1">
      <c r="A3406" s="3" t="s">
        <v>13888</v>
      </c>
      <c r="B3406" s="4">
        <v>540797.0</v>
      </c>
      <c r="C3406" s="3" t="s">
        <v>13889</v>
      </c>
      <c r="D3406" s="3" t="s">
        <v>13890</v>
      </c>
      <c r="E3406" s="3" t="s">
        <v>13891</v>
      </c>
      <c r="F3406" s="3" t="s">
        <v>19</v>
      </c>
      <c r="G3406" s="3" t="s">
        <v>112</v>
      </c>
      <c r="H3406" s="3">
        <v>10.0</v>
      </c>
      <c r="I3406" s="3" t="s">
        <v>13888</v>
      </c>
      <c r="J3406" s="3" t="s">
        <v>22</v>
      </c>
      <c r="K3406" s="3" t="s">
        <v>45</v>
      </c>
      <c r="L3406" s="3" t="s">
        <v>45</v>
      </c>
      <c r="M3406" s="3" t="s">
        <v>4488</v>
      </c>
      <c r="N3406" s="3" t="s">
        <v>5801</v>
      </c>
      <c r="O3406" s="5">
        <v>2887.7085643</v>
      </c>
      <c r="P3406" s="6" t="str">
        <f t="shared" si="2"/>
        <v>Healthcare Services</v>
      </c>
    </row>
    <row r="3407" hidden="1">
      <c r="A3407" s="3" t="s">
        <v>9874</v>
      </c>
      <c r="B3407" s="4">
        <v>514236.0</v>
      </c>
      <c r="C3407" s="3" t="s">
        <v>13892</v>
      </c>
      <c r="D3407" s="3" t="s">
        <v>13893</v>
      </c>
      <c r="E3407" s="3" t="s">
        <v>13894</v>
      </c>
      <c r="F3407" s="3" t="s">
        <v>19</v>
      </c>
      <c r="G3407" s="3" t="s">
        <v>72</v>
      </c>
      <c r="H3407" s="3">
        <v>10.0</v>
      </c>
      <c r="I3407" s="3" t="s">
        <v>4407</v>
      </c>
      <c r="J3407" s="3" t="s">
        <v>22</v>
      </c>
      <c r="K3407" s="3" t="s">
        <v>1673</v>
      </c>
      <c r="L3407" s="3" t="s">
        <v>1673</v>
      </c>
      <c r="M3407" s="3" t="s">
        <v>1674</v>
      </c>
      <c r="N3407" s="3" t="s">
        <v>1915</v>
      </c>
      <c r="O3407" s="5">
        <v>1.0</v>
      </c>
      <c r="P3407" s="6" t="str">
        <f t="shared" si="2"/>
        <v>Commercial Services &amp; Supplies</v>
      </c>
    </row>
    <row r="3408" hidden="1">
      <c r="A3408" s="3" t="s">
        <v>8298</v>
      </c>
      <c r="B3408" s="4">
        <v>514378.0</v>
      </c>
      <c r="C3408" s="3" t="s">
        <v>13895</v>
      </c>
      <c r="D3408" s="3" t="s">
        <v>13896</v>
      </c>
      <c r="E3408" s="3" t="s">
        <v>13897</v>
      </c>
      <c r="F3408" s="3" t="s">
        <v>19</v>
      </c>
      <c r="G3408" s="3" t="s">
        <v>44</v>
      </c>
      <c r="H3408" s="3">
        <v>10.0</v>
      </c>
      <c r="I3408" s="3" t="s">
        <v>4514</v>
      </c>
      <c r="J3408" s="3" t="s">
        <v>22</v>
      </c>
      <c r="K3408" s="3" t="s">
        <v>1673</v>
      </c>
      <c r="L3408" s="3" t="s">
        <v>1673</v>
      </c>
      <c r="M3408" s="3" t="s">
        <v>1674</v>
      </c>
      <c r="N3408" s="3" t="s">
        <v>1915</v>
      </c>
      <c r="O3408" s="5">
        <v>1.0</v>
      </c>
      <c r="P3408" s="6" t="str">
        <f t="shared" si="2"/>
        <v>Commercial Services &amp; Supplies</v>
      </c>
    </row>
    <row r="3409" hidden="1">
      <c r="A3409" s="3" t="s">
        <v>8209</v>
      </c>
      <c r="B3409" s="4">
        <v>514400.0</v>
      </c>
      <c r="C3409" s="3" t="s">
        <v>13898</v>
      </c>
      <c r="D3409" s="3" t="s">
        <v>13899</v>
      </c>
      <c r="E3409" s="3" t="s">
        <v>13900</v>
      </c>
      <c r="F3409" s="3" t="s">
        <v>19</v>
      </c>
      <c r="G3409" s="3" t="s">
        <v>44</v>
      </c>
      <c r="H3409" s="3">
        <v>10.0</v>
      </c>
      <c r="I3409" s="3" t="s">
        <v>4523</v>
      </c>
      <c r="J3409" s="3" t="s">
        <v>22</v>
      </c>
      <c r="K3409" s="3" t="s">
        <v>1673</v>
      </c>
      <c r="L3409" s="3" t="s">
        <v>1673</v>
      </c>
      <c r="M3409" s="3" t="s">
        <v>1674</v>
      </c>
      <c r="N3409" s="3" t="s">
        <v>1915</v>
      </c>
      <c r="O3409" s="5">
        <v>1.0</v>
      </c>
      <c r="P3409" s="6" t="str">
        <f t="shared" si="2"/>
        <v>Commercial Services &amp; Supplies</v>
      </c>
    </row>
    <row r="3410" hidden="1">
      <c r="A3410" s="3" t="s">
        <v>13901</v>
      </c>
      <c r="B3410" s="4">
        <v>540821.0</v>
      </c>
      <c r="C3410" s="3" t="s">
        <v>13902</v>
      </c>
      <c r="D3410" s="3" t="s">
        <v>13903</v>
      </c>
      <c r="E3410" s="3" t="s">
        <v>13904</v>
      </c>
      <c r="F3410" s="3" t="s">
        <v>19</v>
      </c>
      <c r="G3410" s="3" t="s">
        <v>72</v>
      </c>
      <c r="H3410" s="3">
        <v>1.0</v>
      </c>
      <c r="I3410" s="3" t="s">
        <v>13901</v>
      </c>
      <c r="J3410" s="3" t="s">
        <v>22</v>
      </c>
      <c r="K3410" s="3" t="s">
        <v>58</v>
      </c>
      <c r="L3410" s="3" t="s">
        <v>182</v>
      </c>
      <c r="M3410" s="3" t="s">
        <v>1168</v>
      </c>
      <c r="N3410" s="3" t="s">
        <v>1169</v>
      </c>
      <c r="O3410" s="5">
        <v>38.4042294</v>
      </c>
      <c r="P3410" s="6" t="str">
        <f t="shared" si="2"/>
        <v>Entertainment</v>
      </c>
    </row>
    <row r="3411" hidden="1">
      <c r="A3411" s="3" t="s">
        <v>13905</v>
      </c>
      <c r="B3411" s="4">
        <v>540824.0</v>
      </c>
      <c r="C3411" s="3" t="s">
        <v>13906</v>
      </c>
      <c r="D3411" s="3" t="s">
        <v>13907</v>
      </c>
      <c r="E3411" s="3" t="s">
        <v>13908</v>
      </c>
      <c r="F3411" s="3" t="s">
        <v>19</v>
      </c>
      <c r="G3411" s="3" t="s">
        <v>86</v>
      </c>
      <c r="H3411" s="3">
        <v>10.0</v>
      </c>
      <c r="I3411" s="3" t="s">
        <v>13905</v>
      </c>
      <c r="J3411" s="3" t="s">
        <v>22</v>
      </c>
      <c r="K3411" s="3" t="s">
        <v>23</v>
      </c>
      <c r="L3411" s="3" t="s">
        <v>32</v>
      </c>
      <c r="M3411" s="3" t="s">
        <v>33</v>
      </c>
      <c r="N3411" s="3" t="s">
        <v>34</v>
      </c>
      <c r="O3411" s="5">
        <v>108.6660271</v>
      </c>
      <c r="P3411" s="6" t="str">
        <f t="shared" si="2"/>
        <v>Paper, Forest &amp; Jute Products</v>
      </c>
    </row>
    <row r="3412" hidden="1">
      <c r="A3412" s="3" t="s">
        <v>13909</v>
      </c>
      <c r="B3412" s="4">
        <v>514460.0</v>
      </c>
      <c r="C3412" s="3" t="s">
        <v>13910</v>
      </c>
      <c r="D3412" s="3" t="s">
        <v>13911</v>
      </c>
      <c r="E3412" s="3" t="s">
        <v>13912</v>
      </c>
      <c r="F3412" s="3" t="s">
        <v>19</v>
      </c>
      <c r="G3412" s="3" t="s">
        <v>72</v>
      </c>
      <c r="H3412" s="3">
        <v>10.0</v>
      </c>
      <c r="I3412" s="3" t="s">
        <v>4559</v>
      </c>
      <c r="J3412" s="3" t="s">
        <v>22</v>
      </c>
      <c r="K3412" s="3" t="s">
        <v>1673</v>
      </c>
      <c r="L3412" s="3" t="s">
        <v>1673</v>
      </c>
      <c r="M3412" s="3" t="s">
        <v>1674</v>
      </c>
      <c r="N3412" s="3" t="s">
        <v>1915</v>
      </c>
      <c r="O3412" s="5">
        <v>1.0</v>
      </c>
      <c r="P3412" s="6" t="str">
        <f t="shared" si="2"/>
        <v>Commercial Services &amp; Supplies</v>
      </c>
    </row>
    <row r="3413" hidden="1">
      <c r="A3413" s="3" t="s">
        <v>7741</v>
      </c>
      <c r="B3413" s="4">
        <v>517044.0</v>
      </c>
      <c r="C3413" s="3" t="s">
        <v>13913</v>
      </c>
      <c r="D3413" s="3" t="s">
        <v>13914</v>
      </c>
      <c r="E3413" s="3" t="s">
        <v>13915</v>
      </c>
      <c r="F3413" s="3" t="s">
        <v>19</v>
      </c>
      <c r="G3413" s="3" t="s">
        <v>72</v>
      </c>
      <c r="H3413" s="3">
        <v>10.0</v>
      </c>
      <c r="I3413" s="3" t="s">
        <v>4698</v>
      </c>
      <c r="J3413" s="3" t="s">
        <v>22</v>
      </c>
      <c r="K3413" s="3" t="s">
        <v>1673</v>
      </c>
      <c r="L3413" s="3" t="s">
        <v>1673</v>
      </c>
      <c r="M3413" s="3" t="s">
        <v>1674</v>
      </c>
      <c r="N3413" s="3" t="s">
        <v>3189</v>
      </c>
      <c r="O3413" s="5">
        <v>1.0</v>
      </c>
      <c r="P3413" s="6" t="str">
        <f t="shared" si="2"/>
        <v>Commercial Services &amp; Supplies</v>
      </c>
    </row>
    <row r="3414" hidden="1">
      <c r="A3414" s="3" t="s">
        <v>13916</v>
      </c>
      <c r="B3414" s="4">
        <v>540850.0</v>
      </c>
      <c r="C3414" s="3" t="s">
        <v>13917</v>
      </c>
      <c r="D3414" s="3" t="s">
        <v>13918</v>
      </c>
      <c r="E3414" s="3" t="s">
        <v>13919</v>
      </c>
      <c r="F3414" s="3" t="s">
        <v>19</v>
      </c>
      <c r="G3414" s="3" t="s">
        <v>6293</v>
      </c>
      <c r="H3414" s="3">
        <v>10.0</v>
      </c>
      <c r="I3414" s="3" t="s">
        <v>13916</v>
      </c>
      <c r="J3414" s="3" t="s">
        <v>22</v>
      </c>
      <c r="K3414" s="3" t="s">
        <v>145</v>
      </c>
      <c r="L3414" s="3" t="s">
        <v>145</v>
      </c>
      <c r="M3414" s="3" t="s">
        <v>597</v>
      </c>
      <c r="N3414" s="3" t="s">
        <v>2344</v>
      </c>
      <c r="O3414" s="5">
        <v>129.90375</v>
      </c>
      <c r="P3414" s="6" t="str">
        <f t="shared" si="2"/>
        <v>Food Products</v>
      </c>
    </row>
    <row r="3415" hidden="1">
      <c r="A3415" s="3" t="s">
        <v>13920</v>
      </c>
      <c r="B3415" s="4">
        <v>540874.0</v>
      </c>
      <c r="C3415" s="3" t="s">
        <v>13921</v>
      </c>
      <c r="D3415" s="3" t="s">
        <v>13922</v>
      </c>
      <c r="E3415" s="3" t="s">
        <v>13923</v>
      </c>
      <c r="F3415" s="3" t="s">
        <v>19</v>
      </c>
      <c r="G3415" s="3" t="s">
        <v>44</v>
      </c>
      <c r="H3415" s="3">
        <v>10.0</v>
      </c>
      <c r="I3415" s="3" t="s">
        <v>13920</v>
      </c>
      <c r="J3415" s="3" t="s">
        <v>22</v>
      </c>
      <c r="K3415" s="3" t="s">
        <v>58</v>
      </c>
      <c r="L3415" s="3" t="s">
        <v>182</v>
      </c>
      <c r="M3415" s="3" t="s">
        <v>1168</v>
      </c>
      <c r="N3415" s="3" t="s">
        <v>4004</v>
      </c>
      <c r="O3415" s="5">
        <v>118.2429019</v>
      </c>
      <c r="P3415" s="6" t="str">
        <f t="shared" si="2"/>
        <v>Entertainment</v>
      </c>
    </row>
    <row r="3416" hidden="1">
      <c r="A3416" s="3" t="s">
        <v>13924</v>
      </c>
      <c r="B3416" s="4">
        <v>540879.0</v>
      </c>
      <c r="C3416" s="3" t="s">
        <v>13925</v>
      </c>
      <c r="D3416" s="3" t="s">
        <v>13926</v>
      </c>
      <c r="E3416" s="3" t="s">
        <v>13927</v>
      </c>
      <c r="F3416" s="3" t="s">
        <v>19</v>
      </c>
      <c r="G3416" s="3" t="s">
        <v>112</v>
      </c>
      <c r="H3416" s="3">
        <v>1.0</v>
      </c>
      <c r="I3416" s="3" t="s">
        <v>13924</v>
      </c>
      <c r="J3416" s="3" t="s">
        <v>22</v>
      </c>
      <c r="K3416" s="3" t="s">
        <v>97</v>
      </c>
      <c r="L3416" s="3" t="s">
        <v>98</v>
      </c>
      <c r="M3416" s="3" t="s">
        <v>806</v>
      </c>
      <c r="N3416" s="3" t="s">
        <v>806</v>
      </c>
      <c r="O3416" s="5">
        <v>3248.5827141</v>
      </c>
      <c r="P3416" s="6" t="str">
        <f t="shared" si="2"/>
        <v>Aerospace &amp; Defense</v>
      </c>
    </row>
    <row r="3417">
      <c r="A3417" s="3" t="s">
        <v>13928</v>
      </c>
      <c r="B3417" s="4">
        <v>522163.0</v>
      </c>
      <c r="C3417" s="3" t="s">
        <v>13929</v>
      </c>
      <c r="D3417" s="3" t="s">
        <v>13930</v>
      </c>
      <c r="E3417" s="3" t="s">
        <v>13931</v>
      </c>
      <c r="F3417" s="3" t="s">
        <v>19</v>
      </c>
      <c r="G3417" s="3" t="s">
        <v>86</v>
      </c>
      <c r="H3417" s="3">
        <v>10.0</v>
      </c>
      <c r="I3417" s="3" t="s">
        <v>5536</v>
      </c>
      <c r="J3417" s="3" t="s">
        <v>22</v>
      </c>
      <c r="K3417" s="3" t="s">
        <v>97</v>
      </c>
      <c r="L3417" s="3" t="s">
        <v>98</v>
      </c>
      <c r="M3417" s="3" t="s">
        <v>1747</v>
      </c>
      <c r="N3417" s="3" t="s">
        <v>1748</v>
      </c>
      <c r="O3417" s="5">
        <v>7067.508712</v>
      </c>
      <c r="P3417" s="6" t="str">
        <f t="shared" si="2"/>
        <v>Electrical Equipment</v>
      </c>
    </row>
    <row r="3418" hidden="1">
      <c r="A3418" s="3" t="s">
        <v>13932</v>
      </c>
      <c r="B3418" s="4">
        <v>540901.0</v>
      </c>
      <c r="C3418" s="3" t="s">
        <v>13933</v>
      </c>
      <c r="D3418" s="3" t="s">
        <v>13934</v>
      </c>
      <c r="E3418" s="3" t="s">
        <v>13935</v>
      </c>
      <c r="F3418" s="3" t="s">
        <v>19</v>
      </c>
      <c r="G3418" s="3" t="s">
        <v>86</v>
      </c>
      <c r="H3418" s="3">
        <v>5.0</v>
      </c>
      <c r="I3418" s="3" t="s">
        <v>13932</v>
      </c>
      <c r="J3418" s="3" t="s">
        <v>22</v>
      </c>
      <c r="K3418" s="3" t="s">
        <v>58</v>
      </c>
      <c r="L3418" s="3" t="s">
        <v>73</v>
      </c>
      <c r="M3418" s="3" t="s">
        <v>988</v>
      </c>
      <c r="N3418" s="3" t="s">
        <v>989</v>
      </c>
      <c r="O3418" s="5">
        <v>182.9094512</v>
      </c>
      <c r="P3418" s="6" t="str">
        <f t="shared" si="2"/>
        <v>Retailing</v>
      </c>
    </row>
    <row r="3419">
      <c r="A3419" s="3" t="s">
        <v>3040</v>
      </c>
      <c r="B3419" s="4">
        <v>522205.0</v>
      </c>
      <c r="C3419" s="3" t="s">
        <v>13936</v>
      </c>
      <c r="D3419" s="3" t="s">
        <v>13937</v>
      </c>
      <c r="E3419" s="3" t="s">
        <v>13938</v>
      </c>
      <c r="F3419" s="3" t="s">
        <v>19</v>
      </c>
      <c r="G3419" s="3" t="s">
        <v>20</v>
      </c>
      <c r="H3419" s="3">
        <v>2.0</v>
      </c>
      <c r="I3419" s="3" t="s">
        <v>5556</v>
      </c>
      <c r="J3419" s="3" t="s">
        <v>22</v>
      </c>
      <c r="K3419" s="3" t="s">
        <v>97</v>
      </c>
      <c r="L3419" s="3" t="s">
        <v>98</v>
      </c>
      <c r="M3419" s="3" t="s">
        <v>99</v>
      </c>
      <c r="N3419" s="3" t="s">
        <v>100</v>
      </c>
      <c r="O3419" s="5">
        <v>13313.2911678</v>
      </c>
      <c r="P3419" s="6" t="str">
        <f t="shared" si="2"/>
        <v>Industrial Products</v>
      </c>
    </row>
    <row r="3420" hidden="1">
      <c r="A3420" s="3" t="s">
        <v>8926</v>
      </c>
      <c r="B3420" s="4">
        <v>517172.0</v>
      </c>
      <c r="C3420" s="3" t="s">
        <v>13939</v>
      </c>
      <c r="D3420" s="3" t="s">
        <v>13940</v>
      </c>
      <c r="E3420" s="3" t="s">
        <v>13941</v>
      </c>
      <c r="F3420" s="3" t="s">
        <v>19</v>
      </c>
      <c r="G3420" s="3" t="s">
        <v>1858</v>
      </c>
      <c r="H3420" s="3">
        <v>10.0</v>
      </c>
      <c r="I3420" s="3" t="s">
        <v>4737</v>
      </c>
      <c r="J3420" s="3" t="s">
        <v>22</v>
      </c>
      <c r="K3420" s="3" t="s">
        <v>1673</v>
      </c>
      <c r="L3420" s="3" t="s">
        <v>1673</v>
      </c>
      <c r="M3420" s="3" t="s">
        <v>1674</v>
      </c>
      <c r="N3420" s="3" t="s">
        <v>1915</v>
      </c>
      <c r="O3420" s="5">
        <v>1.0</v>
      </c>
      <c r="P3420" s="6" t="str">
        <f t="shared" si="2"/>
        <v>Commercial Services &amp; Supplies</v>
      </c>
    </row>
    <row r="3421" hidden="1">
      <c r="A3421" s="3" t="s">
        <v>13942</v>
      </c>
      <c r="B3421" s="4">
        <v>540904.0</v>
      </c>
      <c r="C3421" s="3" t="s">
        <v>13943</v>
      </c>
      <c r="D3421" s="3" t="s">
        <v>13944</v>
      </c>
      <c r="E3421" s="3" t="s">
        <v>13945</v>
      </c>
      <c r="F3421" s="3" t="s">
        <v>19</v>
      </c>
      <c r="G3421" s="3" t="s">
        <v>44</v>
      </c>
      <c r="H3421" s="3">
        <v>10.0</v>
      </c>
      <c r="I3421" s="3" t="s">
        <v>13942</v>
      </c>
      <c r="J3421" s="3" t="s">
        <v>22</v>
      </c>
      <c r="K3421" s="3" t="s">
        <v>58</v>
      </c>
      <c r="L3421" s="3" t="s">
        <v>211</v>
      </c>
      <c r="M3421" s="3" t="s">
        <v>211</v>
      </c>
      <c r="N3421" s="3" t="s">
        <v>1152</v>
      </c>
      <c r="O3421" s="5">
        <v>44.8283725</v>
      </c>
      <c r="P3421" s="6" t="str">
        <f t="shared" si="2"/>
        <v>Consumer Durables</v>
      </c>
    </row>
    <row r="3422" hidden="1">
      <c r="A3422" s="3" t="s">
        <v>10358</v>
      </c>
      <c r="B3422" s="4">
        <v>519230.0</v>
      </c>
      <c r="C3422" s="3" t="s">
        <v>13946</v>
      </c>
      <c r="D3422" s="3" t="s">
        <v>13947</v>
      </c>
      <c r="E3422" s="3" t="s">
        <v>13948</v>
      </c>
      <c r="F3422" s="3" t="s">
        <v>19</v>
      </c>
      <c r="G3422" s="3" t="s">
        <v>44</v>
      </c>
      <c r="H3422" s="3">
        <v>5.0</v>
      </c>
      <c r="I3422" s="3" t="s">
        <v>5031</v>
      </c>
      <c r="J3422" s="3" t="s">
        <v>22</v>
      </c>
      <c r="K3422" s="3" t="s">
        <v>1673</v>
      </c>
      <c r="L3422" s="3" t="s">
        <v>1673</v>
      </c>
      <c r="M3422" s="3" t="s">
        <v>1674</v>
      </c>
      <c r="N3422" s="3" t="s">
        <v>1915</v>
      </c>
      <c r="O3422" s="5">
        <v>1.0</v>
      </c>
      <c r="P3422" s="6" t="str">
        <f t="shared" si="2"/>
        <v>Commercial Services &amp; Supplies</v>
      </c>
    </row>
    <row r="3423" hidden="1">
      <c r="A3423" s="3" t="s">
        <v>13949</v>
      </c>
      <c r="B3423" s="4">
        <v>540923.0</v>
      </c>
      <c r="C3423" s="3" t="s">
        <v>13950</v>
      </c>
      <c r="D3423" s="3" t="s">
        <v>13951</v>
      </c>
      <c r="E3423" s="3" t="s">
        <v>13952</v>
      </c>
      <c r="F3423" s="3" t="s">
        <v>19</v>
      </c>
      <c r="G3423" s="3" t="s">
        <v>112</v>
      </c>
      <c r="H3423" s="3">
        <v>10.0</v>
      </c>
      <c r="I3423" s="3" t="s">
        <v>13949</v>
      </c>
      <c r="J3423" s="3" t="s">
        <v>22</v>
      </c>
      <c r="K3423" s="3" t="s">
        <v>23</v>
      </c>
      <c r="L3423" s="3" t="s">
        <v>65</v>
      </c>
      <c r="M3423" s="3" t="s">
        <v>438</v>
      </c>
      <c r="N3423" s="3" t="s">
        <v>2155</v>
      </c>
      <c r="O3423" s="5">
        <v>49.9738073</v>
      </c>
      <c r="P3423" s="6" t="str">
        <f t="shared" si="2"/>
        <v>Metals &amp; Minerals Trading</v>
      </c>
    </row>
    <row r="3424">
      <c r="A3424" s="3" t="s">
        <v>718</v>
      </c>
      <c r="B3424" s="4">
        <v>522275.0</v>
      </c>
      <c r="C3424" s="3" t="s">
        <v>13953</v>
      </c>
      <c r="D3424" s="3" t="s">
        <v>13954</v>
      </c>
      <c r="E3424" s="3" t="s">
        <v>13955</v>
      </c>
      <c r="F3424" s="3" t="s">
        <v>19</v>
      </c>
      <c r="G3424" s="3" t="s">
        <v>86</v>
      </c>
      <c r="H3424" s="3">
        <v>2.0</v>
      </c>
      <c r="I3424" s="3" t="s">
        <v>5621</v>
      </c>
      <c r="J3424" s="3" t="s">
        <v>22</v>
      </c>
      <c r="K3424" s="3" t="s">
        <v>97</v>
      </c>
      <c r="L3424" s="3" t="s">
        <v>98</v>
      </c>
      <c r="M3424" s="3" t="s">
        <v>1747</v>
      </c>
      <c r="N3424" s="3" t="s">
        <v>1767</v>
      </c>
      <c r="O3424" s="5">
        <v>40020.9532033</v>
      </c>
      <c r="P3424" s="6" t="str">
        <f t="shared" si="2"/>
        <v>Heavy Electrical Equipment</v>
      </c>
    </row>
    <row r="3425" hidden="1">
      <c r="A3425" s="3" t="s">
        <v>13956</v>
      </c>
      <c r="B3425" s="4">
        <v>540936.0</v>
      </c>
      <c r="C3425" s="3" t="s">
        <v>13957</v>
      </c>
      <c r="D3425" s="3" t="s">
        <v>13958</v>
      </c>
      <c r="E3425" s="3" t="s">
        <v>13959</v>
      </c>
      <c r="F3425" s="3" t="s">
        <v>19</v>
      </c>
      <c r="G3425" s="3" t="s">
        <v>112</v>
      </c>
      <c r="H3425" s="3">
        <v>10.0</v>
      </c>
      <c r="I3425" s="3" t="s">
        <v>13956</v>
      </c>
      <c r="J3425" s="3" t="s">
        <v>22</v>
      </c>
      <c r="K3425" s="3" t="s">
        <v>58</v>
      </c>
      <c r="L3425" s="3" t="s">
        <v>211</v>
      </c>
      <c r="M3425" s="3" t="s">
        <v>211</v>
      </c>
      <c r="N3425" s="3" t="s">
        <v>947</v>
      </c>
      <c r="O3425" s="5">
        <v>40.1570057</v>
      </c>
      <c r="P3425" s="6" t="str">
        <f t="shared" si="2"/>
        <v>Consumer Durables</v>
      </c>
    </row>
    <row r="3426" hidden="1">
      <c r="A3426" s="3" t="s">
        <v>13960</v>
      </c>
      <c r="B3426" s="4">
        <v>540937.0</v>
      </c>
      <c r="C3426" s="3" t="s">
        <v>13961</v>
      </c>
      <c r="D3426" s="3" t="s">
        <v>13962</v>
      </c>
      <c r="E3426" s="3" t="s">
        <v>13963</v>
      </c>
      <c r="F3426" s="3" t="s">
        <v>19</v>
      </c>
      <c r="G3426" s="3" t="s">
        <v>86</v>
      </c>
      <c r="H3426" s="3">
        <v>2.0</v>
      </c>
      <c r="I3426" s="3" t="s">
        <v>13960</v>
      </c>
      <c r="J3426" s="3" t="s">
        <v>22</v>
      </c>
      <c r="K3426" s="3" t="s">
        <v>45</v>
      </c>
      <c r="L3426" s="3" t="s">
        <v>45</v>
      </c>
      <c r="M3426" s="3" t="s">
        <v>46</v>
      </c>
      <c r="N3426" s="3" t="s">
        <v>47</v>
      </c>
      <c r="O3426" s="5">
        <v>338.15508</v>
      </c>
      <c r="P3426" s="6" t="str">
        <f t="shared" si="2"/>
        <v>Pharmaceuticals</v>
      </c>
    </row>
    <row r="3427" hidden="1">
      <c r="A3427" s="3" t="s">
        <v>13964</v>
      </c>
      <c r="B3427" s="4">
        <v>540938.0</v>
      </c>
      <c r="C3427" s="3" t="s">
        <v>13965</v>
      </c>
      <c r="D3427" s="3" t="s">
        <v>13966</v>
      </c>
      <c r="E3427" s="3" t="s">
        <v>13967</v>
      </c>
      <c r="F3427" s="3" t="s">
        <v>19</v>
      </c>
      <c r="G3427" s="3" t="s">
        <v>6293</v>
      </c>
      <c r="H3427" s="3">
        <v>10.0</v>
      </c>
      <c r="I3427" s="3" t="s">
        <v>13964</v>
      </c>
      <c r="J3427" s="3" t="s">
        <v>22</v>
      </c>
      <c r="K3427" s="3" t="s">
        <v>58</v>
      </c>
      <c r="L3427" s="3" t="s">
        <v>80</v>
      </c>
      <c r="M3427" s="3" t="s">
        <v>81</v>
      </c>
      <c r="N3427" s="3" t="s">
        <v>82</v>
      </c>
      <c r="O3427" s="5">
        <v>23.0815</v>
      </c>
      <c r="P3427" s="6" t="str">
        <f t="shared" si="2"/>
        <v>Textiles &amp; Apparels</v>
      </c>
    </row>
    <row r="3428" hidden="1">
      <c r="A3428" s="3" t="s">
        <v>13968</v>
      </c>
      <c r="B3428" s="4">
        <v>540952.0</v>
      </c>
      <c r="C3428" s="3" t="s">
        <v>13969</v>
      </c>
      <c r="D3428" s="3" t="s">
        <v>13970</v>
      </c>
      <c r="E3428" s="3" t="s">
        <v>13971</v>
      </c>
      <c r="F3428" s="3" t="s">
        <v>19</v>
      </c>
      <c r="G3428" s="3" t="s">
        <v>112</v>
      </c>
      <c r="H3428" s="3">
        <v>1.0</v>
      </c>
      <c r="I3428" s="3" t="s">
        <v>13968</v>
      </c>
      <c r="J3428" s="3" t="s">
        <v>22</v>
      </c>
      <c r="K3428" s="3" t="s">
        <v>58</v>
      </c>
      <c r="L3428" s="3" t="s">
        <v>80</v>
      </c>
      <c r="M3428" s="3" t="s">
        <v>81</v>
      </c>
      <c r="N3428" s="3" t="s">
        <v>944</v>
      </c>
      <c r="O3428" s="5">
        <v>338.1599465</v>
      </c>
      <c r="P3428" s="6" t="str">
        <f t="shared" si="2"/>
        <v>Textiles &amp; Apparels</v>
      </c>
    </row>
    <row r="3429" hidden="1">
      <c r="A3429" s="3" t="s">
        <v>13972</v>
      </c>
      <c r="B3429" s="4">
        <v>540953.0</v>
      </c>
      <c r="C3429" s="3" t="s">
        <v>13973</v>
      </c>
      <c r="D3429" s="3" t="s">
        <v>13974</v>
      </c>
      <c r="E3429" s="3" t="s">
        <v>13975</v>
      </c>
      <c r="F3429" s="3" t="s">
        <v>19</v>
      </c>
      <c r="G3429" s="3" t="s">
        <v>112</v>
      </c>
      <c r="H3429" s="3">
        <v>1.0</v>
      </c>
      <c r="I3429" s="3" t="s">
        <v>13972</v>
      </c>
      <c r="J3429" s="3" t="s">
        <v>22</v>
      </c>
      <c r="K3429" s="3" t="s">
        <v>58</v>
      </c>
      <c r="L3429" s="3" t="s">
        <v>211</v>
      </c>
      <c r="M3429" s="3" t="s">
        <v>211</v>
      </c>
      <c r="N3429" s="3" t="s">
        <v>947</v>
      </c>
      <c r="O3429" s="5">
        <v>72.5421745</v>
      </c>
      <c r="P3429" s="6" t="str">
        <f t="shared" si="2"/>
        <v>Consumer Durables</v>
      </c>
    </row>
    <row r="3430" hidden="1">
      <c r="A3430" s="3" t="s">
        <v>13976</v>
      </c>
      <c r="B3430" s="4">
        <v>540954.0</v>
      </c>
      <c r="C3430" s="3" t="s">
        <v>13977</v>
      </c>
      <c r="D3430" s="3" t="s">
        <v>13978</v>
      </c>
      <c r="E3430" s="3" t="s">
        <v>13979</v>
      </c>
      <c r="F3430" s="3" t="s">
        <v>19</v>
      </c>
      <c r="G3430" s="3" t="s">
        <v>44</v>
      </c>
      <c r="H3430" s="3">
        <v>2.0</v>
      </c>
      <c r="I3430" s="3" t="s">
        <v>13976</v>
      </c>
      <c r="J3430" s="3" t="s">
        <v>22</v>
      </c>
      <c r="K3430" s="3" t="s">
        <v>23</v>
      </c>
      <c r="L3430" s="3" t="s">
        <v>32</v>
      </c>
      <c r="M3430" s="3" t="s">
        <v>33</v>
      </c>
      <c r="N3430" s="3" t="s">
        <v>6836</v>
      </c>
      <c r="O3430" s="5">
        <v>194.6513439</v>
      </c>
      <c r="P3430" s="6" t="str">
        <f t="shared" si="2"/>
        <v>Paper, Forest &amp; Jute Products</v>
      </c>
    </row>
    <row r="3431" hidden="1">
      <c r="A3431" s="3" t="s">
        <v>13980</v>
      </c>
      <c r="B3431" s="4">
        <v>540955.0</v>
      </c>
      <c r="C3431" s="3" t="s">
        <v>13981</v>
      </c>
      <c r="D3431" s="3" t="s">
        <v>13982</v>
      </c>
      <c r="E3431" s="3" t="s">
        <v>13983</v>
      </c>
      <c r="F3431" s="3" t="s">
        <v>19</v>
      </c>
      <c r="G3431" s="3" t="s">
        <v>86</v>
      </c>
      <c r="H3431" s="3">
        <v>10.0</v>
      </c>
      <c r="I3431" s="3" t="s">
        <v>13980</v>
      </c>
      <c r="J3431" s="3" t="s">
        <v>22</v>
      </c>
      <c r="K3431" s="3" t="s">
        <v>145</v>
      </c>
      <c r="L3431" s="3" t="s">
        <v>145</v>
      </c>
      <c r="M3431" s="3" t="s">
        <v>597</v>
      </c>
      <c r="N3431" s="3" t="s">
        <v>598</v>
      </c>
      <c r="O3431" s="5">
        <v>21.2316111</v>
      </c>
      <c r="P3431" s="6" t="str">
        <f t="shared" si="2"/>
        <v>Food Products</v>
      </c>
    </row>
    <row r="3432" hidden="1">
      <c r="A3432" s="3" t="s">
        <v>13984</v>
      </c>
      <c r="B3432" s="4">
        <v>540956.0</v>
      </c>
      <c r="C3432" s="3" t="s">
        <v>13985</v>
      </c>
      <c r="D3432" s="3" t="s">
        <v>13986</v>
      </c>
      <c r="E3432" s="3" t="s">
        <v>13987</v>
      </c>
      <c r="F3432" s="3" t="s">
        <v>19</v>
      </c>
      <c r="G3432" s="3" t="s">
        <v>86</v>
      </c>
      <c r="H3432" s="3">
        <v>1.0</v>
      </c>
      <c r="I3432" s="3" t="s">
        <v>13984</v>
      </c>
      <c r="J3432" s="3" t="s">
        <v>22</v>
      </c>
      <c r="K3432" s="3" t="s">
        <v>58</v>
      </c>
      <c r="L3432" s="3" t="s">
        <v>73</v>
      </c>
      <c r="M3432" s="3" t="s">
        <v>988</v>
      </c>
      <c r="N3432" s="3" t="s">
        <v>989</v>
      </c>
      <c r="O3432" s="5">
        <v>256.436345</v>
      </c>
      <c r="P3432" s="6" t="str">
        <f t="shared" si="2"/>
        <v>Retailing</v>
      </c>
    </row>
    <row r="3433" hidden="1">
      <c r="A3433" s="3" t="s">
        <v>13988</v>
      </c>
      <c r="B3433" s="4">
        <v>540961.0</v>
      </c>
      <c r="C3433" s="3" t="s">
        <v>13989</v>
      </c>
      <c r="D3433" s="3" t="s">
        <v>13990</v>
      </c>
      <c r="E3433" s="3" t="s">
        <v>13991</v>
      </c>
      <c r="F3433" s="3" t="s">
        <v>19</v>
      </c>
      <c r="G3433" s="3" t="s">
        <v>112</v>
      </c>
      <c r="H3433" s="3">
        <v>10.0</v>
      </c>
      <c r="I3433" s="3" t="s">
        <v>13988</v>
      </c>
      <c r="J3433" s="3" t="s">
        <v>22</v>
      </c>
      <c r="K3433" s="3" t="s">
        <v>58</v>
      </c>
      <c r="L3433" s="3" t="s">
        <v>80</v>
      </c>
      <c r="M3433" s="3" t="s">
        <v>81</v>
      </c>
      <c r="N3433" s="3" t="s">
        <v>82</v>
      </c>
      <c r="O3433" s="5">
        <v>79.0876779</v>
      </c>
      <c r="P3433" s="6" t="str">
        <f t="shared" si="2"/>
        <v>Textiles &amp; Apparels</v>
      </c>
    </row>
    <row r="3434">
      <c r="A3434" s="3" t="s">
        <v>11566</v>
      </c>
      <c r="B3434" s="4">
        <v>522287.0</v>
      </c>
      <c r="C3434" s="3" t="s">
        <v>13992</v>
      </c>
      <c r="D3434" s="3" t="s">
        <v>13993</v>
      </c>
      <c r="E3434" s="3" t="s">
        <v>13994</v>
      </c>
      <c r="F3434" s="3" t="s">
        <v>19</v>
      </c>
      <c r="G3434" s="3" t="s">
        <v>20</v>
      </c>
      <c r="H3434" s="3">
        <v>2.0</v>
      </c>
      <c r="I3434" s="3" t="s">
        <v>5633</v>
      </c>
      <c r="J3434" s="3" t="s">
        <v>22</v>
      </c>
      <c r="K3434" s="3" t="s">
        <v>97</v>
      </c>
      <c r="L3434" s="3" t="s">
        <v>965</v>
      </c>
      <c r="M3434" s="3" t="s">
        <v>965</v>
      </c>
      <c r="N3434" s="3" t="s">
        <v>966</v>
      </c>
      <c r="O3434" s="5">
        <v>19098.79</v>
      </c>
      <c r="P3434" s="6" t="str">
        <f t="shared" si="2"/>
        <v>Civil Construction</v>
      </c>
    </row>
    <row r="3435" hidden="1">
      <c r="A3435" s="3" t="s">
        <v>2348</v>
      </c>
      <c r="B3435" s="4">
        <v>519413.0</v>
      </c>
      <c r="C3435" s="3" t="s">
        <v>13995</v>
      </c>
      <c r="D3435" s="3" t="s">
        <v>13996</v>
      </c>
      <c r="E3435" s="3" t="s">
        <v>13997</v>
      </c>
      <c r="F3435" s="3" t="s">
        <v>19</v>
      </c>
      <c r="G3435" s="3" t="s">
        <v>1858</v>
      </c>
      <c r="H3435" s="3">
        <v>10.0</v>
      </c>
      <c r="I3435" s="3" t="s">
        <v>5086</v>
      </c>
      <c r="J3435" s="3" t="s">
        <v>22</v>
      </c>
      <c r="K3435" s="3" t="s">
        <v>1673</v>
      </c>
      <c r="L3435" s="3" t="s">
        <v>1673</v>
      </c>
      <c r="M3435" s="3" t="s">
        <v>1689</v>
      </c>
      <c r="N3435" s="3" t="s">
        <v>2055</v>
      </c>
      <c r="O3435" s="5">
        <v>1.0</v>
      </c>
      <c r="P3435" s="6" t="str">
        <f t="shared" si="2"/>
        <v>Transport Services</v>
      </c>
    </row>
    <row r="3436" hidden="1">
      <c r="A3436" s="3" t="s">
        <v>13998</v>
      </c>
      <c r="B3436" s="4">
        <v>541005.0</v>
      </c>
      <c r="C3436" s="3" t="s">
        <v>13999</v>
      </c>
      <c r="D3436" s="3" t="s">
        <v>14000</v>
      </c>
      <c r="E3436" s="3" t="s">
        <v>14001</v>
      </c>
      <c r="F3436" s="3" t="s">
        <v>19</v>
      </c>
      <c r="G3436" s="3" t="s">
        <v>44</v>
      </c>
      <c r="H3436" s="3">
        <v>10.0</v>
      </c>
      <c r="I3436" s="3" t="s">
        <v>13998</v>
      </c>
      <c r="J3436" s="3" t="s">
        <v>22</v>
      </c>
      <c r="K3436" s="3" t="s">
        <v>145</v>
      </c>
      <c r="L3436" s="3" t="s">
        <v>145</v>
      </c>
      <c r="M3436" s="3" t="s">
        <v>146</v>
      </c>
      <c r="N3436" s="3" t="s">
        <v>444</v>
      </c>
      <c r="O3436" s="5">
        <v>36.4642462</v>
      </c>
      <c r="P3436" s="6" t="str">
        <f t="shared" si="2"/>
        <v>Agricultural Food &amp; other Products</v>
      </c>
    </row>
    <row r="3437" hidden="1">
      <c r="A3437" s="3" t="s">
        <v>14002</v>
      </c>
      <c r="B3437" s="4">
        <v>541006.0</v>
      </c>
      <c r="C3437" s="3" t="s">
        <v>14003</v>
      </c>
      <c r="D3437" s="3" t="s">
        <v>14004</v>
      </c>
      <c r="E3437" s="3" t="s">
        <v>14005</v>
      </c>
      <c r="F3437" s="3" t="s">
        <v>19</v>
      </c>
      <c r="G3437" s="3" t="s">
        <v>2428</v>
      </c>
      <c r="H3437" s="3">
        <v>10.0</v>
      </c>
      <c r="I3437" s="3" t="s">
        <v>14002</v>
      </c>
      <c r="J3437" s="3" t="s">
        <v>22</v>
      </c>
      <c r="K3437" s="3" t="s">
        <v>58</v>
      </c>
      <c r="L3437" s="3" t="s">
        <v>80</v>
      </c>
      <c r="M3437" s="3" t="s">
        <v>81</v>
      </c>
      <c r="N3437" s="3" t="s">
        <v>82</v>
      </c>
      <c r="O3437" s="5">
        <v>60.0</v>
      </c>
      <c r="P3437" s="6" t="str">
        <f t="shared" si="2"/>
        <v>Textiles &amp; Apparels</v>
      </c>
    </row>
    <row r="3438">
      <c r="A3438" s="3" t="s">
        <v>14006</v>
      </c>
      <c r="B3438" s="4">
        <v>530343.0</v>
      </c>
      <c r="C3438" s="3" t="s">
        <v>14007</v>
      </c>
      <c r="D3438" s="3" t="s">
        <v>14008</v>
      </c>
      <c r="E3438" s="3" t="s">
        <v>14009</v>
      </c>
      <c r="F3438" s="3" t="s">
        <v>19</v>
      </c>
      <c r="G3438" s="3" t="s">
        <v>20</v>
      </c>
      <c r="H3438" s="3">
        <v>1.0</v>
      </c>
      <c r="I3438" s="3" t="s">
        <v>7557</v>
      </c>
      <c r="J3438" s="3" t="s">
        <v>22</v>
      </c>
      <c r="K3438" s="3" t="s">
        <v>97</v>
      </c>
      <c r="L3438" s="3" t="s">
        <v>98</v>
      </c>
      <c r="M3438" s="3" t="s">
        <v>1747</v>
      </c>
      <c r="N3438" s="3" t="s">
        <v>1748</v>
      </c>
      <c r="O3438" s="5">
        <v>10382.3554546</v>
      </c>
      <c r="P3438" s="6" t="str">
        <f t="shared" si="2"/>
        <v>Electrical Equipment</v>
      </c>
    </row>
    <row r="3439" hidden="1">
      <c r="A3439" s="3" t="s">
        <v>14010</v>
      </c>
      <c r="B3439" s="4">
        <v>541083.0</v>
      </c>
      <c r="C3439" s="3" t="s">
        <v>14011</v>
      </c>
      <c r="D3439" s="3" t="s">
        <v>14012</v>
      </c>
      <c r="E3439" s="3" t="s">
        <v>14013</v>
      </c>
      <c r="F3439" s="3" t="s">
        <v>19</v>
      </c>
      <c r="G3439" s="3" t="s">
        <v>6293</v>
      </c>
      <c r="H3439" s="3">
        <v>10.0</v>
      </c>
      <c r="I3439" s="3" t="s">
        <v>14010</v>
      </c>
      <c r="J3439" s="3" t="s">
        <v>22</v>
      </c>
      <c r="K3439" s="3" t="s">
        <v>58</v>
      </c>
      <c r="L3439" s="3" t="s">
        <v>211</v>
      </c>
      <c r="M3439" s="3" t="s">
        <v>211</v>
      </c>
      <c r="N3439" s="3" t="s">
        <v>2812</v>
      </c>
      <c r="O3439" s="5">
        <v>337.7135034</v>
      </c>
      <c r="P3439" s="6" t="str">
        <f t="shared" si="2"/>
        <v>Consumer Durables</v>
      </c>
    </row>
    <row r="3440" hidden="1">
      <c r="A3440" s="3" t="s">
        <v>14014</v>
      </c>
      <c r="B3440" s="4">
        <v>541096.0</v>
      </c>
      <c r="C3440" s="3" t="s">
        <v>14015</v>
      </c>
      <c r="D3440" s="3" t="s">
        <v>14016</v>
      </c>
      <c r="E3440" s="3" t="s">
        <v>14017</v>
      </c>
      <c r="F3440" s="3" t="s">
        <v>19</v>
      </c>
      <c r="G3440" s="3" t="s">
        <v>72</v>
      </c>
      <c r="H3440" s="3">
        <v>10.0</v>
      </c>
      <c r="I3440" s="3" t="s">
        <v>14014</v>
      </c>
      <c r="J3440" s="3" t="s">
        <v>22</v>
      </c>
      <c r="K3440" s="3" t="s">
        <v>45</v>
      </c>
      <c r="L3440" s="3" t="s">
        <v>45</v>
      </c>
      <c r="M3440" s="3" t="s">
        <v>46</v>
      </c>
      <c r="N3440" s="3" t="s">
        <v>47</v>
      </c>
      <c r="O3440" s="5">
        <v>972.795</v>
      </c>
      <c r="P3440" s="6" t="str">
        <f t="shared" si="2"/>
        <v>Pharmaceuticals</v>
      </c>
    </row>
    <row r="3441" hidden="1">
      <c r="A3441" s="3" t="s">
        <v>14018</v>
      </c>
      <c r="B3441" s="4">
        <v>541112.0</v>
      </c>
      <c r="C3441" s="3" t="s">
        <v>14019</v>
      </c>
      <c r="D3441" s="3" t="s">
        <v>14020</v>
      </c>
      <c r="E3441" s="3" t="s">
        <v>14021</v>
      </c>
      <c r="F3441" s="3" t="s">
        <v>19</v>
      </c>
      <c r="G3441" s="3" t="s">
        <v>2428</v>
      </c>
      <c r="H3441" s="3">
        <v>10.0</v>
      </c>
      <c r="I3441" s="3" t="s">
        <v>14018</v>
      </c>
      <c r="J3441" s="3" t="s">
        <v>22</v>
      </c>
      <c r="K3441" s="3" t="s">
        <v>97</v>
      </c>
      <c r="L3441" s="3" t="s">
        <v>965</v>
      </c>
      <c r="M3441" s="3" t="s">
        <v>965</v>
      </c>
      <c r="N3441" s="3" t="s">
        <v>966</v>
      </c>
      <c r="O3441" s="5">
        <v>39.30651</v>
      </c>
      <c r="P3441" s="6" t="str">
        <f t="shared" si="2"/>
        <v>Civil Construction</v>
      </c>
    </row>
    <row r="3442" hidden="1">
      <c r="A3442" s="3" t="s">
        <v>14022</v>
      </c>
      <c r="B3442" s="4">
        <v>541133.0</v>
      </c>
      <c r="C3442" s="3" t="s">
        <v>14023</v>
      </c>
      <c r="D3442" s="3" t="s">
        <v>14024</v>
      </c>
      <c r="E3442" s="3" t="s">
        <v>14025</v>
      </c>
      <c r="F3442" s="3" t="s">
        <v>19</v>
      </c>
      <c r="G3442" s="3" t="s">
        <v>72</v>
      </c>
      <c r="H3442" s="3">
        <v>10.0</v>
      </c>
      <c r="I3442" s="3" t="s">
        <v>14022</v>
      </c>
      <c r="J3442" s="3" t="s">
        <v>22</v>
      </c>
      <c r="K3442" s="3" t="s">
        <v>204</v>
      </c>
      <c r="L3442" s="3" t="s">
        <v>204</v>
      </c>
      <c r="M3442" s="3" t="s">
        <v>378</v>
      </c>
      <c r="N3442" s="3" t="s">
        <v>379</v>
      </c>
      <c r="O3442" s="5">
        <v>1.0</v>
      </c>
      <c r="P3442" s="6" t="str">
        <f t="shared" si="2"/>
        <v>Non Banking Financial Company (NBFC)</v>
      </c>
    </row>
    <row r="3443">
      <c r="A3443" s="3" t="s">
        <v>14026</v>
      </c>
      <c r="B3443" s="4">
        <v>531120.0</v>
      </c>
      <c r="C3443" s="3" t="s">
        <v>14027</v>
      </c>
      <c r="D3443" s="3" t="s">
        <v>14028</v>
      </c>
      <c r="E3443" s="3" t="s">
        <v>14029</v>
      </c>
      <c r="F3443" s="3" t="s">
        <v>19</v>
      </c>
      <c r="G3443" s="3" t="s">
        <v>20</v>
      </c>
      <c r="H3443" s="3">
        <v>1.0</v>
      </c>
      <c r="I3443" s="3" t="s">
        <v>8131</v>
      </c>
      <c r="J3443" s="3" t="s">
        <v>22</v>
      </c>
      <c r="K3443" s="3" t="s">
        <v>97</v>
      </c>
      <c r="L3443" s="3" t="s">
        <v>965</v>
      </c>
      <c r="M3443" s="3" t="s">
        <v>965</v>
      </c>
      <c r="N3443" s="3" t="s">
        <v>966</v>
      </c>
      <c r="O3443" s="5">
        <v>5302.264444</v>
      </c>
      <c r="P3443" s="6" t="str">
        <f t="shared" si="2"/>
        <v>Civil Construction</v>
      </c>
    </row>
    <row r="3444" hidden="1">
      <c r="A3444" s="3" t="s">
        <v>14030</v>
      </c>
      <c r="B3444" s="4">
        <v>541144.0</v>
      </c>
      <c r="C3444" s="3" t="s">
        <v>14031</v>
      </c>
      <c r="D3444" s="3" t="s">
        <v>14032</v>
      </c>
      <c r="E3444" s="3" t="s">
        <v>14033</v>
      </c>
      <c r="F3444" s="3" t="s">
        <v>19</v>
      </c>
      <c r="G3444" s="3" t="s">
        <v>112</v>
      </c>
      <c r="H3444" s="3">
        <v>10.0</v>
      </c>
      <c r="I3444" s="3" t="s">
        <v>14030</v>
      </c>
      <c r="J3444" s="3" t="s">
        <v>22</v>
      </c>
      <c r="K3444" s="3" t="s">
        <v>58</v>
      </c>
      <c r="L3444" s="3" t="s">
        <v>80</v>
      </c>
      <c r="M3444" s="3" t="s">
        <v>81</v>
      </c>
      <c r="N3444" s="3" t="s">
        <v>944</v>
      </c>
      <c r="O3444" s="5">
        <v>150.6769</v>
      </c>
      <c r="P3444" s="6" t="str">
        <f t="shared" si="2"/>
        <v>Textiles &amp; Apparels</v>
      </c>
    </row>
    <row r="3445" hidden="1">
      <c r="A3445" s="3" t="s">
        <v>4518</v>
      </c>
      <c r="B3445" s="4">
        <v>522289.0</v>
      </c>
      <c r="C3445" s="3" t="s">
        <v>14034</v>
      </c>
      <c r="D3445" s="3" t="s">
        <v>14035</v>
      </c>
      <c r="E3445" s="3" t="s">
        <v>14036</v>
      </c>
      <c r="F3445" s="3" t="s">
        <v>19</v>
      </c>
      <c r="G3445" s="3" t="s">
        <v>44</v>
      </c>
      <c r="H3445" s="3">
        <v>10.0</v>
      </c>
      <c r="I3445" s="3" t="s">
        <v>5637</v>
      </c>
      <c r="J3445" s="3" t="s">
        <v>22</v>
      </c>
      <c r="K3445" s="3" t="s">
        <v>1673</v>
      </c>
      <c r="L3445" s="3" t="s">
        <v>1673</v>
      </c>
      <c r="M3445" s="3" t="s">
        <v>1674</v>
      </c>
      <c r="N3445" s="3" t="s">
        <v>1915</v>
      </c>
      <c r="O3445" s="5">
        <v>1.0</v>
      </c>
      <c r="P3445" s="6" t="str">
        <f t="shared" si="2"/>
        <v>Commercial Services &amp; Supplies</v>
      </c>
    </row>
    <row r="3446">
      <c r="A3446" s="3" t="s">
        <v>10367</v>
      </c>
      <c r="B3446" s="4">
        <v>531431.0</v>
      </c>
      <c r="C3446" s="3" t="s">
        <v>14037</v>
      </c>
      <c r="D3446" s="3" t="s">
        <v>14038</v>
      </c>
      <c r="E3446" s="3" t="s">
        <v>14039</v>
      </c>
      <c r="F3446" s="3" t="s">
        <v>19</v>
      </c>
      <c r="G3446" s="3" t="s">
        <v>86</v>
      </c>
      <c r="H3446" s="3">
        <v>10.0</v>
      </c>
      <c r="I3446" s="3" t="s">
        <v>8562</v>
      </c>
      <c r="J3446" s="3" t="s">
        <v>22</v>
      </c>
      <c r="K3446" s="3" t="s">
        <v>97</v>
      </c>
      <c r="L3446" s="3" t="s">
        <v>98</v>
      </c>
      <c r="M3446" s="3" t="s">
        <v>100</v>
      </c>
      <c r="N3446" s="3" t="s">
        <v>983</v>
      </c>
      <c r="O3446" s="5">
        <v>8094.7305545</v>
      </c>
      <c r="P3446" s="6" t="str">
        <f t="shared" si="2"/>
        <v>Industrial Products</v>
      </c>
    </row>
    <row r="3447">
      <c r="A3447" s="3" t="s">
        <v>14040</v>
      </c>
      <c r="B3447" s="4">
        <v>532144.0</v>
      </c>
      <c r="C3447" s="3" t="s">
        <v>14041</v>
      </c>
      <c r="D3447" s="3" t="s">
        <v>14042</v>
      </c>
      <c r="E3447" s="3" t="s">
        <v>14041</v>
      </c>
      <c r="F3447" s="3" t="s">
        <v>19</v>
      </c>
      <c r="G3447" s="3" t="s">
        <v>20</v>
      </c>
      <c r="H3447" s="3">
        <v>5.0</v>
      </c>
      <c r="I3447" s="3" t="s">
        <v>9348</v>
      </c>
      <c r="J3447" s="3" t="s">
        <v>22</v>
      </c>
      <c r="K3447" s="3" t="s">
        <v>97</v>
      </c>
      <c r="L3447" s="3" t="s">
        <v>98</v>
      </c>
      <c r="M3447" s="3" t="s">
        <v>100</v>
      </c>
      <c r="N3447" s="3" t="s">
        <v>612</v>
      </c>
      <c r="O3447" s="5">
        <v>15191.4325069</v>
      </c>
      <c r="P3447" s="6" t="str">
        <f t="shared" si="2"/>
        <v>Industrial Products</v>
      </c>
    </row>
    <row r="3448" hidden="1">
      <c r="A3448" s="3" t="s">
        <v>14043</v>
      </c>
      <c r="B3448" s="4">
        <v>541161.0</v>
      </c>
      <c r="C3448" s="3" t="s">
        <v>14044</v>
      </c>
      <c r="D3448" s="3" t="s">
        <v>14045</v>
      </c>
      <c r="E3448" s="3" t="s">
        <v>14046</v>
      </c>
      <c r="F3448" s="3" t="s">
        <v>19</v>
      </c>
      <c r="G3448" s="3" t="s">
        <v>112</v>
      </c>
      <c r="H3448" s="3">
        <v>1.0</v>
      </c>
      <c r="I3448" s="3" t="s">
        <v>14043</v>
      </c>
      <c r="J3448" s="3" t="s">
        <v>22</v>
      </c>
      <c r="K3448" s="3" t="s">
        <v>58</v>
      </c>
      <c r="L3448" s="3" t="s">
        <v>59</v>
      </c>
      <c r="M3448" s="3" t="s">
        <v>59</v>
      </c>
      <c r="N3448" s="3" t="s">
        <v>60</v>
      </c>
      <c r="O3448" s="5">
        <v>205.0449644</v>
      </c>
      <c r="P3448" s="6" t="str">
        <f t="shared" si="2"/>
        <v>Residential, Commercial Projects</v>
      </c>
    </row>
    <row r="3449" hidden="1">
      <c r="A3449" s="3" t="s">
        <v>14047</v>
      </c>
      <c r="B3449" s="4">
        <v>541163.0</v>
      </c>
      <c r="C3449" s="3" t="s">
        <v>14048</v>
      </c>
      <c r="D3449" s="3" t="s">
        <v>14049</v>
      </c>
      <c r="E3449" s="3" t="s">
        <v>14050</v>
      </c>
      <c r="F3449" s="3" t="s">
        <v>19</v>
      </c>
      <c r="G3449" s="3" t="s">
        <v>112</v>
      </c>
      <c r="H3449" s="3">
        <v>10.0</v>
      </c>
      <c r="I3449" s="3" t="s">
        <v>14047</v>
      </c>
      <c r="J3449" s="3" t="s">
        <v>22</v>
      </c>
      <c r="K3449" s="3" t="s">
        <v>58</v>
      </c>
      <c r="L3449" s="3" t="s">
        <v>133</v>
      </c>
      <c r="M3449" s="3" t="s">
        <v>134</v>
      </c>
      <c r="N3449" s="3" t="s">
        <v>135</v>
      </c>
      <c r="O3449" s="5">
        <v>3463.953506</v>
      </c>
      <c r="P3449" s="6" t="str">
        <f t="shared" si="2"/>
        <v>Auto Components &amp; Equipments</v>
      </c>
    </row>
    <row r="3450" hidden="1">
      <c r="A3450" s="3" t="s">
        <v>14051</v>
      </c>
      <c r="B3450" s="4">
        <v>541167.0</v>
      </c>
      <c r="C3450" s="3" t="s">
        <v>14052</v>
      </c>
      <c r="D3450" s="3" t="s">
        <v>14053</v>
      </c>
      <c r="E3450" s="3" t="s">
        <v>14054</v>
      </c>
      <c r="F3450" s="3" t="s">
        <v>19</v>
      </c>
      <c r="G3450" s="3" t="s">
        <v>112</v>
      </c>
      <c r="H3450" s="3">
        <v>10.0</v>
      </c>
      <c r="I3450" s="3" t="s">
        <v>14051</v>
      </c>
      <c r="J3450" s="3" t="s">
        <v>22</v>
      </c>
      <c r="K3450" s="3" t="s">
        <v>23</v>
      </c>
      <c r="L3450" s="3" t="s">
        <v>24</v>
      </c>
      <c r="M3450" s="3" t="s">
        <v>25</v>
      </c>
      <c r="N3450" s="3" t="s">
        <v>26</v>
      </c>
      <c r="O3450" s="5">
        <v>2223.0214618</v>
      </c>
      <c r="P3450" s="6" t="str">
        <f t="shared" si="2"/>
        <v>Specialty Chemicals</v>
      </c>
    </row>
    <row r="3451" hidden="1">
      <c r="A3451" s="3" t="s">
        <v>14055</v>
      </c>
      <c r="B3451" s="4">
        <v>541178.0</v>
      </c>
      <c r="C3451" s="3" t="s">
        <v>14056</v>
      </c>
      <c r="D3451" s="3" t="s">
        <v>14057</v>
      </c>
      <c r="E3451" s="3" t="s">
        <v>14058</v>
      </c>
      <c r="F3451" s="3" t="s">
        <v>19</v>
      </c>
      <c r="G3451" s="3" t="s">
        <v>6293</v>
      </c>
      <c r="H3451" s="3">
        <v>10.0</v>
      </c>
      <c r="I3451" s="3" t="s">
        <v>14055</v>
      </c>
      <c r="J3451" s="3" t="s">
        <v>22</v>
      </c>
      <c r="K3451" s="3" t="s">
        <v>97</v>
      </c>
      <c r="L3451" s="3" t="s">
        <v>98</v>
      </c>
      <c r="M3451" s="3" t="s">
        <v>99</v>
      </c>
      <c r="N3451" s="3" t="s">
        <v>100</v>
      </c>
      <c r="O3451" s="5">
        <v>30.6518267</v>
      </c>
      <c r="P3451" s="6" t="str">
        <f t="shared" si="2"/>
        <v>Industrial Products</v>
      </c>
    </row>
    <row r="3452">
      <c r="A3452" s="3" t="s">
        <v>10372</v>
      </c>
      <c r="B3452" s="4">
        <v>532178.0</v>
      </c>
      <c r="C3452" s="3" t="s">
        <v>14059</v>
      </c>
      <c r="D3452" s="3" t="s">
        <v>14060</v>
      </c>
      <c r="E3452" s="3" t="s">
        <v>14061</v>
      </c>
      <c r="F3452" s="3" t="s">
        <v>19</v>
      </c>
      <c r="G3452" s="3" t="s">
        <v>20</v>
      </c>
      <c r="H3452" s="3">
        <v>5.0</v>
      </c>
      <c r="I3452" s="3" t="s">
        <v>9420</v>
      </c>
      <c r="J3452" s="3" t="s">
        <v>22</v>
      </c>
      <c r="K3452" s="3" t="s">
        <v>97</v>
      </c>
      <c r="L3452" s="3" t="s">
        <v>965</v>
      </c>
      <c r="M3452" s="3" t="s">
        <v>965</v>
      </c>
      <c r="N3452" s="3" t="s">
        <v>966</v>
      </c>
      <c r="O3452" s="5">
        <v>14246.8159601</v>
      </c>
      <c r="P3452" s="6" t="str">
        <f t="shared" si="2"/>
        <v>Civil Construction</v>
      </c>
    </row>
    <row r="3453">
      <c r="A3453" s="3" t="s">
        <v>14062</v>
      </c>
      <c r="B3453" s="4">
        <v>532259.0</v>
      </c>
      <c r="C3453" s="3" t="s">
        <v>14063</v>
      </c>
      <c r="D3453" s="3" t="s">
        <v>14064</v>
      </c>
      <c r="E3453" s="3" t="s">
        <v>14065</v>
      </c>
      <c r="F3453" s="3" t="s">
        <v>19</v>
      </c>
      <c r="G3453" s="3" t="s">
        <v>20</v>
      </c>
      <c r="H3453" s="3">
        <v>10.0</v>
      </c>
      <c r="I3453" s="3" t="s">
        <v>9498</v>
      </c>
      <c r="J3453" s="3" t="s">
        <v>22</v>
      </c>
      <c r="K3453" s="3" t="s">
        <v>97</v>
      </c>
      <c r="L3453" s="3" t="s">
        <v>98</v>
      </c>
      <c r="M3453" s="3" t="s">
        <v>1747</v>
      </c>
      <c r="N3453" s="3" t="s">
        <v>1748</v>
      </c>
      <c r="O3453" s="5">
        <v>34426.919466</v>
      </c>
      <c r="P3453" s="6" t="str">
        <f t="shared" si="2"/>
        <v>Electrical Equipment</v>
      </c>
    </row>
    <row r="3454" hidden="1">
      <c r="A3454" s="3" t="s">
        <v>8175</v>
      </c>
      <c r="B3454" s="4">
        <v>523151.0</v>
      </c>
      <c r="C3454" s="3" t="s">
        <v>14066</v>
      </c>
      <c r="D3454" s="3" t="s">
        <v>14067</v>
      </c>
      <c r="E3454" s="3" t="s">
        <v>14068</v>
      </c>
      <c r="F3454" s="3" t="s">
        <v>19</v>
      </c>
      <c r="G3454" s="3" t="s">
        <v>44</v>
      </c>
      <c r="H3454" s="3">
        <v>2.0</v>
      </c>
      <c r="I3454" s="3" t="s">
        <v>5715</v>
      </c>
      <c r="J3454" s="3" t="s">
        <v>22</v>
      </c>
      <c r="K3454" s="3" t="s">
        <v>1673</v>
      </c>
      <c r="L3454" s="3" t="s">
        <v>1673</v>
      </c>
      <c r="M3454" s="3" t="s">
        <v>1674</v>
      </c>
      <c r="N3454" s="3" t="s">
        <v>3189</v>
      </c>
      <c r="O3454" s="5">
        <v>1.0</v>
      </c>
      <c r="P3454" s="6" t="str">
        <f t="shared" si="2"/>
        <v>Commercial Services &amp; Supplies</v>
      </c>
    </row>
    <row r="3455" hidden="1">
      <c r="A3455" s="3" t="s">
        <v>4563</v>
      </c>
      <c r="B3455" s="4">
        <v>523896.0</v>
      </c>
      <c r="C3455" s="3" t="s">
        <v>14069</v>
      </c>
      <c r="D3455" s="3" t="s">
        <v>14070</v>
      </c>
      <c r="E3455" s="3" t="s">
        <v>14071</v>
      </c>
      <c r="F3455" s="3" t="s">
        <v>19</v>
      </c>
      <c r="G3455" s="3" t="s">
        <v>44</v>
      </c>
      <c r="H3455" s="3">
        <v>10.0</v>
      </c>
      <c r="I3455" s="3" t="s">
        <v>6086</v>
      </c>
      <c r="J3455" s="3" t="s">
        <v>22</v>
      </c>
      <c r="K3455" s="3" t="s">
        <v>1673</v>
      </c>
      <c r="L3455" s="3" t="s">
        <v>1673</v>
      </c>
      <c r="M3455" s="3" t="s">
        <v>1674</v>
      </c>
      <c r="N3455" s="3" t="s">
        <v>1915</v>
      </c>
      <c r="O3455" s="5">
        <v>1.0</v>
      </c>
      <c r="P3455" s="6" t="str">
        <f t="shared" si="2"/>
        <v>Commercial Services &amp; Supplies</v>
      </c>
    </row>
    <row r="3456" hidden="1">
      <c r="A3456" s="3" t="s">
        <v>14072</v>
      </c>
      <c r="B3456" s="4">
        <v>541228.0</v>
      </c>
      <c r="C3456" s="3" t="s">
        <v>14073</v>
      </c>
      <c r="D3456" s="3" t="s">
        <v>14074</v>
      </c>
      <c r="E3456" s="3" t="s">
        <v>14075</v>
      </c>
      <c r="F3456" s="3" t="s">
        <v>19</v>
      </c>
      <c r="G3456" s="3" t="s">
        <v>2428</v>
      </c>
      <c r="H3456" s="3">
        <v>10.0</v>
      </c>
      <c r="I3456" s="3" t="s">
        <v>14072</v>
      </c>
      <c r="J3456" s="3" t="s">
        <v>22</v>
      </c>
      <c r="K3456" s="3" t="s">
        <v>97</v>
      </c>
      <c r="L3456" s="3" t="s">
        <v>98</v>
      </c>
      <c r="M3456" s="3" t="s">
        <v>99</v>
      </c>
      <c r="N3456" s="3" t="s">
        <v>100</v>
      </c>
      <c r="O3456" s="5">
        <v>547.1204024</v>
      </c>
      <c r="P3456" s="6" t="str">
        <f t="shared" si="2"/>
        <v>Industrial Products</v>
      </c>
    </row>
    <row r="3457">
      <c r="A3457" s="3" t="s">
        <v>3057</v>
      </c>
      <c r="B3457" s="4">
        <v>532493.0</v>
      </c>
      <c r="C3457" s="3" t="s">
        <v>14076</v>
      </c>
      <c r="D3457" s="3" t="s">
        <v>14077</v>
      </c>
      <c r="E3457" s="3" t="s">
        <v>14078</v>
      </c>
      <c r="F3457" s="3" t="s">
        <v>19</v>
      </c>
      <c r="G3457" s="3" t="s">
        <v>20</v>
      </c>
      <c r="H3457" s="3">
        <v>2.0</v>
      </c>
      <c r="I3457" s="3" t="s">
        <v>9895</v>
      </c>
      <c r="J3457" s="3" t="s">
        <v>22</v>
      </c>
      <c r="K3457" s="3" t="s">
        <v>97</v>
      </c>
      <c r="L3457" s="3" t="s">
        <v>98</v>
      </c>
      <c r="M3457" s="3" t="s">
        <v>806</v>
      </c>
      <c r="N3457" s="3" t="s">
        <v>806</v>
      </c>
      <c r="O3457" s="5">
        <v>8866.573906</v>
      </c>
      <c r="P3457" s="6" t="str">
        <f t="shared" si="2"/>
        <v>Aerospace &amp; Defense</v>
      </c>
    </row>
    <row r="3458" hidden="1">
      <c r="A3458" s="3" t="s">
        <v>14079</v>
      </c>
      <c r="B3458" s="4">
        <v>541269.0</v>
      </c>
      <c r="C3458" s="3" t="s">
        <v>14080</v>
      </c>
      <c r="D3458" s="3" t="s">
        <v>14081</v>
      </c>
      <c r="E3458" s="3" t="s">
        <v>14080</v>
      </c>
      <c r="F3458" s="3" t="s">
        <v>19</v>
      </c>
      <c r="G3458" s="3" t="s">
        <v>112</v>
      </c>
      <c r="H3458" s="3">
        <v>10.0</v>
      </c>
      <c r="I3458" s="3" t="s">
        <v>14079</v>
      </c>
      <c r="J3458" s="3" t="s">
        <v>22</v>
      </c>
      <c r="K3458" s="3" t="s">
        <v>23</v>
      </c>
      <c r="L3458" s="3" t="s">
        <v>24</v>
      </c>
      <c r="M3458" s="3" t="s">
        <v>25</v>
      </c>
      <c r="N3458" s="3" t="s">
        <v>52</v>
      </c>
      <c r="O3458" s="5">
        <v>867.7716668</v>
      </c>
      <c r="P3458" s="6" t="str">
        <f t="shared" si="2"/>
        <v>Chemicals &amp; Petrochemicals</v>
      </c>
    </row>
    <row r="3459" hidden="1">
      <c r="A3459" s="3" t="s">
        <v>14082</v>
      </c>
      <c r="B3459" s="4">
        <v>541276.0</v>
      </c>
      <c r="C3459" s="3" t="s">
        <v>14083</v>
      </c>
      <c r="D3459" s="3" t="s">
        <v>14084</v>
      </c>
      <c r="E3459" s="3" t="s">
        <v>14085</v>
      </c>
      <c r="F3459" s="3" t="s">
        <v>19</v>
      </c>
      <c r="G3459" s="3" t="s">
        <v>112</v>
      </c>
      <c r="H3459" s="3">
        <v>1.0</v>
      </c>
      <c r="I3459" s="3" t="s">
        <v>14082</v>
      </c>
      <c r="J3459" s="3" t="s">
        <v>22</v>
      </c>
      <c r="K3459" s="3" t="s">
        <v>58</v>
      </c>
      <c r="L3459" s="3" t="s">
        <v>211</v>
      </c>
      <c r="M3459" s="3" t="s">
        <v>211</v>
      </c>
      <c r="N3459" s="3" t="s">
        <v>1152</v>
      </c>
      <c r="O3459" s="5">
        <v>1062.8702456</v>
      </c>
      <c r="P3459" s="6" t="str">
        <f t="shared" si="2"/>
        <v>Consumer Durables</v>
      </c>
    </row>
    <row r="3460" hidden="1">
      <c r="A3460" s="3" t="s">
        <v>14086</v>
      </c>
      <c r="B3460" s="4">
        <v>541299.0</v>
      </c>
      <c r="C3460" s="3" t="s">
        <v>14087</v>
      </c>
      <c r="D3460" s="3" t="s">
        <v>14088</v>
      </c>
      <c r="E3460" s="3" t="s">
        <v>14089</v>
      </c>
      <c r="F3460" s="3" t="s">
        <v>19</v>
      </c>
      <c r="G3460" s="3" t="s">
        <v>2428</v>
      </c>
      <c r="H3460" s="3">
        <v>10.0</v>
      </c>
      <c r="I3460" s="3" t="s">
        <v>14086</v>
      </c>
      <c r="J3460" s="3" t="s">
        <v>22</v>
      </c>
      <c r="K3460" s="3" t="s">
        <v>45</v>
      </c>
      <c r="L3460" s="3" t="s">
        <v>45</v>
      </c>
      <c r="M3460" s="3" t="s">
        <v>4488</v>
      </c>
      <c r="N3460" s="3" t="s">
        <v>4489</v>
      </c>
      <c r="O3460" s="5">
        <v>1.0</v>
      </c>
      <c r="P3460" s="6" t="str">
        <f t="shared" si="2"/>
        <v>Healthcare Services</v>
      </c>
    </row>
    <row r="3461">
      <c r="A3461" s="3" t="s">
        <v>3138</v>
      </c>
      <c r="B3461" s="4">
        <v>532553.0</v>
      </c>
      <c r="C3461" s="3" t="s">
        <v>14090</v>
      </c>
      <c r="D3461" s="3" t="s">
        <v>14091</v>
      </c>
      <c r="E3461" s="3" t="s">
        <v>14092</v>
      </c>
      <c r="F3461" s="3" t="s">
        <v>19</v>
      </c>
      <c r="G3461" s="3" t="s">
        <v>20</v>
      </c>
      <c r="H3461" s="3">
        <v>10.0</v>
      </c>
      <c r="I3461" s="3" t="s">
        <v>10007</v>
      </c>
      <c r="J3461" s="3" t="s">
        <v>22</v>
      </c>
      <c r="K3461" s="3" t="s">
        <v>97</v>
      </c>
      <c r="L3461" s="3" t="s">
        <v>965</v>
      </c>
      <c r="M3461" s="3" t="s">
        <v>965</v>
      </c>
      <c r="N3461" s="3" t="s">
        <v>966</v>
      </c>
      <c r="O3461" s="5">
        <v>6072.7957994</v>
      </c>
      <c r="P3461" s="6" t="str">
        <f t="shared" si="2"/>
        <v>Civil Construction</v>
      </c>
    </row>
    <row r="3462" hidden="1">
      <c r="A3462" s="3" t="s">
        <v>3862</v>
      </c>
      <c r="B3462" s="4">
        <v>524414.0</v>
      </c>
      <c r="C3462" s="3" t="s">
        <v>14093</v>
      </c>
      <c r="D3462" s="3" t="s">
        <v>14094</v>
      </c>
      <c r="E3462" s="3" t="s">
        <v>14095</v>
      </c>
      <c r="F3462" s="3" t="s">
        <v>19</v>
      </c>
      <c r="G3462" s="3" t="s">
        <v>72</v>
      </c>
      <c r="H3462" s="3">
        <v>10.0</v>
      </c>
      <c r="I3462" s="3" t="s">
        <v>6266</v>
      </c>
      <c r="J3462" s="3" t="s">
        <v>22</v>
      </c>
      <c r="K3462" s="3" t="s">
        <v>1673</v>
      </c>
      <c r="L3462" s="3" t="s">
        <v>1673</v>
      </c>
      <c r="M3462" s="3" t="s">
        <v>1674</v>
      </c>
      <c r="N3462" s="3" t="s">
        <v>1915</v>
      </c>
      <c r="O3462" s="5">
        <v>1.0</v>
      </c>
      <c r="P3462" s="6" t="str">
        <f t="shared" si="2"/>
        <v>Commercial Services &amp; Supplies</v>
      </c>
    </row>
    <row r="3463" hidden="1">
      <c r="A3463" s="3" t="s">
        <v>14096</v>
      </c>
      <c r="B3463" s="4">
        <v>541303.0</v>
      </c>
      <c r="C3463" s="3" t="s">
        <v>14097</v>
      </c>
      <c r="D3463" s="3" t="s">
        <v>14098</v>
      </c>
      <c r="E3463" s="3" t="s">
        <v>14099</v>
      </c>
      <c r="F3463" s="3" t="s">
        <v>19</v>
      </c>
      <c r="G3463" s="3" t="s">
        <v>86</v>
      </c>
      <c r="H3463" s="3">
        <v>1.0</v>
      </c>
      <c r="I3463" s="3" t="s">
        <v>14096</v>
      </c>
      <c r="J3463" s="3" t="s">
        <v>22</v>
      </c>
      <c r="K3463" s="3" t="s">
        <v>58</v>
      </c>
      <c r="L3463" s="3" t="s">
        <v>80</v>
      </c>
      <c r="M3463" s="3" t="s">
        <v>81</v>
      </c>
      <c r="N3463" s="3" t="s">
        <v>82</v>
      </c>
      <c r="O3463" s="5">
        <v>78.2968625</v>
      </c>
      <c r="P3463" s="6" t="str">
        <f t="shared" si="2"/>
        <v>Textiles &amp; Apparels</v>
      </c>
    </row>
    <row r="3464" hidden="1">
      <c r="A3464" s="3" t="s">
        <v>14100</v>
      </c>
      <c r="B3464" s="4">
        <v>541304.0</v>
      </c>
      <c r="C3464" s="3" t="s">
        <v>14101</v>
      </c>
      <c r="D3464" s="3" t="s">
        <v>14102</v>
      </c>
      <c r="E3464" s="3" t="s">
        <v>14103</v>
      </c>
      <c r="F3464" s="3" t="s">
        <v>19</v>
      </c>
      <c r="G3464" s="3" t="s">
        <v>2428</v>
      </c>
      <c r="H3464" s="3">
        <v>10.0</v>
      </c>
      <c r="I3464" s="3" t="s">
        <v>14100</v>
      </c>
      <c r="J3464" s="3" t="s">
        <v>22</v>
      </c>
      <c r="K3464" s="3" t="s">
        <v>145</v>
      </c>
      <c r="L3464" s="3" t="s">
        <v>145</v>
      </c>
      <c r="M3464" s="3" t="s">
        <v>146</v>
      </c>
      <c r="N3464" s="3" t="s">
        <v>2645</v>
      </c>
      <c r="O3464" s="5">
        <v>421.092</v>
      </c>
      <c r="P3464" s="6" t="str">
        <f t="shared" si="2"/>
        <v>Agricultural Food &amp; other Products</v>
      </c>
    </row>
    <row r="3465" hidden="1">
      <c r="A3465" s="3" t="s">
        <v>14104</v>
      </c>
      <c r="B3465" s="4">
        <v>541336.0</v>
      </c>
      <c r="C3465" s="3" t="s">
        <v>14105</v>
      </c>
      <c r="D3465" s="3" t="s">
        <v>14106</v>
      </c>
      <c r="E3465" s="3" t="s">
        <v>14107</v>
      </c>
      <c r="F3465" s="3" t="s">
        <v>19</v>
      </c>
      <c r="G3465" s="3" t="s">
        <v>112</v>
      </c>
      <c r="H3465" s="3">
        <v>10.0</v>
      </c>
      <c r="I3465" s="3" t="s">
        <v>14104</v>
      </c>
      <c r="J3465" s="3" t="s">
        <v>22</v>
      </c>
      <c r="K3465" s="3" t="s">
        <v>204</v>
      </c>
      <c r="L3465" s="3" t="s">
        <v>204</v>
      </c>
      <c r="M3465" s="3" t="s">
        <v>378</v>
      </c>
      <c r="N3465" s="3" t="s">
        <v>379</v>
      </c>
      <c r="O3465" s="5">
        <v>3301.5938665</v>
      </c>
      <c r="P3465" s="6" t="str">
        <f t="shared" si="2"/>
        <v>Non Banking Financial Company (NBFC)</v>
      </c>
    </row>
    <row r="3466" hidden="1">
      <c r="A3466" s="3" t="s">
        <v>14108</v>
      </c>
      <c r="B3466" s="4">
        <v>541337.0</v>
      </c>
      <c r="C3466" s="3" t="s">
        <v>14109</v>
      </c>
      <c r="D3466" s="3" t="s">
        <v>14110</v>
      </c>
      <c r="E3466" s="3" t="s">
        <v>14111</v>
      </c>
      <c r="F3466" s="3" t="s">
        <v>19</v>
      </c>
      <c r="G3466" s="3" t="s">
        <v>6293</v>
      </c>
      <c r="H3466" s="3">
        <v>10.0</v>
      </c>
      <c r="I3466" s="3" t="s">
        <v>14108</v>
      </c>
      <c r="J3466" s="3" t="s">
        <v>22</v>
      </c>
      <c r="K3466" s="3" t="s">
        <v>58</v>
      </c>
      <c r="L3466" s="3" t="s">
        <v>211</v>
      </c>
      <c r="M3466" s="3" t="s">
        <v>211</v>
      </c>
      <c r="N3466" s="3" t="s">
        <v>1152</v>
      </c>
      <c r="O3466" s="5">
        <v>1.0</v>
      </c>
      <c r="P3466" s="6" t="str">
        <f t="shared" si="2"/>
        <v>Consumer Durables</v>
      </c>
    </row>
    <row r="3467" hidden="1">
      <c r="A3467" s="3" t="s">
        <v>14112</v>
      </c>
      <c r="B3467" s="4">
        <v>541338.0</v>
      </c>
      <c r="C3467" s="3" t="s">
        <v>14113</v>
      </c>
      <c r="D3467" s="3" t="s">
        <v>14114</v>
      </c>
      <c r="E3467" s="3" t="s">
        <v>14115</v>
      </c>
      <c r="F3467" s="3" t="s">
        <v>19</v>
      </c>
      <c r="G3467" s="3" t="s">
        <v>86</v>
      </c>
      <c r="H3467" s="3">
        <v>10.0</v>
      </c>
      <c r="I3467" s="3" t="s">
        <v>14112</v>
      </c>
      <c r="J3467" s="3" t="s">
        <v>22</v>
      </c>
      <c r="K3467" s="3" t="s">
        <v>58</v>
      </c>
      <c r="L3467" s="3" t="s">
        <v>211</v>
      </c>
      <c r="M3467" s="3" t="s">
        <v>211</v>
      </c>
      <c r="N3467" s="3" t="s">
        <v>947</v>
      </c>
      <c r="O3467" s="5">
        <v>19.9411464</v>
      </c>
      <c r="P3467" s="6" t="str">
        <f t="shared" si="2"/>
        <v>Consumer Durables</v>
      </c>
    </row>
    <row r="3468" hidden="1">
      <c r="A3468" s="3" t="s">
        <v>14116</v>
      </c>
      <c r="B3468" s="4">
        <v>541347.0</v>
      </c>
      <c r="C3468" s="3" t="s">
        <v>14117</v>
      </c>
      <c r="D3468" s="3" t="s">
        <v>14118</v>
      </c>
      <c r="E3468" s="3" t="s">
        <v>14119</v>
      </c>
      <c r="F3468" s="3" t="s">
        <v>19</v>
      </c>
      <c r="G3468" s="3" t="s">
        <v>72</v>
      </c>
      <c r="H3468" s="3">
        <v>5.0</v>
      </c>
      <c r="I3468" s="3" t="s">
        <v>14116</v>
      </c>
      <c r="J3468" s="3" t="s">
        <v>22</v>
      </c>
      <c r="K3468" s="3" t="s">
        <v>145</v>
      </c>
      <c r="L3468" s="3" t="s">
        <v>145</v>
      </c>
      <c r="M3468" s="3" t="s">
        <v>146</v>
      </c>
      <c r="N3468" s="3" t="s">
        <v>147</v>
      </c>
      <c r="O3468" s="5">
        <v>181.2241438</v>
      </c>
      <c r="P3468" s="6" t="str">
        <f t="shared" si="2"/>
        <v>Agricultural Food &amp; other Products</v>
      </c>
    </row>
    <row r="3469" hidden="1">
      <c r="A3469" s="3" t="s">
        <v>14120</v>
      </c>
      <c r="B3469" s="4">
        <v>541352.0</v>
      </c>
      <c r="C3469" s="3" t="s">
        <v>14121</v>
      </c>
      <c r="D3469" s="3" t="s">
        <v>14122</v>
      </c>
      <c r="E3469" s="3" t="s">
        <v>14123</v>
      </c>
      <c r="F3469" s="3" t="s">
        <v>19</v>
      </c>
      <c r="G3469" s="3" t="s">
        <v>112</v>
      </c>
      <c r="H3469" s="3">
        <v>10.0</v>
      </c>
      <c r="I3469" s="3" t="s">
        <v>14120</v>
      </c>
      <c r="J3469" s="3" t="s">
        <v>22</v>
      </c>
      <c r="K3469" s="3" t="s">
        <v>145</v>
      </c>
      <c r="L3469" s="3" t="s">
        <v>145</v>
      </c>
      <c r="M3469" s="3" t="s">
        <v>597</v>
      </c>
      <c r="N3469" s="3" t="s">
        <v>1065</v>
      </c>
      <c r="O3469" s="5">
        <v>286.7806525</v>
      </c>
      <c r="P3469" s="6" t="str">
        <f t="shared" si="2"/>
        <v>Food Products</v>
      </c>
    </row>
    <row r="3470" hidden="1">
      <c r="A3470" s="3" t="s">
        <v>14124</v>
      </c>
      <c r="B3470" s="4">
        <v>541353.0</v>
      </c>
      <c r="C3470" s="3" t="s">
        <v>14125</v>
      </c>
      <c r="D3470" s="3" t="s">
        <v>14126</v>
      </c>
      <c r="E3470" s="3" t="s">
        <v>14127</v>
      </c>
      <c r="F3470" s="3" t="s">
        <v>19</v>
      </c>
      <c r="G3470" s="3" t="s">
        <v>2428</v>
      </c>
      <c r="H3470" s="3">
        <v>10.0</v>
      </c>
      <c r="I3470" s="3" t="s">
        <v>14124</v>
      </c>
      <c r="J3470" s="3" t="s">
        <v>22</v>
      </c>
      <c r="K3470" s="3" t="s">
        <v>97</v>
      </c>
      <c r="L3470" s="3" t="s">
        <v>98</v>
      </c>
      <c r="M3470" s="3" t="s">
        <v>99</v>
      </c>
      <c r="N3470" s="3" t="s">
        <v>100</v>
      </c>
      <c r="O3470" s="5">
        <v>397.5794117</v>
      </c>
      <c r="P3470" s="6" t="str">
        <f t="shared" si="2"/>
        <v>Industrial Products</v>
      </c>
    </row>
    <row r="3471" hidden="1">
      <c r="A3471" s="3" t="s">
        <v>14128</v>
      </c>
      <c r="B3471" s="4">
        <v>541358.0</v>
      </c>
      <c r="C3471" s="3" t="s">
        <v>14129</v>
      </c>
      <c r="D3471" s="3" t="s">
        <v>14130</v>
      </c>
      <c r="E3471" s="3" t="s">
        <v>14131</v>
      </c>
      <c r="F3471" s="3" t="s">
        <v>19</v>
      </c>
      <c r="G3471" s="3" t="s">
        <v>72</v>
      </c>
      <c r="H3471" s="3">
        <v>10.0</v>
      </c>
      <c r="I3471" s="3" t="s">
        <v>14128</v>
      </c>
      <c r="J3471" s="3" t="s">
        <v>22</v>
      </c>
      <c r="K3471" s="3" t="s">
        <v>204</v>
      </c>
      <c r="L3471" s="3" t="s">
        <v>204</v>
      </c>
      <c r="M3471" s="3" t="s">
        <v>378</v>
      </c>
      <c r="N3471" s="3" t="s">
        <v>379</v>
      </c>
      <c r="O3471" s="5">
        <v>1.0</v>
      </c>
      <c r="P3471" s="6" t="str">
        <f t="shared" si="2"/>
        <v>Non Banking Financial Company (NBFC)</v>
      </c>
    </row>
    <row r="3472" hidden="1">
      <c r="A3472" s="3" t="s">
        <v>14132</v>
      </c>
      <c r="B3472" s="4">
        <v>541400.0</v>
      </c>
      <c r="C3472" s="3" t="s">
        <v>14133</v>
      </c>
      <c r="D3472" s="3" t="s">
        <v>14134</v>
      </c>
      <c r="E3472" s="3" t="s">
        <v>14135</v>
      </c>
      <c r="F3472" s="3" t="s">
        <v>19</v>
      </c>
      <c r="G3472" s="3" t="s">
        <v>112</v>
      </c>
      <c r="H3472" s="3">
        <v>10.0</v>
      </c>
      <c r="I3472" s="3" t="s">
        <v>14132</v>
      </c>
      <c r="J3472" s="3" t="s">
        <v>22</v>
      </c>
      <c r="K3472" s="3" t="s">
        <v>45</v>
      </c>
      <c r="L3472" s="3" t="s">
        <v>45</v>
      </c>
      <c r="M3472" s="3" t="s">
        <v>46</v>
      </c>
      <c r="N3472" s="3" t="s">
        <v>47</v>
      </c>
      <c r="O3472" s="5">
        <v>543.5097708</v>
      </c>
      <c r="P3472" s="6" t="str">
        <f t="shared" si="2"/>
        <v>Pharmaceuticals</v>
      </c>
    </row>
    <row r="3473" hidden="1">
      <c r="A3473" s="3" t="s">
        <v>14136</v>
      </c>
      <c r="B3473" s="4">
        <v>541402.0</v>
      </c>
      <c r="C3473" s="3" t="s">
        <v>14137</v>
      </c>
      <c r="D3473" s="3" t="s">
        <v>14138</v>
      </c>
      <c r="E3473" s="3" t="s">
        <v>14139</v>
      </c>
      <c r="F3473" s="3" t="s">
        <v>19</v>
      </c>
      <c r="G3473" s="3" t="s">
        <v>2428</v>
      </c>
      <c r="H3473" s="3">
        <v>10.0</v>
      </c>
      <c r="I3473" s="3" t="s">
        <v>14136</v>
      </c>
      <c r="J3473" s="3" t="s">
        <v>22</v>
      </c>
      <c r="K3473" s="3" t="s">
        <v>97</v>
      </c>
      <c r="L3473" s="3" t="s">
        <v>98</v>
      </c>
      <c r="M3473" s="3" t="s">
        <v>99</v>
      </c>
      <c r="N3473" s="3" t="s">
        <v>100</v>
      </c>
      <c r="O3473" s="5">
        <v>623.181764</v>
      </c>
      <c r="P3473" s="6" t="str">
        <f t="shared" si="2"/>
        <v>Industrial Products</v>
      </c>
    </row>
    <row r="3474" hidden="1">
      <c r="A3474" s="3" t="s">
        <v>14140</v>
      </c>
      <c r="B3474" s="4">
        <v>541403.0</v>
      </c>
      <c r="C3474" s="3" t="s">
        <v>14141</v>
      </c>
      <c r="D3474" s="3" t="s">
        <v>14142</v>
      </c>
      <c r="E3474" s="3" t="s">
        <v>14143</v>
      </c>
      <c r="F3474" s="3" t="s">
        <v>19</v>
      </c>
      <c r="G3474" s="3" t="s">
        <v>112</v>
      </c>
      <c r="H3474" s="3">
        <v>2.0</v>
      </c>
      <c r="I3474" s="3" t="s">
        <v>14140</v>
      </c>
      <c r="J3474" s="3" t="s">
        <v>22</v>
      </c>
      <c r="K3474" s="3" t="s">
        <v>58</v>
      </c>
      <c r="L3474" s="3" t="s">
        <v>80</v>
      </c>
      <c r="M3474" s="3" t="s">
        <v>81</v>
      </c>
      <c r="N3474" s="3" t="s">
        <v>944</v>
      </c>
      <c r="O3474" s="5">
        <v>3029.834346</v>
      </c>
      <c r="P3474" s="6" t="str">
        <f t="shared" si="2"/>
        <v>Textiles &amp; Apparels</v>
      </c>
    </row>
    <row r="3475" hidden="1">
      <c r="A3475" s="3" t="s">
        <v>14144</v>
      </c>
      <c r="B3475" s="4">
        <v>541418.0</v>
      </c>
      <c r="C3475" s="3" t="s">
        <v>14145</v>
      </c>
      <c r="D3475" s="3" t="s">
        <v>14146</v>
      </c>
      <c r="E3475" s="3" t="s">
        <v>14147</v>
      </c>
      <c r="F3475" s="3" t="s">
        <v>19</v>
      </c>
      <c r="G3475" s="3" t="s">
        <v>112</v>
      </c>
      <c r="H3475" s="3">
        <v>10.0</v>
      </c>
      <c r="I3475" s="3" t="s">
        <v>14144</v>
      </c>
      <c r="J3475" s="3" t="s">
        <v>22</v>
      </c>
      <c r="K3475" s="3" t="s">
        <v>145</v>
      </c>
      <c r="L3475" s="3" t="s">
        <v>145</v>
      </c>
      <c r="M3475" s="3" t="s">
        <v>597</v>
      </c>
      <c r="N3475" s="3" t="s">
        <v>2344</v>
      </c>
      <c r="O3475" s="5">
        <v>76.6046999</v>
      </c>
      <c r="P3475" s="6" t="str">
        <f t="shared" si="2"/>
        <v>Food Products</v>
      </c>
    </row>
    <row r="3476" hidden="1">
      <c r="A3476" s="3" t="s">
        <v>8735</v>
      </c>
      <c r="B3476" s="4">
        <v>524504.0</v>
      </c>
      <c r="C3476" s="3" t="s">
        <v>14148</v>
      </c>
      <c r="D3476" s="3" t="s">
        <v>14149</v>
      </c>
      <c r="E3476" s="3" t="s">
        <v>14150</v>
      </c>
      <c r="F3476" s="3" t="s">
        <v>19</v>
      </c>
      <c r="G3476" s="3" t="s">
        <v>72</v>
      </c>
      <c r="H3476" s="3">
        <v>10.0</v>
      </c>
      <c r="I3476" s="3" t="s">
        <v>6313</v>
      </c>
      <c r="J3476" s="3" t="s">
        <v>22</v>
      </c>
      <c r="K3476" s="3" t="s">
        <v>1673</v>
      </c>
      <c r="L3476" s="3" t="s">
        <v>1673</v>
      </c>
      <c r="M3476" s="3" t="s">
        <v>1674</v>
      </c>
      <c r="N3476" s="3" t="s">
        <v>1915</v>
      </c>
      <c r="O3476" s="5">
        <v>1.0</v>
      </c>
      <c r="P3476" s="6" t="str">
        <f t="shared" si="2"/>
        <v>Commercial Services &amp; Supplies</v>
      </c>
    </row>
    <row r="3477" hidden="1">
      <c r="A3477" s="3" t="s">
        <v>14151</v>
      </c>
      <c r="B3477" s="4">
        <v>541445.0</v>
      </c>
      <c r="C3477" s="3" t="s">
        <v>14152</v>
      </c>
      <c r="D3477" s="3" t="s">
        <v>14153</v>
      </c>
      <c r="E3477" s="3" t="s">
        <v>14154</v>
      </c>
      <c r="F3477" s="3" t="s">
        <v>19</v>
      </c>
      <c r="G3477" s="3" t="s">
        <v>2428</v>
      </c>
      <c r="H3477" s="3">
        <v>10.0</v>
      </c>
      <c r="I3477" s="3" t="s">
        <v>14151</v>
      </c>
      <c r="J3477" s="3" t="s">
        <v>22</v>
      </c>
      <c r="K3477" s="3" t="s">
        <v>1647</v>
      </c>
      <c r="L3477" s="3" t="s">
        <v>1648</v>
      </c>
      <c r="M3477" s="3" t="s">
        <v>1648</v>
      </c>
      <c r="N3477" s="3" t="s">
        <v>1649</v>
      </c>
      <c r="O3477" s="5">
        <v>242.6490323</v>
      </c>
      <c r="P3477" s="6" t="str">
        <f t="shared" si="2"/>
        <v>Power</v>
      </c>
    </row>
    <row r="3478">
      <c r="A3478" s="3" t="s">
        <v>14155</v>
      </c>
      <c r="B3478" s="4">
        <v>532667.0</v>
      </c>
      <c r="C3478" s="3" t="s">
        <v>14156</v>
      </c>
      <c r="D3478" s="3" t="s">
        <v>14157</v>
      </c>
      <c r="E3478" s="3" t="s">
        <v>14156</v>
      </c>
      <c r="F3478" s="3" t="s">
        <v>19</v>
      </c>
      <c r="G3478" s="3" t="s">
        <v>20</v>
      </c>
      <c r="H3478" s="3">
        <v>2.0</v>
      </c>
      <c r="I3478" s="3" t="s">
        <v>10155</v>
      </c>
      <c r="J3478" s="3" t="s">
        <v>22</v>
      </c>
      <c r="K3478" s="3" t="s">
        <v>97</v>
      </c>
      <c r="L3478" s="3" t="s">
        <v>98</v>
      </c>
      <c r="M3478" s="3" t="s">
        <v>1747</v>
      </c>
      <c r="N3478" s="3" t="s">
        <v>1767</v>
      </c>
      <c r="O3478" s="5">
        <v>72426.0148971</v>
      </c>
      <c r="P3478" s="6" t="str">
        <f t="shared" si="2"/>
        <v>Heavy Electrical Equipment</v>
      </c>
    </row>
    <row r="3479" hidden="1">
      <c r="A3479" s="3" t="s">
        <v>14158</v>
      </c>
      <c r="B3479" s="4">
        <v>541503.0</v>
      </c>
      <c r="C3479" s="3" t="s">
        <v>14159</v>
      </c>
      <c r="D3479" s="3" t="s">
        <v>14160</v>
      </c>
      <c r="E3479" s="3" t="s">
        <v>14161</v>
      </c>
      <c r="F3479" s="3" t="s">
        <v>19</v>
      </c>
      <c r="G3479" s="3" t="s">
        <v>44</v>
      </c>
      <c r="H3479" s="3">
        <v>10.0</v>
      </c>
      <c r="I3479" s="3" t="s">
        <v>14158</v>
      </c>
      <c r="J3479" s="3" t="s">
        <v>22</v>
      </c>
      <c r="K3479" s="3" t="s">
        <v>58</v>
      </c>
      <c r="L3479" s="3" t="s">
        <v>182</v>
      </c>
      <c r="M3479" s="3" t="s">
        <v>2898</v>
      </c>
      <c r="N3479" s="3" t="s">
        <v>2898</v>
      </c>
      <c r="O3479" s="5">
        <v>39.6016983</v>
      </c>
      <c r="P3479" s="6" t="str">
        <f t="shared" si="2"/>
        <v>Printing &amp; Publication</v>
      </c>
    </row>
    <row r="3480" hidden="1">
      <c r="A3480" s="3" t="s">
        <v>14162</v>
      </c>
      <c r="B3480" s="4">
        <v>541540.0</v>
      </c>
      <c r="C3480" s="3" t="s">
        <v>14163</v>
      </c>
      <c r="D3480" s="3" t="s">
        <v>14164</v>
      </c>
      <c r="E3480" s="3" t="s">
        <v>14165</v>
      </c>
      <c r="F3480" s="3" t="s">
        <v>19</v>
      </c>
      <c r="G3480" s="3" t="s">
        <v>112</v>
      </c>
      <c r="H3480" s="3">
        <v>10.0</v>
      </c>
      <c r="I3480" s="3" t="s">
        <v>14162</v>
      </c>
      <c r="J3480" s="3" t="s">
        <v>22</v>
      </c>
      <c r="K3480" s="3" t="s">
        <v>45</v>
      </c>
      <c r="L3480" s="3" t="s">
        <v>45</v>
      </c>
      <c r="M3480" s="3" t="s">
        <v>46</v>
      </c>
      <c r="N3480" s="3" t="s">
        <v>47</v>
      </c>
      <c r="O3480" s="5">
        <v>2180.4081334</v>
      </c>
      <c r="P3480" s="6" t="str">
        <f t="shared" si="2"/>
        <v>Pharmaceuticals</v>
      </c>
    </row>
    <row r="3481">
      <c r="A3481" s="3" t="s">
        <v>14166</v>
      </c>
      <c r="B3481" s="4">
        <v>532683.0</v>
      </c>
      <c r="C3481" s="3" t="s">
        <v>14167</v>
      </c>
      <c r="D3481" s="3" t="s">
        <v>14168</v>
      </c>
      <c r="E3481" s="3" t="s">
        <v>14169</v>
      </c>
      <c r="F3481" s="3" t="s">
        <v>19</v>
      </c>
      <c r="G3481" s="3" t="s">
        <v>20</v>
      </c>
      <c r="H3481" s="3">
        <v>2.0</v>
      </c>
      <c r="I3481" s="3" t="s">
        <v>10180</v>
      </c>
      <c r="J3481" s="3" t="s">
        <v>22</v>
      </c>
      <c r="K3481" s="3" t="s">
        <v>97</v>
      </c>
      <c r="L3481" s="3" t="s">
        <v>98</v>
      </c>
      <c r="M3481" s="3" t="s">
        <v>100</v>
      </c>
      <c r="N3481" s="3" t="s">
        <v>1909</v>
      </c>
      <c r="O3481" s="5">
        <v>39562.4007722</v>
      </c>
      <c r="P3481" s="6" t="str">
        <f t="shared" si="2"/>
        <v>Industrial Products</v>
      </c>
    </row>
    <row r="3482">
      <c r="A3482" s="3" t="s">
        <v>731</v>
      </c>
      <c r="B3482" s="4">
        <v>532714.0</v>
      </c>
      <c r="C3482" s="3" t="s">
        <v>14170</v>
      </c>
      <c r="D3482" s="3" t="s">
        <v>14171</v>
      </c>
      <c r="E3482" s="3" t="s">
        <v>14172</v>
      </c>
      <c r="F3482" s="3" t="s">
        <v>19</v>
      </c>
      <c r="G3482" s="3" t="s">
        <v>20</v>
      </c>
      <c r="H3482" s="3">
        <v>2.0</v>
      </c>
      <c r="I3482" s="3" t="s">
        <v>10248</v>
      </c>
      <c r="J3482" s="3" t="s">
        <v>22</v>
      </c>
      <c r="K3482" s="3" t="s">
        <v>97</v>
      </c>
      <c r="L3482" s="3" t="s">
        <v>965</v>
      </c>
      <c r="M3482" s="3" t="s">
        <v>965</v>
      </c>
      <c r="N3482" s="3" t="s">
        <v>966</v>
      </c>
      <c r="O3482" s="5">
        <v>24447.4221704</v>
      </c>
      <c r="P3482" s="6" t="str">
        <f t="shared" si="2"/>
        <v>Civil Construction</v>
      </c>
    </row>
    <row r="3483">
      <c r="A3483" s="3" t="s">
        <v>3151</v>
      </c>
      <c r="B3483" s="4">
        <v>532726.0</v>
      </c>
      <c r="C3483" s="3" t="s">
        <v>14173</v>
      </c>
      <c r="D3483" s="3" t="s">
        <v>14174</v>
      </c>
      <c r="E3483" s="3" t="s">
        <v>14175</v>
      </c>
      <c r="F3483" s="3" t="s">
        <v>19</v>
      </c>
      <c r="G3483" s="3" t="s">
        <v>86</v>
      </c>
      <c r="H3483" s="3">
        <v>10.0</v>
      </c>
      <c r="I3483" s="3" t="s">
        <v>10285</v>
      </c>
      <c r="J3483" s="3" t="s">
        <v>22</v>
      </c>
      <c r="K3483" s="3" t="s">
        <v>97</v>
      </c>
      <c r="L3483" s="3" t="s">
        <v>98</v>
      </c>
      <c r="M3483" s="3" t="s">
        <v>100</v>
      </c>
      <c r="N3483" s="3" t="s">
        <v>612</v>
      </c>
      <c r="O3483" s="5">
        <v>8917.6060723</v>
      </c>
      <c r="P3483" s="6" t="str">
        <f t="shared" si="2"/>
        <v>Industrial Products</v>
      </c>
    </row>
    <row r="3484" hidden="1">
      <c r="A3484" s="3" t="s">
        <v>14176</v>
      </c>
      <c r="B3484" s="4">
        <v>541601.0</v>
      </c>
      <c r="C3484" s="3" t="s">
        <v>14177</v>
      </c>
      <c r="D3484" s="3" t="s">
        <v>14178</v>
      </c>
      <c r="E3484" s="3" t="s">
        <v>14179</v>
      </c>
      <c r="F3484" s="3" t="s">
        <v>19</v>
      </c>
      <c r="G3484" s="3" t="s">
        <v>112</v>
      </c>
      <c r="H3484" s="3">
        <v>1.0</v>
      </c>
      <c r="I3484" s="3" t="s">
        <v>14176</v>
      </c>
      <c r="J3484" s="3" t="s">
        <v>22</v>
      </c>
      <c r="K3484" s="3" t="s">
        <v>45</v>
      </c>
      <c r="L3484" s="3" t="s">
        <v>45</v>
      </c>
      <c r="M3484" s="3" t="s">
        <v>46</v>
      </c>
      <c r="N3484" s="3" t="s">
        <v>47</v>
      </c>
      <c r="O3484" s="5">
        <v>379.167807</v>
      </c>
      <c r="P3484" s="6" t="str">
        <f t="shared" si="2"/>
        <v>Pharmaceuticals</v>
      </c>
    </row>
    <row r="3485" hidden="1">
      <c r="A3485" s="3" t="s">
        <v>14180</v>
      </c>
      <c r="B3485" s="4">
        <v>541633.0</v>
      </c>
      <c r="C3485" s="3" t="s">
        <v>14181</v>
      </c>
      <c r="D3485" s="3" t="s">
        <v>14182</v>
      </c>
      <c r="E3485" s="3" t="s">
        <v>14183</v>
      </c>
      <c r="F3485" s="3" t="s">
        <v>19</v>
      </c>
      <c r="G3485" s="3" t="s">
        <v>72</v>
      </c>
      <c r="H3485" s="3">
        <v>10.0</v>
      </c>
      <c r="I3485" s="3" t="s">
        <v>14180</v>
      </c>
      <c r="J3485" s="3" t="s">
        <v>22</v>
      </c>
      <c r="K3485" s="3" t="s">
        <v>23</v>
      </c>
      <c r="L3485" s="3" t="s">
        <v>32</v>
      </c>
      <c r="M3485" s="3" t="s">
        <v>33</v>
      </c>
      <c r="N3485" s="3" t="s">
        <v>34</v>
      </c>
      <c r="O3485" s="5">
        <v>1.0</v>
      </c>
      <c r="P3485" s="6" t="str">
        <f t="shared" si="2"/>
        <v>Paper, Forest &amp; Jute Products</v>
      </c>
    </row>
    <row r="3486" hidden="1">
      <c r="A3486" s="3" t="s">
        <v>14184</v>
      </c>
      <c r="B3486" s="4">
        <v>541634.0</v>
      </c>
      <c r="C3486" s="3" t="s">
        <v>14185</v>
      </c>
      <c r="D3486" s="3" t="s">
        <v>14186</v>
      </c>
      <c r="E3486" s="3" t="s">
        <v>14187</v>
      </c>
      <c r="F3486" s="3" t="s">
        <v>19</v>
      </c>
      <c r="G3486" s="3" t="s">
        <v>112</v>
      </c>
      <c r="H3486" s="3">
        <v>10.0</v>
      </c>
      <c r="I3486" s="3" t="s">
        <v>14184</v>
      </c>
      <c r="J3486" s="3" t="s">
        <v>22</v>
      </c>
      <c r="K3486" s="3" t="s">
        <v>23</v>
      </c>
      <c r="L3486" s="3" t="s">
        <v>65</v>
      </c>
      <c r="M3486" s="3" t="s">
        <v>522</v>
      </c>
      <c r="N3486" s="3" t="s">
        <v>523</v>
      </c>
      <c r="O3486" s="5">
        <v>37.7487351</v>
      </c>
      <c r="P3486" s="6" t="str">
        <f t="shared" si="2"/>
        <v>Minerals &amp; Mining</v>
      </c>
    </row>
    <row r="3487" hidden="1">
      <c r="A3487" s="3" t="s">
        <v>14188</v>
      </c>
      <c r="B3487" s="4">
        <v>541700.0</v>
      </c>
      <c r="C3487" s="3" t="s">
        <v>14189</v>
      </c>
      <c r="D3487" s="3" t="s">
        <v>14190</v>
      </c>
      <c r="E3487" s="3" t="s">
        <v>14191</v>
      </c>
      <c r="F3487" s="3" t="s">
        <v>19</v>
      </c>
      <c r="G3487" s="3" t="s">
        <v>20</v>
      </c>
      <c r="H3487" s="3">
        <v>2.0</v>
      </c>
      <c r="I3487" s="3" t="s">
        <v>14188</v>
      </c>
      <c r="J3487" s="3" t="s">
        <v>22</v>
      </c>
      <c r="K3487" s="3" t="s">
        <v>58</v>
      </c>
      <c r="L3487" s="3" t="s">
        <v>80</v>
      </c>
      <c r="M3487" s="3" t="s">
        <v>81</v>
      </c>
      <c r="N3487" s="3" t="s">
        <v>944</v>
      </c>
      <c r="O3487" s="5">
        <v>3407.6680132</v>
      </c>
      <c r="P3487" s="6" t="str">
        <f t="shared" si="2"/>
        <v>Textiles &amp; Apparels</v>
      </c>
    </row>
    <row r="3488" hidden="1">
      <c r="A3488" s="3" t="s">
        <v>14192</v>
      </c>
      <c r="B3488" s="4">
        <v>541701.0</v>
      </c>
      <c r="C3488" s="3" t="s">
        <v>14193</v>
      </c>
      <c r="D3488" s="3" t="s">
        <v>14194</v>
      </c>
      <c r="E3488" s="3" t="s">
        <v>14195</v>
      </c>
      <c r="F3488" s="3" t="s">
        <v>19</v>
      </c>
      <c r="G3488" s="3" t="s">
        <v>2428</v>
      </c>
      <c r="H3488" s="3">
        <v>10.0</v>
      </c>
      <c r="I3488" s="3" t="s">
        <v>14192</v>
      </c>
      <c r="J3488" s="3" t="s">
        <v>22</v>
      </c>
      <c r="K3488" s="3" t="s">
        <v>97</v>
      </c>
      <c r="L3488" s="3" t="s">
        <v>98</v>
      </c>
      <c r="M3488" s="3" t="s">
        <v>100</v>
      </c>
      <c r="N3488" s="3" t="s">
        <v>612</v>
      </c>
      <c r="O3488" s="5">
        <v>633.2601</v>
      </c>
      <c r="P3488" s="6" t="str">
        <f t="shared" si="2"/>
        <v>Industrial Products</v>
      </c>
    </row>
    <row r="3489" hidden="1">
      <c r="A3489" s="3" t="s">
        <v>6511</v>
      </c>
      <c r="B3489" s="4">
        <v>524580.0</v>
      </c>
      <c r="C3489" s="3" t="s">
        <v>14196</v>
      </c>
      <c r="D3489" s="3" t="s">
        <v>14197</v>
      </c>
      <c r="E3489" s="3" t="s">
        <v>14198</v>
      </c>
      <c r="F3489" s="3" t="s">
        <v>19</v>
      </c>
      <c r="G3489" s="3" t="s">
        <v>44</v>
      </c>
      <c r="H3489" s="3">
        <v>10.0</v>
      </c>
      <c r="I3489" s="3" t="s">
        <v>6378</v>
      </c>
      <c r="J3489" s="3" t="s">
        <v>22</v>
      </c>
      <c r="K3489" s="3" t="s">
        <v>1673</v>
      </c>
      <c r="L3489" s="3" t="s">
        <v>1673</v>
      </c>
      <c r="M3489" s="3" t="s">
        <v>1674</v>
      </c>
      <c r="N3489" s="3" t="s">
        <v>1915</v>
      </c>
      <c r="O3489" s="5">
        <v>1.0</v>
      </c>
      <c r="P3489" s="6" t="str">
        <f t="shared" si="2"/>
        <v>Commercial Services &amp; Supplies</v>
      </c>
    </row>
    <row r="3490" hidden="1">
      <c r="A3490" s="3" t="s">
        <v>14199</v>
      </c>
      <c r="B3490" s="4">
        <v>541703.0</v>
      </c>
      <c r="C3490" s="3" t="s">
        <v>14200</v>
      </c>
      <c r="D3490" s="3" t="s">
        <v>14201</v>
      </c>
      <c r="E3490" s="3" t="s">
        <v>14202</v>
      </c>
      <c r="F3490" s="3" t="s">
        <v>19</v>
      </c>
      <c r="G3490" s="3" t="s">
        <v>2428</v>
      </c>
      <c r="H3490" s="3">
        <v>10.0</v>
      </c>
      <c r="I3490" s="3" t="s">
        <v>14199</v>
      </c>
      <c r="J3490" s="3" t="s">
        <v>22</v>
      </c>
      <c r="K3490" s="3" t="s">
        <v>58</v>
      </c>
      <c r="L3490" s="3" t="s">
        <v>73</v>
      </c>
      <c r="M3490" s="3" t="s">
        <v>988</v>
      </c>
      <c r="N3490" s="3" t="s">
        <v>989</v>
      </c>
      <c r="O3490" s="5">
        <v>1.0</v>
      </c>
      <c r="P3490" s="6" t="str">
        <f t="shared" si="2"/>
        <v>Retailing</v>
      </c>
    </row>
    <row r="3491">
      <c r="A3491" s="3" t="s">
        <v>10388</v>
      </c>
      <c r="B3491" s="4">
        <v>532734.0</v>
      </c>
      <c r="C3491" s="3" t="s">
        <v>14203</v>
      </c>
      <c r="D3491" s="3" t="s">
        <v>14204</v>
      </c>
      <c r="E3491" s="3" t="s">
        <v>14205</v>
      </c>
      <c r="F3491" s="3" t="s">
        <v>19</v>
      </c>
      <c r="G3491" s="3" t="s">
        <v>20</v>
      </c>
      <c r="H3491" s="3">
        <v>5.0</v>
      </c>
      <c r="I3491" s="3" t="s">
        <v>10309</v>
      </c>
      <c r="J3491" s="3" t="s">
        <v>22</v>
      </c>
      <c r="K3491" s="3" t="s">
        <v>97</v>
      </c>
      <c r="L3491" s="3" t="s">
        <v>98</v>
      </c>
      <c r="M3491" s="3" t="s">
        <v>100</v>
      </c>
      <c r="N3491" s="3" t="s">
        <v>612</v>
      </c>
      <c r="O3491" s="5">
        <v>14561.39052</v>
      </c>
      <c r="P3491" s="6" t="str">
        <f t="shared" si="2"/>
        <v>Industrial Products</v>
      </c>
    </row>
    <row r="3492" hidden="1">
      <c r="A3492" s="3" t="s">
        <v>14206</v>
      </c>
      <c r="B3492" s="4">
        <v>541735.0</v>
      </c>
      <c r="C3492" s="3" t="s">
        <v>14207</v>
      </c>
      <c r="D3492" s="3" t="s">
        <v>14208</v>
      </c>
      <c r="E3492" s="3" t="s">
        <v>14209</v>
      </c>
      <c r="F3492" s="3" t="s">
        <v>19</v>
      </c>
      <c r="G3492" s="3" t="s">
        <v>44</v>
      </c>
      <c r="H3492" s="3">
        <v>1.0</v>
      </c>
      <c r="I3492" s="3" t="s">
        <v>14206</v>
      </c>
      <c r="J3492" s="3" t="s">
        <v>22</v>
      </c>
      <c r="K3492" s="3" t="s">
        <v>97</v>
      </c>
      <c r="L3492" s="3" t="s">
        <v>965</v>
      </c>
      <c r="M3492" s="3" t="s">
        <v>965</v>
      </c>
      <c r="N3492" s="3" t="s">
        <v>966</v>
      </c>
      <c r="O3492" s="5">
        <v>50.0</v>
      </c>
      <c r="P3492" s="6" t="str">
        <f t="shared" si="2"/>
        <v>Civil Construction</v>
      </c>
    </row>
    <row r="3493" hidden="1">
      <c r="A3493" s="3" t="s">
        <v>2331</v>
      </c>
      <c r="B3493" s="4">
        <v>524590.0</v>
      </c>
      <c r="C3493" s="3" t="s">
        <v>14210</v>
      </c>
      <c r="D3493" s="3" t="s">
        <v>14211</v>
      </c>
      <c r="E3493" s="3" t="s">
        <v>14210</v>
      </c>
      <c r="F3493" s="3" t="s">
        <v>19</v>
      </c>
      <c r="G3493" s="3" t="s">
        <v>72</v>
      </c>
      <c r="H3493" s="3">
        <v>10.0</v>
      </c>
      <c r="I3493" s="3" t="s">
        <v>6387</v>
      </c>
      <c r="J3493" s="3" t="s">
        <v>22</v>
      </c>
      <c r="K3493" s="3" t="s">
        <v>1673</v>
      </c>
      <c r="L3493" s="3" t="s">
        <v>1673</v>
      </c>
      <c r="M3493" s="3" t="s">
        <v>1674</v>
      </c>
      <c r="N3493" s="3" t="s">
        <v>1915</v>
      </c>
      <c r="O3493" s="5">
        <v>1.0</v>
      </c>
      <c r="P3493" s="6" t="str">
        <f t="shared" si="2"/>
        <v>Commercial Services &amp; Supplies</v>
      </c>
    </row>
    <row r="3494">
      <c r="A3494" s="3" t="s">
        <v>10425</v>
      </c>
      <c r="B3494" s="4">
        <v>532757.0</v>
      </c>
      <c r="C3494" s="3" t="s">
        <v>14212</v>
      </c>
      <c r="D3494" s="3" t="s">
        <v>14213</v>
      </c>
      <c r="E3494" s="3" t="s">
        <v>14214</v>
      </c>
      <c r="F3494" s="3" t="s">
        <v>19</v>
      </c>
      <c r="G3494" s="3" t="s">
        <v>20</v>
      </c>
      <c r="H3494" s="3">
        <v>10.0</v>
      </c>
      <c r="I3494" s="3" t="s">
        <v>10368</v>
      </c>
      <c r="J3494" s="3" t="s">
        <v>22</v>
      </c>
      <c r="K3494" s="3" t="s">
        <v>97</v>
      </c>
      <c r="L3494" s="3" t="s">
        <v>98</v>
      </c>
      <c r="M3494" s="3" t="s">
        <v>1747</v>
      </c>
      <c r="N3494" s="3" t="s">
        <v>1767</v>
      </c>
      <c r="O3494" s="5">
        <v>11148.993289</v>
      </c>
      <c r="P3494" s="6" t="str">
        <f t="shared" si="2"/>
        <v>Heavy Electrical Equipment</v>
      </c>
    </row>
    <row r="3495" hidden="1">
      <c r="A3495" s="3" t="s">
        <v>14215</v>
      </c>
      <c r="B3495" s="4">
        <v>541771.0</v>
      </c>
      <c r="C3495" s="3" t="s">
        <v>14216</v>
      </c>
      <c r="D3495" s="3" t="s">
        <v>14217</v>
      </c>
      <c r="E3495" s="3" t="s">
        <v>14218</v>
      </c>
      <c r="F3495" s="3" t="s">
        <v>19</v>
      </c>
      <c r="G3495" s="3" t="s">
        <v>44</v>
      </c>
      <c r="H3495" s="3">
        <v>1.0</v>
      </c>
      <c r="I3495" s="3" t="s">
        <v>14215</v>
      </c>
      <c r="J3495" s="3" t="s">
        <v>22</v>
      </c>
      <c r="K3495" s="3" t="s">
        <v>58</v>
      </c>
      <c r="L3495" s="3" t="s">
        <v>211</v>
      </c>
      <c r="M3495" s="3" t="s">
        <v>211</v>
      </c>
      <c r="N3495" s="3" t="s">
        <v>3963</v>
      </c>
      <c r="O3495" s="5">
        <v>25.0450892</v>
      </c>
      <c r="P3495" s="6" t="str">
        <f t="shared" si="2"/>
        <v>Consumer Durables</v>
      </c>
    </row>
    <row r="3496" hidden="1">
      <c r="A3496" s="3" t="s">
        <v>14219</v>
      </c>
      <c r="B3496" s="4">
        <v>541778.0</v>
      </c>
      <c r="C3496" s="3" t="s">
        <v>14220</v>
      </c>
      <c r="D3496" s="3" t="s">
        <v>14221</v>
      </c>
      <c r="E3496" s="3" t="s">
        <v>14222</v>
      </c>
      <c r="F3496" s="3" t="s">
        <v>19</v>
      </c>
      <c r="G3496" s="3" t="s">
        <v>112</v>
      </c>
      <c r="H3496" s="3">
        <v>10.0</v>
      </c>
      <c r="I3496" s="3" t="s">
        <v>14219</v>
      </c>
      <c r="J3496" s="3" t="s">
        <v>22</v>
      </c>
      <c r="K3496" s="3" t="s">
        <v>23</v>
      </c>
      <c r="L3496" s="3" t="s">
        <v>24</v>
      </c>
      <c r="M3496" s="3" t="s">
        <v>25</v>
      </c>
      <c r="N3496" s="3" t="s">
        <v>26</v>
      </c>
      <c r="O3496" s="5">
        <v>191.8406086</v>
      </c>
      <c r="P3496" s="6" t="str">
        <f t="shared" si="2"/>
        <v>Specialty Chemicals</v>
      </c>
    </row>
    <row r="3497" hidden="1">
      <c r="A3497" s="3" t="s">
        <v>14223</v>
      </c>
      <c r="B3497" s="4">
        <v>541799.0</v>
      </c>
      <c r="C3497" s="3" t="s">
        <v>14224</v>
      </c>
      <c r="D3497" s="3" t="s">
        <v>14225</v>
      </c>
      <c r="E3497" s="3" t="s">
        <v>14226</v>
      </c>
      <c r="F3497" s="3" t="s">
        <v>19</v>
      </c>
      <c r="G3497" s="3" t="s">
        <v>6293</v>
      </c>
      <c r="H3497" s="3">
        <v>10.0</v>
      </c>
      <c r="I3497" s="3" t="s">
        <v>14223</v>
      </c>
      <c r="J3497" s="3" t="s">
        <v>22</v>
      </c>
      <c r="K3497" s="3" t="s">
        <v>58</v>
      </c>
      <c r="L3497" s="3" t="s">
        <v>182</v>
      </c>
      <c r="M3497" s="3" t="s">
        <v>183</v>
      </c>
      <c r="N3497" s="3" t="s">
        <v>6800</v>
      </c>
      <c r="O3497" s="5">
        <v>24.28585</v>
      </c>
      <c r="P3497" s="6" t="str">
        <f t="shared" si="2"/>
        <v>Media</v>
      </c>
    </row>
    <row r="3498" hidden="1">
      <c r="A3498" s="3" t="s">
        <v>14227</v>
      </c>
      <c r="B3498" s="4">
        <v>541865.0</v>
      </c>
      <c r="C3498" s="3" t="s">
        <v>14228</v>
      </c>
      <c r="D3498" s="3" t="s">
        <v>14229</v>
      </c>
      <c r="E3498" s="3" t="s">
        <v>14230</v>
      </c>
      <c r="F3498" s="3" t="s">
        <v>19</v>
      </c>
      <c r="G3498" s="3" t="s">
        <v>86</v>
      </c>
      <c r="H3498" s="3">
        <v>10.0</v>
      </c>
      <c r="I3498" s="3" t="s">
        <v>14227</v>
      </c>
      <c r="J3498" s="3" t="s">
        <v>22</v>
      </c>
      <c r="K3498" s="3" t="s">
        <v>58</v>
      </c>
      <c r="L3498" s="3" t="s">
        <v>73</v>
      </c>
      <c r="M3498" s="3" t="s">
        <v>988</v>
      </c>
      <c r="N3498" s="3" t="s">
        <v>2246</v>
      </c>
      <c r="O3498" s="5">
        <v>44.30977</v>
      </c>
      <c r="P3498" s="6" t="str">
        <f t="shared" si="2"/>
        <v>Retailing</v>
      </c>
    </row>
    <row r="3499" hidden="1">
      <c r="A3499" s="3" t="s">
        <v>14231</v>
      </c>
      <c r="B3499" s="4">
        <v>541890.0</v>
      </c>
      <c r="C3499" s="3" t="s">
        <v>14232</v>
      </c>
      <c r="D3499" s="3" t="s">
        <v>14233</v>
      </c>
      <c r="E3499" s="3" t="s">
        <v>14234</v>
      </c>
      <c r="F3499" s="3" t="s">
        <v>19</v>
      </c>
      <c r="G3499" s="3" t="s">
        <v>72</v>
      </c>
      <c r="H3499" s="3">
        <v>10.0</v>
      </c>
      <c r="I3499" s="3" t="s">
        <v>14231</v>
      </c>
      <c r="J3499" s="3" t="s">
        <v>22</v>
      </c>
      <c r="K3499" s="3" t="s">
        <v>473</v>
      </c>
      <c r="L3499" s="3" t="s">
        <v>473</v>
      </c>
      <c r="M3499" s="3" t="s">
        <v>1391</v>
      </c>
      <c r="N3499" s="3" t="s">
        <v>1840</v>
      </c>
      <c r="O3499" s="5">
        <v>1.0</v>
      </c>
      <c r="P3499" s="6" t="str">
        <f t="shared" si="2"/>
        <v>Computers - Software &amp; Consulting</v>
      </c>
    </row>
    <row r="3500" hidden="1">
      <c r="A3500" s="3" t="s">
        <v>14235</v>
      </c>
      <c r="B3500" s="4">
        <v>541929.0</v>
      </c>
      <c r="C3500" s="3" t="s">
        <v>14236</v>
      </c>
      <c r="D3500" s="3" t="s">
        <v>14237</v>
      </c>
      <c r="E3500" s="3" t="s">
        <v>14238</v>
      </c>
      <c r="F3500" s="3" t="s">
        <v>19</v>
      </c>
      <c r="G3500" s="3" t="s">
        <v>112</v>
      </c>
      <c r="H3500" s="3">
        <v>10.0</v>
      </c>
      <c r="I3500" s="3" t="s">
        <v>14235</v>
      </c>
      <c r="J3500" s="3" t="s">
        <v>22</v>
      </c>
      <c r="K3500" s="3" t="s">
        <v>97</v>
      </c>
      <c r="L3500" s="3" t="s">
        <v>98</v>
      </c>
      <c r="M3500" s="3" t="s">
        <v>100</v>
      </c>
      <c r="N3500" s="3" t="s">
        <v>1909</v>
      </c>
      <c r="O3500" s="5">
        <v>544.5165595</v>
      </c>
      <c r="P3500" s="6" t="str">
        <f t="shared" si="2"/>
        <v>Industrial Products</v>
      </c>
    </row>
    <row r="3501" hidden="1">
      <c r="A3501" s="3" t="s">
        <v>14239</v>
      </c>
      <c r="B3501" s="4">
        <v>541945.0</v>
      </c>
      <c r="C3501" s="3" t="s">
        <v>14240</v>
      </c>
      <c r="D3501" s="3" t="s">
        <v>14241</v>
      </c>
      <c r="E3501" s="3" t="s">
        <v>14242</v>
      </c>
      <c r="F3501" s="3" t="s">
        <v>19</v>
      </c>
      <c r="G3501" s="3" t="s">
        <v>6293</v>
      </c>
      <c r="H3501" s="3">
        <v>10.0</v>
      </c>
      <c r="I3501" s="3" t="s">
        <v>14239</v>
      </c>
      <c r="J3501" s="3" t="s">
        <v>22</v>
      </c>
      <c r="K3501" s="3" t="s">
        <v>97</v>
      </c>
      <c r="L3501" s="3" t="s">
        <v>965</v>
      </c>
      <c r="M3501" s="3" t="s">
        <v>965</v>
      </c>
      <c r="N3501" s="3" t="s">
        <v>966</v>
      </c>
      <c r="O3501" s="5">
        <v>24.3501177</v>
      </c>
      <c r="P3501" s="6" t="str">
        <f t="shared" si="2"/>
        <v>Civil Construction</v>
      </c>
    </row>
    <row r="3502">
      <c r="A3502" s="3" t="s">
        <v>14243</v>
      </c>
      <c r="B3502" s="4">
        <v>532762.0</v>
      </c>
      <c r="C3502" s="3" t="s">
        <v>14244</v>
      </c>
      <c r="D3502" s="3" t="s">
        <v>14245</v>
      </c>
      <c r="E3502" s="3" t="s">
        <v>14246</v>
      </c>
      <c r="F3502" s="3" t="s">
        <v>19</v>
      </c>
      <c r="G3502" s="3" t="s">
        <v>20</v>
      </c>
      <c r="H3502" s="3">
        <v>2.0</v>
      </c>
      <c r="I3502" s="3" t="s">
        <v>10384</v>
      </c>
      <c r="J3502" s="3" t="s">
        <v>22</v>
      </c>
      <c r="K3502" s="3" t="s">
        <v>97</v>
      </c>
      <c r="L3502" s="3" t="s">
        <v>98</v>
      </c>
      <c r="M3502" s="3" t="s">
        <v>1993</v>
      </c>
      <c r="N3502" s="3" t="s">
        <v>1999</v>
      </c>
      <c r="O3502" s="5">
        <v>18660.5501048</v>
      </c>
      <c r="P3502" s="6" t="str">
        <f t="shared" si="2"/>
        <v>Agricultural, Commercial &amp; Construction Vehicles</v>
      </c>
    </row>
    <row r="3503" hidden="1">
      <c r="A3503" s="3" t="s">
        <v>14247</v>
      </c>
      <c r="B3503" s="4">
        <v>541967.0</v>
      </c>
      <c r="C3503" s="3" t="s">
        <v>14248</v>
      </c>
      <c r="D3503" s="3" t="s">
        <v>14249</v>
      </c>
      <c r="E3503" s="3" t="s">
        <v>14250</v>
      </c>
      <c r="F3503" s="3" t="s">
        <v>19</v>
      </c>
      <c r="G3503" s="3" t="s">
        <v>86</v>
      </c>
      <c r="H3503" s="3">
        <v>10.0</v>
      </c>
      <c r="I3503" s="3" t="s">
        <v>14247</v>
      </c>
      <c r="J3503" s="3" t="s">
        <v>22</v>
      </c>
      <c r="K3503" s="3" t="s">
        <v>58</v>
      </c>
      <c r="L3503" s="3" t="s">
        <v>211</v>
      </c>
      <c r="M3503" s="3" t="s">
        <v>211</v>
      </c>
      <c r="N3503" s="3" t="s">
        <v>947</v>
      </c>
      <c r="O3503" s="5">
        <v>2295.840011</v>
      </c>
      <c r="P3503" s="6" t="str">
        <f t="shared" si="2"/>
        <v>Consumer Durables</v>
      </c>
    </row>
    <row r="3504" hidden="1">
      <c r="A3504" s="3" t="s">
        <v>14251</v>
      </c>
      <c r="B3504" s="4">
        <v>541973.0</v>
      </c>
      <c r="C3504" s="3" t="s">
        <v>14252</v>
      </c>
      <c r="D3504" s="3" t="s">
        <v>14253</v>
      </c>
      <c r="E3504" s="3" t="s">
        <v>14254</v>
      </c>
      <c r="F3504" s="3" t="s">
        <v>19</v>
      </c>
      <c r="G3504" s="3" t="s">
        <v>2428</v>
      </c>
      <c r="H3504" s="3">
        <v>10.0</v>
      </c>
      <c r="I3504" s="3" t="s">
        <v>14251</v>
      </c>
      <c r="J3504" s="3" t="s">
        <v>22</v>
      </c>
      <c r="K3504" s="3" t="s">
        <v>58</v>
      </c>
      <c r="L3504" s="3" t="s">
        <v>73</v>
      </c>
      <c r="M3504" s="3" t="s">
        <v>74</v>
      </c>
      <c r="N3504" s="3" t="s">
        <v>75</v>
      </c>
      <c r="O3504" s="5">
        <v>1.0</v>
      </c>
      <c r="P3504" s="6" t="str">
        <f t="shared" si="2"/>
        <v>Leisure Services</v>
      </c>
    </row>
    <row r="3505" hidden="1">
      <c r="A3505" s="3" t="s">
        <v>14255</v>
      </c>
      <c r="B3505" s="4">
        <v>541974.0</v>
      </c>
      <c r="C3505" s="3" t="s">
        <v>14256</v>
      </c>
      <c r="D3505" s="3" t="s">
        <v>14257</v>
      </c>
      <c r="E3505" s="3" t="s">
        <v>14258</v>
      </c>
      <c r="F3505" s="3" t="s">
        <v>19</v>
      </c>
      <c r="G3505" s="3" t="s">
        <v>86</v>
      </c>
      <c r="H3505" s="3">
        <v>2.0</v>
      </c>
      <c r="I3505" s="3" t="s">
        <v>14255</v>
      </c>
      <c r="J3505" s="3" t="s">
        <v>22</v>
      </c>
      <c r="K3505" s="3" t="s">
        <v>145</v>
      </c>
      <c r="L3505" s="3" t="s">
        <v>145</v>
      </c>
      <c r="M3505" s="3" t="s">
        <v>597</v>
      </c>
      <c r="N3505" s="3" t="s">
        <v>1065</v>
      </c>
      <c r="O3505" s="5">
        <v>3764.788454</v>
      </c>
      <c r="P3505" s="6" t="str">
        <f t="shared" si="2"/>
        <v>Food Products</v>
      </c>
    </row>
    <row r="3506" hidden="1">
      <c r="A3506" s="3" t="s">
        <v>8098</v>
      </c>
      <c r="B3506" s="4">
        <v>524628.0</v>
      </c>
      <c r="C3506" s="3" t="s">
        <v>14259</v>
      </c>
      <c r="D3506" s="3" t="s">
        <v>14260</v>
      </c>
      <c r="E3506" s="3" t="s">
        <v>14261</v>
      </c>
      <c r="F3506" s="3" t="s">
        <v>19</v>
      </c>
      <c r="G3506" s="3" t="s">
        <v>44</v>
      </c>
      <c r="H3506" s="3">
        <v>10.0</v>
      </c>
      <c r="I3506" s="3" t="s">
        <v>6427</v>
      </c>
      <c r="J3506" s="3" t="s">
        <v>22</v>
      </c>
      <c r="K3506" s="3" t="s">
        <v>1673</v>
      </c>
      <c r="L3506" s="3" t="s">
        <v>1673</v>
      </c>
      <c r="M3506" s="3" t="s">
        <v>1674</v>
      </c>
      <c r="N3506" s="3" t="s">
        <v>1915</v>
      </c>
      <c r="O3506" s="5">
        <v>1.0</v>
      </c>
      <c r="P3506" s="6" t="str">
        <f t="shared" si="2"/>
        <v>Commercial Services &amp; Supplies</v>
      </c>
    </row>
    <row r="3507">
      <c r="A3507" s="3" t="s">
        <v>10431</v>
      </c>
      <c r="B3507" s="4">
        <v>532804.0</v>
      </c>
      <c r="C3507" s="3" t="s">
        <v>14262</v>
      </c>
      <c r="D3507" s="3" t="s">
        <v>14263</v>
      </c>
      <c r="E3507" s="3" t="s">
        <v>14264</v>
      </c>
      <c r="F3507" s="3" t="s">
        <v>19</v>
      </c>
      <c r="G3507" s="3" t="s">
        <v>112</v>
      </c>
      <c r="H3507" s="3">
        <v>10.0</v>
      </c>
      <c r="I3507" s="3" t="s">
        <v>10487</v>
      </c>
      <c r="J3507" s="3" t="s">
        <v>22</v>
      </c>
      <c r="K3507" s="3" t="s">
        <v>97</v>
      </c>
      <c r="L3507" s="3" t="s">
        <v>98</v>
      </c>
      <c r="M3507" s="3" t="s">
        <v>100</v>
      </c>
      <c r="N3507" s="3" t="s">
        <v>612</v>
      </c>
      <c r="O3507" s="5">
        <v>6617.7852323</v>
      </c>
      <c r="P3507" s="6" t="str">
        <f t="shared" si="2"/>
        <v>Industrial Products</v>
      </c>
    </row>
    <row r="3508">
      <c r="A3508" s="3" t="s">
        <v>14265</v>
      </c>
      <c r="B3508" s="4">
        <v>532811.0</v>
      </c>
      <c r="C3508" s="3" t="s">
        <v>14266</v>
      </c>
      <c r="D3508" s="3" t="s">
        <v>14267</v>
      </c>
      <c r="E3508" s="3" t="s">
        <v>14268</v>
      </c>
      <c r="F3508" s="3" t="s">
        <v>19</v>
      </c>
      <c r="G3508" s="3" t="s">
        <v>20</v>
      </c>
      <c r="H3508" s="3">
        <v>2.0</v>
      </c>
      <c r="I3508" s="3" t="s">
        <v>10516</v>
      </c>
      <c r="J3508" s="3" t="s">
        <v>22</v>
      </c>
      <c r="K3508" s="3" t="s">
        <v>97</v>
      </c>
      <c r="L3508" s="3" t="s">
        <v>965</v>
      </c>
      <c r="M3508" s="3" t="s">
        <v>965</v>
      </c>
      <c r="N3508" s="3" t="s">
        <v>966</v>
      </c>
      <c r="O3508" s="5">
        <v>8872.371374</v>
      </c>
      <c r="P3508" s="6" t="str">
        <f t="shared" si="2"/>
        <v>Civil Construction</v>
      </c>
    </row>
    <row r="3509" hidden="1">
      <c r="A3509" s="3" t="s">
        <v>14269</v>
      </c>
      <c r="B3509" s="4">
        <v>542012.0</v>
      </c>
      <c r="C3509" s="3" t="s">
        <v>14270</v>
      </c>
      <c r="D3509" s="3" t="s">
        <v>14271</v>
      </c>
      <c r="E3509" s="3" t="s">
        <v>14272</v>
      </c>
      <c r="F3509" s="3" t="s">
        <v>19</v>
      </c>
      <c r="G3509" s="3" t="s">
        <v>112</v>
      </c>
      <c r="H3509" s="3">
        <v>10.0</v>
      </c>
      <c r="I3509" s="3" t="s">
        <v>14269</v>
      </c>
      <c r="J3509" s="3" t="s">
        <v>22</v>
      </c>
      <c r="K3509" s="3" t="s">
        <v>23</v>
      </c>
      <c r="L3509" s="3" t="s">
        <v>24</v>
      </c>
      <c r="M3509" s="3" t="s">
        <v>25</v>
      </c>
      <c r="N3509" s="3" t="s">
        <v>1036</v>
      </c>
      <c r="O3509" s="5">
        <v>395.568998</v>
      </c>
      <c r="P3509" s="6" t="str">
        <f t="shared" si="2"/>
        <v>Chemicals &amp; Petrochemicals</v>
      </c>
    </row>
    <row r="3510" hidden="1">
      <c r="A3510" s="3" t="s">
        <v>14273</v>
      </c>
      <c r="B3510" s="4">
        <v>542013.0</v>
      </c>
      <c r="C3510" s="3" t="s">
        <v>14274</v>
      </c>
      <c r="D3510" s="3" t="s">
        <v>14275</v>
      </c>
      <c r="E3510" s="3" t="s">
        <v>14276</v>
      </c>
      <c r="F3510" s="3" t="s">
        <v>19</v>
      </c>
      <c r="G3510" s="3" t="s">
        <v>86</v>
      </c>
      <c r="H3510" s="3">
        <v>10.0</v>
      </c>
      <c r="I3510" s="3" t="s">
        <v>14273</v>
      </c>
      <c r="J3510" s="3" t="s">
        <v>22</v>
      </c>
      <c r="K3510" s="3" t="s">
        <v>58</v>
      </c>
      <c r="L3510" s="3" t="s">
        <v>133</v>
      </c>
      <c r="M3510" s="3" t="s">
        <v>134</v>
      </c>
      <c r="N3510" s="3" t="s">
        <v>449</v>
      </c>
      <c r="O3510" s="5">
        <v>202.9699635</v>
      </c>
      <c r="P3510" s="6" t="str">
        <f t="shared" si="2"/>
        <v>Auto Components</v>
      </c>
    </row>
    <row r="3511" hidden="1">
      <c r="A3511" s="3" t="s">
        <v>14277</v>
      </c>
      <c r="B3511" s="4">
        <v>542019.0</v>
      </c>
      <c r="C3511" s="3" t="s">
        <v>14278</v>
      </c>
      <c r="D3511" s="3" t="s">
        <v>14279</v>
      </c>
      <c r="E3511" s="3" t="s">
        <v>14280</v>
      </c>
      <c r="F3511" s="3" t="s">
        <v>19</v>
      </c>
      <c r="G3511" s="3" t="s">
        <v>112</v>
      </c>
      <c r="H3511" s="3">
        <v>10.0</v>
      </c>
      <c r="I3511" s="3" t="s">
        <v>14277</v>
      </c>
      <c r="J3511" s="3" t="s">
        <v>22</v>
      </c>
      <c r="K3511" s="3" t="s">
        <v>58</v>
      </c>
      <c r="L3511" s="3" t="s">
        <v>80</v>
      </c>
      <c r="M3511" s="3" t="s">
        <v>81</v>
      </c>
      <c r="N3511" s="3" t="s">
        <v>82</v>
      </c>
      <c r="O3511" s="5">
        <v>28.2939768</v>
      </c>
      <c r="P3511" s="6" t="str">
        <f t="shared" si="2"/>
        <v>Textiles &amp; Apparels</v>
      </c>
    </row>
    <row r="3512" hidden="1">
      <c r="A3512" s="3" t="s">
        <v>14281</v>
      </c>
      <c r="B3512" s="4">
        <v>542020.0</v>
      </c>
      <c r="C3512" s="3" t="s">
        <v>14282</v>
      </c>
      <c r="D3512" s="3" t="s">
        <v>14283</v>
      </c>
      <c r="E3512" s="3" t="s">
        <v>14284</v>
      </c>
      <c r="F3512" s="3" t="s">
        <v>19</v>
      </c>
      <c r="G3512" s="3" t="s">
        <v>112</v>
      </c>
      <c r="H3512" s="3">
        <v>2.0</v>
      </c>
      <c r="I3512" s="3" t="s">
        <v>14281</v>
      </c>
      <c r="J3512" s="3" t="s">
        <v>22</v>
      </c>
      <c r="K3512" s="3" t="s">
        <v>58</v>
      </c>
      <c r="L3512" s="3" t="s">
        <v>211</v>
      </c>
      <c r="M3512" s="3" t="s">
        <v>211</v>
      </c>
      <c r="N3512" s="3" t="s">
        <v>947</v>
      </c>
      <c r="O3512" s="5">
        <v>215.0991234</v>
      </c>
      <c r="P3512" s="6" t="str">
        <f t="shared" si="2"/>
        <v>Consumer Durables</v>
      </c>
    </row>
    <row r="3513" hidden="1">
      <c r="A3513" s="3" t="s">
        <v>10247</v>
      </c>
      <c r="B3513" s="4">
        <v>524723.0</v>
      </c>
      <c r="C3513" s="3" t="s">
        <v>14285</v>
      </c>
      <c r="D3513" s="3" t="s">
        <v>14286</v>
      </c>
      <c r="E3513" s="3" t="s">
        <v>14287</v>
      </c>
      <c r="F3513" s="3" t="s">
        <v>19</v>
      </c>
      <c r="G3513" s="3" t="s">
        <v>44</v>
      </c>
      <c r="H3513" s="3">
        <v>10.0</v>
      </c>
      <c r="I3513" s="3" t="s">
        <v>6507</v>
      </c>
      <c r="J3513" s="3" t="s">
        <v>22</v>
      </c>
      <c r="K3513" s="3" t="s">
        <v>1673</v>
      </c>
      <c r="L3513" s="3" t="s">
        <v>1673</v>
      </c>
      <c r="M3513" s="3" t="s">
        <v>1674</v>
      </c>
      <c r="N3513" s="3" t="s">
        <v>1915</v>
      </c>
      <c r="O3513" s="5">
        <v>1.0</v>
      </c>
      <c r="P3513" s="6" t="str">
        <f t="shared" si="2"/>
        <v>Commercial Services &amp; Supplies</v>
      </c>
    </row>
    <row r="3514" hidden="1">
      <c r="A3514" s="3" t="s">
        <v>14288</v>
      </c>
      <c r="B3514" s="4">
        <v>542034.0</v>
      </c>
      <c r="C3514" s="3" t="s">
        <v>14289</v>
      </c>
      <c r="D3514" s="3" t="s">
        <v>14290</v>
      </c>
      <c r="E3514" s="3" t="s">
        <v>14291</v>
      </c>
      <c r="F3514" s="3" t="s">
        <v>19</v>
      </c>
      <c r="G3514" s="3" t="s">
        <v>112</v>
      </c>
      <c r="H3514" s="3">
        <v>10.0</v>
      </c>
      <c r="I3514" s="3" t="s">
        <v>14288</v>
      </c>
      <c r="J3514" s="3" t="s">
        <v>22</v>
      </c>
      <c r="K3514" s="3" t="s">
        <v>58</v>
      </c>
      <c r="L3514" s="3" t="s">
        <v>211</v>
      </c>
      <c r="M3514" s="3" t="s">
        <v>211</v>
      </c>
      <c r="N3514" s="3" t="s">
        <v>947</v>
      </c>
      <c r="O3514" s="5">
        <v>17.7162091</v>
      </c>
      <c r="P3514" s="6" t="str">
        <f t="shared" si="2"/>
        <v>Consumer Durables</v>
      </c>
    </row>
    <row r="3515" hidden="1">
      <c r="A3515" s="3" t="s">
        <v>14292</v>
      </c>
      <c r="B3515" s="4">
        <v>542046.0</v>
      </c>
      <c r="C3515" s="3" t="s">
        <v>14293</v>
      </c>
      <c r="D3515" s="3" t="s">
        <v>14294</v>
      </c>
      <c r="E3515" s="3" t="s">
        <v>14295</v>
      </c>
      <c r="F3515" s="3" t="s">
        <v>19</v>
      </c>
      <c r="G3515" s="3" t="s">
        <v>86</v>
      </c>
      <c r="H3515" s="3">
        <v>10.0</v>
      </c>
      <c r="I3515" s="3" t="s">
        <v>14292</v>
      </c>
      <c r="J3515" s="3" t="s">
        <v>22</v>
      </c>
      <c r="K3515" s="3" t="s">
        <v>58</v>
      </c>
      <c r="L3515" s="3" t="s">
        <v>59</v>
      </c>
      <c r="M3515" s="3" t="s">
        <v>59</v>
      </c>
      <c r="N3515" s="3" t="s">
        <v>60</v>
      </c>
      <c r="O3515" s="5">
        <v>62.158906</v>
      </c>
      <c r="P3515" s="6" t="str">
        <f t="shared" si="2"/>
        <v>Residential, Commercial Projects</v>
      </c>
    </row>
    <row r="3516" hidden="1">
      <c r="A3516" s="3" t="s">
        <v>14296</v>
      </c>
      <c r="B3516" s="4">
        <v>542057.0</v>
      </c>
      <c r="C3516" s="3" t="s">
        <v>14297</v>
      </c>
      <c r="D3516" s="3" t="s">
        <v>14298</v>
      </c>
      <c r="E3516" s="3" t="s">
        <v>14299</v>
      </c>
      <c r="F3516" s="3" t="s">
        <v>19</v>
      </c>
      <c r="G3516" s="3" t="s">
        <v>86</v>
      </c>
      <c r="H3516" s="3">
        <v>10.0</v>
      </c>
      <c r="I3516" s="3" t="s">
        <v>14296</v>
      </c>
      <c r="J3516" s="3" t="s">
        <v>22</v>
      </c>
      <c r="K3516" s="3" t="s">
        <v>97</v>
      </c>
      <c r="L3516" s="3" t="s">
        <v>965</v>
      </c>
      <c r="M3516" s="3" t="s">
        <v>965</v>
      </c>
      <c r="N3516" s="3" t="s">
        <v>966</v>
      </c>
      <c r="O3516" s="5">
        <v>177.4194301</v>
      </c>
      <c r="P3516" s="6" t="str">
        <f t="shared" si="2"/>
        <v>Civil Construction</v>
      </c>
    </row>
    <row r="3517">
      <c r="A3517" s="3" t="s">
        <v>6557</v>
      </c>
      <c r="B3517" s="4">
        <v>532830.0</v>
      </c>
      <c r="C3517" s="3" t="s">
        <v>14300</v>
      </c>
      <c r="D3517" s="3" t="s">
        <v>14301</v>
      </c>
      <c r="E3517" s="3" t="s">
        <v>14302</v>
      </c>
      <c r="F3517" s="3" t="s">
        <v>19</v>
      </c>
      <c r="G3517" s="3" t="s">
        <v>20</v>
      </c>
      <c r="H3517" s="3">
        <v>1.0</v>
      </c>
      <c r="I3517" s="3" t="s">
        <v>10565</v>
      </c>
      <c r="J3517" s="3" t="s">
        <v>22</v>
      </c>
      <c r="K3517" s="3" t="s">
        <v>97</v>
      </c>
      <c r="L3517" s="3" t="s">
        <v>98</v>
      </c>
      <c r="M3517" s="3" t="s">
        <v>100</v>
      </c>
      <c r="N3517" s="3" t="s">
        <v>580</v>
      </c>
      <c r="O3517" s="5">
        <v>64784.34567</v>
      </c>
      <c r="P3517" s="6" t="str">
        <f t="shared" si="2"/>
        <v>Industrial Products</v>
      </c>
    </row>
    <row r="3518" hidden="1">
      <c r="A3518" s="3" t="s">
        <v>14303</v>
      </c>
      <c r="B3518" s="4">
        <v>542123.0</v>
      </c>
      <c r="C3518" s="3" t="s">
        <v>14304</v>
      </c>
      <c r="D3518" s="3" t="s">
        <v>14305</v>
      </c>
      <c r="E3518" s="3" t="s">
        <v>14306</v>
      </c>
      <c r="F3518" s="3" t="s">
        <v>19</v>
      </c>
      <c r="G3518" s="3" t="s">
        <v>44</v>
      </c>
      <c r="H3518" s="3">
        <v>10.0</v>
      </c>
      <c r="I3518" s="3" t="s">
        <v>14303</v>
      </c>
      <c r="J3518" s="3" t="s">
        <v>22</v>
      </c>
      <c r="K3518" s="3" t="s">
        <v>23</v>
      </c>
      <c r="L3518" s="3" t="s">
        <v>24</v>
      </c>
      <c r="M3518" s="3" t="s">
        <v>91</v>
      </c>
      <c r="N3518" s="3" t="s">
        <v>92</v>
      </c>
      <c r="O3518" s="5">
        <v>53.4097376</v>
      </c>
      <c r="P3518" s="6" t="str">
        <f t="shared" si="2"/>
        <v>Fertilizers &amp; Agrochemicals</v>
      </c>
    </row>
    <row r="3519">
      <c r="A3519" s="3" t="s">
        <v>14307</v>
      </c>
      <c r="B3519" s="4">
        <v>532856.0</v>
      </c>
      <c r="C3519" s="3" t="s">
        <v>14308</v>
      </c>
      <c r="D3519" s="3" t="s">
        <v>14309</v>
      </c>
      <c r="E3519" s="3" t="s">
        <v>14310</v>
      </c>
      <c r="F3519" s="3" t="s">
        <v>19</v>
      </c>
      <c r="G3519" s="3" t="s">
        <v>20</v>
      </c>
      <c r="H3519" s="3">
        <v>1.0</v>
      </c>
      <c r="I3519" s="3" t="s">
        <v>10626</v>
      </c>
      <c r="J3519" s="3" t="s">
        <v>22</v>
      </c>
      <c r="K3519" s="3" t="s">
        <v>97</v>
      </c>
      <c r="L3519" s="3" t="s">
        <v>98</v>
      </c>
      <c r="M3519" s="3" t="s">
        <v>100</v>
      </c>
      <c r="N3519" s="3" t="s">
        <v>580</v>
      </c>
      <c r="O3519" s="5">
        <v>7274.3604976</v>
      </c>
      <c r="P3519" s="6" t="str">
        <f t="shared" si="2"/>
        <v>Industrial Products</v>
      </c>
    </row>
    <row r="3520" hidden="1">
      <c r="A3520" s="3" t="s">
        <v>8425</v>
      </c>
      <c r="B3520" s="4">
        <v>526439.0</v>
      </c>
      <c r="C3520" s="3" t="s">
        <v>14311</v>
      </c>
      <c r="D3520" s="3" t="s">
        <v>14312</v>
      </c>
      <c r="E3520" s="3" t="s">
        <v>14313</v>
      </c>
      <c r="F3520" s="3" t="s">
        <v>19</v>
      </c>
      <c r="G3520" s="3" t="s">
        <v>72</v>
      </c>
      <c r="H3520" s="3">
        <v>10.0</v>
      </c>
      <c r="I3520" s="3" t="s">
        <v>6791</v>
      </c>
      <c r="J3520" s="3" t="s">
        <v>22</v>
      </c>
      <c r="K3520" s="3" t="s">
        <v>1673</v>
      </c>
      <c r="L3520" s="3" t="s">
        <v>1673</v>
      </c>
      <c r="M3520" s="3" t="s">
        <v>1674</v>
      </c>
      <c r="N3520" s="3" t="s">
        <v>1915</v>
      </c>
      <c r="O3520" s="5">
        <v>1.0</v>
      </c>
      <c r="P3520" s="6" t="str">
        <f t="shared" si="2"/>
        <v>Commercial Services &amp; Supplies</v>
      </c>
    </row>
    <row r="3521" hidden="1">
      <c r="A3521" s="3" t="s">
        <v>14314</v>
      </c>
      <c r="B3521" s="4">
        <v>542146.0</v>
      </c>
      <c r="C3521" s="3" t="s">
        <v>14315</v>
      </c>
      <c r="D3521" s="3" t="s">
        <v>14316</v>
      </c>
      <c r="E3521" s="3" t="s">
        <v>14317</v>
      </c>
      <c r="F3521" s="3" t="s">
        <v>19</v>
      </c>
      <c r="G3521" s="3" t="s">
        <v>6293</v>
      </c>
      <c r="H3521" s="3">
        <v>10.0</v>
      </c>
      <c r="I3521" s="3" t="s">
        <v>14314</v>
      </c>
      <c r="J3521" s="3" t="s">
        <v>22</v>
      </c>
      <c r="K3521" s="3" t="s">
        <v>58</v>
      </c>
      <c r="L3521" s="3" t="s">
        <v>59</v>
      </c>
      <c r="M3521" s="3" t="s">
        <v>59</v>
      </c>
      <c r="N3521" s="3" t="s">
        <v>60</v>
      </c>
      <c r="O3521" s="5">
        <v>93.324</v>
      </c>
      <c r="P3521" s="6" t="str">
        <f t="shared" si="2"/>
        <v>Residential, Commercial Projects</v>
      </c>
    </row>
    <row r="3522" hidden="1">
      <c r="A3522" s="3" t="s">
        <v>11866</v>
      </c>
      <c r="B3522" s="4">
        <v>526795.0</v>
      </c>
      <c r="C3522" s="3" t="s">
        <v>14318</v>
      </c>
      <c r="D3522" s="3" t="s">
        <v>14319</v>
      </c>
      <c r="E3522" s="3" t="s">
        <v>14320</v>
      </c>
      <c r="F3522" s="3" t="s">
        <v>19</v>
      </c>
      <c r="G3522" s="3" t="s">
        <v>2267</v>
      </c>
      <c r="H3522" s="3">
        <v>10.0</v>
      </c>
      <c r="I3522" s="3" t="s">
        <v>7066</v>
      </c>
      <c r="J3522" s="3" t="s">
        <v>22</v>
      </c>
      <c r="K3522" s="3" t="s">
        <v>1673</v>
      </c>
      <c r="L3522" s="3" t="s">
        <v>1673</v>
      </c>
      <c r="M3522" s="3" t="s">
        <v>1689</v>
      </c>
      <c r="N3522" s="3" t="s">
        <v>6382</v>
      </c>
      <c r="O3522" s="5">
        <v>1.0</v>
      </c>
      <c r="P3522" s="6" t="str">
        <f t="shared" si="2"/>
        <v>Transport Services</v>
      </c>
    </row>
    <row r="3523" hidden="1">
      <c r="A3523" s="3" t="s">
        <v>14321</v>
      </c>
      <c r="B3523" s="4">
        <v>542176.0</v>
      </c>
      <c r="C3523" s="3" t="s">
        <v>14322</v>
      </c>
      <c r="D3523" s="3" t="s">
        <v>14323</v>
      </c>
      <c r="E3523" s="3" t="s">
        <v>14324</v>
      </c>
      <c r="F3523" s="3" t="s">
        <v>19</v>
      </c>
      <c r="G3523" s="3" t="s">
        <v>44</v>
      </c>
      <c r="H3523" s="3">
        <v>10.0</v>
      </c>
      <c r="I3523" s="3" t="s">
        <v>14321</v>
      </c>
      <c r="J3523" s="3" t="s">
        <v>22</v>
      </c>
      <c r="K3523" s="3" t="s">
        <v>204</v>
      </c>
      <c r="L3523" s="3" t="s">
        <v>204</v>
      </c>
      <c r="M3523" s="3" t="s">
        <v>378</v>
      </c>
      <c r="N3523" s="3" t="s">
        <v>468</v>
      </c>
      <c r="O3523" s="5">
        <v>1.0</v>
      </c>
      <c r="P3523" s="6" t="str">
        <f t="shared" si="2"/>
        <v>Finance</v>
      </c>
    </row>
    <row r="3524" hidden="1">
      <c r="A3524" s="3" t="s">
        <v>14325</v>
      </c>
      <c r="B3524" s="4">
        <v>542206.0</v>
      </c>
      <c r="C3524" s="3" t="s">
        <v>14326</v>
      </c>
      <c r="D3524" s="3" t="s">
        <v>14327</v>
      </c>
      <c r="E3524" s="3" t="s">
        <v>14328</v>
      </c>
      <c r="F3524" s="3" t="s">
        <v>19</v>
      </c>
      <c r="G3524" s="3" t="s">
        <v>44</v>
      </c>
      <c r="H3524" s="3">
        <v>1.0</v>
      </c>
      <c r="I3524" s="3" t="s">
        <v>14325</v>
      </c>
      <c r="J3524" s="3" t="s">
        <v>22</v>
      </c>
      <c r="K3524" s="3" t="s">
        <v>58</v>
      </c>
      <c r="L3524" s="3" t="s">
        <v>80</v>
      </c>
      <c r="M3524" s="3" t="s">
        <v>81</v>
      </c>
      <c r="N3524" s="3" t="s">
        <v>2471</v>
      </c>
      <c r="O3524" s="5">
        <v>42.9301281</v>
      </c>
      <c r="P3524" s="6" t="str">
        <f t="shared" si="2"/>
        <v>Textiles &amp; Apparels</v>
      </c>
    </row>
    <row r="3525">
      <c r="A3525" s="3" t="s">
        <v>756</v>
      </c>
      <c r="B3525" s="4">
        <v>532928.0</v>
      </c>
      <c r="C3525" s="3" t="s">
        <v>14329</v>
      </c>
      <c r="D3525" s="3" t="s">
        <v>14330</v>
      </c>
      <c r="E3525" s="3" t="s">
        <v>14331</v>
      </c>
      <c r="F3525" s="3" t="s">
        <v>19</v>
      </c>
      <c r="G3525" s="3" t="s">
        <v>86</v>
      </c>
      <c r="H3525" s="3">
        <v>1.0</v>
      </c>
      <c r="I3525" s="3" t="s">
        <v>10793</v>
      </c>
      <c r="J3525" s="3" t="s">
        <v>22</v>
      </c>
      <c r="K3525" s="3" t="s">
        <v>97</v>
      </c>
      <c r="L3525" s="3" t="s">
        <v>98</v>
      </c>
      <c r="M3525" s="3" t="s">
        <v>1747</v>
      </c>
      <c r="N3525" s="3" t="s">
        <v>1767</v>
      </c>
      <c r="O3525" s="5">
        <v>11479.15802</v>
      </c>
      <c r="P3525" s="6" t="str">
        <f t="shared" si="2"/>
        <v>Heavy Electrical Equipment</v>
      </c>
    </row>
    <row r="3526" hidden="1">
      <c r="A3526" s="3" t="s">
        <v>14332</v>
      </c>
      <c r="B3526" s="4">
        <v>542231.0</v>
      </c>
      <c r="C3526" s="3" t="s">
        <v>14333</v>
      </c>
      <c r="D3526" s="3" t="s">
        <v>14334</v>
      </c>
      <c r="E3526" s="3" t="s">
        <v>14333</v>
      </c>
      <c r="F3526" s="3" t="s">
        <v>19</v>
      </c>
      <c r="G3526" s="3" t="s">
        <v>86</v>
      </c>
      <c r="H3526" s="3">
        <v>1.0</v>
      </c>
      <c r="I3526" s="3" t="s">
        <v>14332</v>
      </c>
      <c r="J3526" s="3" t="s">
        <v>22</v>
      </c>
      <c r="K3526" s="3" t="s">
        <v>58</v>
      </c>
      <c r="L3526" s="3" t="s">
        <v>59</v>
      </c>
      <c r="M3526" s="3" t="s">
        <v>59</v>
      </c>
      <c r="N3526" s="3" t="s">
        <v>60</v>
      </c>
      <c r="O3526" s="5">
        <v>381.6448032</v>
      </c>
      <c r="P3526" s="6" t="str">
        <f t="shared" si="2"/>
        <v>Residential, Commercial Projects</v>
      </c>
    </row>
    <row r="3527" hidden="1">
      <c r="A3527" s="3" t="s">
        <v>14335</v>
      </c>
      <c r="B3527" s="4">
        <v>542232.0</v>
      </c>
      <c r="C3527" s="3" t="s">
        <v>14336</v>
      </c>
      <c r="D3527" s="3" t="s">
        <v>14337</v>
      </c>
      <c r="E3527" s="3" t="s">
        <v>14338</v>
      </c>
      <c r="F3527" s="3" t="s">
        <v>19</v>
      </c>
      <c r="G3527" s="3" t="s">
        <v>112</v>
      </c>
      <c r="H3527" s="3">
        <v>10.0</v>
      </c>
      <c r="I3527" s="3" t="s">
        <v>14335</v>
      </c>
      <c r="J3527" s="3" t="s">
        <v>22</v>
      </c>
      <c r="K3527" s="3" t="s">
        <v>23</v>
      </c>
      <c r="L3527" s="3" t="s">
        <v>24</v>
      </c>
      <c r="M3527" s="3" t="s">
        <v>25</v>
      </c>
      <c r="N3527" s="3" t="s">
        <v>1036</v>
      </c>
      <c r="O3527" s="5">
        <v>683.800201</v>
      </c>
      <c r="P3527" s="6" t="str">
        <f t="shared" si="2"/>
        <v>Chemicals &amp; Petrochemicals</v>
      </c>
    </row>
    <row r="3528" hidden="1">
      <c r="A3528" s="3" t="s">
        <v>14339</v>
      </c>
      <c r="B3528" s="4">
        <v>542233.0</v>
      </c>
      <c r="C3528" s="3" t="s">
        <v>14340</v>
      </c>
      <c r="D3528" s="3" t="s">
        <v>14341</v>
      </c>
      <c r="E3528" s="3" t="s">
        <v>14342</v>
      </c>
      <c r="F3528" s="3" t="s">
        <v>19</v>
      </c>
      <c r="G3528" s="3" t="s">
        <v>86</v>
      </c>
      <c r="H3528" s="3">
        <v>10.0</v>
      </c>
      <c r="I3528" s="3" t="s">
        <v>14339</v>
      </c>
      <c r="J3528" s="3" t="s">
        <v>22</v>
      </c>
      <c r="K3528" s="3" t="s">
        <v>473</v>
      </c>
      <c r="L3528" s="3" t="s">
        <v>473</v>
      </c>
      <c r="M3528" s="3" t="s">
        <v>1391</v>
      </c>
      <c r="N3528" s="3" t="s">
        <v>1840</v>
      </c>
      <c r="O3528" s="5">
        <v>263.775935</v>
      </c>
      <c r="P3528" s="6" t="str">
        <f t="shared" si="2"/>
        <v>Computers - Software &amp; Consulting</v>
      </c>
    </row>
    <row r="3529" hidden="1">
      <c r="A3529" s="3" t="s">
        <v>14343</v>
      </c>
      <c r="B3529" s="4">
        <v>542248.0</v>
      </c>
      <c r="C3529" s="3" t="s">
        <v>14344</v>
      </c>
      <c r="D3529" s="3" t="s">
        <v>14345</v>
      </c>
      <c r="E3529" s="3" t="s">
        <v>14346</v>
      </c>
      <c r="F3529" s="3" t="s">
        <v>19</v>
      </c>
      <c r="G3529" s="3" t="s">
        <v>112</v>
      </c>
      <c r="H3529" s="3">
        <v>10.0</v>
      </c>
      <c r="I3529" s="3" t="s">
        <v>14343</v>
      </c>
      <c r="J3529" s="3" t="s">
        <v>22</v>
      </c>
      <c r="K3529" s="3" t="s">
        <v>45</v>
      </c>
      <c r="L3529" s="3" t="s">
        <v>45</v>
      </c>
      <c r="M3529" s="3" t="s">
        <v>4488</v>
      </c>
      <c r="N3529" s="3" t="s">
        <v>4489</v>
      </c>
      <c r="O3529" s="5">
        <v>75.9015928</v>
      </c>
      <c r="P3529" s="6" t="str">
        <f t="shared" si="2"/>
        <v>Healthcare Services</v>
      </c>
    </row>
    <row r="3530" hidden="1">
      <c r="A3530" s="3" t="s">
        <v>14347</v>
      </c>
      <c r="B3530" s="4">
        <v>542285.0</v>
      </c>
      <c r="C3530" s="3" t="s">
        <v>14348</v>
      </c>
      <c r="D3530" s="3" t="s">
        <v>14349</v>
      </c>
      <c r="E3530" s="3" t="s">
        <v>14350</v>
      </c>
      <c r="F3530" s="3" t="s">
        <v>19</v>
      </c>
      <c r="G3530" s="3" t="s">
        <v>112</v>
      </c>
      <c r="H3530" s="3">
        <v>1.0</v>
      </c>
      <c r="I3530" s="3" t="s">
        <v>14347</v>
      </c>
      <c r="J3530" s="3" t="s">
        <v>22</v>
      </c>
      <c r="K3530" s="3" t="s">
        <v>58</v>
      </c>
      <c r="L3530" s="3" t="s">
        <v>80</v>
      </c>
      <c r="M3530" s="3" t="s">
        <v>81</v>
      </c>
      <c r="N3530" s="3" t="s">
        <v>82</v>
      </c>
      <c r="O3530" s="5">
        <v>555.8787827</v>
      </c>
      <c r="P3530" s="6" t="str">
        <f t="shared" si="2"/>
        <v>Textiles &amp; Apparels</v>
      </c>
    </row>
    <row r="3531">
      <c r="A3531" s="3" t="s">
        <v>14351</v>
      </c>
      <c r="B3531" s="4">
        <v>532940.0</v>
      </c>
      <c r="C3531" s="3" t="s">
        <v>14352</v>
      </c>
      <c r="D3531" s="3" t="s">
        <v>14353</v>
      </c>
      <c r="E3531" s="3" t="s">
        <v>14354</v>
      </c>
      <c r="F3531" s="3" t="s">
        <v>19</v>
      </c>
      <c r="G3531" s="3" t="s">
        <v>20</v>
      </c>
      <c r="H3531" s="3">
        <v>5.0</v>
      </c>
      <c r="I3531" s="3" t="s">
        <v>10834</v>
      </c>
      <c r="J3531" s="3" t="s">
        <v>22</v>
      </c>
      <c r="K3531" s="3" t="s">
        <v>97</v>
      </c>
      <c r="L3531" s="3" t="s">
        <v>965</v>
      </c>
      <c r="M3531" s="3" t="s">
        <v>965</v>
      </c>
      <c r="N3531" s="3" t="s">
        <v>966</v>
      </c>
      <c r="O3531" s="5">
        <v>6515.1197896</v>
      </c>
      <c r="P3531" s="6" t="str">
        <f t="shared" si="2"/>
        <v>Civil Construction</v>
      </c>
    </row>
    <row r="3532" hidden="1">
      <c r="A3532" s="3" t="s">
        <v>14355</v>
      </c>
      <c r="B3532" s="4">
        <v>542332.0</v>
      </c>
      <c r="C3532" s="3" t="s">
        <v>14356</v>
      </c>
      <c r="D3532" s="3" t="s">
        <v>14357</v>
      </c>
      <c r="E3532" s="3" t="s">
        <v>14358</v>
      </c>
      <c r="F3532" s="3" t="s">
        <v>19</v>
      </c>
      <c r="G3532" s="3" t="s">
        <v>72</v>
      </c>
      <c r="H3532" s="3">
        <v>5.0</v>
      </c>
      <c r="I3532" s="3" t="s">
        <v>14355</v>
      </c>
      <c r="J3532" s="3" t="s">
        <v>22</v>
      </c>
      <c r="K3532" s="3" t="s">
        <v>204</v>
      </c>
      <c r="L3532" s="3" t="s">
        <v>204</v>
      </c>
      <c r="M3532" s="3" t="s">
        <v>378</v>
      </c>
      <c r="N3532" s="3" t="s">
        <v>468</v>
      </c>
      <c r="O3532" s="5">
        <v>1.0</v>
      </c>
      <c r="P3532" s="6" t="str">
        <f t="shared" si="2"/>
        <v>Finance</v>
      </c>
    </row>
    <row r="3533" hidden="1">
      <c r="A3533" s="3" t="s">
        <v>2099</v>
      </c>
      <c r="B3533" s="4">
        <v>526877.0</v>
      </c>
      <c r="C3533" s="3" t="s">
        <v>14359</v>
      </c>
      <c r="D3533" s="3" t="s">
        <v>14360</v>
      </c>
      <c r="E3533" s="3" t="s">
        <v>14361</v>
      </c>
      <c r="F3533" s="3" t="s">
        <v>19</v>
      </c>
      <c r="G3533" s="3" t="s">
        <v>44</v>
      </c>
      <c r="H3533" s="3">
        <v>10.0</v>
      </c>
      <c r="I3533" s="3" t="s">
        <v>7149</v>
      </c>
      <c r="J3533" s="3" t="s">
        <v>22</v>
      </c>
      <c r="K3533" s="3" t="s">
        <v>1673</v>
      </c>
      <c r="L3533" s="3" t="s">
        <v>1673</v>
      </c>
      <c r="M3533" s="3" t="s">
        <v>1674</v>
      </c>
      <c r="N3533" s="3" t="s">
        <v>1915</v>
      </c>
      <c r="O3533" s="5">
        <v>1.0</v>
      </c>
      <c r="P3533" s="6" t="str">
        <f t="shared" si="2"/>
        <v>Commercial Services &amp; Supplies</v>
      </c>
    </row>
    <row r="3534" hidden="1">
      <c r="A3534" s="3" t="s">
        <v>14362</v>
      </c>
      <c r="B3534" s="4">
        <v>542337.0</v>
      </c>
      <c r="C3534" s="3" t="s">
        <v>14363</v>
      </c>
      <c r="D3534" s="3" t="s">
        <v>14364</v>
      </c>
      <c r="E3534" s="3" t="s">
        <v>14365</v>
      </c>
      <c r="F3534" s="3" t="s">
        <v>19</v>
      </c>
      <c r="G3534" s="3" t="s">
        <v>112</v>
      </c>
      <c r="H3534" s="3">
        <v>5.0</v>
      </c>
      <c r="I3534" s="3" t="s">
        <v>14362</v>
      </c>
      <c r="J3534" s="3" t="s">
        <v>22</v>
      </c>
      <c r="K3534" s="3" t="s">
        <v>58</v>
      </c>
      <c r="L3534" s="3" t="s">
        <v>73</v>
      </c>
      <c r="M3534" s="3" t="s">
        <v>988</v>
      </c>
      <c r="N3534" s="3" t="s">
        <v>1509</v>
      </c>
      <c r="O3534" s="5">
        <v>790.5921668</v>
      </c>
      <c r="P3534" s="6" t="str">
        <f t="shared" si="2"/>
        <v>Retailing</v>
      </c>
    </row>
    <row r="3535" hidden="1">
      <c r="A3535" s="3" t="s">
        <v>14366</v>
      </c>
      <c r="B3535" s="4">
        <v>542351.0</v>
      </c>
      <c r="C3535" s="3" t="s">
        <v>14367</v>
      </c>
      <c r="D3535" s="3" t="s">
        <v>14368</v>
      </c>
      <c r="E3535" s="3" t="s">
        <v>14367</v>
      </c>
      <c r="F3535" s="3" t="s">
        <v>19</v>
      </c>
      <c r="G3535" s="3" t="s">
        <v>112</v>
      </c>
      <c r="H3535" s="3">
        <v>10.0</v>
      </c>
      <c r="I3535" s="3" t="s">
        <v>14366</v>
      </c>
      <c r="J3535" s="3" t="s">
        <v>22</v>
      </c>
      <c r="K3535" s="3" t="s">
        <v>23</v>
      </c>
      <c r="L3535" s="3" t="s">
        <v>32</v>
      </c>
      <c r="M3535" s="3" t="s">
        <v>33</v>
      </c>
      <c r="N3535" s="3" t="s">
        <v>6662</v>
      </c>
      <c r="O3535" s="5">
        <v>912.324292</v>
      </c>
      <c r="P3535" s="6" t="str">
        <f t="shared" si="2"/>
        <v>Paper, Forest &amp; Jute Products</v>
      </c>
    </row>
    <row r="3536" hidden="1">
      <c r="A3536" s="3" t="s">
        <v>14369</v>
      </c>
      <c r="B3536" s="4">
        <v>542367.0</v>
      </c>
      <c r="C3536" s="3" t="s">
        <v>14370</v>
      </c>
      <c r="D3536" s="3" t="s">
        <v>14371</v>
      </c>
      <c r="E3536" s="3" t="s">
        <v>14372</v>
      </c>
      <c r="F3536" s="3" t="s">
        <v>19</v>
      </c>
      <c r="G3536" s="3" t="s">
        <v>86</v>
      </c>
      <c r="H3536" s="3">
        <v>10.0</v>
      </c>
      <c r="I3536" s="3" t="s">
        <v>14369</v>
      </c>
      <c r="J3536" s="3" t="s">
        <v>22</v>
      </c>
      <c r="K3536" s="3" t="s">
        <v>473</v>
      </c>
      <c r="L3536" s="3" t="s">
        <v>473</v>
      </c>
      <c r="M3536" s="3" t="s">
        <v>1391</v>
      </c>
      <c r="N3536" s="3" t="s">
        <v>1392</v>
      </c>
      <c r="O3536" s="5">
        <v>169.4772327</v>
      </c>
      <c r="P3536" s="6" t="str">
        <f t="shared" si="2"/>
        <v>IT - Software</v>
      </c>
    </row>
    <row r="3537" hidden="1">
      <c r="A3537" s="3" t="s">
        <v>14373</v>
      </c>
      <c r="B3537" s="4">
        <v>542376.0</v>
      </c>
      <c r="C3537" s="3" t="s">
        <v>14374</v>
      </c>
      <c r="D3537" s="3" t="s">
        <v>14375</v>
      </c>
      <c r="E3537" s="3" t="s">
        <v>14376</v>
      </c>
      <c r="F3537" s="3" t="s">
        <v>19</v>
      </c>
      <c r="G3537" s="3" t="s">
        <v>72</v>
      </c>
      <c r="H3537" s="3">
        <v>10.0</v>
      </c>
      <c r="I3537" s="3" t="s">
        <v>14373</v>
      </c>
      <c r="J3537" s="3" t="s">
        <v>22</v>
      </c>
      <c r="K3537" s="3" t="s">
        <v>204</v>
      </c>
      <c r="L3537" s="3" t="s">
        <v>204</v>
      </c>
      <c r="M3537" s="3" t="s">
        <v>378</v>
      </c>
      <c r="N3537" s="3" t="s">
        <v>468</v>
      </c>
      <c r="O3537" s="5">
        <v>1.0</v>
      </c>
      <c r="P3537" s="6" t="str">
        <f t="shared" si="2"/>
        <v>Finance</v>
      </c>
    </row>
    <row r="3538" hidden="1">
      <c r="A3538" s="3" t="s">
        <v>14377</v>
      </c>
      <c r="B3538" s="4">
        <v>542377.0</v>
      </c>
      <c r="C3538" s="3" t="s">
        <v>14378</v>
      </c>
      <c r="D3538" s="3" t="s">
        <v>14379</v>
      </c>
      <c r="E3538" s="3" t="s">
        <v>14380</v>
      </c>
      <c r="F3538" s="3" t="s">
        <v>19</v>
      </c>
      <c r="G3538" s="3" t="s">
        <v>72</v>
      </c>
      <c r="H3538" s="3">
        <v>10.0</v>
      </c>
      <c r="I3538" s="3" t="s">
        <v>14377</v>
      </c>
      <c r="J3538" s="3" t="s">
        <v>22</v>
      </c>
      <c r="K3538" s="3" t="s">
        <v>204</v>
      </c>
      <c r="L3538" s="3" t="s">
        <v>204</v>
      </c>
      <c r="M3538" s="3" t="s">
        <v>378</v>
      </c>
      <c r="N3538" s="3" t="s">
        <v>379</v>
      </c>
      <c r="O3538" s="5">
        <v>1.0</v>
      </c>
      <c r="P3538" s="6" t="str">
        <f t="shared" si="2"/>
        <v>Non Banking Financial Company (NBFC)</v>
      </c>
    </row>
    <row r="3539" hidden="1">
      <c r="A3539" s="3" t="s">
        <v>3408</v>
      </c>
      <c r="B3539" s="4">
        <v>530055.0</v>
      </c>
      <c r="C3539" s="3" t="s">
        <v>14381</v>
      </c>
      <c r="D3539" s="3" t="s">
        <v>14382</v>
      </c>
      <c r="E3539" s="3" t="s">
        <v>14383</v>
      </c>
      <c r="F3539" s="3" t="s">
        <v>19</v>
      </c>
      <c r="G3539" s="3" t="s">
        <v>72</v>
      </c>
      <c r="H3539" s="3">
        <v>10.0</v>
      </c>
      <c r="I3539" s="3" t="s">
        <v>7306</v>
      </c>
      <c r="J3539" s="3" t="s">
        <v>22</v>
      </c>
      <c r="K3539" s="3" t="s">
        <v>1673</v>
      </c>
      <c r="L3539" s="3" t="s">
        <v>1673</v>
      </c>
      <c r="M3539" s="3" t="s">
        <v>1674</v>
      </c>
      <c r="N3539" s="3" t="s">
        <v>1675</v>
      </c>
      <c r="O3539" s="5">
        <v>1.0</v>
      </c>
      <c r="P3539" s="6" t="str">
        <f t="shared" si="2"/>
        <v>Commercial Services &amp; Supplies</v>
      </c>
    </row>
    <row r="3540">
      <c r="A3540" s="3" t="s">
        <v>3261</v>
      </c>
      <c r="B3540" s="4">
        <v>532942.0</v>
      </c>
      <c r="C3540" s="3" t="s">
        <v>14384</v>
      </c>
      <c r="D3540" s="3" t="s">
        <v>14385</v>
      </c>
      <c r="E3540" s="3" t="s">
        <v>14386</v>
      </c>
      <c r="F3540" s="3" t="s">
        <v>19</v>
      </c>
      <c r="G3540" s="3" t="s">
        <v>20</v>
      </c>
      <c r="H3540" s="3">
        <v>2.0</v>
      </c>
      <c r="I3540" s="3" t="s">
        <v>10843</v>
      </c>
      <c r="J3540" s="3" t="s">
        <v>22</v>
      </c>
      <c r="K3540" s="3" t="s">
        <v>97</v>
      </c>
      <c r="L3540" s="3" t="s">
        <v>965</v>
      </c>
      <c r="M3540" s="3" t="s">
        <v>965</v>
      </c>
      <c r="N3540" s="3" t="s">
        <v>966</v>
      </c>
      <c r="O3540" s="5">
        <v>10186.7730141</v>
      </c>
      <c r="P3540" s="6" t="str">
        <f t="shared" si="2"/>
        <v>Civil Construction</v>
      </c>
    </row>
    <row r="3541" hidden="1">
      <c r="A3541" s="3" t="s">
        <v>14387</v>
      </c>
      <c r="B3541" s="4">
        <v>542437.0</v>
      </c>
      <c r="C3541" s="3" t="s">
        <v>14388</v>
      </c>
      <c r="D3541" s="3" t="s">
        <v>14389</v>
      </c>
      <c r="E3541" s="3" t="s">
        <v>14390</v>
      </c>
      <c r="F3541" s="3" t="s">
        <v>19</v>
      </c>
      <c r="G3541" s="3" t="s">
        <v>86</v>
      </c>
      <c r="H3541" s="3">
        <v>10.0</v>
      </c>
      <c r="I3541" s="3" t="s">
        <v>14387</v>
      </c>
      <c r="J3541" s="3" t="s">
        <v>22</v>
      </c>
      <c r="K3541" s="3" t="s">
        <v>410</v>
      </c>
      <c r="L3541" s="3" t="s">
        <v>411</v>
      </c>
      <c r="M3541" s="3" t="s">
        <v>4270</v>
      </c>
      <c r="N3541" s="3" t="s">
        <v>12769</v>
      </c>
      <c r="O3541" s="5">
        <v>201.9545552</v>
      </c>
      <c r="P3541" s="6" t="str">
        <f t="shared" si="2"/>
        <v>Consumable Fuels</v>
      </c>
    </row>
    <row r="3542" hidden="1">
      <c r="A3542" s="3" t="s">
        <v>14391</v>
      </c>
      <c r="B3542" s="4">
        <v>530161.0</v>
      </c>
      <c r="C3542" s="3" t="s">
        <v>14392</v>
      </c>
      <c r="D3542" s="3" t="s">
        <v>14393</v>
      </c>
      <c r="E3542" s="3" t="s">
        <v>14394</v>
      </c>
      <c r="F3542" s="3" t="s">
        <v>19</v>
      </c>
      <c r="G3542" s="3" t="s">
        <v>1858</v>
      </c>
      <c r="H3542" s="3">
        <v>10.0</v>
      </c>
      <c r="I3542" s="3" t="s">
        <v>7397</v>
      </c>
      <c r="J3542" s="3" t="s">
        <v>22</v>
      </c>
      <c r="K3542" s="3" t="s">
        <v>1673</v>
      </c>
      <c r="L3542" s="3" t="s">
        <v>1673</v>
      </c>
      <c r="M3542" s="3" t="s">
        <v>1674</v>
      </c>
      <c r="N3542" s="3" t="s">
        <v>1915</v>
      </c>
      <c r="O3542" s="5">
        <v>1.0</v>
      </c>
      <c r="P3542" s="6" t="str">
        <f t="shared" si="2"/>
        <v>Commercial Services &amp; Supplies</v>
      </c>
    </row>
    <row r="3543" hidden="1">
      <c r="A3543" s="3" t="s">
        <v>14395</v>
      </c>
      <c r="B3543" s="4">
        <v>542459.0</v>
      </c>
      <c r="C3543" s="3" t="s">
        <v>14396</v>
      </c>
      <c r="D3543" s="3" t="s">
        <v>14397</v>
      </c>
      <c r="E3543" s="3" t="s">
        <v>14398</v>
      </c>
      <c r="F3543" s="3" t="s">
        <v>19</v>
      </c>
      <c r="G3543" s="3" t="s">
        <v>112</v>
      </c>
      <c r="H3543" s="3">
        <v>10.0</v>
      </c>
      <c r="I3543" s="3" t="s">
        <v>14395</v>
      </c>
      <c r="J3543" s="3" t="s">
        <v>22</v>
      </c>
      <c r="K3543" s="3" t="s">
        <v>58</v>
      </c>
      <c r="L3543" s="3" t="s">
        <v>133</v>
      </c>
      <c r="M3543" s="3" t="s">
        <v>134</v>
      </c>
      <c r="N3543" s="3" t="s">
        <v>135</v>
      </c>
      <c r="O3543" s="5">
        <v>81.1620759</v>
      </c>
      <c r="P3543" s="6" t="str">
        <f t="shared" si="2"/>
        <v>Auto Components &amp; Equipments</v>
      </c>
    </row>
    <row r="3544" hidden="1">
      <c r="A3544" s="3" t="s">
        <v>14399</v>
      </c>
      <c r="B3544" s="4">
        <v>542460.0</v>
      </c>
      <c r="C3544" s="3" t="s">
        <v>14400</v>
      </c>
      <c r="D3544" s="3" t="s">
        <v>14401</v>
      </c>
      <c r="E3544" s="3" t="s">
        <v>14400</v>
      </c>
      <c r="F3544" s="3" t="s">
        <v>19</v>
      </c>
      <c r="G3544" s="3" t="s">
        <v>112</v>
      </c>
      <c r="H3544" s="3">
        <v>10.0</v>
      </c>
      <c r="I3544" s="3" t="s">
        <v>14399</v>
      </c>
      <c r="J3544" s="3" t="s">
        <v>22</v>
      </c>
      <c r="K3544" s="3" t="s">
        <v>97</v>
      </c>
      <c r="L3544" s="3" t="s">
        <v>98</v>
      </c>
      <c r="M3544" s="3" t="s">
        <v>99</v>
      </c>
      <c r="N3544" s="3" t="s">
        <v>100</v>
      </c>
      <c r="O3544" s="5">
        <v>3648.1500083</v>
      </c>
      <c r="P3544" s="6" t="str">
        <f t="shared" si="2"/>
        <v>Industrial Products</v>
      </c>
    </row>
    <row r="3545" hidden="1">
      <c r="A3545" s="3" t="s">
        <v>14402</v>
      </c>
      <c r="B3545" s="4">
        <v>530259.0</v>
      </c>
      <c r="C3545" s="3" t="s">
        <v>14403</v>
      </c>
      <c r="D3545" s="3" t="s">
        <v>14404</v>
      </c>
      <c r="E3545" s="3" t="s">
        <v>14405</v>
      </c>
      <c r="F3545" s="3" t="s">
        <v>19</v>
      </c>
      <c r="G3545" s="3" t="s">
        <v>44</v>
      </c>
      <c r="H3545" s="3">
        <v>10.0</v>
      </c>
      <c r="I3545" s="3" t="s">
        <v>7493</v>
      </c>
      <c r="J3545" s="3" t="s">
        <v>22</v>
      </c>
      <c r="K3545" s="3" t="s">
        <v>1673</v>
      </c>
      <c r="L3545" s="3" t="s">
        <v>1673</v>
      </c>
      <c r="M3545" s="3" t="s">
        <v>1689</v>
      </c>
      <c r="N3545" s="3" t="s">
        <v>6382</v>
      </c>
      <c r="O3545" s="5">
        <v>1.0</v>
      </c>
      <c r="P3545" s="6" t="str">
        <f t="shared" si="2"/>
        <v>Transport Services</v>
      </c>
    </row>
    <row r="3546">
      <c r="A3546" s="3" t="s">
        <v>3275</v>
      </c>
      <c r="B3546" s="4">
        <v>532966.0</v>
      </c>
      <c r="C3546" s="3" t="s">
        <v>14406</v>
      </c>
      <c r="D3546" s="3" t="s">
        <v>14407</v>
      </c>
      <c r="E3546" s="3" t="s">
        <v>14408</v>
      </c>
      <c r="F3546" s="3" t="s">
        <v>19</v>
      </c>
      <c r="G3546" s="3" t="s">
        <v>20</v>
      </c>
      <c r="H3546" s="3">
        <v>2.0</v>
      </c>
      <c r="I3546" s="3" t="s">
        <v>10884</v>
      </c>
      <c r="J3546" s="3" t="s">
        <v>22</v>
      </c>
      <c r="K3546" s="3" t="s">
        <v>97</v>
      </c>
      <c r="L3546" s="3" t="s">
        <v>98</v>
      </c>
      <c r="M3546" s="3" t="s">
        <v>99</v>
      </c>
      <c r="N3546" s="3" t="s">
        <v>14409</v>
      </c>
      <c r="O3546" s="5">
        <v>24244.6511604</v>
      </c>
      <c r="P3546" s="6" t="str">
        <f t="shared" si="2"/>
        <v>Industrial Manufacturing</v>
      </c>
    </row>
    <row r="3547" hidden="1">
      <c r="A3547" s="3" t="s">
        <v>11454</v>
      </c>
      <c r="B3547" s="4">
        <v>530289.0</v>
      </c>
      <c r="C3547" s="3" t="s">
        <v>14410</v>
      </c>
      <c r="D3547" s="3" t="s">
        <v>14411</v>
      </c>
      <c r="E3547" s="3" t="s">
        <v>14412</v>
      </c>
      <c r="F3547" s="3" t="s">
        <v>19</v>
      </c>
      <c r="G3547" s="3" t="s">
        <v>72</v>
      </c>
      <c r="H3547" s="3">
        <v>10.0</v>
      </c>
      <c r="I3547" s="3" t="s">
        <v>7514</v>
      </c>
      <c r="J3547" s="3" t="s">
        <v>22</v>
      </c>
      <c r="K3547" s="3" t="s">
        <v>1673</v>
      </c>
      <c r="L3547" s="3" t="s">
        <v>1673</v>
      </c>
      <c r="M3547" s="3" t="s">
        <v>1674</v>
      </c>
      <c r="N3547" s="3" t="s">
        <v>1675</v>
      </c>
      <c r="O3547" s="5">
        <v>1.0</v>
      </c>
      <c r="P3547" s="6" t="str">
        <f t="shared" si="2"/>
        <v>Commercial Services &amp; Supplies</v>
      </c>
    </row>
    <row r="3548" hidden="1">
      <c r="A3548" s="3" t="s">
        <v>14413</v>
      </c>
      <c r="B3548" s="4">
        <v>542544.0</v>
      </c>
      <c r="C3548" s="3" t="s">
        <v>14414</v>
      </c>
      <c r="D3548" s="3" t="s">
        <v>14415</v>
      </c>
      <c r="E3548" s="3" t="s">
        <v>14416</v>
      </c>
      <c r="F3548" s="3" t="s">
        <v>19</v>
      </c>
      <c r="G3548" s="3" t="s">
        <v>72</v>
      </c>
      <c r="H3548" s="3">
        <v>10.0</v>
      </c>
      <c r="I3548" s="3" t="s">
        <v>14413</v>
      </c>
      <c r="J3548" s="3" t="s">
        <v>22</v>
      </c>
      <c r="K3548" s="3" t="s">
        <v>204</v>
      </c>
      <c r="L3548" s="3" t="s">
        <v>204</v>
      </c>
      <c r="M3548" s="3" t="s">
        <v>378</v>
      </c>
      <c r="N3548" s="3" t="s">
        <v>468</v>
      </c>
      <c r="O3548" s="5">
        <v>1.0</v>
      </c>
      <c r="P3548" s="6" t="str">
        <f t="shared" si="2"/>
        <v>Finance</v>
      </c>
    </row>
    <row r="3549" hidden="1">
      <c r="A3549" s="3" t="s">
        <v>14417</v>
      </c>
      <c r="B3549" s="4">
        <v>542579.0</v>
      </c>
      <c r="C3549" s="3" t="s">
        <v>14418</v>
      </c>
      <c r="D3549" s="3" t="s">
        <v>14419</v>
      </c>
      <c r="E3549" s="3" t="s">
        <v>14420</v>
      </c>
      <c r="F3549" s="3" t="s">
        <v>19</v>
      </c>
      <c r="G3549" s="3" t="s">
        <v>86</v>
      </c>
      <c r="H3549" s="3">
        <v>1.0</v>
      </c>
      <c r="I3549" s="3" t="s">
        <v>14417</v>
      </c>
      <c r="J3549" s="3" t="s">
        <v>22</v>
      </c>
      <c r="K3549" s="3" t="s">
        <v>58</v>
      </c>
      <c r="L3549" s="3" t="s">
        <v>211</v>
      </c>
      <c r="M3549" s="3" t="s">
        <v>211</v>
      </c>
      <c r="N3549" s="3" t="s">
        <v>947</v>
      </c>
      <c r="O3549" s="5">
        <v>247.5771978</v>
      </c>
      <c r="P3549" s="6" t="str">
        <f t="shared" si="2"/>
        <v>Consumer Durables</v>
      </c>
    </row>
    <row r="3550" hidden="1">
      <c r="A3550" s="3" t="s">
        <v>14421</v>
      </c>
      <c r="B3550" s="4">
        <v>542580.0</v>
      </c>
      <c r="C3550" s="3" t="s">
        <v>14422</v>
      </c>
      <c r="D3550" s="3" t="s">
        <v>14423</v>
      </c>
      <c r="E3550" s="3" t="s">
        <v>14424</v>
      </c>
      <c r="F3550" s="3" t="s">
        <v>19</v>
      </c>
      <c r="G3550" s="3" t="s">
        <v>86</v>
      </c>
      <c r="H3550" s="3">
        <v>10.0</v>
      </c>
      <c r="I3550" s="3" t="s">
        <v>14421</v>
      </c>
      <c r="J3550" s="3" t="s">
        <v>22</v>
      </c>
      <c r="K3550" s="3" t="s">
        <v>97</v>
      </c>
      <c r="L3550" s="3" t="s">
        <v>98</v>
      </c>
      <c r="M3550" s="3" t="s">
        <v>1747</v>
      </c>
      <c r="N3550" s="3" t="s">
        <v>1767</v>
      </c>
      <c r="O3550" s="5">
        <v>207.3727999</v>
      </c>
      <c r="P3550" s="6" t="str">
        <f t="shared" si="2"/>
        <v>Heavy Electrical Equipment</v>
      </c>
    </row>
    <row r="3551" hidden="1">
      <c r="A3551" s="3" t="s">
        <v>14425</v>
      </c>
      <c r="B3551" s="4">
        <v>542592.0</v>
      </c>
      <c r="C3551" s="3" t="s">
        <v>14426</v>
      </c>
      <c r="D3551" s="3" t="s">
        <v>14427</v>
      </c>
      <c r="E3551" s="3" t="s">
        <v>14428</v>
      </c>
      <c r="F3551" s="3" t="s">
        <v>19</v>
      </c>
      <c r="G3551" s="3" t="s">
        <v>6293</v>
      </c>
      <c r="H3551" s="3">
        <v>10.0</v>
      </c>
      <c r="I3551" s="3" t="s">
        <v>14425</v>
      </c>
      <c r="J3551" s="3" t="s">
        <v>22</v>
      </c>
      <c r="K3551" s="3" t="s">
        <v>58</v>
      </c>
      <c r="L3551" s="3" t="s">
        <v>73</v>
      </c>
      <c r="M3551" s="3" t="s">
        <v>800</v>
      </c>
      <c r="N3551" s="3" t="s">
        <v>801</v>
      </c>
      <c r="O3551" s="5">
        <v>34.941</v>
      </c>
      <c r="P3551" s="6" t="str">
        <f t="shared" si="2"/>
        <v>Other Consumer Services</v>
      </c>
    </row>
    <row r="3552" hidden="1">
      <c r="A3552" s="3" t="s">
        <v>14429</v>
      </c>
      <c r="B3552" s="4">
        <v>530495.0</v>
      </c>
      <c r="C3552" s="3" t="s">
        <v>14430</v>
      </c>
      <c r="D3552" s="3" t="s">
        <v>14431</v>
      </c>
      <c r="E3552" s="3" t="s">
        <v>14432</v>
      </c>
      <c r="F3552" s="3" t="s">
        <v>19</v>
      </c>
      <c r="G3552" s="3" t="s">
        <v>72</v>
      </c>
      <c r="H3552" s="3">
        <v>10.0</v>
      </c>
      <c r="I3552" s="3" t="s">
        <v>7672</v>
      </c>
      <c r="J3552" s="3" t="s">
        <v>22</v>
      </c>
      <c r="K3552" s="3" t="s">
        <v>1673</v>
      </c>
      <c r="L3552" s="3" t="s">
        <v>1673</v>
      </c>
      <c r="M3552" s="3" t="s">
        <v>1674</v>
      </c>
      <c r="N3552" s="3" t="s">
        <v>1915</v>
      </c>
      <c r="O3552" s="5">
        <v>1.0</v>
      </c>
      <c r="P3552" s="6" t="str">
        <f t="shared" si="2"/>
        <v>Commercial Services &amp; Supplies</v>
      </c>
    </row>
    <row r="3553" hidden="1">
      <c r="A3553" s="3" t="s">
        <v>14433</v>
      </c>
      <c r="B3553" s="4">
        <v>542599.0</v>
      </c>
      <c r="C3553" s="3" t="s">
        <v>14434</v>
      </c>
      <c r="D3553" s="3" t="s">
        <v>14435</v>
      </c>
      <c r="E3553" s="3" t="s">
        <v>14436</v>
      </c>
      <c r="F3553" s="3" t="s">
        <v>19</v>
      </c>
      <c r="G3553" s="3" t="s">
        <v>6293</v>
      </c>
      <c r="H3553" s="3">
        <v>10.0</v>
      </c>
      <c r="I3553" s="3" t="s">
        <v>14433</v>
      </c>
      <c r="J3553" s="3" t="s">
        <v>22</v>
      </c>
      <c r="K3553" s="3" t="s">
        <v>58</v>
      </c>
      <c r="L3553" s="3" t="s">
        <v>73</v>
      </c>
      <c r="M3553" s="3" t="s">
        <v>74</v>
      </c>
      <c r="N3553" s="3" t="s">
        <v>75</v>
      </c>
      <c r="O3553" s="5">
        <v>28.26968</v>
      </c>
      <c r="P3553" s="6" t="str">
        <f t="shared" si="2"/>
        <v>Leisure Services</v>
      </c>
    </row>
    <row r="3554" hidden="1">
      <c r="A3554" s="3" t="s">
        <v>14437</v>
      </c>
      <c r="B3554" s="4">
        <v>530581.0</v>
      </c>
      <c r="C3554" s="3" t="s">
        <v>14438</v>
      </c>
      <c r="D3554" s="3" t="s">
        <v>14439</v>
      </c>
      <c r="E3554" s="3" t="s">
        <v>14440</v>
      </c>
      <c r="F3554" s="3" t="s">
        <v>19</v>
      </c>
      <c r="G3554" s="3" t="s">
        <v>44</v>
      </c>
      <c r="H3554" s="3">
        <v>5.0</v>
      </c>
      <c r="I3554" s="3" t="s">
        <v>7737</v>
      </c>
      <c r="J3554" s="3" t="s">
        <v>22</v>
      </c>
      <c r="K3554" s="3" t="s">
        <v>1673</v>
      </c>
      <c r="L3554" s="3" t="s">
        <v>1673</v>
      </c>
      <c r="M3554" s="3" t="s">
        <v>1674</v>
      </c>
      <c r="N3554" s="3" t="s">
        <v>1675</v>
      </c>
      <c r="O3554" s="5">
        <v>1.0</v>
      </c>
      <c r="P3554" s="6" t="str">
        <f t="shared" si="2"/>
        <v>Commercial Services &amp; Supplies</v>
      </c>
    </row>
    <row r="3555" hidden="1">
      <c r="A3555" s="3" t="s">
        <v>3707</v>
      </c>
      <c r="B3555" s="4">
        <v>530797.0</v>
      </c>
      <c r="C3555" s="3" t="s">
        <v>14441</v>
      </c>
      <c r="D3555" s="3" t="s">
        <v>14442</v>
      </c>
      <c r="E3555" s="3" t="s">
        <v>14443</v>
      </c>
      <c r="F3555" s="3" t="s">
        <v>19</v>
      </c>
      <c r="G3555" s="3" t="s">
        <v>44</v>
      </c>
      <c r="H3555" s="3">
        <v>10.0</v>
      </c>
      <c r="I3555" s="3" t="s">
        <v>7884</v>
      </c>
      <c r="J3555" s="3" t="s">
        <v>22</v>
      </c>
      <c r="K3555" s="3" t="s">
        <v>1673</v>
      </c>
      <c r="L3555" s="3" t="s">
        <v>1673</v>
      </c>
      <c r="M3555" s="3" t="s">
        <v>1674</v>
      </c>
      <c r="N3555" s="3" t="s">
        <v>1915</v>
      </c>
      <c r="O3555" s="5">
        <v>1.0</v>
      </c>
      <c r="P3555" s="6" t="str">
        <f t="shared" si="2"/>
        <v>Commercial Services &amp; Supplies</v>
      </c>
    </row>
    <row r="3556">
      <c r="A3556" s="3" t="s">
        <v>14444</v>
      </c>
      <c r="B3556" s="4">
        <v>533033.0</v>
      </c>
      <c r="C3556" s="3" t="s">
        <v>14445</v>
      </c>
      <c r="D3556" s="3" t="s">
        <v>14446</v>
      </c>
      <c r="E3556" s="3" t="s">
        <v>14447</v>
      </c>
      <c r="F3556" s="3" t="s">
        <v>19</v>
      </c>
      <c r="G3556" s="3" t="s">
        <v>20</v>
      </c>
      <c r="H3556" s="3">
        <v>1.0</v>
      </c>
      <c r="I3556" s="3" t="s">
        <v>10985</v>
      </c>
      <c r="J3556" s="3" t="s">
        <v>22</v>
      </c>
      <c r="K3556" s="3" t="s">
        <v>97</v>
      </c>
      <c r="L3556" s="3" t="s">
        <v>965</v>
      </c>
      <c r="M3556" s="3" t="s">
        <v>965</v>
      </c>
      <c r="N3556" s="3" t="s">
        <v>966</v>
      </c>
      <c r="O3556" s="5">
        <v>9455.73048</v>
      </c>
      <c r="P3556" s="6" t="str">
        <f t="shared" si="2"/>
        <v>Civil Construction</v>
      </c>
    </row>
    <row r="3557">
      <c r="A3557" s="3" t="s">
        <v>11642</v>
      </c>
      <c r="B3557" s="4">
        <v>533169.0</v>
      </c>
      <c r="C3557" s="3" t="s">
        <v>14448</v>
      </c>
      <c r="D3557" s="3" t="s">
        <v>14449</v>
      </c>
      <c r="E3557" s="3" t="s">
        <v>14450</v>
      </c>
      <c r="F3557" s="3" t="s">
        <v>19</v>
      </c>
      <c r="G3557" s="3" t="s">
        <v>20</v>
      </c>
      <c r="H3557" s="3">
        <v>2.0</v>
      </c>
      <c r="I3557" s="3" t="s">
        <v>11115</v>
      </c>
      <c r="J3557" s="3" t="s">
        <v>22</v>
      </c>
      <c r="K3557" s="3" t="s">
        <v>97</v>
      </c>
      <c r="L3557" s="3" t="s">
        <v>965</v>
      </c>
      <c r="M3557" s="3" t="s">
        <v>965</v>
      </c>
      <c r="N3557" s="3" t="s">
        <v>966</v>
      </c>
      <c r="O3557" s="5">
        <v>7345.9467407</v>
      </c>
      <c r="P3557" s="6" t="str">
        <f t="shared" si="2"/>
        <v>Civil Construction</v>
      </c>
    </row>
    <row r="3558">
      <c r="A3558" s="3" t="s">
        <v>14451</v>
      </c>
      <c r="B3558" s="4">
        <v>533271.0</v>
      </c>
      <c r="C3558" s="3" t="s">
        <v>14452</v>
      </c>
      <c r="D3558" s="3" t="s">
        <v>14453</v>
      </c>
      <c r="E3558" s="3" t="s">
        <v>14454</v>
      </c>
      <c r="F3558" s="3" t="s">
        <v>19</v>
      </c>
      <c r="G3558" s="3" t="s">
        <v>20</v>
      </c>
      <c r="H3558" s="3">
        <v>5.0</v>
      </c>
      <c r="I3558" s="3" t="s">
        <v>11235</v>
      </c>
      <c r="J3558" s="3" t="s">
        <v>22</v>
      </c>
      <c r="K3558" s="3" t="s">
        <v>97</v>
      </c>
      <c r="L3558" s="3" t="s">
        <v>965</v>
      </c>
      <c r="M3558" s="3" t="s">
        <v>965</v>
      </c>
      <c r="N3558" s="3" t="s">
        <v>966</v>
      </c>
      <c r="O3558" s="5">
        <v>6450.6516</v>
      </c>
      <c r="P3558" s="6" t="str">
        <f t="shared" si="2"/>
        <v>Civil Construction</v>
      </c>
    </row>
    <row r="3559">
      <c r="A3559" s="3" t="s">
        <v>14455</v>
      </c>
      <c r="B3559" s="4">
        <v>533272.0</v>
      </c>
      <c r="C3559" s="3" t="s">
        <v>14456</v>
      </c>
      <c r="D3559" s="3" t="s">
        <v>14457</v>
      </c>
      <c r="E3559" s="3" t="s">
        <v>14458</v>
      </c>
      <c r="F3559" s="3" t="s">
        <v>19</v>
      </c>
      <c r="G3559" s="3" t="s">
        <v>20</v>
      </c>
      <c r="H3559" s="3">
        <v>10.0</v>
      </c>
      <c r="I3559" s="3" t="s">
        <v>11239</v>
      </c>
      <c r="J3559" s="3" t="s">
        <v>22</v>
      </c>
      <c r="K3559" s="3" t="s">
        <v>97</v>
      </c>
      <c r="L3559" s="3" t="s">
        <v>98</v>
      </c>
      <c r="M3559" s="3" t="s">
        <v>99</v>
      </c>
      <c r="N3559" s="3" t="s">
        <v>14409</v>
      </c>
      <c r="O3559" s="5">
        <v>28417.34</v>
      </c>
      <c r="P3559" s="6" t="str">
        <f t="shared" si="2"/>
        <v>Industrial Manufacturing</v>
      </c>
    </row>
    <row r="3560" hidden="1">
      <c r="A3560" s="3" t="s">
        <v>14459</v>
      </c>
      <c r="B3560" s="4">
        <v>542654.0</v>
      </c>
      <c r="C3560" s="3" t="s">
        <v>14460</v>
      </c>
      <c r="D3560" s="3" t="s">
        <v>14461</v>
      </c>
      <c r="E3560" s="3" t="s">
        <v>14462</v>
      </c>
      <c r="F3560" s="3" t="s">
        <v>19</v>
      </c>
      <c r="G3560" s="3" t="s">
        <v>86</v>
      </c>
      <c r="H3560" s="3">
        <v>10.0</v>
      </c>
      <c r="I3560" s="3" t="s">
        <v>14459</v>
      </c>
      <c r="J3560" s="3" t="s">
        <v>22</v>
      </c>
      <c r="K3560" s="3" t="s">
        <v>58</v>
      </c>
      <c r="L3560" s="3" t="s">
        <v>182</v>
      </c>
      <c r="M3560" s="3" t="s">
        <v>1168</v>
      </c>
      <c r="N3560" s="3" t="s">
        <v>1568</v>
      </c>
      <c r="O3560" s="5">
        <v>27.8790395</v>
      </c>
      <c r="P3560" s="6" t="str">
        <f t="shared" si="2"/>
        <v>Entertainment</v>
      </c>
    </row>
    <row r="3561" hidden="1">
      <c r="A3561" s="3" t="s">
        <v>3172</v>
      </c>
      <c r="B3561" s="4">
        <v>530907.0</v>
      </c>
      <c r="C3561" s="3" t="s">
        <v>14463</v>
      </c>
      <c r="D3561" s="3" t="s">
        <v>14464</v>
      </c>
      <c r="E3561" s="3" t="s">
        <v>14465</v>
      </c>
      <c r="F3561" s="3" t="s">
        <v>19</v>
      </c>
      <c r="G3561" s="3" t="s">
        <v>44</v>
      </c>
      <c r="H3561" s="3">
        <v>10.0</v>
      </c>
      <c r="I3561" s="3" t="s">
        <v>7966</v>
      </c>
      <c r="J3561" s="3" t="s">
        <v>22</v>
      </c>
      <c r="K3561" s="3" t="s">
        <v>1673</v>
      </c>
      <c r="L3561" s="3" t="s">
        <v>1673</v>
      </c>
      <c r="M3561" s="3" t="s">
        <v>1674</v>
      </c>
      <c r="N3561" s="3" t="s">
        <v>1675</v>
      </c>
      <c r="O3561" s="5">
        <v>1.0</v>
      </c>
      <c r="P3561" s="6" t="str">
        <f t="shared" si="2"/>
        <v>Commercial Services &amp; Supplies</v>
      </c>
    </row>
    <row r="3562" hidden="1">
      <c r="A3562" s="3" t="s">
        <v>14466</v>
      </c>
      <c r="B3562" s="4">
        <v>542665.0</v>
      </c>
      <c r="C3562" s="3" t="s">
        <v>14467</v>
      </c>
      <c r="D3562" s="3" t="s">
        <v>14468</v>
      </c>
      <c r="E3562" s="3" t="s">
        <v>14469</v>
      </c>
      <c r="F3562" s="3" t="s">
        <v>19</v>
      </c>
      <c r="G3562" s="3" t="s">
        <v>20</v>
      </c>
      <c r="H3562" s="3">
        <v>10.0</v>
      </c>
      <c r="I3562" s="3" t="s">
        <v>14466</v>
      </c>
      <c r="J3562" s="3" t="s">
        <v>22</v>
      </c>
      <c r="K3562" s="3" t="s">
        <v>23</v>
      </c>
      <c r="L3562" s="3" t="s">
        <v>24</v>
      </c>
      <c r="M3562" s="3" t="s">
        <v>25</v>
      </c>
      <c r="N3562" s="3" t="s">
        <v>26</v>
      </c>
      <c r="O3562" s="5">
        <v>4204.5930346</v>
      </c>
      <c r="P3562" s="6" t="str">
        <f t="shared" si="2"/>
        <v>Specialty Chemicals</v>
      </c>
    </row>
    <row r="3563" hidden="1">
      <c r="A3563" s="3" t="s">
        <v>14470</v>
      </c>
      <c r="B3563" s="4">
        <v>542666.0</v>
      </c>
      <c r="C3563" s="3" t="s">
        <v>14471</v>
      </c>
      <c r="D3563" s="3" t="s">
        <v>14472</v>
      </c>
      <c r="E3563" s="3" t="s">
        <v>14473</v>
      </c>
      <c r="F3563" s="3" t="s">
        <v>19</v>
      </c>
      <c r="G3563" s="3" t="s">
        <v>112</v>
      </c>
      <c r="H3563" s="3">
        <v>10.0</v>
      </c>
      <c r="I3563" s="3" t="s">
        <v>14470</v>
      </c>
      <c r="J3563" s="3" t="s">
        <v>22</v>
      </c>
      <c r="K3563" s="3" t="s">
        <v>97</v>
      </c>
      <c r="L3563" s="3" t="s">
        <v>98</v>
      </c>
      <c r="M3563" s="3" t="s">
        <v>100</v>
      </c>
      <c r="N3563" s="3" t="s">
        <v>373</v>
      </c>
      <c r="O3563" s="5">
        <v>21.4056647</v>
      </c>
      <c r="P3563" s="6" t="str">
        <f t="shared" si="2"/>
        <v>Industrial Products</v>
      </c>
    </row>
    <row r="3564" hidden="1">
      <c r="A3564" s="3" t="s">
        <v>9091</v>
      </c>
      <c r="B3564" s="4">
        <v>530917.0</v>
      </c>
      <c r="C3564" s="3" t="s">
        <v>14474</v>
      </c>
      <c r="D3564" s="3" t="s">
        <v>14475</v>
      </c>
      <c r="E3564" s="3" t="s">
        <v>14476</v>
      </c>
      <c r="F3564" s="3" t="s">
        <v>19</v>
      </c>
      <c r="G3564" s="3" t="s">
        <v>1858</v>
      </c>
      <c r="H3564" s="3">
        <v>10.0</v>
      </c>
      <c r="I3564" s="3" t="s">
        <v>7973</v>
      </c>
      <c r="J3564" s="3" t="s">
        <v>22</v>
      </c>
      <c r="K3564" s="3" t="s">
        <v>1673</v>
      </c>
      <c r="L3564" s="3" t="s">
        <v>1673</v>
      </c>
      <c r="M3564" s="3" t="s">
        <v>1674</v>
      </c>
      <c r="N3564" s="3" t="s">
        <v>1675</v>
      </c>
      <c r="O3564" s="5">
        <v>1.0</v>
      </c>
      <c r="P3564" s="6" t="str">
        <f t="shared" si="2"/>
        <v>Commercial Services &amp; Supplies</v>
      </c>
    </row>
    <row r="3565" hidden="1">
      <c r="A3565" s="3" t="s">
        <v>5865</v>
      </c>
      <c r="B3565" s="4">
        <v>530929.0</v>
      </c>
      <c r="C3565" s="3" t="s">
        <v>14477</v>
      </c>
      <c r="D3565" s="3" t="s">
        <v>14478</v>
      </c>
      <c r="E3565" s="3" t="s">
        <v>14479</v>
      </c>
      <c r="F3565" s="3" t="s">
        <v>19</v>
      </c>
      <c r="G3565" s="3" t="s">
        <v>1858</v>
      </c>
      <c r="H3565" s="3">
        <v>10.0</v>
      </c>
      <c r="I3565" s="3" t="s">
        <v>7989</v>
      </c>
      <c r="J3565" s="3" t="s">
        <v>22</v>
      </c>
      <c r="K3565" s="3" t="s">
        <v>1673</v>
      </c>
      <c r="L3565" s="3" t="s">
        <v>1673</v>
      </c>
      <c r="M3565" s="3" t="s">
        <v>1674</v>
      </c>
      <c r="N3565" s="3" t="s">
        <v>1915</v>
      </c>
      <c r="O3565" s="5">
        <v>1.0</v>
      </c>
      <c r="P3565" s="6" t="str">
        <f t="shared" si="2"/>
        <v>Commercial Services &amp; Supplies</v>
      </c>
    </row>
    <row r="3566" hidden="1">
      <c r="A3566" s="3" t="s">
        <v>14480</v>
      </c>
      <c r="B3566" s="4">
        <v>542669.0</v>
      </c>
      <c r="C3566" s="3" t="s">
        <v>14481</v>
      </c>
      <c r="D3566" s="3" t="s">
        <v>14482</v>
      </c>
      <c r="E3566" s="3" t="s">
        <v>14483</v>
      </c>
      <c r="F3566" s="3" t="s">
        <v>19</v>
      </c>
      <c r="G3566" s="3" t="s">
        <v>112</v>
      </c>
      <c r="H3566" s="3">
        <v>1.0</v>
      </c>
      <c r="I3566" s="3" t="s">
        <v>14480</v>
      </c>
      <c r="J3566" s="3" t="s">
        <v>22</v>
      </c>
      <c r="K3566" s="3" t="s">
        <v>97</v>
      </c>
      <c r="L3566" s="3" t="s">
        <v>98</v>
      </c>
      <c r="M3566" s="3" t="s">
        <v>100</v>
      </c>
      <c r="N3566" s="3" t="s">
        <v>612</v>
      </c>
      <c r="O3566" s="5">
        <v>1326.9301913</v>
      </c>
      <c r="P3566" s="6" t="str">
        <f t="shared" si="2"/>
        <v>Industrial Products</v>
      </c>
    </row>
    <row r="3567" hidden="1">
      <c r="A3567" s="3" t="s">
        <v>14484</v>
      </c>
      <c r="B3567" s="4">
        <v>542670.0</v>
      </c>
      <c r="C3567" s="3" t="s">
        <v>14485</v>
      </c>
      <c r="D3567" s="3" t="s">
        <v>14486</v>
      </c>
      <c r="E3567" s="3" t="s">
        <v>14487</v>
      </c>
      <c r="F3567" s="3" t="s">
        <v>19</v>
      </c>
      <c r="G3567" s="3" t="s">
        <v>112</v>
      </c>
      <c r="H3567" s="3">
        <v>1.0</v>
      </c>
      <c r="I3567" s="3" t="s">
        <v>14484</v>
      </c>
      <c r="J3567" s="3" t="s">
        <v>22</v>
      </c>
      <c r="K3567" s="3" t="s">
        <v>97</v>
      </c>
      <c r="L3567" s="3" t="s">
        <v>98</v>
      </c>
      <c r="M3567" s="3" t="s">
        <v>1747</v>
      </c>
      <c r="N3567" s="3" t="s">
        <v>1748</v>
      </c>
      <c r="O3567" s="5">
        <v>792.9794496</v>
      </c>
      <c r="P3567" s="6" t="str">
        <f t="shared" si="2"/>
        <v>Electrical Equipment</v>
      </c>
    </row>
    <row r="3568" hidden="1">
      <c r="A3568" s="3" t="s">
        <v>14488</v>
      </c>
      <c r="B3568" s="4">
        <v>542678.0</v>
      </c>
      <c r="C3568" s="3" t="s">
        <v>14489</v>
      </c>
      <c r="D3568" s="3" t="s">
        <v>14490</v>
      </c>
      <c r="E3568" s="3" t="s">
        <v>14491</v>
      </c>
      <c r="F3568" s="3" t="s">
        <v>19</v>
      </c>
      <c r="G3568" s="3" t="s">
        <v>2428</v>
      </c>
      <c r="H3568" s="3">
        <v>10.0</v>
      </c>
      <c r="I3568" s="3" t="s">
        <v>14488</v>
      </c>
      <c r="J3568" s="3" t="s">
        <v>22</v>
      </c>
      <c r="K3568" s="3" t="s">
        <v>45</v>
      </c>
      <c r="L3568" s="3" t="s">
        <v>45</v>
      </c>
      <c r="M3568" s="3" t="s">
        <v>46</v>
      </c>
      <c r="N3568" s="3" t="s">
        <v>47</v>
      </c>
      <c r="O3568" s="5">
        <v>61.88424</v>
      </c>
      <c r="P3568" s="6" t="str">
        <f t="shared" si="2"/>
        <v>Pharmaceuticals</v>
      </c>
    </row>
    <row r="3569" hidden="1">
      <c r="A3569" s="3" t="s">
        <v>14492</v>
      </c>
      <c r="B3569" s="4">
        <v>542679.0</v>
      </c>
      <c r="C3569" s="3" t="s">
        <v>14493</v>
      </c>
      <c r="D3569" s="3" t="s">
        <v>14494</v>
      </c>
      <c r="E3569" s="3" t="s">
        <v>14495</v>
      </c>
      <c r="F3569" s="3" t="s">
        <v>19</v>
      </c>
      <c r="G3569" s="3" t="s">
        <v>44</v>
      </c>
      <c r="H3569" s="3">
        <v>10.0</v>
      </c>
      <c r="I3569" s="3" t="s">
        <v>14492</v>
      </c>
      <c r="J3569" s="3" t="s">
        <v>22</v>
      </c>
      <c r="K3569" s="3" t="s">
        <v>97</v>
      </c>
      <c r="L3569" s="3" t="s">
        <v>98</v>
      </c>
      <c r="M3569" s="3" t="s">
        <v>1747</v>
      </c>
      <c r="N3569" s="3" t="s">
        <v>1748</v>
      </c>
      <c r="O3569" s="5">
        <v>86.587365</v>
      </c>
      <c r="P3569" s="6" t="str">
        <f t="shared" si="2"/>
        <v>Electrical Equipment</v>
      </c>
    </row>
    <row r="3570" hidden="1">
      <c r="A3570" s="3" t="s">
        <v>14496</v>
      </c>
      <c r="B3570" s="4">
        <v>542682.0</v>
      </c>
      <c r="C3570" s="3" t="s">
        <v>14497</v>
      </c>
      <c r="D3570" s="3" t="s">
        <v>14498</v>
      </c>
      <c r="E3570" s="3" t="s">
        <v>14499</v>
      </c>
      <c r="F3570" s="3" t="s">
        <v>19</v>
      </c>
      <c r="G3570" s="3" t="s">
        <v>44</v>
      </c>
      <c r="H3570" s="3">
        <v>10.0</v>
      </c>
      <c r="I3570" s="3" t="s">
        <v>14496</v>
      </c>
      <c r="J3570" s="3" t="s">
        <v>22</v>
      </c>
      <c r="K3570" s="3" t="s">
        <v>97</v>
      </c>
      <c r="L3570" s="3" t="s">
        <v>98</v>
      </c>
      <c r="M3570" s="3" t="s">
        <v>99</v>
      </c>
      <c r="N3570" s="3" t="s">
        <v>100</v>
      </c>
      <c r="O3570" s="5">
        <v>16.0478604</v>
      </c>
      <c r="P3570" s="6" t="str">
        <f t="shared" si="2"/>
        <v>Industrial Products</v>
      </c>
    </row>
    <row r="3571" hidden="1">
      <c r="A3571" s="3" t="s">
        <v>14500</v>
      </c>
      <c r="B3571" s="4">
        <v>542684.0</v>
      </c>
      <c r="C3571" s="3" t="s">
        <v>14501</v>
      </c>
      <c r="D3571" s="3" t="s">
        <v>14502</v>
      </c>
      <c r="E3571" s="3" t="s">
        <v>14503</v>
      </c>
      <c r="F3571" s="3" t="s">
        <v>19</v>
      </c>
      <c r="G3571" s="3" t="s">
        <v>112</v>
      </c>
      <c r="H3571" s="3">
        <v>10.0</v>
      </c>
      <c r="I3571" s="3" t="s">
        <v>14500</v>
      </c>
      <c r="J3571" s="3" t="s">
        <v>22</v>
      </c>
      <c r="K3571" s="3" t="s">
        <v>97</v>
      </c>
      <c r="L3571" s="3" t="s">
        <v>98</v>
      </c>
      <c r="M3571" s="3" t="s">
        <v>100</v>
      </c>
      <c r="N3571" s="3" t="s">
        <v>580</v>
      </c>
      <c r="O3571" s="5">
        <v>1.0</v>
      </c>
      <c r="P3571" s="6" t="str">
        <f t="shared" si="2"/>
        <v>Industrial Products</v>
      </c>
    </row>
    <row r="3572" hidden="1">
      <c r="A3572" s="3" t="s">
        <v>14504</v>
      </c>
      <c r="B3572" s="4">
        <v>542685.0</v>
      </c>
      <c r="C3572" s="3" t="s">
        <v>14505</v>
      </c>
      <c r="D3572" s="3" t="s">
        <v>14506</v>
      </c>
      <c r="E3572" s="3" t="s">
        <v>14507</v>
      </c>
      <c r="F3572" s="3" t="s">
        <v>19</v>
      </c>
      <c r="G3572" s="3" t="s">
        <v>86</v>
      </c>
      <c r="H3572" s="3">
        <v>2.0</v>
      </c>
      <c r="I3572" s="3" t="s">
        <v>14504</v>
      </c>
      <c r="J3572" s="3" t="s">
        <v>22</v>
      </c>
      <c r="K3572" s="3" t="s">
        <v>58</v>
      </c>
      <c r="L3572" s="3" t="s">
        <v>182</v>
      </c>
      <c r="M3572" s="3" t="s">
        <v>183</v>
      </c>
      <c r="N3572" s="3" t="s">
        <v>6800</v>
      </c>
      <c r="O3572" s="5">
        <v>208.944685</v>
      </c>
      <c r="P3572" s="6" t="str">
        <f t="shared" si="2"/>
        <v>Media</v>
      </c>
    </row>
    <row r="3573" hidden="1">
      <c r="A3573" s="3" t="s">
        <v>3901</v>
      </c>
      <c r="B3573" s="4">
        <v>531017.0</v>
      </c>
      <c r="C3573" s="3" t="s">
        <v>14508</v>
      </c>
      <c r="D3573" s="3" t="s">
        <v>14509</v>
      </c>
      <c r="E3573" s="3" t="s">
        <v>14510</v>
      </c>
      <c r="F3573" s="3" t="s">
        <v>19</v>
      </c>
      <c r="G3573" s="3" t="s">
        <v>44</v>
      </c>
      <c r="H3573" s="3">
        <v>10.0</v>
      </c>
      <c r="I3573" s="3" t="s">
        <v>8047</v>
      </c>
      <c r="J3573" s="3" t="s">
        <v>22</v>
      </c>
      <c r="K3573" s="3" t="s">
        <v>1673</v>
      </c>
      <c r="L3573" s="3" t="s">
        <v>1673</v>
      </c>
      <c r="M3573" s="3" t="s">
        <v>1674</v>
      </c>
      <c r="N3573" s="3" t="s">
        <v>1675</v>
      </c>
      <c r="O3573" s="5">
        <v>1.0</v>
      </c>
      <c r="P3573" s="6" t="str">
        <f t="shared" si="2"/>
        <v>Commercial Services &amp; Supplies</v>
      </c>
    </row>
    <row r="3574" hidden="1">
      <c r="A3574" s="3" t="s">
        <v>14511</v>
      </c>
      <c r="B3574" s="4">
        <v>542721.0</v>
      </c>
      <c r="C3574" s="3" t="s">
        <v>14512</v>
      </c>
      <c r="D3574" s="3" t="s">
        <v>14513</v>
      </c>
      <c r="E3574" s="3" t="s">
        <v>14514</v>
      </c>
      <c r="F3574" s="3" t="s">
        <v>19</v>
      </c>
      <c r="G3574" s="3" t="s">
        <v>112</v>
      </c>
      <c r="H3574" s="3">
        <v>10.0</v>
      </c>
      <c r="I3574" s="3" t="s">
        <v>14511</v>
      </c>
      <c r="J3574" s="3" t="s">
        <v>22</v>
      </c>
      <c r="K3574" s="3" t="s">
        <v>58</v>
      </c>
      <c r="L3574" s="3" t="s">
        <v>80</v>
      </c>
      <c r="M3574" s="3" t="s">
        <v>81</v>
      </c>
      <c r="N3574" s="3" t="s">
        <v>2471</v>
      </c>
      <c r="O3574" s="5">
        <v>71.7106348</v>
      </c>
      <c r="P3574" s="6" t="str">
        <f t="shared" si="2"/>
        <v>Textiles &amp; Apparels</v>
      </c>
    </row>
    <row r="3575" hidden="1">
      <c r="A3575" s="3" t="s">
        <v>14515</v>
      </c>
      <c r="B3575" s="4">
        <v>542724.0</v>
      </c>
      <c r="C3575" s="3" t="s">
        <v>14516</v>
      </c>
      <c r="D3575" s="3" t="s">
        <v>14517</v>
      </c>
      <c r="E3575" s="3" t="s">
        <v>14518</v>
      </c>
      <c r="F3575" s="3" t="s">
        <v>19</v>
      </c>
      <c r="G3575" s="3" t="s">
        <v>86</v>
      </c>
      <c r="H3575" s="3">
        <v>2.0</v>
      </c>
      <c r="I3575" s="3" t="s">
        <v>14515</v>
      </c>
      <c r="J3575" s="3" t="s">
        <v>22</v>
      </c>
      <c r="K3575" s="3" t="s">
        <v>45</v>
      </c>
      <c r="L3575" s="3" t="s">
        <v>45</v>
      </c>
      <c r="M3575" s="3" t="s">
        <v>46</v>
      </c>
      <c r="N3575" s="3" t="s">
        <v>47</v>
      </c>
      <c r="O3575" s="5">
        <v>109.0264282</v>
      </c>
      <c r="P3575" s="6" t="str">
        <f t="shared" si="2"/>
        <v>Pharmaceuticals</v>
      </c>
    </row>
    <row r="3576" hidden="1">
      <c r="A3576" s="3" t="s">
        <v>14519</v>
      </c>
      <c r="B3576" s="4">
        <v>542725.0</v>
      </c>
      <c r="C3576" s="3" t="s">
        <v>14520</v>
      </c>
      <c r="D3576" s="3" t="s">
        <v>14521</v>
      </c>
      <c r="E3576" s="3" t="s">
        <v>14522</v>
      </c>
      <c r="F3576" s="3" t="s">
        <v>19</v>
      </c>
      <c r="G3576" s="3" t="s">
        <v>112</v>
      </c>
      <c r="H3576" s="3">
        <v>1.0</v>
      </c>
      <c r="I3576" s="3" t="s">
        <v>14519</v>
      </c>
      <c r="J3576" s="3" t="s">
        <v>22</v>
      </c>
      <c r="K3576" s="3" t="s">
        <v>58</v>
      </c>
      <c r="L3576" s="3" t="s">
        <v>80</v>
      </c>
      <c r="M3576" s="3" t="s">
        <v>81</v>
      </c>
      <c r="N3576" s="3" t="s">
        <v>944</v>
      </c>
      <c r="O3576" s="5">
        <v>886.0110299</v>
      </c>
      <c r="P3576" s="6" t="str">
        <f t="shared" si="2"/>
        <v>Textiles &amp; Apparels</v>
      </c>
    </row>
    <row r="3577">
      <c r="A3577" s="3" t="s">
        <v>3280</v>
      </c>
      <c r="B3577" s="4">
        <v>533293.0</v>
      </c>
      <c r="C3577" s="3" t="s">
        <v>14523</v>
      </c>
      <c r="D3577" s="3" t="s">
        <v>14524</v>
      </c>
      <c r="E3577" s="3" t="s">
        <v>14525</v>
      </c>
      <c r="F3577" s="3" t="s">
        <v>19</v>
      </c>
      <c r="G3577" s="3" t="s">
        <v>20</v>
      </c>
      <c r="H3577" s="3">
        <v>2.0</v>
      </c>
      <c r="I3577" s="3" t="s">
        <v>11280</v>
      </c>
      <c r="J3577" s="3" t="s">
        <v>22</v>
      </c>
      <c r="K3577" s="3" t="s">
        <v>97</v>
      </c>
      <c r="L3577" s="3" t="s">
        <v>98</v>
      </c>
      <c r="M3577" s="3" t="s">
        <v>100</v>
      </c>
      <c r="N3577" s="3" t="s">
        <v>983</v>
      </c>
      <c r="O3577" s="5">
        <v>19855.6500124</v>
      </c>
      <c r="P3577" s="6" t="str">
        <f t="shared" si="2"/>
        <v>Industrial Products</v>
      </c>
    </row>
    <row r="3578" hidden="1">
      <c r="A3578" s="3" t="s">
        <v>14526</v>
      </c>
      <c r="B3578" s="4">
        <v>542727.0</v>
      </c>
      <c r="C3578" s="3" t="s">
        <v>14527</v>
      </c>
      <c r="D3578" s="3" t="s">
        <v>14528</v>
      </c>
      <c r="E3578" s="3" t="s">
        <v>14529</v>
      </c>
      <c r="F3578" s="3" t="s">
        <v>19</v>
      </c>
      <c r="G3578" s="3" t="s">
        <v>2428</v>
      </c>
      <c r="H3578" s="3">
        <v>10.0</v>
      </c>
      <c r="I3578" s="3" t="s">
        <v>14526</v>
      </c>
      <c r="J3578" s="3" t="s">
        <v>22</v>
      </c>
      <c r="K3578" s="3" t="s">
        <v>58</v>
      </c>
      <c r="L3578" s="3" t="s">
        <v>73</v>
      </c>
      <c r="M3578" s="3" t="s">
        <v>988</v>
      </c>
      <c r="N3578" s="3" t="s">
        <v>989</v>
      </c>
      <c r="O3578" s="5">
        <v>64.701624</v>
      </c>
      <c r="P3578" s="6" t="str">
        <f t="shared" si="2"/>
        <v>Retailing</v>
      </c>
    </row>
    <row r="3579" hidden="1">
      <c r="A3579" s="3" t="s">
        <v>14530</v>
      </c>
      <c r="B3579" s="4">
        <v>542728.0</v>
      </c>
      <c r="C3579" s="3" t="s">
        <v>14531</v>
      </c>
      <c r="D3579" s="3" t="s">
        <v>14532</v>
      </c>
      <c r="E3579" s="3" t="s">
        <v>14533</v>
      </c>
      <c r="F3579" s="3" t="s">
        <v>19</v>
      </c>
      <c r="G3579" s="3" t="s">
        <v>6293</v>
      </c>
      <c r="H3579" s="3">
        <v>10.0</v>
      </c>
      <c r="I3579" s="3" t="s">
        <v>14530</v>
      </c>
      <c r="J3579" s="3" t="s">
        <v>22</v>
      </c>
      <c r="K3579" s="3" t="s">
        <v>58</v>
      </c>
      <c r="L3579" s="3" t="s">
        <v>211</v>
      </c>
      <c r="M3579" s="3" t="s">
        <v>211</v>
      </c>
      <c r="N3579" s="3" t="s">
        <v>947</v>
      </c>
      <c r="O3579" s="5">
        <v>1.0</v>
      </c>
      <c r="P3579" s="6" t="str">
        <f t="shared" si="2"/>
        <v>Consumer Durables</v>
      </c>
    </row>
    <row r="3580" hidden="1">
      <c r="A3580" s="3" t="s">
        <v>14534</v>
      </c>
      <c r="B3580" s="4">
        <v>542729.0</v>
      </c>
      <c r="C3580" s="3" t="s">
        <v>14535</v>
      </c>
      <c r="D3580" s="3" t="s">
        <v>14536</v>
      </c>
      <c r="E3580" s="3" t="s">
        <v>14537</v>
      </c>
      <c r="F3580" s="3" t="s">
        <v>19</v>
      </c>
      <c r="G3580" s="3" t="s">
        <v>112</v>
      </c>
      <c r="H3580" s="3">
        <v>10.0</v>
      </c>
      <c r="I3580" s="3" t="s">
        <v>14534</v>
      </c>
      <c r="J3580" s="3" t="s">
        <v>22</v>
      </c>
      <c r="K3580" s="3" t="s">
        <v>58</v>
      </c>
      <c r="L3580" s="3" t="s">
        <v>80</v>
      </c>
      <c r="M3580" s="3" t="s">
        <v>81</v>
      </c>
      <c r="N3580" s="3" t="s">
        <v>82</v>
      </c>
      <c r="O3580" s="5">
        <v>488.4683997</v>
      </c>
      <c r="P3580" s="6" t="str">
        <f t="shared" si="2"/>
        <v>Textiles &amp; Apparels</v>
      </c>
    </row>
    <row r="3581">
      <c r="A3581" s="3" t="s">
        <v>14538</v>
      </c>
      <c r="B3581" s="4">
        <v>533326.0</v>
      </c>
      <c r="C3581" s="3" t="s">
        <v>14539</v>
      </c>
      <c r="D3581" s="3" t="s">
        <v>14540</v>
      </c>
      <c r="E3581" s="3" t="s">
        <v>14541</v>
      </c>
      <c r="F3581" s="3" t="s">
        <v>19</v>
      </c>
      <c r="G3581" s="3" t="s">
        <v>20</v>
      </c>
      <c r="H3581" s="3">
        <v>1.0</v>
      </c>
      <c r="I3581" s="3" t="s">
        <v>11328</v>
      </c>
      <c r="J3581" s="3" t="s">
        <v>22</v>
      </c>
      <c r="K3581" s="3" t="s">
        <v>97</v>
      </c>
      <c r="L3581" s="3" t="s">
        <v>98</v>
      </c>
      <c r="M3581" s="3" t="s">
        <v>99</v>
      </c>
      <c r="N3581" s="3" t="s">
        <v>100</v>
      </c>
      <c r="O3581" s="5">
        <v>8082.5997435</v>
      </c>
      <c r="P3581" s="6" t="str">
        <f t="shared" si="2"/>
        <v>Industrial Products</v>
      </c>
    </row>
    <row r="3582" hidden="1">
      <c r="A3582" s="3" t="s">
        <v>3775</v>
      </c>
      <c r="B3582" s="4">
        <v>531203.0</v>
      </c>
      <c r="C3582" s="3" t="s">
        <v>14542</v>
      </c>
      <c r="D3582" s="3" t="s">
        <v>14543</v>
      </c>
      <c r="E3582" s="3" t="s">
        <v>14544</v>
      </c>
      <c r="F3582" s="3" t="s">
        <v>19</v>
      </c>
      <c r="G3582" s="3" t="s">
        <v>44</v>
      </c>
      <c r="H3582" s="3">
        <v>10.0</v>
      </c>
      <c r="I3582" s="3" t="s">
        <v>8222</v>
      </c>
      <c r="J3582" s="3" t="s">
        <v>22</v>
      </c>
      <c r="K3582" s="3" t="s">
        <v>1673</v>
      </c>
      <c r="L3582" s="3" t="s">
        <v>1673</v>
      </c>
      <c r="M3582" s="3" t="s">
        <v>1674</v>
      </c>
      <c r="N3582" s="3" t="s">
        <v>3189</v>
      </c>
      <c r="O3582" s="5">
        <v>1.0</v>
      </c>
      <c r="P3582" s="6" t="str">
        <f t="shared" si="2"/>
        <v>Commercial Services &amp; Supplies</v>
      </c>
    </row>
    <row r="3583">
      <c r="A3583" s="3" t="s">
        <v>10443</v>
      </c>
      <c r="B3583" s="4">
        <v>533339.0</v>
      </c>
      <c r="C3583" s="3" t="s">
        <v>14545</v>
      </c>
      <c r="D3583" s="3" t="s">
        <v>14546</v>
      </c>
      <c r="E3583" s="3" t="s">
        <v>14547</v>
      </c>
      <c r="F3583" s="3" t="s">
        <v>19</v>
      </c>
      <c r="G3583" s="3" t="s">
        <v>20</v>
      </c>
      <c r="H3583" s="3">
        <v>1.0</v>
      </c>
      <c r="I3583" s="3" t="s">
        <v>11344</v>
      </c>
      <c r="J3583" s="3" t="s">
        <v>22</v>
      </c>
      <c r="K3583" s="3" t="s">
        <v>97</v>
      </c>
      <c r="L3583" s="3" t="s">
        <v>98</v>
      </c>
      <c r="M3583" s="3" t="s">
        <v>806</v>
      </c>
      <c r="N3583" s="3" t="s">
        <v>806</v>
      </c>
      <c r="O3583" s="5">
        <v>10277.06525</v>
      </c>
      <c r="P3583" s="6" t="str">
        <f t="shared" si="2"/>
        <v>Aerospace &amp; Defense</v>
      </c>
    </row>
    <row r="3584">
      <c r="A3584" s="3" t="s">
        <v>14548</v>
      </c>
      <c r="B3584" s="4">
        <v>533553.0</v>
      </c>
      <c r="C3584" s="3" t="s">
        <v>14549</v>
      </c>
      <c r="D3584" s="3" t="s">
        <v>14550</v>
      </c>
      <c r="E3584" s="3" t="s">
        <v>14551</v>
      </c>
      <c r="F3584" s="3" t="s">
        <v>19</v>
      </c>
      <c r="G3584" s="3" t="s">
        <v>20</v>
      </c>
      <c r="H3584" s="3">
        <v>2.0</v>
      </c>
      <c r="I3584" s="3" t="s">
        <v>11407</v>
      </c>
      <c r="J3584" s="3" t="s">
        <v>22</v>
      </c>
      <c r="K3584" s="3" t="s">
        <v>97</v>
      </c>
      <c r="L3584" s="3" t="s">
        <v>98</v>
      </c>
      <c r="M3584" s="3" t="s">
        <v>1747</v>
      </c>
      <c r="N3584" s="3" t="s">
        <v>1767</v>
      </c>
      <c r="O3584" s="5">
        <v>5871.24832</v>
      </c>
      <c r="P3584" s="6" t="str">
        <f t="shared" si="2"/>
        <v>Heavy Electrical Equipment</v>
      </c>
    </row>
    <row r="3585" hidden="1">
      <c r="A3585" s="3" t="s">
        <v>14552</v>
      </c>
      <c r="B3585" s="4">
        <v>542770.0</v>
      </c>
      <c r="C3585" s="3" t="s">
        <v>14553</v>
      </c>
      <c r="D3585" s="3" t="s">
        <v>14554</v>
      </c>
      <c r="E3585" s="3" t="s">
        <v>14555</v>
      </c>
      <c r="F3585" s="3" t="s">
        <v>19</v>
      </c>
      <c r="G3585" s="3" t="s">
        <v>86</v>
      </c>
      <c r="H3585" s="3">
        <v>5.0</v>
      </c>
      <c r="I3585" s="3" t="s">
        <v>14552</v>
      </c>
      <c r="J3585" s="3" t="s">
        <v>22</v>
      </c>
      <c r="K3585" s="3" t="s">
        <v>473</v>
      </c>
      <c r="L3585" s="3" t="s">
        <v>473</v>
      </c>
      <c r="M3585" s="3" t="s">
        <v>1391</v>
      </c>
      <c r="N3585" s="3" t="s">
        <v>1840</v>
      </c>
      <c r="O3585" s="5">
        <v>1298.8297687</v>
      </c>
      <c r="P3585" s="6" t="str">
        <f t="shared" si="2"/>
        <v>Computers - Software &amp; Consulting</v>
      </c>
    </row>
    <row r="3586" hidden="1">
      <c r="A3586" s="3" t="s">
        <v>14556</v>
      </c>
      <c r="B3586" s="4">
        <v>542771.0</v>
      </c>
      <c r="C3586" s="3" t="s">
        <v>14557</v>
      </c>
      <c r="D3586" s="3" t="s">
        <v>14558</v>
      </c>
      <c r="E3586" s="3" t="s">
        <v>14559</v>
      </c>
      <c r="F3586" s="3" t="s">
        <v>19</v>
      </c>
      <c r="G3586" s="3" t="s">
        <v>6293</v>
      </c>
      <c r="H3586" s="3">
        <v>10.0</v>
      </c>
      <c r="I3586" s="3" t="s">
        <v>14556</v>
      </c>
      <c r="J3586" s="3" t="s">
        <v>22</v>
      </c>
      <c r="K3586" s="3" t="s">
        <v>145</v>
      </c>
      <c r="L3586" s="3" t="s">
        <v>145</v>
      </c>
      <c r="M3586" s="3" t="s">
        <v>2790</v>
      </c>
      <c r="N3586" s="3" t="s">
        <v>2791</v>
      </c>
      <c r="O3586" s="5">
        <v>21.14949</v>
      </c>
      <c r="P3586" s="6" t="str">
        <f t="shared" si="2"/>
        <v>Personal Products</v>
      </c>
    </row>
    <row r="3587" hidden="1">
      <c r="A3587" s="3" t="s">
        <v>14560</v>
      </c>
      <c r="B3587" s="4">
        <v>542772.0</v>
      </c>
      <c r="C3587" s="3" t="s">
        <v>14561</v>
      </c>
      <c r="D3587" s="3" t="s">
        <v>14562</v>
      </c>
      <c r="E3587" s="3" t="s">
        <v>14563</v>
      </c>
      <c r="F3587" s="3" t="s">
        <v>19</v>
      </c>
      <c r="G3587" s="3" t="s">
        <v>20</v>
      </c>
      <c r="H3587" s="3">
        <v>1.0</v>
      </c>
      <c r="I3587" s="3" t="s">
        <v>14560</v>
      </c>
      <c r="J3587" s="3" t="s">
        <v>22</v>
      </c>
      <c r="K3587" s="3" t="s">
        <v>204</v>
      </c>
      <c r="L3587" s="3" t="s">
        <v>204</v>
      </c>
      <c r="M3587" s="3" t="s">
        <v>205</v>
      </c>
      <c r="N3587" s="3" t="s">
        <v>2109</v>
      </c>
      <c r="O3587" s="5">
        <v>1.0</v>
      </c>
      <c r="P3587" s="6" t="str">
        <f t="shared" si="2"/>
        <v>Capital Markets</v>
      </c>
    </row>
    <row r="3588">
      <c r="A3588" s="3" t="s">
        <v>10447</v>
      </c>
      <c r="B3588" s="4">
        <v>533655.0</v>
      </c>
      <c r="C3588" s="3" t="s">
        <v>14564</v>
      </c>
      <c r="D3588" s="3" t="s">
        <v>14565</v>
      </c>
      <c r="E3588" s="3" t="s">
        <v>14566</v>
      </c>
      <c r="F3588" s="3" t="s">
        <v>19</v>
      </c>
      <c r="G3588" s="3" t="s">
        <v>20</v>
      </c>
      <c r="H3588" s="3">
        <v>1.0</v>
      </c>
      <c r="I3588" s="3" t="s">
        <v>11442</v>
      </c>
      <c r="J3588" s="3" t="s">
        <v>22</v>
      </c>
      <c r="K3588" s="3" t="s">
        <v>97</v>
      </c>
      <c r="L3588" s="3" t="s">
        <v>98</v>
      </c>
      <c r="M3588" s="3" t="s">
        <v>1747</v>
      </c>
      <c r="N3588" s="3" t="s">
        <v>1767</v>
      </c>
      <c r="O3588" s="5">
        <v>20037.8033641</v>
      </c>
      <c r="P3588" s="6" t="str">
        <f t="shared" si="2"/>
        <v>Heavy Electrical Equipment</v>
      </c>
    </row>
    <row r="3589" hidden="1">
      <c r="A3589" s="3" t="s">
        <v>14567</v>
      </c>
      <c r="B3589" s="4">
        <v>542774.0</v>
      </c>
      <c r="C3589" s="3" t="s">
        <v>14568</v>
      </c>
      <c r="D3589" s="3" t="s">
        <v>14569</v>
      </c>
      <c r="E3589" s="3" t="s">
        <v>14570</v>
      </c>
      <c r="F3589" s="3" t="s">
        <v>19</v>
      </c>
      <c r="G3589" s="3" t="s">
        <v>112</v>
      </c>
      <c r="H3589" s="3">
        <v>1.0</v>
      </c>
      <c r="I3589" s="3" t="s">
        <v>14567</v>
      </c>
      <c r="J3589" s="3" t="s">
        <v>22</v>
      </c>
      <c r="K3589" s="3" t="s">
        <v>204</v>
      </c>
      <c r="L3589" s="3" t="s">
        <v>204</v>
      </c>
      <c r="M3589" s="3" t="s">
        <v>378</v>
      </c>
      <c r="N3589" s="3" t="s">
        <v>379</v>
      </c>
      <c r="O3589" s="5">
        <v>1980.4297588</v>
      </c>
      <c r="P3589" s="6" t="str">
        <f t="shared" si="2"/>
        <v>Non Banking Financial Company (NBFC)</v>
      </c>
    </row>
    <row r="3590" hidden="1">
      <c r="A3590" s="3" t="s">
        <v>14571</v>
      </c>
      <c r="B3590" s="4">
        <v>542801.0</v>
      </c>
      <c r="C3590" s="3" t="s">
        <v>14572</v>
      </c>
      <c r="D3590" s="3" t="s">
        <v>14573</v>
      </c>
      <c r="E3590" s="3" t="s">
        <v>14574</v>
      </c>
      <c r="F3590" s="3" t="s">
        <v>19</v>
      </c>
      <c r="G3590" s="3" t="s">
        <v>2428</v>
      </c>
      <c r="H3590" s="3">
        <v>10.0</v>
      </c>
      <c r="I3590" s="3" t="s">
        <v>14571</v>
      </c>
      <c r="J3590" s="3" t="s">
        <v>22</v>
      </c>
      <c r="K3590" s="3" t="s">
        <v>97</v>
      </c>
      <c r="L3590" s="3" t="s">
        <v>98</v>
      </c>
      <c r="M3590" s="3" t="s">
        <v>99</v>
      </c>
      <c r="N3590" s="3" t="s">
        <v>100</v>
      </c>
      <c r="O3590" s="5">
        <v>24.4536</v>
      </c>
      <c r="P3590" s="6" t="str">
        <f t="shared" si="2"/>
        <v>Industrial Products</v>
      </c>
    </row>
    <row r="3591" hidden="1">
      <c r="A3591" s="3" t="s">
        <v>14575</v>
      </c>
      <c r="B3591" s="4">
        <v>542802.0</v>
      </c>
      <c r="C3591" s="3" t="s">
        <v>14576</v>
      </c>
      <c r="D3591" s="3" t="s">
        <v>14577</v>
      </c>
      <c r="E3591" s="3" t="s">
        <v>14578</v>
      </c>
      <c r="F3591" s="3" t="s">
        <v>19</v>
      </c>
      <c r="G3591" s="3" t="s">
        <v>112</v>
      </c>
      <c r="H3591" s="3">
        <v>1.0</v>
      </c>
      <c r="I3591" s="3" t="s">
        <v>14575</v>
      </c>
      <c r="J3591" s="3" t="s">
        <v>22</v>
      </c>
      <c r="K3591" s="3" t="s">
        <v>2675</v>
      </c>
      <c r="L3591" s="3" t="s">
        <v>2675</v>
      </c>
      <c r="M3591" s="3" t="s">
        <v>2675</v>
      </c>
      <c r="N3591" s="3" t="s">
        <v>2675</v>
      </c>
      <c r="O3591" s="5">
        <v>59.45476</v>
      </c>
      <c r="P3591" s="6" t="str">
        <f t="shared" si="2"/>
        <v>Diversified</v>
      </c>
    </row>
    <row r="3592" hidden="1">
      <c r="A3592" s="3" t="s">
        <v>10966</v>
      </c>
      <c r="B3592" s="4">
        <v>531334.0</v>
      </c>
      <c r="C3592" s="3" t="s">
        <v>14579</v>
      </c>
      <c r="D3592" s="3" t="s">
        <v>14580</v>
      </c>
      <c r="E3592" s="3" t="s">
        <v>14581</v>
      </c>
      <c r="F3592" s="3" t="s">
        <v>19</v>
      </c>
      <c r="G3592" s="3" t="s">
        <v>72</v>
      </c>
      <c r="H3592" s="3">
        <v>10.0</v>
      </c>
      <c r="I3592" s="3" t="s">
        <v>8421</v>
      </c>
      <c r="J3592" s="3" t="s">
        <v>22</v>
      </c>
      <c r="K3592" s="3" t="s">
        <v>1673</v>
      </c>
      <c r="L3592" s="3" t="s">
        <v>1673</v>
      </c>
      <c r="M3592" s="3" t="s">
        <v>1674</v>
      </c>
      <c r="N3592" s="3" t="s">
        <v>1675</v>
      </c>
      <c r="O3592" s="5">
        <v>1.0</v>
      </c>
      <c r="P3592" s="6" t="str">
        <f t="shared" si="2"/>
        <v>Commercial Services &amp; Supplies</v>
      </c>
    </row>
    <row r="3593">
      <c r="A3593" s="3" t="s">
        <v>765</v>
      </c>
      <c r="B3593" s="4">
        <v>533758.0</v>
      </c>
      <c r="C3593" s="3" t="s">
        <v>14582</v>
      </c>
      <c r="D3593" s="3" t="s">
        <v>14583</v>
      </c>
      <c r="E3593" s="3" t="s">
        <v>14584</v>
      </c>
      <c r="F3593" s="3" t="s">
        <v>19</v>
      </c>
      <c r="G3593" s="3" t="s">
        <v>20</v>
      </c>
      <c r="H3593" s="3">
        <v>2.0</v>
      </c>
      <c r="I3593" s="3" t="s">
        <v>11455</v>
      </c>
      <c r="J3593" s="3" t="s">
        <v>22</v>
      </c>
      <c r="K3593" s="3" t="s">
        <v>97</v>
      </c>
      <c r="L3593" s="3" t="s">
        <v>98</v>
      </c>
      <c r="M3593" s="3" t="s">
        <v>100</v>
      </c>
      <c r="N3593" s="3" t="s">
        <v>612</v>
      </c>
      <c r="O3593" s="5">
        <v>42783.6446818</v>
      </c>
      <c r="P3593" s="6" t="str">
        <f t="shared" si="2"/>
        <v>Industrial Products</v>
      </c>
    </row>
    <row r="3594">
      <c r="A3594" s="3" t="s">
        <v>3650</v>
      </c>
      <c r="B3594" s="4">
        <v>534076.0</v>
      </c>
      <c r="C3594" s="3" t="s">
        <v>14585</v>
      </c>
      <c r="D3594" s="3" t="s">
        <v>14586</v>
      </c>
      <c r="E3594" s="3" t="s">
        <v>14587</v>
      </c>
      <c r="F3594" s="3" t="s">
        <v>19</v>
      </c>
      <c r="G3594" s="3" t="s">
        <v>20</v>
      </c>
      <c r="H3594" s="3">
        <v>1.0</v>
      </c>
      <c r="I3594" s="3" t="s">
        <v>11485</v>
      </c>
      <c r="J3594" s="3" t="s">
        <v>22</v>
      </c>
      <c r="K3594" s="3" t="s">
        <v>97</v>
      </c>
      <c r="L3594" s="3" t="s">
        <v>98</v>
      </c>
      <c r="M3594" s="3" t="s">
        <v>100</v>
      </c>
      <c r="N3594" s="3" t="s">
        <v>1500</v>
      </c>
      <c r="O3594" s="5">
        <v>13157.24</v>
      </c>
      <c r="P3594" s="6" t="str">
        <f t="shared" si="2"/>
        <v>Industrial Products</v>
      </c>
    </row>
    <row r="3595" hidden="1">
      <c r="A3595" s="3" t="s">
        <v>14588</v>
      </c>
      <c r="B3595" s="4">
        <v>542850.0</v>
      </c>
      <c r="C3595" s="3" t="s">
        <v>14589</v>
      </c>
      <c r="D3595" s="3" t="s">
        <v>14590</v>
      </c>
      <c r="E3595" s="3" t="s">
        <v>14591</v>
      </c>
      <c r="F3595" s="3" t="s">
        <v>19</v>
      </c>
      <c r="G3595" s="3" t="s">
        <v>2428</v>
      </c>
      <c r="H3595" s="3">
        <v>10.0</v>
      </c>
      <c r="I3595" s="3" t="s">
        <v>14588</v>
      </c>
      <c r="J3595" s="3" t="s">
        <v>22</v>
      </c>
      <c r="K3595" s="3" t="s">
        <v>58</v>
      </c>
      <c r="L3595" s="3" t="s">
        <v>211</v>
      </c>
      <c r="M3595" s="3" t="s">
        <v>211</v>
      </c>
      <c r="N3595" s="3" t="s">
        <v>947</v>
      </c>
      <c r="O3595" s="5">
        <v>56.9392248</v>
      </c>
      <c r="P3595" s="6" t="str">
        <f t="shared" si="2"/>
        <v>Consumer Durables</v>
      </c>
    </row>
    <row r="3596" hidden="1">
      <c r="A3596" s="3" t="s">
        <v>14592</v>
      </c>
      <c r="B3596" s="4">
        <v>542851.0</v>
      </c>
      <c r="C3596" s="3" t="s">
        <v>14593</v>
      </c>
      <c r="D3596" s="3" t="s">
        <v>14594</v>
      </c>
      <c r="E3596" s="3" t="s">
        <v>14595</v>
      </c>
      <c r="F3596" s="3" t="s">
        <v>19</v>
      </c>
      <c r="G3596" s="3" t="s">
        <v>112</v>
      </c>
      <c r="H3596" s="3">
        <v>10.0</v>
      </c>
      <c r="I3596" s="3" t="s">
        <v>14592</v>
      </c>
      <c r="J3596" s="3" t="s">
        <v>22</v>
      </c>
      <c r="K3596" s="3" t="s">
        <v>97</v>
      </c>
      <c r="L3596" s="3" t="s">
        <v>98</v>
      </c>
      <c r="M3596" s="3" t="s">
        <v>1747</v>
      </c>
      <c r="N3596" s="3" t="s">
        <v>1748</v>
      </c>
      <c r="O3596" s="5">
        <v>3774.8971256</v>
      </c>
      <c r="P3596" s="6" t="str">
        <f t="shared" si="2"/>
        <v>Electrical Equipment</v>
      </c>
    </row>
    <row r="3597" hidden="1">
      <c r="A3597" s="3" t="s">
        <v>14596</v>
      </c>
      <c r="B3597" s="4">
        <v>542852.0</v>
      </c>
      <c r="C3597" s="3" t="s">
        <v>14597</v>
      </c>
      <c r="D3597" s="3" t="s">
        <v>14598</v>
      </c>
      <c r="E3597" s="3" t="s">
        <v>14599</v>
      </c>
      <c r="F3597" s="3" t="s">
        <v>19</v>
      </c>
      <c r="G3597" s="3" t="s">
        <v>112</v>
      </c>
      <c r="H3597" s="3">
        <v>2.0</v>
      </c>
      <c r="I3597" s="3" t="s">
        <v>14596</v>
      </c>
      <c r="J3597" s="3" t="s">
        <v>22</v>
      </c>
      <c r="K3597" s="3" t="s">
        <v>145</v>
      </c>
      <c r="L3597" s="3" t="s">
        <v>145</v>
      </c>
      <c r="M3597" s="3" t="s">
        <v>146</v>
      </c>
      <c r="N3597" s="3" t="s">
        <v>147</v>
      </c>
      <c r="O3597" s="5">
        <v>322.1922225</v>
      </c>
      <c r="P3597" s="6" t="str">
        <f t="shared" si="2"/>
        <v>Agricultural Food &amp; other Products</v>
      </c>
    </row>
    <row r="3598" hidden="1">
      <c r="A3598" s="3" t="s">
        <v>14600</v>
      </c>
      <c r="B3598" s="4">
        <v>542857.0</v>
      </c>
      <c r="C3598" s="3" t="s">
        <v>14601</v>
      </c>
      <c r="D3598" s="3" t="s">
        <v>14602</v>
      </c>
      <c r="E3598" s="3" t="s">
        <v>14603</v>
      </c>
      <c r="F3598" s="3" t="s">
        <v>19</v>
      </c>
      <c r="G3598" s="3" t="s">
        <v>20</v>
      </c>
      <c r="H3598" s="3">
        <v>1.0</v>
      </c>
      <c r="I3598" s="3" t="s">
        <v>14600</v>
      </c>
      <c r="J3598" s="3" t="s">
        <v>22</v>
      </c>
      <c r="K3598" s="3" t="s">
        <v>58</v>
      </c>
      <c r="L3598" s="3" t="s">
        <v>211</v>
      </c>
      <c r="M3598" s="3" t="s">
        <v>211</v>
      </c>
      <c r="N3598" s="3" t="s">
        <v>1444</v>
      </c>
      <c r="O3598" s="5">
        <v>4053.6330016</v>
      </c>
      <c r="P3598" s="6" t="str">
        <f t="shared" si="2"/>
        <v>Consumer Durables</v>
      </c>
    </row>
    <row r="3599" hidden="1">
      <c r="A3599" s="3" t="s">
        <v>14604</v>
      </c>
      <c r="B3599" s="4">
        <v>542862.0</v>
      </c>
      <c r="C3599" s="3" t="s">
        <v>14605</v>
      </c>
      <c r="D3599" s="3" t="s">
        <v>14606</v>
      </c>
      <c r="E3599" s="3" t="s">
        <v>14607</v>
      </c>
      <c r="F3599" s="3" t="s">
        <v>19</v>
      </c>
      <c r="G3599" s="3" t="s">
        <v>72</v>
      </c>
      <c r="H3599" s="3">
        <v>2.0</v>
      </c>
      <c r="I3599" s="3" t="s">
        <v>14604</v>
      </c>
      <c r="J3599" s="3" t="s">
        <v>22</v>
      </c>
      <c r="K3599" s="3" t="s">
        <v>58</v>
      </c>
      <c r="L3599" s="3" t="s">
        <v>80</v>
      </c>
      <c r="M3599" s="3" t="s">
        <v>81</v>
      </c>
      <c r="N3599" s="3" t="s">
        <v>82</v>
      </c>
      <c r="O3599" s="5">
        <v>183.9182457</v>
      </c>
      <c r="P3599" s="6" t="str">
        <f t="shared" si="2"/>
        <v>Textiles &amp; Apparels</v>
      </c>
    </row>
    <row r="3600" hidden="1">
      <c r="A3600" s="3" t="s">
        <v>14608</v>
      </c>
      <c r="B3600" s="4">
        <v>542864.0</v>
      </c>
      <c r="C3600" s="3" t="s">
        <v>14609</v>
      </c>
      <c r="D3600" s="3" t="s">
        <v>14610</v>
      </c>
      <c r="E3600" s="3" t="s">
        <v>14611</v>
      </c>
      <c r="F3600" s="3" t="s">
        <v>19</v>
      </c>
      <c r="G3600" s="3" t="s">
        <v>72</v>
      </c>
      <c r="H3600" s="3">
        <v>10.0</v>
      </c>
      <c r="I3600" s="3" t="s">
        <v>14608</v>
      </c>
      <c r="J3600" s="3" t="s">
        <v>22</v>
      </c>
      <c r="K3600" s="3" t="s">
        <v>58</v>
      </c>
      <c r="L3600" s="3" t="s">
        <v>59</v>
      </c>
      <c r="M3600" s="3" t="s">
        <v>59</v>
      </c>
      <c r="N3600" s="3" t="s">
        <v>60</v>
      </c>
      <c r="O3600" s="5">
        <v>1.0</v>
      </c>
      <c r="P3600" s="6" t="str">
        <f t="shared" si="2"/>
        <v>Residential, Commercial Projects</v>
      </c>
    </row>
    <row r="3601" hidden="1">
      <c r="A3601" s="3" t="s">
        <v>14612</v>
      </c>
      <c r="B3601" s="4">
        <v>542865.0</v>
      </c>
      <c r="C3601" s="3" t="s">
        <v>14613</v>
      </c>
      <c r="D3601" s="3" t="s">
        <v>14614</v>
      </c>
      <c r="E3601" s="3" t="s">
        <v>14615</v>
      </c>
      <c r="F3601" s="3" t="s">
        <v>19</v>
      </c>
      <c r="G3601" s="3" t="s">
        <v>112</v>
      </c>
      <c r="H3601" s="3">
        <v>10.0</v>
      </c>
      <c r="I3601" s="3" t="s">
        <v>14612</v>
      </c>
      <c r="J3601" s="3" t="s">
        <v>22</v>
      </c>
      <c r="K3601" s="3" t="s">
        <v>97</v>
      </c>
      <c r="L3601" s="3" t="s">
        <v>98</v>
      </c>
      <c r="M3601" s="3" t="s">
        <v>100</v>
      </c>
      <c r="N3601" s="3" t="s">
        <v>373</v>
      </c>
      <c r="O3601" s="5">
        <v>25.144543</v>
      </c>
      <c r="P3601" s="6" t="str">
        <f t="shared" si="2"/>
        <v>Industrial Products</v>
      </c>
    </row>
    <row r="3602" hidden="1">
      <c r="A3602" s="3" t="s">
        <v>14616</v>
      </c>
      <c r="B3602" s="4">
        <v>542866.0</v>
      </c>
      <c r="C3602" s="3" t="s">
        <v>14617</v>
      </c>
      <c r="D3602" s="3" t="s">
        <v>14618</v>
      </c>
      <c r="E3602" s="3" t="s">
        <v>14619</v>
      </c>
      <c r="F3602" s="3" t="s">
        <v>19</v>
      </c>
      <c r="G3602" s="3" t="s">
        <v>72</v>
      </c>
      <c r="H3602" s="3">
        <v>2.0</v>
      </c>
      <c r="I3602" s="3" t="s">
        <v>14616</v>
      </c>
      <c r="J3602" s="3" t="s">
        <v>22</v>
      </c>
      <c r="K3602" s="3" t="s">
        <v>204</v>
      </c>
      <c r="L3602" s="3" t="s">
        <v>204</v>
      </c>
      <c r="M3602" s="3" t="s">
        <v>378</v>
      </c>
      <c r="N3602" s="3" t="s">
        <v>468</v>
      </c>
      <c r="O3602" s="5">
        <v>163.0698557</v>
      </c>
      <c r="P3602" s="6" t="str">
        <f t="shared" si="2"/>
        <v>Finance</v>
      </c>
    </row>
    <row r="3603">
      <c r="A3603" s="3" t="s">
        <v>10456</v>
      </c>
      <c r="B3603" s="4">
        <v>534139.0</v>
      </c>
      <c r="C3603" s="3" t="s">
        <v>14620</v>
      </c>
      <c r="D3603" s="3" t="s">
        <v>14621</v>
      </c>
      <c r="E3603" s="3" t="s">
        <v>14622</v>
      </c>
      <c r="F3603" s="3" t="s">
        <v>19</v>
      </c>
      <c r="G3603" s="3" t="s">
        <v>20</v>
      </c>
      <c r="H3603" s="3">
        <v>2.0</v>
      </c>
      <c r="I3603" s="3" t="s">
        <v>11498</v>
      </c>
      <c r="J3603" s="3" t="s">
        <v>22</v>
      </c>
      <c r="K3603" s="3" t="s">
        <v>97</v>
      </c>
      <c r="L3603" s="3" t="s">
        <v>98</v>
      </c>
      <c r="M3603" s="3" t="s">
        <v>1747</v>
      </c>
      <c r="N3603" s="3" t="s">
        <v>1767</v>
      </c>
      <c r="O3603" s="5">
        <v>21614.193015</v>
      </c>
      <c r="P3603" s="6" t="str">
        <f t="shared" si="2"/>
        <v>Heavy Electrical Equipment</v>
      </c>
    </row>
    <row r="3604">
      <c r="A3604" s="3" t="s">
        <v>10474</v>
      </c>
      <c r="B3604" s="4">
        <v>534309.0</v>
      </c>
      <c r="C3604" s="3" t="s">
        <v>14623</v>
      </c>
      <c r="D3604" s="3" t="s">
        <v>14624</v>
      </c>
      <c r="E3604" s="3" t="s">
        <v>14625</v>
      </c>
      <c r="F3604" s="3" t="s">
        <v>19</v>
      </c>
      <c r="G3604" s="3" t="s">
        <v>20</v>
      </c>
      <c r="H3604" s="3">
        <v>1.0</v>
      </c>
      <c r="I3604" s="3" t="s">
        <v>11507</v>
      </c>
      <c r="J3604" s="3" t="s">
        <v>22</v>
      </c>
      <c r="K3604" s="3" t="s">
        <v>97</v>
      </c>
      <c r="L3604" s="3" t="s">
        <v>965</v>
      </c>
      <c r="M3604" s="3" t="s">
        <v>965</v>
      </c>
      <c r="N3604" s="3" t="s">
        <v>966</v>
      </c>
      <c r="O3604" s="5">
        <v>29876.5098211</v>
      </c>
      <c r="P3604" s="6" t="str">
        <f t="shared" si="2"/>
        <v>Civil Construction</v>
      </c>
    </row>
    <row r="3605" hidden="1">
      <c r="A3605" s="3" t="s">
        <v>14626</v>
      </c>
      <c r="B3605" s="4">
        <v>542905.0</v>
      </c>
      <c r="C3605" s="3" t="s">
        <v>14627</v>
      </c>
      <c r="D3605" s="3" t="s">
        <v>14628</v>
      </c>
      <c r="E3605" s="3" t="s">
        <v>14629</v>
      </c>
      <c r="F3605" s="3" t="s">
        <v>19</v>
      </c>
      <c r="G3605" s="3" t="s">
        <v>20</v>
      </c>
      <c r="H3605" s="3">
        <v>2.0</v>
      </c>
      <c r="I3605" s="3" t="s">
        <v>14626</v>
      </c>
      <c r="J3605" s="3" t="s">
        <v>22</v>
      </c>
      <c r="K3605" s="3" t="s">
        <v>58</v>
      </c>
      <c r="L3605" s="3" t="s">
        <v>211</v>
      </c>
      <c r="M3605" s="3" t="s">
        <v>211</v>
      </c>
      <c r="N3605" s="3" t="s">
        <v>1402</v>
      </c>
      <c r="O3605" s="5">
        <v>3184.797499</v>
      </c>
      <c r="P3605" s="6" t="str">
        <f t="shared" si="2"/>
        <v>Consumer Durables</v>
      </c>
    </row>
    <row r="3606" hidden="1">
      <c r="A3606" s="3" t="s">
        <v>14630</v>
      </c>
      <c r="B3606" s="4">
        <v>542906.0</v>
      </c>
      <c r="C3606" s="3" t="s">
        <v>14631</v>
      </c>
      <c r="D3606" s="3" t="s">
        <v>14632</v>
      </c>
      <c r="E3606" s="3" t="s">
        <v>14633</v>
      </c>
      <c r="F3606" s="3" t="s">
        <v>19</v>
      </c>
      <c r="G3606" s="3" t="s">
        <v>72</v>
      </c>
      <c r="H3606" s="3">
        <v>10.0</v>
      </c>
      <c r="I3606" s="3" t="s">
        <v>14630</v>
      </c>
      <c r="J3606" s="3" t="s">
        <v>22</v>
      </c>
      <c r="K3606" s="3" t="s">
        <v>204</v>
      </c>
      <c r="L3606" s="3" t="s">
        <v>204</v>
      </c>
      <c r="M3606" s="3" t="s">
        <v>378</v>
      </c>
      <c r="N3606" s="3" t="s">
        <v>379</v>
      </c>
      <c r="O3606" s="5">
        <v>24.1694</v>
      </c>
      <c r="P3606" s="6" t="str">
        <f t="shared" si="2"/>
        <v>Non Banking Financial Company (NBFC)</v>
      </c>
    </row>
    <row r="3607">
      <c r="A3607" s="3" t="s">
        <v>14634</v>
      </c>
      <c r="B3607" s="4">
        <v>539006.0</v>
      </c>
      <c r="C3607" s="3" t="s">
        <v>14635</v>
      </c>
      <c r="D3607" s="3" t="s">
        <v>14636</v>
      </c>
      <c r="E3607" s="3" t="s">
        <v>14637</v>
      </c>
      <c r="F3607" s="3" t="s">
        <v>19</v>
      </c>
      <c r="G3607" s="3" t="s">
        <v>112</v>
      </c>
      <c r="H3607" s="3">
        <v>10.0</v>
      </c>
      <c r="I3607" s="3" t="s">
        <v>12351</v>
      </c>
      <c r="J3607" s="3" t="s">
        <v>22</v>
      </c>
      <c r="K3607" s="3" t="s">
        <v>97</v>
      </c>
      <c r="L3607" s="3" t="s">
        <v>98</v>
      </c>
      <c r="M3607" s="3" t="s">
        <v>100</v>
      </c>
      <c r="N3607" s="3" t="s">
        <v>1386</v>
      </c>
      <c r="O3607" s="5">
        <v>20445.147089</v>
      </c>
      <c r="P3607" s="6" t="str">
        <f t="shared" si="2"/>
        <v>Industrial Products</v>
      </c>
    </row>
    <row r="3608" hidden="1">
      <c r="A3608" s="3" t="s">
        <v>14638</v>
      </c>
      <c r="B3608" s="4">
        <v>542911.0</v>
      </c>
      <c r="C3608" s="3" t="s">
        <v>14639</v>
      </c>
      <c r="D3608" s="3" t="s">
        <v>14640</v>
      </c>
      <c r="E3608" s="3" t="s">
        <v>14641</v>
      </c>
      <c r="F3608" s="3" t="s">
        <v>19</v>
      </c>
      <c r="G3608" s="3" t="s">
        <v>72</v>
      </c>
      <c r="H3608" s="3">
        <v>10.0</v>
      </c>
      <c r="I3608" s="3" t="s">
        <v>14638</v>
      </c>
      <c r="J3608" s="3" t="s">
        <v>22</v>
      </c>
      <c r="K3608" s="3" t="s">
        <v>204</v>
      </c>
      <c r="L3608" s="3" t="s">
        <v>204</v>
      </c>
      <c r="M3608" s="3" t="s">
        <v>378</v>
      </c>
      <c r="N3608" s="3" t="s">
        <v>379</v>
      </c>
      <c r="O3608" s="5">
        <v>47.1674885</v>
      </c>
      <c r="P3608" s="6" t="str">
        <f t="shared" si="2"/>
        <v>Non Banking Financial Company (NBFC)</v>
      </c>
    </row>
    <row r="3609" hidden="1">
      <c r="A3609" s="3" t="s">
        <v>14642</v>
      </c>
      <c r="B3609" s="4">
        <v>542918.0</v>
      </c>
      <c r="C3609" s="3" t="s">
        <v>14643</v>
      </c>
      <c r="D3609" s="3" t="s">
        <v>14644</v>
      </c>
      <c r="E3609" s="3" t="s">
        <v>14645</v>
      </c>
      <c r="F3609" s="3" t="s">
        <v>19</v>
      </c>
      <c r="G3609" s="3" t="s">
        <v>112</v>
      </c>
      <c r="H3609" s="3">
        <v>10.0</v>
      </c>
      <c r="I3609" s="3" t="s">
        <v>14642</v>
      </c>
      <c r="J3609" s="3" t="s">
        <v>22</v>
      </c>
      <c r="K3609" s="3" t="s">
        <v>45</v>
      </c>
      <c r="L3609" s="3" t="s">
        <v>45</v>
      </c>
      <c r="M3609" s="3" t="s">
        <v>4488</v>
      </c>
      <c r="N3609" s="3" t="s">
        <v>4489</v>
      </c>
      <c r="O3609" s="5">
        <v>21.4941398</v>
      </c>
      <c r="P3609" s="6" t="str">
        <f t="shared" si="2"/>
        <v>Healthcare Services</v>
      </c>
    </row>
    <row r="3610" hidden="1">
      <c r="A3610" s="3" t="s">
        <v>14646</v>
      </c>
      <c r="B3610" s="4">
        <v>542919.0</v>
      </c>
      <c r="C3610" s="3" t="s">
        <v>14647</v>
      </c>
      <c r="D3610" s="3" t="s">
        <v>14648</v>
      </c>
      <c r="E3610" s="3" t="s">
        <v>14649</v>
      </c>
      <c r="F3610" s="3" t="s">
        <v>19</v>
      </c>
      <c r="G3610" s="3" t="s">
        <v>112</v>
      </c>
      <c r="H3610" s="3">
        <v>1.0</v>
      </c>
      <c r="I3610" s="3" t="s">
        <v>14646</v>
      </c>
      <c r="J3610" s="3" t="s">
        <v>22</v>
      </c>
      <c r="K3610" s="3" t="s">
        <v>45</v>
      </c>
      <c r="L3610" s="3" t="s">
        <v>45</v>
      </c>
      <c r="M3610" s="3" t="s">
        <v>4488</v>
      </c>
      <c r="N3610" s="3" t="s">
        <v>5801</v>
      </c>
      <c r="O3610" s="5">
        <v>2443.854929</v>
      </c>
      <c r="P3610" s="6" t="str">
        <f t="shared" si="2"/>
        <v>Healthcare Services</v>
      </c>
    </row>
    <row r="3611">
      <c r="A3611" s="3" t="s">
        <v>774</v>
      </c>
      <c r="B3611" s="4">
        <v>539083.0</v>
      </c>
      <c r="C3611" s="3" t="s">
        <v>14650</v>
      </c>
      <c r="D3611" s="3" t="s">
        <v>14651</v>
      </c>
      <c r="E3611" s="3" t="s">
        <v>14652</v>
      </c>
      <c r="F3611" s="3" t="s">
        <v>19</v>
      </c>
      <c r="G3611" s="3" t="s">
        <v>20</v>
      </c>
      <c r="H3611" s="3">
        <v>10.0</v>
      </c>
      <c r="I3611" s="3" t="s">
        <v>12412</v>
      </c>
      <c r="J3611" s="3" t="s">
        <v>22</v>
      </c>
      <c r="K3611" s="3" t="s">
        <v>97</v>
      </c>
      <c r="L3611" s="3" t="s">
        <v>98</v>
      </c>
      <c r="M3611" s="3" t="s">
        <v>1747</v>
      </c>
      <c r="N3611" s="3" t="s">
        <v>1767</v>
      </c>
      <c r="O3611" s="5">
        <v>18676.2281251</v>
      </c>
      <c r="P3611" s="6" t="str">
        <f t="shared" si="2"/>
        <v>Heavy Electrical Equipment</v>
      </c>
    </row>
    <row r="3612" hidden="1">
      <c r="A3612" s="3" t="s">
        <v>14653</v>
      </c>
      <c r="B3612" s="4">
        <v>542924.0</v>
      </c>
      <c r="C3612" s="3" t="s">
        <v>14654</v>
      </c>
      <c r="D3612" s="3" t="s">
        <v>14655</v>
      </c>
      <c r="E3612" s="3" t="s">
        <v>14656</v>
      </c>
      <c r="F3612" s="3" t="s">
        <v>19</v>
      </c>
      <c r="G3612" s="3" t="s">
        <v>2428</v>
      </c>
      <c r="H3612" s="3">
        <v>10.0</v>
      </c>
      <c r="I3612" s="3" t="s">
        <v>14653</v>
      </c>
      <c r="J3612" s="3" t="s">
        <v>22</v>
      </c>
      <c r="K3612" s="3" t="s">
        <v>2675</v>
      </c>
      <c r="L3612" s="3" t="s">
        <v>2675</v>
      </c>
      <c r="M3612" s="3" t="s">
        <v>2675</v>
      </c>
      <c r="N3612" s="3" t="s">
        <v>2675</v>
      </c>
      <c r="O3612" s="5">
        <v>7.6649586</v>
      </c>
      <c r="P3612" s="6" t="str">
        <f t="shared" si="2"/>
        <v>Diversified</v>
      </c>
    </row>
    <row r="3613" hidden="1">
      <c r="A3613" s="3" t="s">
        <v>14657</v>
      </c>
      <c r="B3613" s="4">
        <v>542931.0</v>
      </c>
      <c r="C3613" s="3" t="s">
        <v>14658</v>
      </c>
      <c r="D3613" s="3" t="s">
        <v>14659</v>
      </c>
      <c r="E3613" s="3" t="s">
        <v>14660</v>
      </c>
      <c r="F3613" s="3" t="s">
        <v>19</v>
      </c>
      <c r="G3613" s="3" t="s">
        <v>72</v>
      </c>
      <c r="H3613" s="3">
        <v>10.0</v>
      </c>
      <c r="I3613" s="3" t="s">
        <v>14657</v>
      </c>
      <c r="J3613" s="3" t="s">
        <v>22</v>
      </c>
      <c r="K3613" s="3" t="s">
        <v>204</v>
      </c>
      <c r="L3613" s="3" t="s">
        <v>204</v>
      </c>
      <c r="M3613" s="3" t="s">
        <v>378</v>
      </c>
      <c r="N3613" s="3" t="s">
        <v>379</v>
      </c>
      <c r="O3613" s="5">
        <v>1.0</v>
      </c>
      <c r="P3613" s="6" t="str">
        <f t="shared" si="2"/>
        <v>Non Banking Financial Company (NBFC)</v>
      </c>
    </row>
    <row r="3614" hidden="1">
      <c r="A3614" s="3" t="s">
        <v>14661</v>
      </c>
      <c r="B3614" s="4">
        <v>542933.0</v>
      </c>
      <c r="C3614" s="3" t="s">
        <v>14662</v>
      </c>
      <c r="D3614" s="3" t="s">
        <v>14663</v>
      </c>
      <c r="E3614" s="3" t="s">
        <v>14664</v>
      </c>
      <c r="F3614" s="3" t="s">
        <v>19</v>
      </c>
      <c r="G3614" s="3" t="s">
        <v>112</v>
      </c>
      <c r="H3614" s="3">
        <v>10.0</v>
      </c>
      <c r="I3614" s="3" t="s">
        <v>14661</v>
      </c>
      <c r="J3614" s="3" t="s">
        <v>22</v>
      </c>
      <c r="K3614" s="3" t="s">
        <v>145</v>
      </c>
      <c r="L3614" s="3" t="s">
        <v>145</v>
      </c>
      <c r="M3614" s="3" t="s">
        <v>1757</v>
      </c>
      <c r="N3614" s="3" t="s">
        <v>1757</v>
      </c>
      <c r="O3614" s="5">
        <v>412.307698</v>
      </c>
      <c r="P3614" s="6" t="str">
        <f t="shared" si="2"/>
        <v>Household Products</v>
      </c>
    </row>
    <row r="3615" hidden="1">
      <c r="A3615" s="3" t="s">
        <v>14665</v>
      </c>
      <c r="B3615" s="4">
        <v>542934.0</v>
      </c>
      <c r="C3615" s="3" t="s">
        <v>14666</v>
      </c>
      <c r="D3615" s="3" t="s">
        <v>14667</v>
      </c>
      <c r="E3615" s="3" t="s">
        <v>14668</v>
      </c>
      <c r="F3615" s="3" t="s">
        <v>19</v>
      </c>
      <c r="G3615" s="3" t="s">
        <v>2428</v>
      </c>
      <c r="H3615" s="3">
        <v>10.0</v>
      </c>
      <c r="I3615" s="3" t="s">
        <v>14665</v>
      </c>
      <c r="J3615" s="3" t="s">
        <v>22</v>
      </c>
      <c r="K3615" s="3" t="s">
        <v>45</v>
      </c>
      <c r="L3615" s="3" t="s">
        <v>45</v>
      </c>
      <c r="M3615" s="3" t="s">
        <v>46</v>
      </c>
      <c r="N3615" s="3" t="s">
        <v>47</v>
      </c>
      <c r="O3615" s="5">
        <v>54.7393763</v>
      </c>
      <c r="P3615" s="6" t="str">
        <f t="shared" si="2"/>
        <v>Pharmaceuticals</v>
      </c>
    </row>
    <row r="3616" hidden="1">
      <c r="A3616" s="3" t="s">
        <v>14669</v>
      </c>
      <c r="B3616" s="4">
        <v>542938.0</v>
      </c>
      <c r="C3616" s="3" t="s">
        <v>14670</v>
      </c>
      <c r="D3616" s="3" t="s">
        <v>14671</v>
      </c>
      <c r="E3616" s="3" t="s">
        <v>14672</v>
      </c>
      <c r="F3616" s="3" t="s">
        <v>19</v>
      </c>
      <c r="G3616" s="3" t="s">
        <v>72</v>
      </c>
      <c r="H3616" s="3">
        <v>10.0</v>
      </c>
      <c r="I3616" s="3" t="s">
        <v>14669</v>
      </c>
      <c r="J3616" s="3" t="s">
        <v>22</v>
      </c>
      <c r="K3616" s="3" t="s">
        <v>145</v>
      </c>
      <c r="L3616" s="3" t="s">
        <v>145</v>
      </c>
      <c r="M3616" s="3" t="s">
        <v>146</v>
      </c>
      <c r="N3616" s="3" t="s">
        <v>444</v>
      </c>
      <c r="O3616" s="5">
        <v>1.0</v>
      </c>
      <c r="P3616" s="6" t="str">
        <f t="shared" si="2"/>
        <v>Agricultural Food &amp; other Products</v>
      </c>
    </row>
    <row r="3617">
      <c r="A3617" s="3" t="s">
        <v>11646</v>
      </c>
      <c r="B3617" s="4">
        <v>539150.0</v>
      </c>
      <c r="C3617" s="3" t="s">
        <v>14673</v>
      </c>
      <c r="D3617" s="3" t="s">
        <v>14674</v>
      </c>
      <c r="E3617" s="3" t="s">
        <v>14675</v>
      </c>
      <c r="F3617" s="3" t="s">
        <v>19</v>
      </c>
      <c r="G3617" s="3" t="s">
        <v>20</v>
      </c>
      <c r="H3617" s="3">
        <v>2.0</v>
      </c>
      <c r="I3617" s="3" t="s">
        <v>12514</v>
      </c>
      <c r="J3617" s="3" t="s">
        <v>22</v>
      </c>
      <c r="K3617" s="3" t="s">
        <v>97</v>
      </c>
      <c r="L3617" s="3" t="s">
        <v>965</v>
      </c>
      <c r="M3617" s="3" t="s">
        <v>965</v>
      </c>
      <c r="N3617" s="3" t="s">
        <v>966</v>
      </c>
      <c r="O3617" s="5">
        <v>12591.84291</v>
      </c>
      <c r="P3617" s="6" t="str">
        <f t="shared" si="2"/>
        <v>Civil Construction</v>
      </c>
    </row>
    <row r="3618" hidden="1">
      <c r="A3618" s="3" t="s">
        <v>14676</v>
      </c>
      <c r="B3618" s="4">
        <v>543065.0</v>
      </c>
      <c r="C3618" s="3" t="s">
        <v>14677</v>
      </c>
      <c r="D3618" s="3" t="s">
        <v>14678</v>
      </c>
      <c r="E3618" s="3" t="s">
        <v>14679</v>
      </c>
      <c r="F3618" s="3" t="s">
        <v>19</v>
      </c>
      <c r="G3618" s="3" t="s">
        <v>6293</v>
      </c>
      <c r="H3618" s="3">
        <v>10.0</v>
      </c>
      <c r="I3618" s="3" t="s">
        <v>14676</v>
      </c>
      <c r="J3618" s="3" t="s">
        <v>22</v>
      </c>
      <c r="K3618" s="3" t="s">
        <v>97</v>
      </c>
      <c r="L3618" s="3" t="s">
        <v>98</v>
      </c>
      <c r="M3618" s="3" t="s">
        <v>99</v>
      </c>
      <c r="N3618" s="3" t="s">
        <v>100</v>
      </c>
      <c r="O3618" s="5">
        <v>68.4675367</v>
      </c>
      <c r="P3618" s="6" t="str">
        <f t="shared" si="2"/>
        <v>Industrial Products</v>
      </c>
    </row>
    <row r="3619">
      <c r="A3619" s="3" t="s">
        <v>10482</v>
      </c>
      <c r="B3619" s="4">
        <v>539302.0</v>
      </c>
      <c r="C3619" s="3" t="s">
        <v>14680</v>
      </c>
      <c r="D3619" s="3" t="s">
        <v>14681</v>
      </c>
      <c r="E3619" s="3" t="s">
        <v>14682</v>
      </c>
      <c r="F3619" s="3" t="s">
        <v>19</v>
      </c>
      <c r="G3619" s="3" t="s">
        <v>20</v>
      </c>
      <c r="H3619" s="3">
        <v>10.0</v>
      </c>
      <c r="I3619" s="3" t="s">
        <v>12699</v>
      </c>
      <c r="J3619" s="3" t="s">
        <v>22</v>
      </c>
      <c r="K3619" s="3" t="s">
        <v>97</v>
      </c>
      <c r="L3619" s="3" t="s">
        <v>965</v>
      </c>
      <c r="M3619" s="3" t="s">
        <v>965</v>
      </c>
      <c r="N3619" s="3" t="s">
        <v>966</v>
      </c>
      <c r="O3619" s="5">
        <v>7884.330986</v>
      </c>
      <c r="P3619" s="6" t="str">
        <f t="shared" si="2"/>
        <v>Civil Construction</v>
      </c>
    </row>
    <row r="3620" hidden="1">
      <c r="A3620" s="3" t="s">
        <v>14683</v>
      </c>
      <c r="B3620" s="4">
        <v>543171.0</v>
      </c>
      <c r="C3620" s="3" t="s">
        <v>14684</v>
      </c>
      <c r="D3620" s="3" t="s">
        <v>14685</v>
      </c>
      <c r="E3620" s="3" t="s">
        <v>14686</v>
      </c>
      <c r="F3620" s="3" t="s">
        <v>19</v>
      </c>
      <c r="G3620" s="3" t="s">
        <v>112</v>
      </c>
      <c r="H3620" s="3">
        <v>2.0</v>
      </c>
      <c r="I3620" s="3" t="s">
        <v>14683</v>
      </c>
      <c r="J3620" s="3" t="s">
        <v>22</v>
      </c>
      <c r="K3620" s="3" t="s">
        <v>58</v>
      </c>
      <c r="L3620" s="3" t="s">
        <v>211</v>
      </c>
      <c r="M3620" s="3" t="s">
        <v>211</v>
      </c>
      <c r="N3620" s="3" t="s">
        <v>947</v>
      </c>
      <c r="O3620" s="5">
        <v>23.8832514</v>
      </c>
      <c r="P3620" s="6" t="str">
        <f t="shared" si="2"/>
        <v>Consumer Durables</v>
      </c>
    </row>
    <row r="3621" hidden="1">
      <c r="A3621" s="3" t="s">
        <v>14687</v>
      </c>
      <c r="B3621" s="4">
        <v>543172.0</v>
      </c>
      <c r="C3621" s="3" t="s">
        <v>14688</v>
      </c>
      <c r="D3621" s="3" t="s">
        <v>14689</v>
      </c>
      <c r="E3621" s="3" t="s">
        <v>14690</v>
      </c>
      <c r="F3621" s="3" t="s">
        <v>19</v>
      </c>
      <c r="G3621" s="3" t="s">
        <v>2428</v>
      </c>
      <c r="H3621" s="3">
        <v>10.0</v>
      </c>
      <c r="I3621" s="3" t="s">
        <v>14687</v>
      </c>
      <c r="J3621" s="3" t="s">
        <v>22</v>
      </c>
      <c r="K3621" s="3" t="s">
        <v>97</v>
      </c>
      <c r="L3621" s="3" t="s">
        <v>98</v>
      </c>
      <c r="M3621" s="3" t="s">
        <v>99</v>
      </c>
      <c r="N3621" s="3" t="s">
        <v>100</v>
      </c>
      <c r="O3621" s="5">
        <v>38.881455</v>
      </c>
      <c r="P3621" s="6" t="str">
        <f t="shared" si="2"/>
        <v>Industrial Products</v>
      </c>
    </row>
    <row r="3622">
      <c r="A3622" s="3" t="s">
        <v>14691</v>
      </c>
      <c r="B3622" s="4">
        <v>539992.0</v>
      </c>
      <c r="C3622" s="3" t="s">
        <v>14692</v>
      </c>
      <c r="D3622" s="3" t="s">
        <v>14693</v>
      </c>
      <c r="E3622" s="3" t="s">
        <v>14694</v>
      </c>
      <c r="F3622" s="3" t="s">
        <v>19</v>
      </c>
      <c r="G3622" s="3" t="s">
        <v>20</v>
      </c>
      <c r="H3622" s="3">
        <v>1.0</v>
      </c>
      <c r="I3622" s="3" t="s">
        <v>13251</v>
      </c>
      <c r="J3622" s="3" t="s">
        <v>22</v>
      </c>
      <c r="K3622" s="3" t="s">
        <v>97</v>
      </c>
      <c r="L3622" s="3" t="s">
        <v>98</v>
      </c>
      <c r="M3622" s="3" t="s">
        <v>99</v>
      </c>
      <c r="N3622" s="3" t="s">
        <v>100</v>
      </c>
      <c r="O3622" s="5">
        <v>7987.8834</v>
      </c>
      <c r="P3622" s="6" t="str">
        <f t="shared" si="2"/>
        <v>Industrial Products</v>
      </c>
    </row>
    <row r="3623" hidden="1">
      <c r="A3623" s="3" t="s">
        <v>3689</v>
      </c>
      <c r="B3623" s="4">
        <v>531402.0</v>
      </c>
      <c r="C3623" s="3" t="s">
        <v>14695</v>
      </c>
      <c r="D3623" s="3" t="s">
        <v>14696</v>
      </c>
      <c r="E3623" s="3" t="s">
        <v>14697</v>
      </c>
      <c r="F3623" s="3" t="s">
        <v>19</v>
      </c>
      <c r="G3623" s="3" t="s">
        <v>72</v>
      </c>
      <c r="H3623" s="3">
        <v>10.0</v>
      </c>
      <c r="I3623" s="3" t="s">
        <v>8530</v>
      </c>
      <c r="J3623" s="3" t="s">
        <v>22</v>
      </c>
      <c r="K3623" s="3" t="s">
        <v>1673</v>
      </c>
      <c r="L3623" s="3" t="s">
        <v>1673</v>
      </c>
      <c r="M3623" s="3" t="s">
        <v>1674</v>
      </c>
      <c r="N3623" s="3" t="s">
        <v>1915</v>
      </c>
      <c r="O3623" s="5">
        <v>1.0</v>
      </c>
      <c r="P3623" s="6" t="str">
        <f t="shared" si="2"/>
        <v>Commercial Services &amp; Supplies</v>
      </c>
    </row>
    <row r="3624" hidden="1">
      <c r="A3624" s="3" t="s">
        <v>14698</v>
      </c>
      <c r="B3624" s="4">
        <v>543207.0</v>
      </c>
      <c r="C3624" s="3" t="s">
        <v>14699</v>
      </c>
      <c r="D3624" s="3" t="s">
        <v>14700</v>
      </c>
      <c r="E3624" s="3" t="s">
        <v>14701</v>
      </c>
      <c r="F3624" s="3" t="s">
        <v>19</v>
      </c>
      <c r="G3624" s="3" t="s">
        <v>44</v>
      </c>
      <c r="H3624" s="3">
        <v>10.0</v>
      </c>
      <c r="I3624" s="3" t="s">
        <v>14698</v>
      </c>
      <c r="J3624" s="3" t="s">
        <v>22</v>
      </c>
      <c r="K3624" s="3" t="s">
        <v>23</v>
      </c>
      <c r="L3624" s="3" t="s">
        <v>24</v>
      </c>
      <c r="M3624" s="3" t="s">
        <v>91</v>
      </c>
      <c r="N3624" s="3" t="s">
        <v>252</v>
      </c>
      <c r="O3624" s="5">
        <v>12.5879106</v>
      </c>
      <c r="P3624" s="6" t="str">
        <f t="shared" si="2"/>
        <v>Fertilizers &amp; Agrochemicals</v>
      </c>
    </row>
    <row r="3625" hidden="1">
      <c r="A3625" s="3" t="s">
        <v>14702</v>
      </c>
      <c r="B3625" s="4">
        <v>543208.0</v>
      </c>
      <c r="C3625" s="3" t="s">
        <v>14703</v>
      </c>
      <c r="D3625" s="3" t="s">
        <v>14704</v>
      </c>
      <c r="E3625" s="3" t="s">
        <v>14705</v>
      </c>
      <c r="F3625" s="3" t="s">
        <v>19</v>
      </c>
      <c r="G3625" s="3" t="s">
        <v>44</v>
      </c>
      <c r="H3625" s="3">
        <v>10.0</v>
      </c>
      <c r="I3625" s="3" t="s">
        <v>14702</v>
      </c>
      <c r="J3625" s="3" t="s">
        <v>22</v>
      </c>
      <c r="K3625" s="3" t="s">
        <v>204</v>
      </c>
      <c r="L3625" s="3" t="s">
        <v>204</v>
      </c>
      <c r="M3625" s="3" t="s">
        <v>378</v>
      </c>
      <c r="N3625" s="3" t="s">
        <v>379</v>
      </c>
      <c r="O3625" s="5">
        <v>245.49283</v>
      </c>
      <c r="P3625" s="6" t="str">
        <f t="shared" si="2"/>
        <v>Non Banking Financial Company (NBFC)</v>
      </c>
    </row>
    <row r="3626" hidden="1">
      <c r="A3626" s="3" t="s">
        <v>14706</v>
      </c>
      <c r="B3626" s="4">
        <v>543209.0</v>
      </c>
      <c r="C3626" s="3" t="s">
        <v>14707</v>
      </c>
      <c r="D3626" s="3" t="s">
        <v>14708</v>
      </c>
      <c r="E3626" s="3" t="s">
        <v>14709</v>
      </c>
      <c r="F3626" s="3" t="s">
        <v>19</v>
      </c>
      <c r="G3626" s="3" t="s">
        <v>2428</v>
      </c>
      <c r="H3626" s="3">
        <v>10.0</v>
      </c>
      <c r="I3626" s="3" t="s">
        <v>14706</v>
      </c>
      <c r="J3626" s="3" t="s">
        <v>22</v>
      </c>
      <c r="K3626" s="3" t="s">
        <v>2675</v>
      </c>
      <c r="L3626" s="3" t="s">
        <v>2675</v>
      </c>
      <c r="M3626" s="3" t="s">
        <v>2675</v>
      </c>
      <c r="N3626" s="3" t="s">
        <v>2675</v>
      </c>
      <c r="O3626" s="5">
        <v>1.0</v>
      </c>
      <c r="P3626" s="6" t="str">
        <f t="shared" si="2"/>
        <v>Diversified</v>
      </c>
    </row>
    <row r="3627" hidden="1">
      <c r="A3627" s="3" t="s">
        <v>14710</v>
      </c>
      <c r="B3627" s="4">
        <v>543210.0</v>
      </c>
      <c r="C3627" s="3" t="s">
        <v>14711</v>
      </c>
      <c r="D3627" s="3" t="s">
        <v>14712</v>
      </c>
      <c r="E3627" s="3" t="s">
        <v>14713</v>
      </c>
      <c r="F3627" s="3" t="s">
        <v>19</v>
      </c>
      <c r="G3627" s="3" t="s">
        <v>112</v>
      </c>
      <c r="H3627" s="3">
        <v>10.0</v>
      </c>
      <c r="I3627" s="3" t="s">
        <v>14710</v>
      </c>
      <c r="J3627" s="3" t="s">
        <v>22</v>
      </c>
      <c r="K3627" s="3" t="s">
        <v>23</v>
      </c>
      <c r="L3627" s="3" t="s">
        <v>24</v>
      </c>
      <c r="M3627" s="3" t="s">
        <v>25</v>
      </c>
      <c r="N3627" s="3" t="s">
        <v>26</v>
      </c>
      <c r="O3627" s="5">
        <v>606.808993</v>
      </c>
      <c r="P3627" s="6" t="str">
        <f t="shared" si="2"/>
        <v>Specialty Chemicals</v>
      </c>
    </row>
    <row r="3628" hidden="1">
      <c r="A3628" s="3" t="s">
        <v>14714</v>
      </c>
      <c r="B3628" s="4">
        <v>543211.0</v>
      </c>
      <c r="C3628" s="3" t="s">
        <v>14715</v>
      </c>
      <c r="D3628" s="3" t="s">
        <v>14716</v>
      </c>
      <c r="E3628" s="3" t="s">
        <v>14717</v>
      </c>
      <c r="F3628" s="3" t="s">
        <v>19</v>
      </c>
      <c r="G3628" s="3" t="s">
        <v>112</v>
      </c>
      <c r="H3628" s="3">
        <v>10.0</v>
      </c>
      <c r="I3628" s="3" t="s">
        <v>14714</v>
      </c>
      <c r="J3628" s="3" t="s">
        <v>22</v>
      </c>
      <c r="K3628" s="3" t="s">
        <v>23</v>
      </c>
      <c r="L3628" s="3" t="s">
        <v>65</v>
      </c>
      <c r="M3628" s="3" t="s">
        <v>168</v>
      </c>
      <c r="N3628" s="3" t="s">
        <v>168</v>
      </c>
      <c r="O3628" s="5">
        <v>52.1210089</v>
      </c>
      <c r="P3628" s="6" t="str">
        <f t="shared" si="2"/>
        <v>Diversified Metals</v>
      </c>
    </row>
    <row r="3629" hidden="1">
      <c r="A3629" s="3" t="s">
        <v>14718</v>
      </c>
      <c r="B3629" s="4">
        <v>543212.0</v>
      </c>
      <c r="C3629" s="3" t="s">
        <v>14719</v>
      </c>
      <c r="D3629" s="3" t="s">
        <v>14720</v>
      </c>
      <c r="E3629" s="3" t="s">
        <v>14721</v>
      </c>
      <c r="F3629" s="3" t="s">
        <v>19</v>
      </c>
      <c r="G3629" s="3" t="s">
        <v>20</v>
      </c>
      <c r="H3629" s="3">
        <v>1.0</v>
      </c>
      <c r="I3629" s="3" t="s">
        <v>14718</v>
      </c>
      <c r="J3629" s="3" t="s">
        <v>22</v>
      </c>
      <c r="K3629" s="3" t="s">
        <v>58</v>
      </c>
      <c r="L3629" s="3" t="s">
        <v>211</v>
      </c>
      <c r="M3629" s="3" t="s">
        <v>211</v>
      </c>
      <c r="N3629" s="3" t="s">
        <v>7198</v>
      </c>
      <c r="O3629" s="5">
        <v>4192.7870441</v>
      </c>
      <c r="P3629" s="6" t="str">
        <f t="shared" si="2"/>
        <v>Consumer Durables</v>
      </c>
    </row>
    <row r="3630" hidden="1">
      <c r="A3630" s="3" t="s">
        <v>14722</v>
      </c>
      <c r="B3630" s="4">
        <v>543213.0</v>
      </c>
      <c r="C3630" s="3" t="s">
        <v>14723</v>
      </c>
      <c r="D3630" s="3" t="s">
        <v>14724</v>
      </c>
      <c r="E3630" s="3" t="s">
        <v>14725</v>
      </c>
      <c r="F3630" s="3" t="s">
        <v>19</v>
      </c>
      <c r="G3630" s="3" t="s">
        <v>20</v>
      </c>
      <c r="H3630" s="3">
        <v>2.0</v>
      </c>
      <c r="I3630" s="3" t="s">
        <v>14722</v>
      </c>
      <c r="J3630" s="3" t="s">
        <v>22</v>
      </c>
      <c r="K3630" s="3" t="s">
        <v>23</v>
      </c>
      <c r="L3630" s="3" t="s">
        <v>24</v>
      </c>
      <c r="M3630" s="3" t="s">
        <v>25</v>
      </c>
      <c r="N3630" s="3" t="s">
        <v>26</v>
      </c>
      <c r="O3630" s="5">
        <v>4589.1403098</v>
      </c>
      <c r="P3630" s="6" t="str">
        <f t="shared" si="2"/>
        <v>Specialty Chemicals</v>
      </c>
    </row>
    <row r="3631" hidden="1">
      <c r="A3631" s="3" t="s">
        <v>14726</v>
      </c>
      <c r="B3631" s="4">
        <v>543214.0</v>
      </c>
      <c r="C3631" s="3" t="s">
        <v>14727</v>
      </c>
      <c r="D3631" s="3" t="s">
        <v>14728</v>
      </c>
      <c r="E3631" s="3" t="s">
        <v>14729</v>
      </c>
      <c r="F3631" s="3" t="s">
        <v>19</v>
      </c>
      <c r="G3631" s="3" t="s">
        <v>112</v>
      </c>
      <c r="H3631" s="3">
        <v>10.0</v>
      </c>
      <c r="I3631" s="3" t="s">
        <v>14726</v>
      </c>
      <c r="J3631" s="3" t="s">
        <v>22</v>
      </c>
      <c r="K3631" s="3" t="s">
        <v>58</v>
      </c>
      <c r="L3631" s="3" t="s">
        <v>133</v>
      </c>
      <c r="M3631" s="3" t="s">
        <v>134</v>
      </c>
      <c r="N3631" s="3" t="s">
        <v>135</v>
      </c>
      <c r="O3631" s="5">
        <v>1031.5251137</v>
      </c>
      <c r="P3631" s="6" t="str">
        <f t="shared" si="2"/>
        <v>Auto Components &amp; Equipments</v>
      </c>
    </row>
    <row r="3632" hidden="1">
      <c r="A3632" s="3" t="s">
        <v>14730</v>
      </c>
      <c r="B3632" s="4">
        <v>543218.0</v>
      </c>
      <c r="C3632" s="3" t="s">
        <v>14731</v>
      </c>
      <c r="D3632" s="3" t="s">
        <v>14732</v>
      </c>
      <c r="E3632" s="3" t="s">
        <v>14733</v>
      </c>
      <c r="F3632" s="3" t="s">
        <v>19</v>
      </c>
      <c r="G3632" s="3" t="s">
        <v>112</v>
      </c>
      <c r="H3632" s="3">
        <v>1.0</v>
      </c>
      <c r="I3632" s="3" t="s">
        <v>14730</v>
      </c>
      <c r="J3632" s="3" t="s">
        <v>22</v>
      </c>
      <c r="K3632" s="3" t="s">
        <v>58</v>
      </c>
      <c r="L3632" s="3" t="s">
        <v>59</v>
      </c>
      <c r="M3632" s="3" t="s">
        <v>59</v>
      </c>
      <c r="N3632" s="3" t="s">
        <v>60</v>
      </c>
      <c r="O3632" s="5">
        <v>2129.0009994</v>
      </c>
      <c r="P3632" s="6" t="str">
        <f t="shared" si="2"/>
        <v>Residential, Commercial Projects</v>
      </c>
    </row>
    <row r="3633">
      <c r="A3633" s="3" t="s">
        <v>11696</v>
      </c>
      <c r="B3633" s="4">
        <v>540047.0</v>
      </c>
      <c r="C3633" s="3" t="s">
        <v>14734</v>
      </c>
      <c r="D3633" s="3" t="s">
        <v>14735</v>
      </c>
      <c r="E3633" s="3" t="s">
        <v>14736</v>
      </c>
      <c r="F3633" s="3" t="s">
        <v>19</v>
      </c>
      <c r="G3633" s="3" t="s">
        <v>20</v>
      </c>
      <c r="H3633" s="3">
        <v>10.0</v>
      </c>
      <c r="I3633" s="3" t="s">
        <v>13273</v>
      </c>
      <c r="J3633" s="3" t="s">
        <v>22</v>
      </c>
      <c r="K3633" s="3" t="s">
        <v>97</v>
      </c>
      <c r="L3633" s="3" t="s">
        <v>965</v>
      </c>
      <c r="M3633" s="3" t="s">
        <v>965</v>
      </c>
      <c r="N3633" s="3" t="s">
        <v>966</v>
      </c>
      <c r="O3633" s="5">
        <v>7853.2742401</v>
      </c>
      <c r="P3633" s="6" t="str">
        <f t="shared" si="2"/>
        <v>Civil Construction</v>
      </c>
    </row>
    <row r="3634" hidden="1">
      <c r="A3634" s="3" t="s">
        <v>14737</v>
      </c>
      <c r="B3634" s="4">
        <v>543223.0</v>
      </c>
      <c r="C3634" s="3" t="s">
        <v>14738</v>
      </c>
      <c r="D3634" s="3" t="s">
        <v>14739</v>
      </c>
      <c r="E3634" s="3" t="s">
        <v>14740</v>
      </c>
      <c r="F3634" s="3" t="s">
        <v>19</v>
      </c>
      <c r="G3634" s="3" t="s">
        <v>112</v>
      </c>
      <c r="H3634" s="3">
        <v>10.0</v>
      </c>
      <c r="I3634" s="3" t="s">
        <v>14737</v>
      </c>
      <c r="J3634" s="3" t="s">
        <v>22</v>
      </c>
      <c r="K3634" s="3" t="s">
        <v>204</v>
      </c>
      <c r="L3634" s="3" t="s">
        <v>204</v>
      </c>
      <c r="M3634" s="3" t="s">
        <v>378</v>
      </c>
      <c r="N3634" s="3" t="s">
        <v>463</v>
      </c>
      <c r="O3634" s="5">
        <v>1331.385025</v>
      </c>
      <c r="P3634" s="6" t="str">
        <f t="shared" si="2"/>
        <v>Finance</v>
      </c>
    </row>
    <row r="3635">
      <c r="A3635" s="3" t="s">
        <v>14741</v>
      </c>
      <c r="B3635" s="4">
        <v>540678.0</v>
      </c>
      <c r="C3635" s="3" t="s">
        <v>14742</v>
      </c>
      <c r="D3635" s="3" t="s">
        <v>14743</v>
      </c>
      <c r="E3635" s="3" t="s">
        <v>14744</v>
      </c>
      <c r="F3635" s="3" t="s">
        <v>19</v>
      </c>
      <c r="G3635" s="3" t="s">
        <v>20</v>
      </c>
      <c r="H3635" s="3">
        <v>5.0</v>
      </c>
      <c r="I3635" s="3" t="s">
        <v>13697</v>
      </c>
      <c r="J3635" s="3" t="s">
        <v>22</v>
      </c>
      <c r="K3635" s="3" t="s">
        <v>97</v>
      </c>
      <c r="L3635" s="3" t="s">
        <v>98</v>
      </c>
      <c r="M3635" s="3" t="s">
        <v>99</v>
      </c>
      <c r="N3635" s="3" t="s">
        <v>7185</v>
      </c>
      <c r="O3635" s="5">
        <v>58969.40202</v>
      </c>
      <c r="P3635" s="6" t="str">
        <f t="shared" si="2"/>
        <v>Industrial Manufacturing</v>
      </c>
    </row>
    <row r="3636">
      <c r="A3636" s="3" t="s">
        <v>14745</v>
      </c>
      <c r="B3636" s="4">
        <v>541019.0</v>
      </c>
      <c r="C3636" s="3" t="s">
        <v>14746</v>
      </c>
      <c r="D3636" s="3" t="s">
        <v>14747</v>
      </c>
      <c r="E3636" s="3" t="s">
        <v>14748</v>
      </c>
      <c r="F3636" s="3" t="s">
        <v>19</v>
      </c>
      <c r="G3636" s="3" t="s">
        <v>20</v>
      </c>
      <c r="H3636" s="3">
        <v>10.0</v>
      </c>
      <c r="I3636" s="3" t="s">
        <v>14006</v>
      </c>
      <c r="J3636" s="3" t="s">
        <v>22</v>
      </c>
      <c r="K3636" s="3" t="s">
        <v>97</v>
      </c>
      <c r="L3636" s="3" t="s">
        <v>965</v>
      </c>
      <c r="M3636" s="3" t="s">
        <v>965</v>
      </c>
      <c r="N3636" s="3" t="s">
        <v>966</v>
      </c>
      <c r="O3636" s="5">
        <v>11575.1296927</v>
      </c>
      <c r="P3636" s="6" t="str">
        <f t="shared" si="2"/>
        <v>Civil Construction</v>
      </c>
    </row>
    <row r="3637" hidden="1">
      <c r="A3637" s="3" t="s">
        <v>14749</v>
      </c>
      <c r="B3637" s="4">
        <v>543229.0</v>
      </c>
      <c r="C3637" s="3" t="s">
        <v>14750</v>
      </c>
      <c r="D3637" s="3" t="s">
        <v>14751</v>
      </c>
      <c r="E3637" s="3" t="s">
        <v>14752</v>
      </c>
      <c r="F3637" s="3" t="s">
        <v>19</v>
      </c>
      <c r="G3637" s="3" t="s">
        <v>44</v>
      </c>
      <c r="H3637" s="3">
        <v>10.0</v>
      </c>
      <c r="I3637" s="3" t="s">
        <v>14749</v>
      </c>
      <c r="J3637" s="3" t="s">
        <v>22</v>
      </c>
      <c r="K3637" s="3" t="s">
        <v>97</v>
      </c>
      <c r="L3637" s="3" t="s">
        <v>98</v>
      </c>
      <c r="M3637" s="3" t="s">
        <v>100</v>
      </c>
      <c r="N3637" s="3" t="s">
        <v>1909</v>
      </c>
      <c r="O3637" s="5">
        <v>156.4896804</v>
      </c>
      <c r="P3637" s="6" t="str">
        <f t="shared" si="2"/>
        <v>Industrial Products</v>
      </c>
    </row>
    <row r="3638" hidden="1">
      <c r="A3638" s="3" t="s">
        <v>14753</v>
      </c>
      <c r="B3638" s="4">
        <v>543230.0</v>
      </c>
      <c r="C3638" s="3" t="s">
        <v>14754</v>
      </c>
      <c r="D3638" s="3" t="s">
        <v>14755</v>
      </c>
      <c r="E3638" s="3" t="s">
        <v>14756</v>
      </c>
      <c r="F3638" s="3" t="s">
        <v>19</v>
      </c>
      <c r="G3638" s="3" t="s">
        <v>86</v>
      </c>
      <c r="H3638" s="3">
        <v>10.0</v>
      </c>
      <c r="I3638" s="3" t="s">
        <v>14753</v>
      </c>
      <c r="J3638" s="3" t="s">
        <v>22</v>
      </c>
      <c r="K3638" s="3" t="s">
        <v>97</v>
      </c>
      <c r="L3638" s="3" t="s">
        <v>98</v>
      </c>
      <c r="M3638" s="3" t="s">
        <v>100</v>
      </c>
      <c r="N3638" s="3" t="s">
        <v>1804</v>
      </c>
      <c r="O3638" s="5">
        <v>1842.157125</v>
      </c>
      <c r="P3638" s="6" t="str">
        <f t="shared" si="2"/>
        <v>Industrial Products</v>
      </c>
    </row>
    <row r="3639" hidden="1">
      <c r="A3639" s="3" t="s">
        <v>14757</v>
      </c>
      <c r="B3639" s="4">
        <v>543231.0</v>
      </c>
      <c r="C3639" s="3" t="s">
        <v>14758</v>
      </c>
      <c r="D3639" s="3" t="s">
        <v>14759</v>
      </c>
      <c r="E3639" s="3" t="s">
        <v>14760</v>
      </c>
      <c r="F3639" s="3" t="s">
        <v>19</v>
      </c>
      <c r="G3639" s="3" t="s">
        <v>112</v>
      </c>
      <c r="H3639" s="3">
        <v>10.0</v>
      </c>
      <c r="I3639" s="3" t="s">
        <v>14757</v>
      </c>
      <c r="J3639" s="3" t="s">
        <v>22</v>
      </c>
      <c r="K3639" s="3" t="s">
        <v>58</v>
      </c>
      <c r="L3639" s="3" t="s">
        <v>211</v>
      </c>
      <c r="M3639" s="3" t="s">
        <v>211</v>
      </c>
      <c r="N3639" s="3" t="s">
        <v>1444</v>
      </c>
      <c r="O3639" s="5">
        <v>52.9197599</v>
      </c>
      <c r="P3639" s="6" t="str">
        <f t="shared" si="2"/>
        <v>Consumer Durables</v>
      </c>
    </row>
    <row r="3640">
      <c r="A3640" s="3" t="s">
        <v>10491</v>
      </c>
      <c r="B3640" s="4">
        <v>541143.0</v>
      </c>
      <c r="C3640" s="3" t="s">
        <v>14761</v>
      </c>
      <c r="D3640" s="3" t="s">
        <v>14762</v>
      </c>
      <c r="E3640" s="3" t="s">
        <v>14763</v>
      </c>
      <c r="F3640" s="3" t="s">
        <v>19</v>
      </c>
      <c r="G3640" s="3" t="s">
        <v>20</v>
      </c>
      <c r="H3640" s="3">
        <v>5.0</v>
      </c>
      <c r="I3640" s="3" t="s">
        <v>14026</v>
      </c>
      <c r="J3640" s="3" t="s">
        <v>22</v>
      </c>
      <c r="K3640" s="3" t="s">
        <v>97</v>
      </c>
      <c r="L3640" s="3" t="s">
        <v>98</v>
      </c>
      <c r="M3640" s="3" t="s">
        <v>806</v>
      </c>
      <c r="N3640" s="3" t="s">
        <v>806</v>
      </c>
      <c r="O3640" s="5">
        <v>60072.45704</v>
      </c>
      <c r="P3640" s="6" t="str">
        <f t="shared" si="2"/>
        <v>Aerospace &amp; Defense</v>
      </c>
    </row>
    <row r="3641" hidden="1">
      <c r="A3641" s="3" t="s">
        <v>14764</v>
      </c>
      <c r="B3641" s="4">
        <v>543233.0</v>
      </c>
      <c r="C3641" s="3" t="s">
        <v>14765</v>
      </c>
      <c r="D3641" s="3" t="s">
        <v>14766</v>
      </c>
      <c r="E3641" s="3" t="s">
        <v>14767</v>
      </c>
      <c r="F3641" s="3" t="s">
        <v>19</v>
      </c>
      <c r="G3641" s="3" t="s">
        <v>112</v>
      </c>
      <c r="H3641" s="3">
        <v>10.0</v>
      </c>
      <c r="I3641" s="3" t="s">
        <v>14764</v>
      </c>
      <c r="J3641" s="3" t="s">
        <v>22</v>
      </c>
      <c r="K3641" s="3" t="s">
        <v>23</v>
      </c>
      <c r="L3641" s="3" t="s">
        <v>24</v>
      </c>
      <c r="M3641" s="3" t="s">
        <v>25</v>
      </c>
      <c r="N3641" s="3" t="s">
        <v>26</v>
      </c>
      <c r="O3641" s="5">
        <v>974.2057575</v>
      </c>
      <c r="P3641" s="6" t="str">
        <f t="shared" si="2"/>
        <v>Specialty Chemicals</v>
      </c>
    </row>
    <row r="3642" hidden="1">
      <c r="A3642" s="3" t="s">
        <v>14768</v>
      </c>
      <c r="B3642" s="4">
        <v>543234.0</v>
      </c>
      <c r="C3642" s="3" t="s">
        <v>14769</v>
      </c>
      <c r="D3642" s="3" t="s">
        <v>14770</v>
      </c>
      <c r="E3642" s="3" t="s">
        <v>14771</v>
      </c>
      <c r="F3642" s="3" t="s">
        <v>19</v>
      </c>
      <c r="G3642" s="3" t="s">
        <v>86</v>
      </c>
      <c r="H3642" s="3">
        <v>10.0</v>
      </c>
      <c r="I3642" s="3" t="s">
        <v>14768</v>
      </c>
      <c r="J3642" s="3" t="s">
        <v>22</v>
      </c>
      <c r="K3642" s="3" t="s">
        <v>473</v>
      </c>
      <c r="L3642" s="3" t="s">
        <v>473</v>
      </c>
      <c r="M3642" s="3" t="s">
        <v>1391</v>
      </c>
      <c r="N3642" s="3" t="s">
        <v>1840</v>
      </c>
      <c r="O3642" s="5">
        <v>105.8873</v>
      </c>
      <c r="P3642" s="6" t="str">
        <f t="shared" si="2"/>
        <v>Computers - Software &amp; Consulting</v>
      </c>
    </row>
    <row r="3643">
      <c r="A3643" s="3" t="s">
        <v>10515</v>
      </c>
      <c r="B3643" s="4">
        <v>541154.0</v>
      </c>
      <c r="C3643" s="3" t="s">
        <v>14772</v>
      </c>
      <c r="D3643" s="3" t="s">
        <v>14773</v>
      </c>
      <c r="E3643" s="3" t="s">
        <v>14774</v>
      </c>
      <c r="F3643" s="3" t="s">
        <v>19</v>
      </c>
      <c r="G3643" s="3" t="s">
        <v>20</v>
      </c>
      <c r="H3643" s="3">
        <v>5.0</v>
      </c>
      <c r="I3643" s="3" t="s">
        <v>14040</v>
      </c>
      <c r="J3643" s="3" t="s">
        <v>22</v>
      </c>
      <c r="K3643" s="3" t="s">
        <v>97</v>
      </c>
      <c r="L3643" s="3" t="s">
        <v>98</v>
      </c>
      <c r="M3643" s="3" t="s">
        <v>806</v>
      </c>
      <c r="N3643" s="3" t="s">
        <v>806</v>
      </c>
      <c r="O3643" s="5">
        <v>350826.3051046</v>
      </c>
      <c r="P3643" s="6" t="str">
        <f t="shared" si="2"/>
        <v>Aerospace &amp; Defense</v>
      </c>
    </row>
    <row r="3644" hidden="1">
      <c r="A3644" s="3" t="s">
        <v>14775</v>
      </c>
      <c r="B3644" s="4">
        <v>543236.0</v>
      </c>
      <c r="C3644" s="3" t="s">
        <v>14776</v>
      </c>
      <c r="D3644" s="3" t="s">
        <v>14777</v>
      </c>
      <c r="E3644" s="3" t="s">
        <v>14778</v>
      </c>
      <c r="F3644" s="3" t="s">
        <v>19</v>
      </c>
      <c r="G3644" s="3" t="s">
        <v>86</v>
      </c>
      <c r="H3644" s="3">
        <v>10.0</v>
      </c>
      <c r="I3644" s="3" t="s">
        <v>14775</v>
      </c>
      <c r="J3644" s="3" t="s">
        <v>22</v>
      </c>
      <c r="K3644" s="3" t="s">
        <v>97</v>
      </c>
      <c r="L3644" s="3" t="s">
        <v>98</v>
      </c>
      <c r="M3644" s="3" t="s">
        <v>99</v>
      </c>
      <c r="N3644" s="3" t="s">
        <v>100</v>
      </c>
      <c r="O3644" s="5">
        <v>219.1187071</v>
      </c>
      <c r="P3644" s="6" t="str">
        <f t="shared" si="2"/>
        <v>Industrial Products</v>
      </c>
    </row>
    <row r="3645">
      <c r="A3645" s="3" t="s">
        <v>14779</v>
      </c>
      <c r="B3645" s="4">
        <v>541195.0</v>
      </c>
      <c r="C3645" s="3" t="s">
        <v>14780</v>
      </c>
      <c r="D3645" s="3" t="s">
        <v>14781</v>
      </c>
      <c r="E3645" s="3" t="s">
        <v>14782</v>
      </c>
      <c r="F3645" s="3" t="s">
        <v>19</v>
      </c>
      <c r="G3645" s="3" t="s">
        <v>20</v>
      </c>
      <c r="H3645" s="3">
        <v>10.0</v>
      </c>
      <c r="I3645" s="3" t="s">
        <v>14062</v>
      </c>
      <c r="J3645" s="3" t="s">
        <v>22</v>
      </c>
      <c r="K3645" s="3" t="s">
        <v>97</v>
      </c>
      <c r="L3645" s="3" t="s">
        <v>98</v>
      </c>
      <c r="M3645" s="3" t="s">
        <v>806</v>
      </c>
      <c r="N3645" s="3" t="s">
        <v>806</v>
      </c>
      <c r="O3645" s="5">
        <v>8831.0638545</v>
      </c>
      <c r="P3645" s="6" t="str">
        <f t="shared" si="2"/>
        <v>Aerospace &amp; Defense</v>
      </c>
    </row>
    <row r="3646">
      <c r="A3646" s="3" t="s">
        <v>10520</v>
      </c>
      <c r="B3646" s="4">
        <v>541556.0</v>
      </c>
      <c r="C3646" s="3" t="s">
        <v>14783</v>
      </c>
      <c r="D3646" s="3" t="s">
        <v>14784</v>
      </c>
      <c r="E3646" s="3" t="s">
        <v>14785</v>
      </c>
      <c r="F3646" s="3" t="s">
        <v>19</v>
      </c>
      <c r="G3646" s="3" t="s">
        <v>20</v>
      </c>
      <c r="H3646" s="3">
        <v>10.0</v>
      </c>
      <c r="I3646" s="3" t="s">
        <v>14166</v>
      </c>
      <c r="J3646" s="3" t="s">
        <v>22</v>
      </c>
      <c r="K3646" s="3" t="s">
        <v>97</v>
      </c>
      <c r="L3646" s="3" t="s">
        <v>965</v>
      </c>
      <c r="M3646" s="3" t="s">
        <v>965</v>
      </c>
      <c r="N3646" s="3" t="s">
        <v>966</v>
      </c>
      <c r="O3646" s="5">
        <v>16775.420922</v>
      </c>
      <c r="P3646" s="6" t="str">
        <f t="shared" si="2"/>
        <v>Civil Construction</v>
      </c>
    </row>
    <row r="3647" hidden="1">
      <c r="A3647" s="3" t="s">
        <v>14786</v>
      </c>
      <c r="B3647" s="4">
        <v>543239.0</v>
      </c>
      <c r="C3647" s="3" t="s">
        <v>14787</v>
      </c>
      <c r="D3647" s="3" t="s">
        <v>14788</v>
      </c>
      <c r="E3647" s="3" t="s">
        <v>14789</v>
      </c>
      <c r="F3647" s="3" t="s">
        <v>19</v>
      </c>
      <c r="G3647" s="3" t="s">
        <v>2428</v>
      </c>
      <c r="H3647" s="3">
        <v>10.0</v>
      </c>
      <c r="I3647" s="3" t="s">
        <v>14786</v>
      </c>
      <c r="J3647" s="3" t="s">
        <v>22</v>
      </c>
      <c r="K3647" s="3" t="s">
        <v>97</v>
      </c>
      <c r="L3647" s="3" t="s">
        <v>98</v>
      </c>
      <c r="M3647" s="3" t="s">
        <v>100</v>
      </c>
      <c r="N3647" s="3" t="s">
        <v>580</v>
      </c>
      <c r="O3647" s="5">
        <v>253.136693</v>
      </c>
      <c r="P3647" s="6" t="str">
        <f t="shared" si="2"/>
        <v>Industrial Products</v>
      </c>
    </row>
    <row r="3648" hidden="1">
      <c r="A3648" s="3" t="s">
        <v>14790</v>
      </c>
      <c r="B3648" s="4">
        <v>543240.0</v>
      </c>
      <c r="C3648" s="3" t="s">
        <v>14791</v>
      </c>
      <c r="D3648" s="3" t="s">
        <v>14792</v>
      </c>
      <c r="E3648" s="3" t="s">
        <v>14793</v>
      </c>
      <c r="F3648" s="3" t="s">
        <v>19</v>
      </c>
      <c r="G3648" s="3" t="s">
        <v>112</v>
      </c>
      <c r="H3648" s="3">
        <v>5.0</v>
      </c>
      <c r="I3648" s="3" t="s">
        <v>14790</v>
      </c>
      <c r="J3648" s="3" t="s">
        <v>22</v>
      </c>
      <c r="K3648" s="3" t="s">
        <v>97</v>
      </c>
      <c r="L3648" s="3" t="s">
        <v>965</v>
      </c>
      <c r="M3648" s="3" t="s">
        <v>965</v>
      </c>
      <c r="N3648" s="3" t="s">
        <v>966</v>
      </c>
      <c r="O3648" s="5">
        <v>1747.7756205</v>
      </c>
      <c r="P3648" s="6" t="str">
        <f t="shared" si="2"/>
        <v>Civil Construction</v>
      </c>
    </row>
    <row r="3649" hidden="1">
      <c r="A3649" s="3" t="s">
        <v>14794</v>
      </c>
      <c r="B3649" s="4">
        <v>543241.0</v>
      </c>
      <c r="C3649" s="3" t="s">
        <v>14795</v>
      </c>
      <c r="D3649" s="3" t="s">
        <v>14796</v>
      </c>
      <c r="E3649" s="3" t="s">
        <v>14797</v>
      </c>
      <c r="F3649" s="3" t="s">
        <v>19</v>
      </c>
      <c r="G3649" s="3" t="s">
        <v>2428</v>
      </c>
      <c r="H3649" s="3">
        <v>10.0</v>
      </c>
      <c r="I3649" s="3" t="s">
        <v>14794</v>
      </c>
      <c r="J3649" s="3" t="s">
        <v>22</v>
      </c>
      <c r="K3649" s="3" t="s">
        <v>58</v>
      </c>
      <c r="L3649" s="3" t="s">
        <v>59</v>
      </c>
      <c r="M3649" s="3" t="s">
        <v>59</v>
      </c>
      <c r="N3649" s="3" t="s">
        <v>60</v>
      </c>
      <c r="O3649" s="5">
        <v>259.6365</v>
      </c>
      <c r="P3649" s="6" t="str">
        <f t="shared" si="2"/>
        <v>Residential, Commercial Projects</v>
      </c>
    </row>
    <row r="3650" hidden="1">
      <c r="A3650" s="3" t="s">
        <v>14798</v>
      </c>
      <c r="B3650" s="4">
        <v>531465.0</v>
      </c>
      <c r="C3650" s="3" t="s">
        <v>14799</v>
      </c>
      <c r="D3650" s="3" t="s">
        <v>14800</v>
      </c>
      <c r="E3650" s="3" t="s">
        <v>14801</v>
      </c>
      <c r="F3650" s="3" t="s">
        <v>19</v>
      </c>
      <c r="G3650" s="3" t="s">
        <v>44</v>
      </c>
      <c r="H3650" s="3">
        <v>1.0</v>
      </c>
      <c r="I3650" s="3" t="s">
        <v>8607</v>
      </c>
      <c r="J3650" s="3" t="s">
        <v>22</v>
      </c>
      <c r="K3650" s="3" t="s">
        <v>1673</v>
      </c>
      <c r="L3650" s="3" t="s">
        <v>1673</v>
      </c>
      <c r="M3650" s="3" t="s">
        <v>1674</v>
      </c>
      <c r="N3650" s="3" t="s">
        <v>1915</v>
      </c>
      <c r="O3650" s="5">
        <v>1.0</v>
      </c>
      <c r="P3650" s="6" t="str">
        <f t="shared" si="2"/>
        <v>Commercial Services &amp; Supplies</v>
      </c>
    </row>
    <row r="3651">
      <c r="A3651" s="3" t="s">
        <v>10528</v>
      </c>
      <c r="B3651" s="4">
        <v>541956.0</v>
      </c>
      <c r="C3651" s="3" t="s">
        <v>14802</v>
      </c>
      <c r="D3651" s="3" t="s">
        <v>14803</v>
      </c>
      <c r="E3651" s="3" t="s">
        <v>14802</v>
      </c>
      <c r="F3651" s="3" t="s">
        <v>19</v>
      </c>
      <c r="G3651" s="3" t="s">
        <v>20</v>
      </c>
      <c r="H3651" s="3">
        <v>2.0</v>
      </c>
      <c r="I3651" s="3" t="s">
        <v>14243</v>
      </c>
      <c r="J3651" s="3" t="s">
        <v>22</v>
      </c>
      <c r="K3651" s="3" t="s">
        <v>97</v>
      </c>
      <c r="L3651" s="3" t="s">
        <v>965</v>
      </c>
      <c r="M3651" s="3" t="s">
        <v>965</v>
      </c>
      <c r="N3651" s="3" t="s">
        <v>966</v>
      </c>
      <c r="O3651" s="5">
        <v>25833.1674616</v>
      </c>
      <c r="P3651" s="6" t="str">
        <f t="shared" si="2"/>
        <v>Civil Construction</v>
      </c>
    </row>
    <row r="3652" hidden="1">
      <c r="A3652" s="3" t="s">
        <v>14804</v>
      </c>
      <c r="B3652" s="4">
        <v>543244.0</v>
      </c>
      <c r="C3652" s="3" t="s">
        <v>14805</v>
      </c>
      <c r="D3652" s="3" t="s">
        <v>14806</v>
      </c>
      <c r="E3652" s="3" t="s">
        <v>14807</v>
      </c>
      <c r="F3652" s="3" t="s">
        <v>19</v>
      </c>
      <c r="G3652" s="3" t="s">
        <v>6293</v>
      </c>
      <c r="H3652" s="3">
        <v>5.0</v>
      </c>
      <c r="I3652" s="3" t="s">
        <v>14804</v>
      </c>
      <c r="J3652" s="3" t="s">
        <v>22</v>
      </c>
      <c r="K3652" s="3" t="s">
        <v>58</v>
      </c>
      <c r="L3652" s="3" t="s">
        <v>80</v>
      </c>
      <c r="M3652" s="3" t="s">
        <v>81</v>
      </c>
      <c r="N3652" s="3" t="s">
        <v>82</v>
      </c>
      <c r="O3652" s="5">
        <v>49.9443</v>
      </c>
      <c r="P3652" s="6" t="str">
        <f t="shared" si="2"/>
        <v>Textiles &amp; Apparels</v>
      </c>
    </row>
    <row r="3653">
      <c r="A3653" s="3" t="s">
        <v>11708</v>
      </c>
      <c r="B3653" s="4">
        <v>542011.0</v>
      </c>
      <c r="C3653" s="3" t="s">
        <v>14808</v>
      </c>
      <c r="D3653" s="3" t="s">
        <v>14809</v>
      </c>
      <c r="E3653" s="3" t="s">
        <v>14810</v>
      </c>
      <c r="F3653" s="3" t="s">
        <v>19</v>
      </c>
      <c r="G3653" s="3" t="s">
        <v>20</v>
      </c>
      <c r="H3653" s="3">
        <v>10.0</v>
      </c>
      <c r="I3653" s="3" t="s">
        <v>14265</v>
      </c>
      <c r="J3653" s="3" t="s">
        <v>22</v>
      </c>
      <c r="K3653" s="3" t="s">
        <v>97</v>
      </c>
      <c r="L3653" s="3" t="s">
        <v>98</v>
      </c>
      <c r="M3653" s="3" t="s">
        <v>806</v>
      </c>
      <c r="N3653" s="3" t="s">
        <v>806</v>
      </c>
      <c r="O3653" s="5">
        <v>24496.7467145</v>
      </c>
      <c r="P3653" s="6" t="str">
        <f t="shared" si="2"/>
        <v>Aerospace &amp; Defense</v>
      </c>
    </row>
    <row r="3654" hidden="1">
      <c r="A3654" s="3" t="s">
        <v>14811</v>
      </c>
      <c r="B3654" s="4">
        <v>543248.0</v>
      </c>
      <c r="C3654" s="3" t="s">
        <v>14812</v>
      </c>
      <c r="D3654" s="3" t="s">
        <v>14813</v>
      </c>
      <c r="E3654" s="3" t="s">
        <v>14814</v>
      </c>
      <c r="F3654" s="3" t="s">
        <v>19</v>
      </c>
      <c r="G3654" s="3" t="s">
        <v>20</v>
      </c>
      <c r="H3654" s="3">
        <v>10.0</v>
      </c>
      <c r="I3654" s="3" t="s">
        <v>14811</v>
      </c>
      <c r="J3654" s="3" t="s">
        <v>22</v>
      </c>
      <c r="K3654" s="3" t="s">
        <v>58</v>
      </c>
      <c r="L3654" s="3" t="s">
        <v>73</v>
      </c>
      <c r="M3654" s="3" t="s">
        <v>74</v>
      </c>
      <c r="N3654" s="3" t="s">
        <v>1162</v>
      </c>
      <c r="O3654" s="5">
        <v>4988.55717</v>
      </c>
      <c r="P3654" s="6" t="str">
        <f t="shared" si="2"/>
        <v>Leisure Services</v>
      </c>
    </row>
    <row r="3655">
      <c r="A3655" s="3" t="s">
        <v>3723</v>
      </c>
      <c r="B3655" s="4">
        <v>542141.0</v>
      </c>
      <c r="C3655" s="3" t="s">
        <v>14815</v>
      </c>
      <c r="D3655" s="3" t="s">
        <v>14816</v>
      </c>
      <c r="E3655" s="3" t="s">
        <v>14817</v>
      </c>
      <c r="F3655" s="3" t="s">
        <v>19</v>
      </c>
      <c r="G3655" s="3" t="s">
        <v>86</v>
      </c>
      <c r="H3655" s="3">
        <v>2.0</v>
      </c>
      <c r="I3655" s="3" t="s">
        <v>14307</v>
      </c>
      <c r="J3655" s="3" t="s">
        <v>22</v>
      </c>
      <c r="K3655" s="3" t="s">
        <v>97</v>
      </c>
      <c r="L3655" s="3" t="s">
        <v>965</v>
      </c>
      <c r="M3655" s="3" t="s">
        <v>965</v>
      </c>
      <c r="N3655" s="3" t="s">
        <v>966</v>
      </c>
      <c r="O3655" s="5">
        <v>16658.97513</v>
      </c>
      <c r="P3655" s="6" t="str">
        <f t="shared" si="2"/>
        <v>Civil Construction</v>
      </c>
    </row>
    <row r="3656" hidden="1">
      <c r="A3656" s="3" t="s">
        <v>14818</v>
      </c>
      <c r="B3656" s="4">
        <v>543251.0</v>
      </c>
      <c r="C3656" s="3" t="s">
        <v>14819</v>
      </c>
      <c r="D3656" s="3" t="s">
        <v>14820</v>
      </c>
      <c r="E3656" s="3" t="s">
        <v>14821</v>
      </c>
      <c r="F3656" s="3" t="s">
        <v>19</v>
      </c>
      <c r="G3656" s="3" t="s">
        <v>112</v>
      </c>
      <c r="H3656" s="3">
        <v>1.0</v>
      </c>
      <c r="I3656" s="3" t="s">
        <v>14818</v>
      </c>
      <c r="J3656" s="3" t="s">
        <v>22</v>
      </c>
      <c r="K3656" s="3" t="s">
        <v>58</v>
      </c>
      <c r="L3656" s="3" t="s">
        <v>59</v>
      </c>
      <c r="M3656" s="3" t="s">
        <v>59</v>
      </c>
      <c r="N3656" s="3" t="s">
        <v>60</v>
      </c>
      <c r="O3656" s="5">
        <v>284.3907284</v>
      </c>
      <c r="P3656" s="6" t="str">
        <f t="shared" si="2"/>
        <v>Residential, Commercial Projects</v>
      </c>
    </row>
    <row r="3657" hidden="1">
      <c r="A3657" s="3" t="s">
        <v>14822</v>
      </c>
      <c r="B3657" s="4">
        <v>543252.0</v>
      </c>
      <c r="C3657" s="3" t="s">
        <v>14823</v>
      </c>
      <c r="D3657" s="3" t="s">
        <v>14824</v>
      </c>
      <c r="E3657" s="3" t="s">
        <v>14825</v>
      </c>
      <c r="F3657" s="3" t="s">
        <v>19</v>
      </c>
      <c r="G3657" s="3" t="s">
        <v>112</v>
      </c>
      <c r="H3657" s="3">
        <v>10.0</v>
      </c>
      <c r="I3657" s="3" t="s">
        <v>14822</v>
      </c>
      <c r="J3657" s="3" t="s">
        <v>22</v>
      </c>
      <c r="K3657" s="3" t="s">
        <v>23</v>
      </c>
      <c r="L3657" s="3" t="s">
        <v>24</v>
      </c>
      <c r="M3657" s="3" t="s">
        <v>25</v>
      </c>
      <c r="N3657" s="3" t="s">
        <v>26</v>
      </c>
      <c r="O3657" s="5">
        <v>1954.71729</v>
      </c>
      <c r="P3657" s="6" t="str">
        <f t="shared" si="2"/>
        <v>Specialty Chemicals</v>
      </c>
    </row>
    <row r="3658">
      <c r="A3658" s="3" t="s">
        <v>9414</v>
      </c>
      <c r="B3658" s="4">
        <v>542649.0</v>
      </c>
      <c r="C3658" s="3" t="s">
        <v>14826</v>
      </c>
      <c r="D3658" s="3" t="s">
        <v>14827</v>
      </c>
      <c r="E3658" s="3" t="s">
        <v>14828</v>
      </c>
      <c r="F3658" s="3" t="s">
        <v>19</v>
      </c>
      <c r="G3658" s="3" t="s">
        <v>20</v>
      </c>
      <c r="H3658" s="3">
        <v>10.0</v>
      </c>
      <c r="I3658" s="3" t="s">
        <v>14444</v>
      </c>
      <c r="J3658" s="3" t="s">
        <v>22</v>
      </c>
      <c r="K3658" s="3" t="s">
        <v>97</v>
      </c>
      <c r="L3658" s="3" t="s">
        <v>965</v>
      </c>
      <c r="M3658" s="3" t="s">
        <v>965</v>
      </c>
      <c r="N3658" s="3" t="s">
        <v>966</v>
      </c>
      <c r="O3658" s="5">
        <v>87333.0249279</v>
      </c>
      <c r="P3658" s="6" t="str">
        <f t="shared" si="2"/>
        <v>Civil Construction</v>
      </c>
    </row>
    <row r="3659" hidden="1">
      <c r="A3659" s="3" t="s">
        <v>14829</v>
      </c>
      <c r="B3659" s="4">
        <v>543254.0</v>
      </c>
      <c r="C3659" s="3" t="s">
        <v>14830</v>
      </c>
      <c r="D3659" s="3" t="s">
        <v>14831</v>
      </c>
      <c r="E3659" s="3" t="s">
        <v>14832</v>
      </c>
      <c r="F3659" s="3" t="s">
        <v>19</v>
      </c>
      <c r="G3659" s="3" t="s">
        <v>112</v>
      </c>
      <c r="H3659" s="3">
        <v>5.0</v>
      </c>
      <c r="I3659" s="3" t="s">
        <v>14829</v>
      </c>
      <c r="J3659" s="3" t="s">
        <v>22</v>
      </c>
      <c r="K3659" s="3" t="s">
        <v>1647</v>
      </c>
      <c r="L3659" s="3" t="s">
        <v>1647</v>
      </c>
      <c r="M3659" s="3" t="s">
        <v>7778</v>
      </c>
      <c r="N3659" s="3" t="s">
        <v>7779</v>
      </c>
      <c r="O3659" s="5">
        <v>1451.1654849</v>
      </c>
      <c r="P3659" s="6" t="str">
        <f t="shared" si="2"/>
        <v>Other Utilities</v>
      </c>
    </row>
    <row r="3660" hidden="1">
      <c r="A3660" s="3" t="s">
        <v>14833</v>
      </c>
      <c r="B3660" s="4">
        <v>543256.0</v>
      </c>
      <c r="C3660" s="3" t="s">
        <v>14834</v>
      </c>
      <c r="D3660" s="3" t="s">
        <v>14835</v>
      </c>
      <c r="E3660" s="3" t="s">
        <v>14836</v>
      </c>
      <c r="F3660" s="3" t="s">
        <v>19</v>
      </c>
      <c r="G3660" s="3" t="s">
        <v>44</v>
      </c>
      <c r="H3660" s="3">
        <v>10.0</v>
      </c>
      <c r="I3660" s="3" t="s">
        <v>14833</v>
      </c>
      <c r="J3660" s="3" t="s">
        <v>22</v>
      </c>
      <c r="K3660" s="3" t="s">
        <v>204</v>
      </c>
      <c r="L3660" s="3" t="s">
        <v>204</v>
      </c>
      <c r="M3660" s="3" t="s">
        <v>378</v>
      </c>
      <c r="N3660" s="3" t="s">
        <v>379</v>
      </c>
      <c r="O3660" s="5">
        <v>17.2530297</v>
      </c>
      <c r="P3660" s="6" t="str">
        <f t="shared" si="2"/>
        <v>Non Banking Financial Company (NBFC)</v>
      </c>
    </row>
    <row r="3661">
      <c r="A3661" s="3" t="s">
        <v>10544</v>
      </c>
      <c r="B3661" s="4">
        <v>542652.0</v>
      </c>
      <c r="C3661" s="3" t="s">
        <v>14837</v>
      </c>
      <c r="D3661" s="3" t="s">
        <v>14838</v>
      </c>
      <c r="E3661" s="3" t="s">
        <v>14839</v>
      </c>
      <c r="F3661" s="3" t="s">
        <v>19</v>
      </c>
      <c r="G3661" s="3" t="s">
        <v>20</v>
      </c>
      <c r="H3661" s="3">
        <v>10.0</v>
      </c>
      <c r="I3661" s="3" t="s">
        <v>14455</v>
      </c>
      <c r="J3661" s="3" t="s">
        <v>22</v>
      </c>
      <c r="K3661" s="3" t="s">
        <v>97</v>
      </c>
      <c r="L3661" s="3" t="s">
        <v>98</v>
      </c>
      <c r="M3661" s="3" t="s">
        <v>100</v>
      </c>
      <c r="N3661" s="3" t="s">
        <v>1804</v>
      </c>
      <c r="O3661" s="5">
        <v>100455.8184</v>
      </c>
      <c r="P3661" s="6" t="str">
        <f t="shared" si="2"/>
        <v>Industrial Products</v>
      </c>
    </row>
    <row r="3662">
      <c r="A3662" s="3" t="s">
        <v>3750</v>
      </c>
      <c r="B3662" s="4">
        <v>542760.0</v>
      </c>
      <c r="C3662" s="3" t="s">
        <v>14840</v>
      </c>
      <c r="D3662" s="3" t="s">
        <v>14841</v>
      </c>
      <c r="E3662" s="3" t="s">
        <v>14842</v>
      </c>
      <c r="F3662" s="3" t="s">
        <v>19</v>
      </c>
      <c r="G3662" s="3" t="s">
        <v>20</v>
      </c>
      <c r="H3662" s="3">
        <v>1.0</v>
      </c>
      <c r="I3662" s="3" t="s">
        <v>14548</v>
      </c>
      <c r="J3662" s="3" t="s">
        <v>22</v>
      </c>
      <c r="K3662" s="3" t="s">
        <v>97</v>
      </c>
      <c r="L3662" s="3" t="s">
        <v>965</v>
      </c>
      <c r="M3662" s="3" t="s">
        <v>965</v>
      </c>
      <c r="N3662" s="3" t="s">
        <v>966</v>
      </c>
      <c r="O3662" s="5">
        <v>16970.061085</v>
      </c>
      <c r="P3662" s="6" t="str">
        <f t="shared" si="2"/>
        <v>Civil Construction</v>
      </c>
    </row>
    <row r="3663">
      <c r="A3663" s="3" t="s">
        <v>10556</v>
      </c>
      <c r="B3663" s="4">
        <v>542907.0</v>
      </c>
      <c r="C3663" s="3" t="s">
        <v>14843</v>
      </c>
      <c r="D3663" s="3" t="s">
        <v>14844</v>
      </c>
      <c r="E3663" s="3" t="s">
        <v>14845</v>
      </c>
      <c r="F3663" s="3" t="s">
        <v>19</v>
      </c>
      <c r="G3663" s="3" t="s">
        <v>20</v>
      </c>
      <c r="H3663" s="3">
        <v>10.0</v>
      </c>
      <c r="I3663" s="3" t="s">
        <v>14634</v>
      </c>
      <c r="J3663" s="3" t="s">
        <v>22</v>
      </c>
      <c r="K3663" s="3" t="s">
        <v>97</v>
      </c>
      <c r="L3663" s="3" t="s">
        <v>98</v>
      </c>
      <c r="M3663" s="3" t="s">
        <v>100</v>
      </c>
      <c r="N3663" s="3" t="s">
        <v>580</v>
      </c>
      <c r="O3663" s="5">
        <v>7601.3074508</v>
      </c>
      <c r="P3663" s="6" t="str">
        <f t="shared" si="2"/>
        <v>Industrial Products</v>
      </c>
    </row>
    <row r="3664" hidden="1">
      <c r="A3664" s="3" t="s">
        <v>14846</v>
      </c>
      <c r="B3664" s="4">
        <v>543260.0</v>
      </c>
      <c r="C3664" s="3" t="s">
        <v>14847</v>
      </c>
      <c r="D3664" s="3" t="s">
        <v>14848</v>
      </c>
      <c r="E3664" s="3" t="s">
        <v>14849</v>
      </c>
      <c r="F3664" s="3" t="s">
        <v>19</v>
      </c>
      <c r="G3664" s="3" t="s">
        <v>112</v>
      </c>
      <c r="H3664" s="3">
        <v>10.0</v>
      </c>
      <c r="I3664" s="3" t="s">
        <v>14846</v>
      </c>
      <c r="J3664" s="3" t="s">
        <v>22</v>
      </c>
      <c r="K3664" s="3" t="s">
        <v>58</v>
      </c>
      <c r="L3664" s="3" t="s">
        <v>211</v>
      </c>
      <c r="M3664" s="3" t="s">
        <v>211</v>
      </c>
      <c r="N3664" s="3" t="s">
        <v>882</v>
      </c>
      <c r="O3664" s="5">
        <v>1946.5225498</v>
      </c>
      <c r="P3664" s="6" t="str">
        <f t="shared" si="2"/>
        <v>Consumer Durables</v>
      </c>
    </row>
    <row r="3665" hidden="1">
      <c r="A3665" s="3" t="s">
        <v>14850</v>
      </c>
      <c r="B3665" s="4">
        <v>543262.0</v>
      </c>
      <c r="C3665" s="3" t="s">
        <v>14851</v>
      </c>
      <c r="D3665" s="3" t="s">
        <v>14852</v>
      </c>
      <c r="E3665" s="3" t="s">
        <v>14853</v>
      </c>
      <c r="F3665" s="3" t="s">
        <v>19</v>
      </c>
      <c r="G3665" s="3" t="s">
        <v>6293</v>
      </c>
      <c r="H3665" s="3">
        <v>10.0</v>
      </c>
      <c r="I3665" s="3" t="s">
        <v>14850</v>
      </c>
      <c r="J3665" s="3" t="s">
        <v>22</v>
      </c>
      <c r="K3665" s="3" t="s">
        <v>58</v>
      </c>
      <c r="L3665" s="3" t="s">
        <v>73</v>
      </c>
      <c r="M3665" s="3" t="s">
        <v>988</v>
      </c>
      <c r="N3665" s="3" t="s">
        <v>12244</v>
      </c>
      <c r="O3665" s="5">
        <v>111.4420343</v>
      </c>
      <c r="P3665" s="6" t="str">
        <f t="shared" si="2"/>
        <v>Retailing</v>
      </c>
    </row>
    <row r="3666" hidden="1">
      <c r="A3666" s="3" t="s">
        <v>14854</v>
      </c>
      <c r="B3666" s="4">
        <v>543263.0</v>
      </c>
      <c r="C3666" s="3" t="s">
        <v>14855</v>
      </c>
      <c r="D3666" s="3" t="s">
        <v>14856</v>
      </c>
      <c r="E3666" s="3" t="s">
        <v>14857</v>
      </c>
      <c r="F3666" s="3" t="s">
        <v>19</v>
      </c>
      <c r="G3666" s="3" t="s">
        <v>112</v>
      </c>
      <c r="H3666" s="3">
        <v>2.0</v>
      </c>
      <c r="I3666" s="3" t="s">
        <v>14854</v>
      </c>
      <c r="J3666" s="3" t="s">
        <v>22</v>
      </c>
      <c r="K3666" s="3" t="s">
        <v>204</v>
      </c>
      <c r="L3666" s="3" t="s">
        <v>204</v>
      </c>
      <c r="M3666" s="3" t="s">
        <v>205</v>
      </c>
      <c r="N3666" s="3" t="s">
        <v>2109</v>
      </c>
      <c r="O3666" s="5">
        <v>1624.433833</v>
      </c>
      <c r="P3666" s="6" t="str">
        <f t="shared" si="2"/>
        <v>Capital Markets</v>
      </c>
    </row>
    <row r="3667" hidden="1">
      <c r="A3667" s="3" t="s">
        <v>14858</v>
      </c>
      <c r="B3667" s="4">
        <v>543264.0</v>
      </c>
      <c r="C3667" s="3" t="s">
        <v>14859</v>
      </c>
      <c r="D3667" s="3" t="s">
        <v>14860</v>
      </c>
      <c r="E3667" s="3" t="s">
        <v>14861</v>
      </c>
      <c r="F3667" s="3" t="s">
        <v>19</v>
      </c>
      <c r="G3667" s="3" t="s">
        <v>112</v>
      </c>
      <c r="H3667" s="3">
        <v>10.0</v>
      </c>
      <c r="I3667" s="3" t="s">
        <v>14858</v>
      </c>
      <c r="J3667" s="3" t="s">
        <v>22</v>
      </c>
      <c r="K3667" s="3" t="s">
        <v>45</v>
      </c>
      <c r="L3667" s="3" t="s">
        <v>45</v>
      </c>
      <c r="M3667" s="3" t="s">
        <v>7249</v>
      </c>
      <c r="N3667" s="3" t="s">
        <v>7250</v>
      </c>
      <c r="O3667" s="5">
        <v>269.2502752</v>
      </c>
      <c r="P3667" s="6" t="str">
        <f t="shared" si="2"/>
        <v>Healthcare Equipment &amp; Supplies</v>
      </c>
    </row>
    <row r="3668">
      <c r="A3668" s="3" t="s">
        <v>14862</v>
      </c>
      <c r="B3668" s="4">
        <v>543187.0</v>
      </c>
      <c r="C3668" s="3" t="s">
        <v>14863</v>
      </c>
      <c r="D3668" s="3" t="s">
        <v>14864</v>
      </c>
      <c r="E3668" s="3" t="s">
        <v>14865</v>
      </c>
      <c r="F3668" s="3" t="s">
        <v>19</v>
      </c>
      <c r="G3668" s="3" t="s">
        <v>20</v>
      </c>
      <c r="H3668" s="3">
        <v>2.0</v>
      </c>
      <c r="I3668" s="3" t="s">
        <v>14691</v>
      </c>
      <c r="J3668" s="3" t="s">
        <v>22</v>
      </c>
      <c r="K3668" s="3" t="s">
        <v>97</v>
      </c>
      <c r="L3668" s="3" t="s">
        <v>98</v>
      </c>
      <c r="M3668" s="3" t="s">
        <v>1747</v>
      </c>
      <c r="N3668" s="3" t="s">
        <v>1767</v>
      </c>
      <c r="O3668" s="5">
        <v>59677.403028</v>
      </c>
      <c r="P3668" s="6" t="str">
        <f t="shared" si="2"/>
        <v>Heavy Electrical Equipment</v>
      </c>
    </row>
    <row r="3669" hidden="1">
      <c r="A3669" s="3" t="s">
        <v>14866</v>
      </c>
      <c r="B3669" s="4">
        <v>543266.0</v>
      </c>
      <c r="C3669" s="3" t="s">
        <v>14867</v>
      </c>
      <c r="D3669" s="3" t="s">
        <v>14868</v>
      </c>
      <c r="E3669" s="3" t="s">
        <v>14869</v>
      </c>
      <c r="F3669" s="3" t="s">
        <v>19</v>
      </c>
      <c r="G3669" s="3" t="s">
        <v>112</v>
      </c>
      <c r="H3669" s="3">
        <v>10.0</v>
      </c>
      <c r="I3669" s="3" t="s">
        <v>14866</v>
      </c>
      <c r="J3669" s="3" t="s">
        <v>22</v>
      </c>
      <c r="K3669" s="3" t="s">
        <v>23</v>
      </c>
      <c r="L3669" s="3" t="s">
        <v>24</v>
      </c>
      <c r="M3669" s="3" t="s">
        <v>91</v>
      </c>
      <c r="N3669" s="3" t="s">
        <v>252</v>
      </c>
      <c r="O3669" s="5">
        <v>1450.585943</v>
      </c>
      <c r="P3669" s="6" t="str">
        <f t="shared" si="2"/>
        <v>Fertilizers &amp; Agrochemicals</v>
      </c>
    </row>
    <row r="3670" hidden="1">
      <c r="A3670" s="3" t="s">
        <v>14870</v>
      </c>
      <c r="B3670" s="4">
        <v>543267.0</v>
      </c>
      <c r="C3670" s="3" t="s">
        <v>14871</v>
      </c>
      <c r="D3670" s="3" t="s">
        <v>14872</v>
      </c>
      <c r="E3670" s="3" t="s">
        <v>14873</v>
      </c>
      <c r="F3670" s="3" t="s">
        <v>19</v>
      </c>
      <c r="G3670" s="3" t="s">
        <v>112</v>
      </c>
      <c r="H3670" s="3">
        <v>1.0</v>
      </c>
      <c r="I3670" s="3" t="s">
        <v>14870</v>
      </c>
      <c r="J3670" s="3" t="s">
        <v>22</v>
      </c>
      <c r="K3670" s="3" t="s">
        <v>145</v>
      </c>
      <c r="L3670" s="3" t="s">
        <v>145</v>
      </c>
      <c r="M3670" s="3" t="s">
        <v>146</v>
      </c>
      <c r="N3670" s="3" t="s">
        <v>147</v>
      </c>
      <c r="O3670" s="5">
        <v>808.2867427</v>
      </c>
      <c r="P3670" s="6" t="str">
        <f t="shared" si="2"/>
        <v>Agricultural Food &amp; other Products</v>
      </c>
    </row>
    <row r="3671" hidden="1">
      <c r="A3671" s="3" t="s">
        <v>14874</v>
      </c>
      <c r="B3671" s="4">
        <v>543268.0</v>
      </c>
      <c r="C3671" s="3" t="s">
        <v>14875</v>
      </c>
      <c r="D3671" s="3" t="s">
        <v>14876</v>
      </c>
      <c r="E3671" s="3" t="s">
        <v>14877</v>
      </c>
      <c r="F3671" s="3" t="s">
        <v>19</v>
      </c>
      <c r="G3671" s="3" t="s">
        <v>86</v>
      </c>
      <c r="H3671" s="3">
        <v>1.0</v>
      </c>
      <c r="I3671" s="3" t="s">
        <v>14874</v>
      </c>
      <c r="J3671" s="3" t="s">
        <v>22</v>
      </c>
      <c r="K3671" s="3" t="s">
        <v>473</v>
      </c>
      <c r="L3671" s="3" t="s">
        <v>473</v>
      </c>
      <c r="M3671" s="3" t="s">
        <v>1391</v>
      </c>
      <c r="N3671" s="3" t="s">
        <v>1840</v>
      </c>
      <c r="O3671" s="5">
        <v>378.4563983</v>
      </c>
      <c r="P3671" s="6" t="str">
        <f t="shared" si="2"/>
        <v>Computers - Software &amp; Consulting</v>
      </c>
    </row>
    <row r="3672">
      <c r="A3672" s="3" t="s">
        <v>14878</v>
      </c>
      <c r="B3672" s="4">
        <v>543237.0</v>
      </c>
      <c r="C3672" s="3" t="s">
        <v>14879</v>
      </c>
      <c r="D3672" s="3" t="s">
        <v>14880</v>
      </c>
      <c r="E3672" s="3" t="s">
        <v>14881</v>
      </c>
      <c r="F3672" s="3" t="s">
        <v>19</v>
      </c>
      <c r="G3672" s="3" t="s">
        <v>20</v>
      </c>
      <c r="H3672" s="3">
        <v>10.0</v>
      </c>
      <c r="I3672" s="3" t="s">
        <v>14779</v>
      </c>
      <c r="J3672" s="3" t="s">
        <v>22</v>
      </c>
      <c r="K3672" s="3" t="s">
        <v>97</v>
      </c>
      <c r="L3672" s="3" t="s">
        <v>98</v>
      </c>
      <c r="M3672" s="3" t="s">
        <v>99</v>
      </c>
      <c r="N3672" s="3" t="s">
        <v>7185</v>
      </c>
      <c r="O3672" s="5">
        <v>86020.39314</v>
      </c>
      <c r="P3672" s="6" t="str">
        <f t="shared" si="2"/>
        <v>Industrial Manufacturing</v>
      </c>
    </row>
    <row r="3673">
      <c r="A3673" s="3" t="s">
        <v>778</v>
      </c>
      <c r="B3673" s="4">
        <v>543270.0</v>
      </c>
      <c r="C3673" s="3" t="s">
        <v>14882</v>
      </c>
      <c r="D3673" s="3" t="s">
        <v>14883</v>
      </c>
      <c r="E3673" s="3" t="s">
        <v>14884</v>
      </c>
      <c r="F3673" s="3" t="s">
        <v>19</v>
      </c>
      <c r="G3673" s="3" t="s">
        <v>20</v>
      </c>
      <c r="H3673" s="3">
        <v>10.0</v>
      </c>
      <c r="I3673" s="3" t="s">
        <v>14878</v>
      </c>
      <c r="J3673" s="3" t="s">
        <v>22</v>
      </c>
      <c r="K3673" s="3" t="s">
        <v>97</v>
      </c>
      <c r="L3673" s="3" t="s">
        <v>98</v>
      </c>
      <c r="M3673" s="3" t="s">
        <v>806</v>
      </c>
      <c r="N3673" s="3" t="s">
        <v>806</v>
      </c>
      <c r="O3673" s="5">
        <v>5899.1186475</v>
      </c>
      <c r="P3673" s="6" t="str">
        <f t="shared" si="2"/>
        <v>Aerospace &amp; Defense</v>
      </c>
    </row>
    <row r="3674">
      <c r="A3674" s="3" t="s">
        <v>3805</v>
      </c>
      <c r="B3674" s="4">
        <v>543297.0</v>
      </c>
      <c r="C3674" s="3" t="s">
        <v>14885</v>
      </c>
      <c r="D3674" s="3" t="s">
        <v>14886</v>
      </c>
      <c r="E3674" s="3" t="s">
        <v>14887</v>
      </c>
      <c r="F3674" s="3" t="s">
        <v>19</v>
      </c>
      <c r="G3674" s="3" t="s">
        <v>112</v>
      </c>
      <c r="H3674" s="3">
        <v>10.0</v>
      </c>
      <c r="I3674" s="3" t="s">
        <v>14888</v>
      </c>
      <c r="J3674" s="3" t="s">
        <v>22</v>
      </c>
      <c r="K3674" s="3" t="s">
        <v>97</v>
      </c>
      <c r="L3674" s="3" t="s">
        <v>98</v>
      </c>
      <c r="M3674" s="3" t="s">
        <v>1747</v>
      </c>
      <c r="N3674" s="3" t="s">
        <v>1767</v>
      </c>
      <c r="O3674" s="5">
        <v>8358.1544989</v>
      </c>
      <c r="P3674" s="6" t="str">
        <f t="shared" si="2"/>
        <v>Heavy Electrical Equipment</v>
      </c>
    </row>
    <row r="3675" hidden="1">
      <c r="A3675" s="3" t="s">
        <v>2429</v>
      </c>
      <c r="B3675" s="4">
        <v>531506.0</v>
      </c>
      <c r="C3675" s="3" t="s">
        <v>14889</v>
      </c>
      <c r="D3675" s="3" t="s">
        <v>14890</v>
      </c>
      <c r="E3675" s="3" t="s">
        <v>14891</v>
      </c>
      <c r="F3675" s="3" t="s">
        <v>19</v>
      </c>
      <c r="G3675" s="3" t="s">
        <v>72</v>
      </c>
      <c r="H3675" s="3">
        <v>10.0</v>
      </c>
      <c r="I3675" s="3" t="s">
        <v>8650</v>
      </c>
      <c r="J3675" s="3" t="s">
        <v>22</v>
      </c>
      <c r="K3675" s="3" t="s">
        <v>1673</v>
      </c>
      <c r="L3675" s="3" t="s">
        <v>1673</v>
      </c>
      <c r="M3675" s="3" t="s">
        <v>1674</v>
      </c>
      <c r="N3675" s="3" t="s">
        <v>1675</v>
      </c>
      <c r="O3675" s="5">
        <v>1.0</v>
      </c>
      <c r="P3675" s="6" t="str">
        <f t="shared" si="2"/>
        <v>Commercial Services &amp; Supplies</v>
      </c>
    </row>
    <row r="3676" hidden="1">
      <c r="A3676" s="3" t="s">
        <v>14892</v>
      </c>
      <c r="B3676" s="4">
        <v>543274.0</v>
      </c>
      <c r="C3676" s="3" t="s">
        <v>14893</v>
      </c>
      <c r="D3676" s="3" t="s">
        <v>14894</v>
      </c>
      <c r="E3676" s="3" t="s">
        <v>14895</v>
      </c>
      <c r="F3676" s="3" t="s">
        <v>19</v>
      </c>
      <c r="G3676" s="3" t="s">
        <v>2428</v>
      </c>
      <c r="H3676" s="3">
        <v>10.0</v>
      </c>
      <c r="I3676" s="3" t="s">
        <v>14892</v>
      </c>
      <c r="J3676" s="3" t="s">
        <v>22</v>
      </c>
      <c r="K3676" s="3" t="s">
        <v>58</v>
      </c>
      <c r="L3676" s="3" t="s">
        <v>80</v>
      </c>
      <c r="M3676" s="3" t="s">
        <v>81</v>
      </c>
      <c r="N3676" s="3" t="s">
        <v>82</v>
      </c>
      <c r="O3676" s="5">
        <v>11.0392209</v>
      </c>
      <c r="P3676" s="6" t="str">
        <f t="shared" si="2"/>
        <v>Textiles &amp; Apparels</v>
      </c>
    </row>
    <row r="3677">
      <c r="A3677" s="3" t="s">
        <v>790</v>
      </c>
      <c r="B3677" s="4">
        <v>543299.0</v>
      </c>
      <c r="C3677" s="3" t="s">
        <v>14896</v>
      </c>
      <c r="D3677" s="3" t="s">
        <v>14897</v>
      </c>
      <c r="E3677" s="3" t="s">
        <v>14898</v>
      </c>
      <c r="F3677" s="3" t="s">
        <v>19</v>
      </c>
      <c r="G3677" s="3" t="s">
        <v>20</v>
      </c>
      <c r="H3677" s="3">
        <v>10.0</v>
      </c>
      <c r="I3677" s="3" t="s">
        <v>14899</v>
      </c>
      <c r="J3677" s="3" t="s">
        <v>22</v>
      </c>
      <c r="K3677" s="3" t="s">
        <v>97</v>
      </c>
      <c r="L3677" s="3" t="s">
        <v>98</v>
      </c>
      <c r="M3677" s="3" t="s">
        <v>100</v>
      </c>
      <c r="N3677" s="3" t="s">
        <v>612</v>
      </c>
      <c r="O3677" s="5">
        <v>18622.30419</v>
      </c>
      <c r="P3677" s="6" t="str">
        <f t="shared" si="2"/>
        <v>Industrial Products</v>
      </c>
    </row>
    <row r="3678">
      <c r="A3678" s="3" t="s">
        <v>3896</v>
      </c>
      <c r="B3678" s="4">
        <v>543317.0</v>
      </c>
      <c r="C3678" s="3" t="s">
        <v>14900</v>
      </c>
      <c r="D3678" s="3" t="s">
        <v>14901</v>
      </c>
      <c r="E3678" s="3" t="s">
        <v>14902</v>
      </c>
      <c r="F3678" s="3" t="s">
        <v>19</v>
      </c>
      <c r="G3678" s="3" t="s">
        <v>20</v>
      </c>
      <c r="H3678" s="3">
        <v>5.0</v>
      </c>
      <c r="I3678" s="3" t="s">
        <v>14903</v>
      </c>
      <c r="J3678" s="3" t="s">
        <v>22</v>
      </c>
      <c r="K3678" s="3" t="s">
        <v>97</v>
      </c>
      <c r="L3678" s="3" t="s">
        <v>965</v>
      </c>
      <c r="M3678" s="3" t="s">
        <v>965</v>
      </c>
      <c r="N3678" s="3" t="s">
        <v>966</v>
      </c>
      <c r="O3678" s="5">
        <v>17676.96499</v>
      </c>
      <c r="P3678" s="6" t="str">
        <f t="shared" si="2"/>
        <v>Civil Construction</v>
      </c>
    </row>
    <row r="3679">
      <c r="A3679" s="3" t="s">
        <v>795</v>
      </c>
      <c r="B3679" s="4">
        <v>543367.0</v>
      </c>
      <c r="C3679" s="3" t="s">
        <v>14904</v>
      </c>
      <c r="D3679" s="3" t="s">
        <v>14905</v>
      </c>
      <c r="E3679" s="3" t="s">
        <v>14906</v>
      </c>
      <c r="F3679" s="3" t="s">
        <v>19</v>
      </c>
      <c r="G3679" s="3" t="s">
        <v>20</v>
      </c>
      <c r="H3679" s="3">
        <v>10.0</v>
      </c>
      <c r="I3679" s="3" t="s">
        <v>14907</v>
      </c>
      <c r="J3679" s="3" t="s">
        <v>22</v>
      </c>
      <c r="K3679" s="3" t="s">
        <v>97</v>
      </c>
      <c r="L3679" s="3" t="s">
        <v>98</v>
      </c>
      <c r="M3679" s="3" t="s">
        <v>806</v>
      </c>
      <c r="N3679" s="3" t="s">
        <v>806</v>
      </c>
      <c r="O3679" s="5">
        <v>5544.673416</v>
      </c>
      <c r="P3679" s="6" t="str">
        <f t="shared" si="2"/>
        <v>Aerospace &amp; Defense</v>
      </c>
    </row>
    <row r="3680">
      <c r="A3680" s="3" t="s">
        <v>3977</v>
      </c>
      <c r="B3680" s="4">
        <v>543413.0</v>
      </c>
      <c r="C3680" s="3" t="s">
        <v>14908</v>
      </c>
      <c r="D3680" s="3" t="s">
        <v>14909</v>
      </c>
      <c r="E3680" s="3" t="s">
        <v>14910</v>
      </c>
      <c r="F3680" s="3" t="s">
        <v>19</v>
      </c>
      <c r="G3680" s="3" t="s">
        <v>20</v>
      </c>
      <c r="H3680" s="3">
        <v>10.0</v>
      </c>
      <c r="I3680" s="3" t="s">
        <v>14911</v>
      </c>
      <c r="J3680" s="3" t="s">
        <v>22</v>
      </c>
      <c r="K3680" s="3" t="s">
        <v>97</v>
      </c>
      <c r="L3680" s="3" t="s">
        <v>98</v>
      </c>
      <c r="M3680" s="3" t="s">
        <v>99</v>
      </c>
      <c r="N3680" s="3" t="s">
        <v>100</v>
      </c>
      <c r="O3680" s="5">
        <v>10969.5613652</v>
      </c>
      <c r="P3680" s="6" t="str">
        <f t="shared" si="2"/>
        <v>Industrial Products</v>
      </c>
    </row>
    <row r="3681" hidden="1">
      <c r="A3681" s="3" t="s">
        <v>14912</v>
      </c>
      <c r="B3681" s="4">
        <v>543279.0</v>
      </c>
      <c r="C3681" s="3" t="s">
        <v>14913</v>
      </c>
      <c r="D3681" s="3" t="s">
        <v>14914</v>
      </c>
      <c r="E3681" s="3" t="s">
        <v>14915</v>
      </c>
      <c r="F3681" s="3" t="s">
        <v>19</v>
      </c>
      <c r="G3681" s="3" t="s">
        <v>20</v>
      </c>
      <c r="H3681" s="3">
        <v>10.0</v>
      </c>
      <c r="I3681" s="3" t="s">
        <v>14912</v>
      </c>
      <c r="J3681" s="3" t="s">
        <v>22</v>
      </c>
      <c r="K3681" s="3" t="s">
        <v>204</v>
      </c>
      <c r="L3681" s="3" t="s">
        <v>204</v>
      </c>
      <c r="M3681" s="3" t="s">
        <v>9428</v>
      </c>
      <c r="N3681" s="6" t="s">
        <v>9429</v>
      </c>
      <c r="O3681" s="5">
        <v>2006.2863109</v>
      </c>
      <c r="P3681" s="6" t="str">
        <f t="shared" si="2"/>
        <v>Private Sector Bank</v>
      </c>
    </row>
    <row r="3682">
      <c r="A3682" s="3" t="s">
        <v>4003</v>
      </c>
      <c r="B3682" s="4">
        <v>543428.0</v>
      </c>
      <c r="C3682" s="3" t="s">
        <v>14916</v>
      </c>
      <c r="D3682" s="3" t="s">
        <v>14917</v>
      </c>
      <c r="E3682" s="3" t="s">
        <v>14918</v>
      </c>
      <c r="F3682" s="3" t="s">
        <v>19</v>
      </c>
      <c r="G3682" s="3" t="s">
        <v>20</v>
      </c>
      <c r="H3682" s="3">
        <v>2.0</v>
      </c>
      <c r="I3682" s="3" t="s">
        <v>14919</v>
      </c>
      <c r="J3682" s="3" t="s">
        <v>22</v>
      </c>
      <c r="K3682" s="3" t="s">
        <v>97</v>
      </c>
      <c r="L3682" s="3" t="s">
        <v>98</v>
      </c>
      <c r="M3682" s="3" t="s">
        <v>806</v>
      </c>
      <c r="N3682" s="3" t="s">
        <v>806</v>
      </c>
      <c r="O3682" s="5">
        <v>17074.692468</v>
      </c>
      <c r="P3682" s="6" t="str">
        <f t="shared" si="2"/>
        <v>Aerospace &amp; Defense</v>
      </c>
    </row>
    <row r="3683" hidden="1">
      <c r="A3683" s="3" t="s">
        <v>14920</v>
      </c>
      <c r="B3683" s="4">
        <v>543281.0</v>
      </c>
      <c r="C3683" s="3" t="s">
        <v>14921</v>
      </c>
      <c r="D3683" s="3" t="s">
        <v>14922</v>
      </c>
      <c r="E3683" s="3" t="s">
        <v>14923</v>
      </c>
      <c r="F3683" s="3" t="s">
        <v>19</v>
      </c>
      <c r="G3683" s="3" t="s">
        <v>112</v>
      </c>
      <c r="H3683" s="3">
        <v>1.0</v>
      </c>
      <c r="I3683" s="3" t="s">
        <v>14920</v>
      </c>
      <c r="J3683" s="3" t="s">
        <v>22</v>
      </c>
      <c r="K3683" s="3" t="s">
        <v>204</v>
      </c>
      <c r="L3683" s="3" t="s">
        <v>204</v>
      </c>
      <c r="M3683" s="3" t="s">
        <v>3234</v>
      </c>
      <c r="N3683" s="3" t="s">
        <v>3234</v>
      </c>
      <c r="O3683" s="5">
        <v>116.4016911</v>
      </c>
      <c r="P3683" s="6" t="str">
        <f t="shared" si="2"/>
        <v>Financial Technology (Fintech)</v>
      </c>
    </row>
    <row r="3684" hidden="1">
      <c r="A3684" s="3" t="s">
        <v>14924</v>
      </c>
      <c r="B3684" s="4">
        <v>543283.0</v>
      </c>
      <c r="C3684" s="3" t="s">
        <v>14925</v>
      </c>
      <c r="D3684" s="3" t="s">
        <v>14926</v>
      </c>
      <c r="E3684" s="3" t="s">
        <v>14927</v>
      </c>
      <c r="F3684" s="3" t="s">
        <v>19</v>
      </c>
      <c r="G3684" s="3" t="s">
        <v>20</v>
      </c>
      <c r="H3684" s="3">
        <v>5.0</v>
      </c>
      <c r="I3684" s="3" t="s">
        <v>14924</v>
      </c>
      <c r="J3684" s="3" t="s">
        <v>22</v>
      </c>
      <c r="K3684" s="3" t="s">
        <v>58</v>
      </c>
      <c r="L3684" s="3" t="s">
        <v>73</v>
      </c>
      <c r="M3684" s="3" t="s">
        <v>74</v>
      </c>
      <c r="N3684" s="3" t="s">
        <v>1162</v>
      </c>
      <c r="O3684" s="5">
        <v>2122.3632132</v>
      </c>
      <c r="P3684" s="6" t="str">
        <f t="shared" si="2"/>
        <v>Leisure Services</v>
      </c>
    </row>
    <row r="3685" hidden="1">
      <c r="A3685" s="3" t="s">
        <v>3188</v>
      </c>
      <c r="B3685" s="4">
        <v>531537.0</v>
      </c>
      <c r="C3685" s="3" t="s">
        <v>14928</v>
      </c>
      <c r="D3685" s="3" t="s">
        <v>14929</v>
      </c>
      <c r="E3685" s="3" t="s">
        <v>14930</v>
      </c>
      <c r="F3685" s="3" t="s">
        <v>19</v>
      </c>
      <c r="G3685" s="3" t="s">
        <v>72</v>
      </c>
      <c r="H3685" s="3">
        <v>10.0</v>
      </c>
      <c r="I3685" s="3" t="s">
        <v>8696</v>
      </c>
      <c r="J3685" s="3" t="s">
        <v>22</v>
      </c>
      <c r="K3685" s="3" t="s">
        <v>1673</v>
      </c>
      <c r="L3685" s="3" t="s">
        <v>1673</v>
      </c>
      <c r="M3685" s="3" t="s">
        <v>1674</v>
      </c>
      <c r="N3685" s="3" t="s">
        <v>1675</v>
      </c>
      <c r="O3685" s="5">
        <v>1.0</v>
      </c>
      <c r="P3685" s="6" t="str">
        <f t="shared" si="2"/>
        <v>Commercial Services &amp; Supplies</v>
      </c>
    </row>
    <row r="3686" hidden="1">
      <c r="A3686" s="3" t="s">
        <v>14931</v>
      </c>
      <c r="B3686" s="4">
        <v>543285.0</v>
      </c>
      <c r="C3686" s="3" t="s">
        <v>14932</v>
      </c>
      <c r="D3686" s="3" t="s">
        <v>14933</v>
      </c>
      <c r="E3686" s="3" t="s">
        <v>14934</v>
      </c>
      <c r="F3686" s="3" t="s">
        <v>19</v>
      </c>
      <c r="G3686" s="3" t="s">
        <v>6293</v>
      </c>
      <c r="H3686" s="3">
        <v>10.0</v>
      </c>
      <c r="I3686" s="3" t="s">
        <v>14931</v>
      </c>
      <c r="J3686" s="3" t="s">
        <v>22</v>
      </c>
      <c r="K3686" s="3" t="s">
        <v>97</v>
      </c>
      <c r="L3686" s="3" t="s">
        <v>98</v>
      </c>
      <c r="M3686" s="3" t="s">
        <v>100</v>
      </c>
      <c r="N3686" s="3" t="s">
        <v>373</v>
      </c>
      <c r="O3686" s="5">
        <v>84.7011182</v>
      </c>
      <c r="P3686" s="6" t="str">
        <f t="shared" si="2"/>
        <v>Industrial Products</v>
      </c>
    </row>
    <row r="3687" hidden="1">
      <c r="A3687" s="3" t="s">
        <v>14935</v>
      </c>
      <c r="B3687" s="4">
        <v>543286.0</v>
      </c>
      <c r="C3687" s="3" t="s">
        <v>14936</v>
      </c>
      <c r="D3687" s="3" t="s">
        <v>14937</v>
      </c>
      <c r="E3687" s="3" t="s">
        <v>14938</v>
      </c>
      <c r="F3687" s="3" t="s">
        <v>19</v>
      </c>
      <c r="G3687" s="3" t="s">
        <v>2428</v>
      </c>
      <c r="H3687" s="3">
        <v>10.0</v>
      </c>
      <c r="I3687" s="3" t="s">
        <v>14935</v>
      </c>
      <c r="J3687" s="3" t="s">
        <v>22</v>
      </c>
      <c r="K3687" s="3" t="s">
        <v>145</v>
      </c>
      <c r="L3687" s="3" t="s">
        <v>145</v>
      </c>
      <c r="M3687" s="3" t="s">
        <v>597</v>
      </c>
      <c r="N3687" s="3" t="s">
        <v>1065</v>
      </c>
      <c r="O3687" s="5">
        <v>1.0</v>
      </c>
      <c r="P3687" s="6" t="str">
        <f t="shared" si="2"/>
        <v>Food Products</v>
      </c>
    </row>
    <row r="3688">
      <c r="A3688" s="3" t="s">
        <v>4049</v>
      </c>
      <c r="B3688" s="4">
        <v>543573.0</v>
      </c>
      <c r="C3688" s="3" t="s">
        <v>14939</v>
      </c>
      <c r="D3688" s="3" t="s">
        <v>14940</v>
      </c>
      <c r="E3688" s="3" t="s">
        <v>14941</v>
      </c>
      <c r="F3688" s="3" t="s">
        <v>19</v>
      </c>
      <c r="G3688" s="3" t="s">
        <v>20</v>
      </c>
      <c r="H3688" s="3">
        <v>10.0</v>
      </c>
      <c r="I3688" s="3" t="s">
        <v>14942</v>
      </c>
      <c r="J3688" s="3" t="s">
        <v>22</v>
      </c>
      <c r="K3688" s="3" t="s">
        <v>97</v>
      </c>
      <c r="L3688" s="3" t="s">
        <v>98</v>
      </c>
      <c r="M3688" s="3" t="s">
        <v>99</v>
      </c>
      <c r="N3688" s="3" t="s">
        <v>100</v>
      </c>
      <c r="O3688" s="5">
        <v>8914.0191686</v>
      </c>
      <c r="P3688" s="6" t="str">
        <f t="shared" si="2"/>
        <v>Industrial Products</v>
      </c>
    </row>
    <row r="3689" hidden="1">
      <c r="A3689" s="3" t="s">
        <v>14943</v>
      </c>
      <c r="B3689" s="4">
        <v>543288.0</v>
      </c>
      <c r="C3689" s="3" t="s">
        <v>14944</v>
      </c>
      <c r="D3689" s="3" t="s">
        <v>14945</v>
      </c>
      <c r="E3689" s="3" t="s">
        <v>14946</v>
      </c>
      <c r="F3689" s="3" t="s">
        <v>19</v>
      </c>
      <c r="G3689" s="3" t="s">
        <v>112</v>
      </c>
      <c r="H3689" s="3">
        <v>5.0</v>
      </c>
      <c r="I3689" s="3" t="s">
        <v>14943</v>
      </c>
      <c r="J3689" s="3" t="s">
        <v>22</v>
      </c>
      <c r="K3689" s="3" t="s">
        <v>410</v>
      </c>
      <c r="L3689" s="3" t="s">
        <v>411</v>
      </c>
      <c r="M3689" s="3" t="s">
        <v>412</v>
      </c>
      <c r="N3689" s="3" t="s">
        <v>3177</v>
      </c>
      <c r="O3689" s="5">
        <v>1851.1633712</v>
      </c>
      <c r="P3689" s="6" t="str">
        <f t="shared" si="2"/>
        <v>Oil</v>
      </c>
    </row>
    <row r="3690">
      <c r="A3690" s="3" t="s">
        <v>14888</v>
      </c>
      <c r="B3690" s="4">
        <v>543664.0</v>
      </c>
      <c r="C3690" s="3" t="s">
        <v>14947</v>
      </c>
      <c r="D3690" s="3" t="s">
        <v>14948</v>
      </c>
      <c r="E3690" s="3" t="s">
        <v>14949</v>
      </c>
      <c r="F3690" s="3" t="s">
        <v>19</v>
      </c>
      <c r="G3690" s="3" t="s">
        <v>20</v>
      </c>
      <c r="H3690" s="3">
        <v>10.0</v>
      </c>
      <c r="I3690" s="3" t="s">
        <v>14950</v>
      </c>
      <c r="J3690" s="3" t="s">
        <v>22</v>
      </c>
      <c r="K3690" s="3" t="s">
        <v>97</v>
      </c>
      <c r="L3690" s="3" t="s">
        <v>98</v>
      </c>
      <c r="M3690" s="3" t="s">
        <v>99</v>
      </c>
      <c r="N3690" s="3" t="s">
        <v>100</v>
      </c>
      <c r="O3690" s="5">
        <v>25410.4868227</v>
      </c>
      <c r="P3690" s="6" t="str">
        <f t="shared" si="2"/>
        <v>Industrial Products</v>
      </c>
    </row>
    <row r="3691" hidden="1">
      <c r="A3691" s="3" t="s">
        <v>14951</v>
      </c>
      <c r="B3691" s="4">
        <v>543298.0</v>
      </c>
      <c r="C3691" s="3" t="s">
        <v>14952</v>
      </c>
      <c r="D3691" s="3" t="s">
        <v>14953</v>
      </c>
      <c r="E3691" s="3" t="s">
        <v>14954</v>
      </c>
      <c r="F3691" s="3" t="s">
        <v>19</v>
      </c>
      <c r="G3691" s="3" t="s">
        <v>112</v>
      </c>
      <c r="H3691" s="3">
        <v>10.0</v>
      </c>
      <c r="I3691" s="3" t="s">
        <v>14951</v>
      </c>
      <c r="J3691" s="3" t="s">
        <v>22</v>
      </c>
      <c r="K3691" s="3" t="s">
        <v>45</v>
      </c>
      <c r="L3691" s="3" t="s">
        <v>45</v>
      </c>
      <c r="M3691" s="3" t="s">
        <v>46</v>
      </c>
      <c r="N3691" s="3" t="s">
        <v>47</v>
      </c>
      <c r="O3691" s="5">
        <v>56.478692</v>
      </c>
      <c r="P3691" s="6" t="str">
        <f t="shared" si="2"/>
        <v>Pharmaceuticals</v>
      </c>
    </row>
    <row r="3692">
      <c r="A3692" s="3" t="s">
        <v>14899</v>
      </c>
      <c r="B3692" s="4">
        <v>543933.0</v>
      </c>
      <c r="C3692" s="3" t="s">
        <v>14955</v>
      </c>
      <c r="D3692" s="3" t="s">
        <v>14956</v>
      </c>
      <c r="E3692" s="3" t="s">
        <v>14957</v>
      </c>
      <c r="F3692" s="3" t="s">
        <v>19</v>
      </c>
      <c r="G3692" s="3" t="s">
        <v>112</v>
      </c>
      <c r="H3692" s="3">
        <v>10.0</v>
      </c>
      <c r="I3692" s="3" t="s">
        <v>14958</v>
      </c>
      <c r="J3692" s="3" t="s">
        <v>22</v>
      </c>
      <c r="K3692" s="3" t="s">
        <v>97</v>
      </c>
      <c r="L3692" s="3" t="s">
        <v>98</v>
      </c>
      <c r="M3692" s="3" t="s">
        <v>99</v>
      </c>
      <c r="N3692" s="3" t="s">
        <v>100</v>
      </c>
      <c r="O3692" s="5">
        <v>5987.447594</v>
      </c>
      <c r="P3692" s="6" t="str">
        <f t="shared" si="2"/>
        <v>Industrial Products</v>
      </c>
    </row>
    <row r="3693">
      <c r="A3693" s="3" t="s">
        <v>4145</v>
      </c>
      <c r="B3693" s="4">
        <v>543981.0</v>
      </c>
      <c r="C3693" s="3" t="s">
        <v>14959</v>
      </c>
      <c r="D3693" s="3" t="s">
        <v>14960</v>
      </c>
      <c r="E3693" s="3" t="s">
        <v>14961</v>
      </c>
      <c r="F3693" s="3" t="s">
        <v>19</v>
      </c>
      <c r="G3693" s="3" t="s">
        <v>112</v>
      </c>
      <c r="H3693" s="3">
        <v>5.0</v>
      </c>
      <c r="I3693" s="3" t="s">
        <v>14962</v>
      </c>
      <c r="J3693" s="3" t="s">
        <v>22</v>
      </c>
      <c r="K3693" s="3" t="s">
        <v>97</v>
      </c>
      <c r="L3693" s="3" t="s">
        <v>98</v>
      </c>
      <c r="M3693" s="3" t="s">
        <v>100</v>
      </c>
      <c r="N3693" s="3" t="s">
        <v>1804</v>
      </c>
      <c r="O3693" s="5">
        <v>19963.4225</v>
      </c>
      <c r="P3693" s="6" t="str">
        <f t="shared" si="2"/>
        <v>Industrial Products</v>
      </c>
    </row>
    <row r="3694" hidden="1">
      <c r="A3694" s="3" t="s">
        <v>14963</v>
      </c>
      <c r="B3694" s="4">
        <v>531585.0</v>
      </c>
      <c r="C3694" s="3" t="s">
        <v>14964</v>
      </c>
      <c r="D3694" s="3" t="s">
        <v>14965</v>
      </c>
      <c r="E3694" s="3" t="s">
        <v>14966</v>
      </c>
      <c r="F3694" s="3" t="s">
        <v>19</v>
      </c>
      <c r="G3694" s="3" t="s">
        <v>44</v>
      </c>
      <c r="H3694" s="3">
        <v>10.0</v>
      </c>
      <c r="I3694" s="3" t="s">
        <v>8760</v>
      </c>
      <c r="J3694" s="3" t="s">
        <v>22</v>
      </c>
      <c r="K3694" s="3" t="s">
        <v>1673</v>
      </c>
      <c r="L3694" s="3" t="s">
        <v>1673</v>
      </c>
      <c r="M3694" s="3" t="s">
        <v>1674</v>
      </c>
      <c r="N3694" s="3" t="s">
        <v>1915</v>
      </c>
      <c r="O3694" s="5">
        <v>1.0</v>
      </c>
      <c r="P3694" s="6" t="str">
        <f t="shared" si="2"/>
        <v>Commercial Services &amp; Supplies</v>
      </c>
    </row>
    <row r="3695">
      <c r="A3695" s="3" t="s">
        <v>9419</v>
      </c>
      <c r="B3695" s="4">
        <v>544046.0</v>
      </c>
      <c r="C3695" s="3" t="s">
        <v>14967</v>
      </c>
      <c r="D3695" s="3" t="s">
        <v>14968</v>
      </c>
      <c r="E3695" s="3" t="s">
        <v>14969</v>
      </c>
      <c r="F3695" s="3" t="s">
        <v>19</v>
      </c>
      <c r="G3695" s="3" t="s">
        <v>112</v>
      </c>
      <c r="H3695" s="3">
        <v>2.0</v>
      </c>
      <c r="I3695" s="3" t="s">
        <v>14970</v>
      </c>
      <c r="J3695" s="3" t="s">
        <v>22</v>
      </c>
      <c r="K3695" s="3" t="s">
        <v>97</v>
      </c>
      <c r="L3695" s="3" t="s">
        <v>98</v>
      </c>
      <c r="M3695" s="3" t="s">
        <v>100</v>
      </c>
      <c r="N3695" s="3" t="s">
        <v>1386</v>
      </c>
      <c r="O3695" s="5">
        <v>12547.1713614</v>
      </c>
      <c r="P3695" s="6" t="str">
        <f t="shared" si="2"/>
        <v>Industrial Products</v>
      </c>
    </row>
    <row r="3696">
      <c r="A3696" s="3" t="s">
        <v>11732</v>
      </c>
      <c r="B3696" s="4">
        <v>544057.0</v>
      </c>
      <c r="C3696" s="3" t="s">
        <v>14971</v>
      </c>
      <c r="D3696" s="3" t="s">
        <v>14972</v>
      </c>
      <c r="E3696" s="3" t="s">
        <v>14973</v>
      </c>
      <c r="F3696" s="3" t="s">
        <v>19</v>
      </c>
      <c r="G3696" s="3" t="s">
        <v>112</v>
      </c>
      <c r="H3696" s="3">
        <v>2.0</v>
      </c>
      <c r="I3696" s="3" t="s">
        <v>14974</v>
      </c>
      <c r="J3696" s="3" t="s">
        <v>22</v>
      </c>
      <c r="K3696" s="3" t="s">
        <v>97</v>
      </c>
      <c r="L3696" s="3" t="s">
        <v>98</v>
      </c>
      <c r="M3696" s="3" t="s">
        <v>100</v>
      </c>
      <c r="N3696" s="3" t="s">
        <v>1909</v>
      </c>
      <c r="O3696" s="5">
        <v>11718.9739317</v>
      </c>
      <c r="P3696" s="6" t="str">
        <f t="shared" si="2"/>
        <v>Industrial Products</v>
      </c>
    </row>
    <row r="3697" hidden="1">
      <c r="A3697" s="3" t="s">
        <v>14975</v>
      </c>
      <c r="B3697" s="4">
        <v>543309.0</v>
      </c>
      <c r="C3697" s="3" t="s">
        <v>14976</v>
      </c>
      <c r="D3697" s="3" t="s">
        <v>14977</v>
      </c>
      <c r="E3697" s="3" t="s">
        <v>14978</v>
      </c>
      <c r="F3697" s="3" t="s">
        <v>19</v>
      </c>
      <c r="G3697" s="3" t="s">
        <v>2428</v>
      </c>
      <c r="H3697" s="3">
        <v>10.0</v>
      </c>
      <c r="I3697" s="3" t="s">
        <v>14975</v>
      </c>
      <c r="J3697" s="3" t="s">
        <v>22</v>
      </c>
      <c r="K3697" s="3" t="s">
        <v>45</v>
      </c>
      <c r="L3697" s="3" t="s">
        <v>45</v>
      </c>
      <c r="M3697" s="3" t="s">
        <v>4488</v>
      </c>
      <c r="N3697" s="3" t="s">
        <v>6244</v>
      </c>
      <c r="O3697" s="5">
        <v>38.96485</v>
      </c>
      <c r="P3697" s="6" t="str">
        <f t="shared" si="2"/>
        <v>Healthcare Services</v>
      </c>
    </row>
    <row r="3698" hidden="1">
      <c r="A3698" s="3" t="s">
        <v>14979</v>
      </c>
      <c r="B3698" s="4">
        <v>543310.0</v>
      </c>
      <c r="C3698" s="3" t="s">
        <v>14980</v>
      </c>
      <c r="D3698" s="3" t="s">
        <v>14981</v>
      </c>
      <c r="E3698" s="3" t="s">
        <v>14982</v>
      </c>
      <c r="F3698" s="3" t="s">
        <v>19</v>
      </c>
      <c r="G3698" s="3" t="s">
        <v>2428</v>
      </c>
      <c r="H3698" s="3">
        <v>10.0</v>
      </c>
      <c r="I3698" s="3" t="s">
        <v>14979</v>
      </c>
      <c r="J3698" s="3" t="s">
        <v>22</v>
      </c>
      <c r="K3698" s="3" t="s">
        <v>145</v>
      </c>
      <c r="L3698" s="3" t="s">
        <v>145</v>
      </c>
      <c r="M3698" s="3" t="s">
        <v>146</v>
      </c>
      <c r="N3698" s="3" t="s">
        <v>2645</v>
      </c>
      <c r="O3698" s="5">
        <v>1.0</v>
      </c>
      <c r="P3698" s="6" t="str">
        <f t="shared" si="2"/>
        <v>Agricultural Food &amp; other Products</v>
      </c>
    </row>
    <row r="3699" hidden="1">
      <c r="A3699" s="3" t="s">
        <v>14983</v>
      </c>
      <c r="B3699" s="4">
        <v>543311.0</v>
      </c>
      <c r="C3699" s="3" t="s">
        <v>14984</v>
      </c>
      <c r="D3699" s="3" t="s">
        <v>14985</v>
      </c>
      <c r="E3699" s="3" t="s">
        <v>14986</v>
      </c>
      <c r="F3699" s="3" t="s">
        <v>19</v>
      </c>
      <c r="G3699" s="3" t="s">
        <v>112</v>
      </c>
      <c r="H3699" s="3">
        <v>1.0</v>
      </c>
      <c r="I3699" s="3" t="s">
        <v>14983</v>
      </c>
      <c r="J3699" s="3" t="s">
        <v>22</v>
      </c>
      <c r="K3699" s="3" t="s">
        <v>23</v>
      </c>
      <c r="L3699" s="3" t="s">
        <v>24</v>
      </c>
      <c r="M3699" s="3" t="s">
        <v>91</v>
      </c>
      <c r="N3699" s="3" t="s">
        <v>252</v>
      </c>
      <c r="O3699" s="5">
        <v>2637.7601793</v>
      </c>
      <c r="P3699" s="6" t="str">
        <f t="shared" si="2"/>
        <v>Fertilizers &amp; Agrochemicals</v>
      </c>
    </row>
    <row r="3700" hidden="1">
      <c r="A3700" s="3" t="s">
        <v>14987</v>
      </c>
      <c r="B3700" s="4">
        <v>543312.0</v>
      </c>
      <c r="C3700" s="3" t="s">
        <v>14988</v>
      </c>
      <c r="D3700" s="3" t="s">
        <v>14989</v>
      </c>
      <c r="E3700" s="3" t="s">
        <v>14990</v>
      </c>
      <c r="F3700" s="3" t="s">
        <v>19</v>
      </c>
      <c r="G3700" s="3" t="s">
        <v>6293</v>
      </c>
      <c r="H3700" s="3">
        <v>10.0</v>
      </c>
      <c r="I3700" s="3" t="s">
        <v>14987</v>
      </c>
      <c r="J3700" s="3" t="s">
        <v>22</v>
      </c>
      <c r="K3700" s="3" t="s">
        <v>473</v>
      </c>
      <c r="L3700" s="3" t="s">
        <v>473</v>
      </c>
      <c r="M3700" s="3" t="s">
        <v>1391</v>
      </c>
      <c r="N3700" s="3" t="s">
        <v>1840</v>
      </c>
      <c r="O3700" s="5">
        <v>30.35276</v>
      </c>
      <c r="P3700" s="6" t="str">
        <f t="shared" si="2"/>
        <v>Computers - Software &amp; Consulting</v>
      </c>
    </row>
    <row r="3701">
      <c r="A3701" s="3" t="s">
        <v>14903</v>
      </c>
      <c r="B3701" s="4">
        <v>544061.0</v>
      </c>
      <c r="C3701" s="3" t="s">
        <v>14991</v>
      </c>
      <c r="D3701" s="3" t="s">
        <v>14992</v>
      </c>
      <c r="E3701" s="3" t="s">
        <v>14993</v>
      </c>
      <c r="F3701" s="3" t="s">
        <v>19</v>
      </c>
      <c r="G3701" s="3" t="s">
        <v>112</v>
      </c>
      <c r="H3701" s="3">
        <v>2.0</v>
      </c>
      <c r="I3701" s="3" t="s">
        <v>14994</v>
      </c>
      <c r="J3701" s="3" t="s">
        <v>22</v>
      </c>
      <c r="K3701" s="3" t="s">
        <v>97</v>
      </c>
      <c r="L3701" s="3" t="s">
        <v>98</v>
      </c>
      <c r="M3701" s="3" t="s">
        <v>1747</v>
      </c>
      <c r="N3701" s="3" t="s">
        <v>1767</v>
      </c>
      <c r="O3701" s="5">
        <v>11171.9380366</v>
      </c>
      <c r="P3701" s="6" t="str">
        <f t="shared" si="2"/>
        <v>Heavy Electrical Equipment</v>
      </c>
    </row>
    <row r="3702">
      <c r="A3702" s="3" t="s">
        <v>811</v>
      </c>
      <c r="B3702" s="4">
        <v>544081.0</v>
      </c>
      <c r="C3702" s="3" t="s">
        <v>14995</v>
      </c>
      <c r="D3702" s="3" t="s">
        <v>14996</v>
      </c>
      <c r="E3702" s="3" t="s">
        <v>14997</v>
      </c>
      <c r="F3702" s="3" t="s">
        <v>19</v>
      </c>
      <c r="G3702" s="3" t="s">
        <v>112</v>
      </c>
      <c r="H3702" s="3">
        <v>2.0</v>
      </c>
      <c r="I3702" s="3" t="s">
        <v>14998</v>
      </c>
      <c r="J3702" s="3" t="s">
        <v>22</v>
      </c>
      <c r="K3702" s="3" t="s">
        <v>97</v>
      </c>
      <c r="L3702" s="3" t="s">
        <v>98</v>
      </c>
      <c r="M3702" s="3" t="s">
        <v>99</v>
      </c>
      <c r="N3702" s="3" t="s">
        <v>100</v>
      </c>
      <c r="O3702" s="5">
        <v>30933.7456613</v>
      </c>
      <c r="P3702" s="6" t="str">
        <f t="shared" si="2"/>
        <v>Industrial Products</v>
      </c>
    </row>
    <row r="3703" hidden="1">
      <c r="A3703" s="3" t="s">
        <v>14999</v>
      </c>
      <c r="B3703" s="4">
        <v>531696.0</v>
      </c>
      <c r="C3703" s="3" t="s">
        <v>15000</v>
      </c>
      <c r="D3703" s="3" t="s">
        <v>15001</v>
      </c>
      <c r="E3703" s="3" t="s">
        <v>15002</v>
      </c>
      <c r="F3703" s="3" t="s">
        <v>19</v>
      </c>
      <c r="G3703" s="3" t="s">
        <v>72</v>
      </c>
      <c r="H3703" s="3">
        <v>10.0</v>
      </c>
      <c r="I3703" s="3" t="s">
        <v>8884</v>
      </c>
      <c r="J3703" s="3" t="s">
        <v>22</v>
      </c>
      <c r="K3703" s="3" t="s">
        <v>1673</v>
      </c>
      <c r="L3703" s="3" t="s">
        <v>1673</v>
      </c>
      <c r="M3703" s="3" t="s">
        <v>1674</v>
      </c>
      <c r="N3703" s="3" t="s">
        <v>1675</v>
      </c>
      <c r="O3703" s="5">
        <v>1.0</v>
      </c>
      <c r="P3703" s="6" t="str">
        <f t="shared" si="2"/>
        <v>Commercial Services &amp; Supplies</v>
      </c>
    </row>
    <row r="3704">
      <c r="A3704" s="3" t="s">
        <v>4275</v>
      </c>
      <c r="B3704" s="4">
        <v>544133.0</v>
      </c>
      <c r="C3704" s="3" t="s">
        <v>15003</v>
      </c>
      <c r="D3704" s="3" t="s">
        <v>15004</v>
      </c>
      <c r="E3704" s="3" t="s">
        <v>15005</v>
      </c>
      <c r="F3704" s="3" t="s">
        <v>19</v>
      </c>
      <c r="G3704" s="3" t="s">
        <v>112</v>
      </c>
      <c r="H3704" s="3">
        <v>10.0</v>
      </c>
      <c r="I3704" s="3" t="s">
        <v>15006</v>
      </c>
      <c r="J3704" s="3" t="s">
        <v>22</v>
      </c>
      <c r="K3704" s="3" t="s">
        <v>97</v>
      </c>
      <c r="L3704" s="3" t="s">
        <v>98</v>
      </c>
      <c r="M3704" s="3" t="s">
        <v>1747</v>
      </c>
      <c r="N3704" s="3" t="s">
        <v>1767</v>
      </c>
      <c r="O3704" s="5">
        <v>5690.46132</v>
      </c>
      <c r="P3704" s="6" t="str">
        <f t="shared" si="2"/>
        <v>Heavy Electrical Equipment</v>
      </c>
    </row>
    <row r="3705" hidden="1">
      <c r="A3705" s="3" t="s">
        <v>15007</v>
      </c>
      <c r="B3705" s="4">
        <v>543321.0</v>
      </c>
      <c r="C3705" s="3" t="s">
        <v>15008</v>
      </c>
      <c r="D3705" s="3" t="s">
        <v>15009</v>
      </c>
      <c r="E3705" s="3" t="s">
        <v>15010</v>
      </c>
      <c r="F3705" s="3" t="s">
        <v>19</v>
      </c>
      <c r="G3705" s="3" t="s">
        <v>112</v>
      </c>
      <c r="H3705" s="3">
        <v>10.0</v>
      </c>
      <c r="I3705" s="3" t="s">
        <v>15007</v>
      </c>
      <c r="J3705" s="3" t="s">
        <v>22</v>
      </c>
      <c r="K3705" s="3" t="s">
        <v>23</v>
      </c>
      <c r="L3705" s="3" t="s">
        <v>24</v>
      </c>
      <c r="M3705" s="3" t="s">
        <v>25</v>
      </c>
      <c r="N3705" s="3" t="s">
        <v>26</v>
      </c>
      <c r="O3705" s="5">
        <v>2592.4417404</v>
      </c>
      <c r="P3705" s="6" t="str">
        <f t="shared" si="2"/>
        <v>Specialty Chemicals</v>
      </c>
    </row>
    <row r="3706">
      <c r="A3706" s="3" t="s">
        <v>11736</v>
      </c>
      <c r="B3706" s="4">
        <v>570004.0</v>
      </c>
      <c r="C3706" s="3" t="s">
        <v>577</v>
      </c>
      <c r="D3706" s="3" t="s">
        <v>15011</v>
      </c>
      <c r="E3706" s="3" t="s">
        <v>579</v>
      </c>
      <c r="F3706" s="3" t="s">
        <v>19</v>
      </c>
      <c r="G3706" s="3" t="s">
        <v>112</v>
      </c>
      <c r="H3706" s="3">
        <v>2.0</v>
      </c>
      <c r="I3706" s="3" t="s">
        <v>15012</v>
      </c>
      <c r="J3706" s="3" t="s">
        <v>22</v>
      </c>
      <c r="K3706" s="3" t="s">
        <v>97</v>
      </c>
      <c r="L3706" s="3" t="s">
        <v>98</v>
      </c>
      <c r="M3706" s="3" t="s">
        <v>100</v>
      </c>
      <c r="N3706" s="3" t="s">
        <v>580</v>
      </c>
      <c r="O3706" s="5">
        <v>5002.6694946</v>
      </c>
      <c r="P3706" s="6" t="str">
        <f t="shared" si="2"/>
        <v>Industrial Products</v>
      </c>
    </row>
    <row r="3707" hidden="1">
      <c r="A3707" s="3" t="s">
        <v>15013</v>
      </c>
      <c r="B3707" s="4">
        <v>543324.0</v>
      </c>
      <c r="C3707" s="3" t="s">
        <v>15014</v>
      </c>
      <c r="D3707" s="3" t="s">
        <v>15015</v>
      </c>
      <c r="E3707" s="3" t="s">
        <v>15016</v>
      </c>
      <c r="F3707" s="3" t="s">
        <v>19</v>
      </c>
      <c r="G3707" s="3" t="s">
        <v>2428</v>
      </c>
      <c r="H3707" s="3">
        <v>10.0</v>
      </c>
      <c r="I3707" s="3" t="s">
        <v>15013</v>
      </c>
      <c r="J3707" s="3" t="s">
        <v>22</v>
      </c>
      <c r="K3707" s="3" t="s">
        <v>204</v>
      </c>
      <c r="L3707" s="3" t="s">
        <v>204</v>
      </c>
      <c r="M3707" s="3" t="s">
        <v>205</v>
      </c>
      <c r="N3707" s="3" t="s">
        <v>206</v>
      </c>
      <c r="O3707" s="5">
        <v>605.712975</v>
      </c>
      <c r="P3707" s="6" t="str">
        <f t="shared" si="2"/>
        <v>Capital Markets</v>
      </c>
    </row>
    <row r="3708">
      <c r="A3708" s="3" t="s">
        <v>4288</v>
      </c>
      <c r="B3708" s="4">
        <v>500209.0</v>
      </c>
      <c r="C3708" s="3" t="s">
        <v>15017</v>
      </c>
      <c r="D3708" s="3" t="s">
        <v>15018</v>
      </c>
      <c r="E3708" s="3" t="s">
        <v>15019</v>
      </c>
      <c r="F3708" s="3" t="s">
        <v>19</v>
      </c>
      <c r="G3708" s="3" t="s">
        <v>20</v>
      </c>
      <c r="H3708" s="3">
        <v>5.0</v>
      </c>
      <c r="I3708" s="3" t="s">
        <v>551</v>
      </c>
      <c r="J3708" s="3" t="s">
        <v>22</v>
      </c>
      <c r="K3708" s="3" t="s">
        <v>473</v>
      </c>
      <c r="L3708" s="3" t="s">
        <v>473</v>
      </c>
      <c r="M3708" s="3" t="s">
        <v>1391</v>
      </c>
      <c r="N3708" s="3" t="s">
        <v>1840</v>
      </c>
      <c r="O3708" s="5">
        <v>660693.0149</v>
      </c>
      <c r="P3708" s="6" t="str">
        <f t="shared" si="2"/>
        <v>Computers - Software &amp; Consulting</v>
      </c>
    </row>
    <row r="3709" hidden="1">
      <c r="A3709" s="3" t="s">
        <v>15020</v>
      </c>
      <c r="B3709" s="4">
        <v>543327.0</v>
      </c>
      <c r="C3709" s="3" t="s">
        <v>15021</v>
      </c>
      <c r="D3709" s="3" t="s">
        <v>15022</v>
      </c>
      <c r="E3709" s="3" t="s">
        <v>15023</v>
      </c>
      <c r="F3709" s="3" t="s">
        <v>19</v>
      </c>
      <c r="G3709" s="3" t="s">
        <v>112</v>
      </c>
      <c r="H3709" s="3">
        <v>10.0</v>
      </c>
      <c r="I3709" s="3" t="s">
        <v>15020</v>
      </c>
      <c r="J3709" s="3" t="s">
        <v>22</v>
      </c>
      <c r="K3709" s="3" t="s">
        <v>58</v>
      </c>
      <c r="L3709" s="3" t="s">
        <v>211</v>
      </c>
      <c r="M3709" s="3" t="s">
        <v>211</v>
      </c>
      <c r="N3709" s="3" t="s">
        <v>971</v>
      </c>
      <c r="O3709" s="5">
        <v>415.937614</v>
      </c>
      <c r="P3709" s="6" t="str">
        <f t="shared" si="2"/>
        <v>Consumer Durables</v>
      </c>
    </row>
    <row r="3710" hidden="1">
      <c r="A3710" s="3" t="s">
        <v>15024</v>
      </c>
      <c r="B3710" s="4">
        <v>543328.0</v>
      </c>
      <c r="C3710" s="3" t="s">
        <v>15025</v>
      </c>
      <c r="D3710" s="3" t="s">
        <v>15026</v>
      </c>
      <c r="E3710" s="3" t="s">
        <v>15027</v>
      </c>
      <c r="F3710" s="3" t="s">
        <v>19</v>
      </c>
      <c r="G3710" s="3" t="s">
        <v>112</v>
      </c>
      <c r="H3710" s="3">
        <v>5.0</v>
      </c>
      <c r="I3710" s="3" t="s">
        <v>15024</v>
      </c>
      <c r="J3710" s="3" t="s">
        <v>22</v>
      </c>
      <c r="K3710" s="3" t="s">
        <v>45</v>
      </c>
      <c r="L3710" s="3" t="s">
        <v>45</v>
      </c>
      <c r="M3710" s="3" t="s">
        <v>4488</v>
      </c>
      <c r="N3710" s="3" t="s">
        <v>4489</v>
      </c>
      <c r="O3710" s="5">
        <v>2029.9380422</v>
      </c>
      <c r="P3710" s="6" t="str">
        <f t="shared" si="2"/>
        <v>Healthcare Services</v>
      </c>
    </row>
    <row r="3711" hidden="1">
      <c r="A3711" s="3" t="s">
        <v>15028</v>
      </c>
      <c r="B3711" s="4">
        <v>543329.0</v>
      </c>
      <c r="C3711" s="3" t="s">
        <v>15029</v>
      </c>
      <c r="D3711" s="3" t="s">
        <v>15030</v>
      </c>
      <c r="E3711" s="3" t="s">
        <v>15031</v>
      </c>
      <c r="F3711" s="3" t="s">
        <v>19</v>
      </c>
      <c r="G3711" s="3" t="s">
        <v>112</v>
      </c>
      <c r="H3711" s="3">
        <v>5.0</v>
      </c>
      <c r="I3711" s="3" t="s">
        <v>15028</v>
      </c>
      <c r="J3711" s="3" t="s">
        <v>22</v>
      </c>
      <c r="K3711" s="3" t="s">
        <v>45</v>
      </c>
      <c r="L3711" s="3" t="s">
        <v>45</v>
      </c>
      <c r="M3711" s="3" t="s">
        <v>46</v>
      </c>
      <c r="N3711" s="3" t="s">
        <v>47</v>
      </c>
      <c r="O3711" s="5">
        <v>1495.5295726</v>
      </c>
      <c r="P3711" s="6" t="str">
        <f t="shared" si="2"/>
        <v>Pharmaceuticals</v>
      </c>
    </row>
    <row r="3712">
      <c r="A3712" s="3" t="s">
        <v>4373</v>
      </c>
      <c r="B3712" s="4">
        <v>500408.0</v>
      </c>
      <c r="C3712" s="3" t="s">
        <v>15032</v>
      </c>
      <c r="D3712" s="3" t="s">
        <v>15033</v>
      </c>
      <c r="E3712" s="3" t="s">
        <v>15034</v>
      </c>
      <c r="F3712" s="3" t="s">
        <v>19</v>
      </c>
      <c r="G3712" s="3" t="s">
        <v>20</v>
      </c>
      <c r="H3712" s="3">
        <v>10.0</v>
      </c>
      <c r="I3712" s="3" t="s">
        <v>984</v>
      </c>
      <c r="J3712" s="3" t="s">
        <v>22</v>
      </c>
      <c r="K3712" s="3" t="s">
        <v>473</v>
      </c>
      <c r="L3712" s="3" t="s">
        <v>473</v>
      </c>
      <c r="M3712" s="3" t="s">
        <v>1391</v>
      </c>
      <c r="N3712" s="3" t="s">
        <v>1840</v>
      </c>
      <c r="O3712" s="5">
        <v>43806.9348765</v>
      </c>
      <c r="P3712" s="6" t="str">
        <f t="shared" si="2"/>
        <v>Computers - Software &amp; Consulting</v>
      </c>
    </row>
    <row r="3713" hidden="1">
      <c r="A3713" s="3" t="s">
        <v>15035</v>
      </c>
      <c r="B3713" s="4">
        <v>543331.0</v>
      </c>
      <c r="C3713" s="3" t="s">
        <v>15036</v>
      </c>
      <c r="D3713" s="3" t="s">
        <v>15037</v>
      </c>
      <c r="E3713" s="3" t="s">
        <v>15038</v>
      </c>
      <c r="F3713" s="3" t="s">
        <v>19</v>
      </c>
      <c r="G3713" s="3" t="s">
        <v>20</v>
      </c>
      <c r="H3713" s="3">
        <v>1.0</v>
      </c>
      <c r="I3713" s="3" t="s">
        <v>15035</v>
      </c>
      <c r="J3713" s="3" t="s">
        <v>22</v>
      </c>
      <c r="K3713" s="3" t="s">
        <v>23</v>
      </c>
      <c r="L3713" s="3" t="s">
        <v>24</v>
      </c>
      <c r="M3713" s="3" t="s">
        <v>91</v>
      </c>
      <c r="N3713" s="3" t="s">
        <v>252</v>
      </c>
      <c r="O3713" s="5">
        <v>2107.0013582</v>
      </c>
      <c r="P3713" s="6" t="str">
        <f t="shared" si="2"/>
        <v>Fertilizers &amp; Agrochemicals</v>
      </c>
    </row>
    <row r="3714">
      <c r="A3714" s="3" t="s">
        <v>816</v>
      </c>
      <c r="B3714" s="4">
        <v>500463.0</v>
      </c>
      <c r="C3714" s="3" t="s">
        <v>15039</v>
      </c>
      <c r="D3714" s="3" t="s">
        <v>15040</v>
      </c>
      <c r="E3714" s="3" t="s">
        <v>15041</v>
      </c>
      <c r="F3714" s="3" t="s">
        <v>19</v>
      </c>
      <c r="G3714" s="3" t="s">
        <v>112</v>
      </c>
      <c r="H3714" s="3">
        <v>2.0</v>
      </c>
      <c r="I3714" s="3" t="s">
        <v>1075</v>
      </c>
      <c r="J3714" s="3" t="s">
        <v>22</v>
      </c>
      <c r="K3714" s="3" t="s">
        <v>473</v>
      </c>
      <c r="L3714" s="3" t="s">
        <v>473</v>
      </c>
      <c r="M3714" s="3" t="s">
        <v>1538</v>
      </c>
      <c r="N3714" s="3" t="s">
        <v>1539</v>
      </c>
      <c r="O3714" s="5">
        <v>5809.9796</v>
      </c>
      <c r="P3714" s="6" t="str">
        <f t="shared" si="2"/>
        <v>IT - Services</v>
      </c>
    </row>
    <row r="3715" hidden="1">
      <c r="A3715" s="3" t="s">
        <v>15042</v>
      </c>
      <c r="B3715" s="4">
        <v>543333.0</v>
      </c>
      <c r="C3715" s="3" t="s">
        <v>15043</v>
      </c>
      <c r="D3715" s="3" t="s">
        <v>15044</v>
      </c>
      <c r="E3715" s="3" t="s">
        <v>15045</v>
      </c>
      <c r="F3715" s="3" t="s">
        <v>19</v>
      </c>
      <c r="G3715" s="3" t="s">
        <v>20</v>
      </c>
      <c r="H3715" s="3">
        <v>10.0</v>
      </c>
      <c r="I3715" s="3" t="s">
        <v>15042</v>
      </c>
      <c r="J3715" s="3" t="s">
        <v>22</v>
      </c>
      <c r="K3715" s="3" t="s">
        <v>58</v>
      </c>
      <c r="L3715" s="3" t="s">
        <v>73</v>
      </c>
      <c r="M3715" s="3" t="s">
        <v>988</v>
      </c>
      <c r="N3715" s="3" t="s">
        <v>2246</v>
      </c>
      <c r="O3715" s="5">
        <v>3699.9374369</v>
      </c>
      <c r="P3715" s="6" t="str">
        <f t="shared" si="2"/>
        <v>Retailing</v>
      </c>
    </row>
    <row r="3716">
      <c r="A3716" s="3" t="s">
        <v>830</v>
      </c>
      <c r="B3716" s="4">
        <v>504067.0</v>
      </c>
      <c r="C3716" s="3" t="s">
        <v>15046</v>
      </c>
      <c r="D3716" s="3" t="s">
        <v>15047</v>
      </c>
      <c r="E3716" s="3" t="s">
        <v>15048</v>
      </c>
      <c r="F3716" s="3" t="s">
        <v>19</v>
      </c>
      <c r="G3716" s="3" t="s">
        <v>20</v>
      </c>
      <c r="H3716" s="3">
        <v>2.0</v>
      </c>
      <c r="I3716" s="3" t="s">
        <v>1758</v>
      </c>
      <c r="J3716" s="3" t="s">
        <v>22</v>
      </c>
      <c r="K3716" s="3" t="s">
        <v>473</v>
      </c>
      <c r="L3716" s="3" t="s">
        <v>473</v>
      </c>
      <c r="M3716" s="3" t="s">
        <v>1391</v>
      </c>
      <c r="N3716" s="3" t="s">
        <v>1840</v>
      </c>
      <c r="O3716" s="5">
        <v>16629.3422551</v>
      </c>
      <c r="P3716" s="6" t="str">
        <f t="shared" si="2"/>
        <v>Computers - Software &amp; Consulting</v>
      </c>
    </row>
    <row r="3717">
      <c r="A3717" s="3" t="s">
        <v>10569</v>
      </c>
      <c r="B3717" s="4">
        <v>507685.0</v>
      </c>
      <c r="C3717" s="3" t="s">
        <v>15049</v>
      </c>
      <c r="D3717" s="3" t="s">
        <v>15050</v>
      </c>
      <c r="E3717" s="3" t="s">
        <v>15051</v>
      </c>
      <c r="F3717" s="3" t="s">
        <v>19</v>
      </c>
      <c r="G3717" s="3" t="s">
        <v>20</v>
      </c>
      <c r="H3717" s="3">
        <v>2.0</v>
      </c>
      <c r="I3717" s="3" t="s">
        <v>2658</v>
      </c>
      <c r="J3717" s="3" t="s">
        <v>22</v>
      </c>
      <c r="K3717" s="3" t="s">
        <v>473</v>
      </c>
      <c r="L3717" s="3" t="s">
        <v>473</v>
      </c>
      <c r="M3717" s="3" t="s">
        <v>1391</v>
      </c>
      <c r="N3717" s="3" t="s">
        <v>1840</v>
      </c>
      <c r="O3717" s="5">
        <v>274962.4416</v>
      </c>
      <c r="P3717" s="6" t="str">
        <f t="shared" si="2"/>
        <v>Computers - Software &amp; Consulting</v>
      </c>
    </row>
    <row r="3718">
      <c r="A3718" s="3" t="s">
        <v>843</v>
      </c>
      <c r="B3718" s="4">
        <v>523704.0</v>
      </c>
      <c r="C3718" s="3" t="s">
        <v>15052</v>
      </c>
      <c r="D3718" s="3" t="s">
        <v>15053</v>
      </c>
      <c r="E3718" s="3" t="s">
        <v>15054</v>
      </c>
      <c r="F3718" s="3" t="s">
        <v>19</v>
      </c>
      <c r="G3718" s="3" t="s">
        <v>20</v>
      </c>
      <c r="H3718" s="3">
        <v>5.0</v>
      </c>
      <c r="I3718" s="3" t="s">
        <v>5993</v>
      </c>
      <c r="J3718" s="3" t="s">
        <v>22</v>
      </c>
      <c r="K3718" s="3" t="s">
        <v>473</v>
      </c>
      <c r="L3718" s="3" t="s">
        <v>473</v>
      </c>
      <c r="M3718" s="3" t="s">
        <v>1391</v>
      </c>
      <c r="N3718" s="3" t="s">
        <v>1840</v>
      </c>
      <c r="O3718" s="5">
        <v>8226.45712</v>
      </c>
      <c r="P3718" s="6" t="str">
        <f t="shared" si="2"/>
        <v>Computers - Software &amp; Consulting</v>
      </c>
    </row>
    <row r="3719" hidden="1">
      <c r="A3719" s="3" t="s">
        <v>15055</v>
      </c>
      <c r="B3719" s="4">
        <v>543341.0</v>
      </c>
      <c r="C3719" s="3" t="s">
        <v>15056</v>
      </c>
      <c r="D3719" s="3" t="s">
        <v>15057</v>
      </c>
      <c r="E3719" s="3" t="s">
        <v>15058</v>
      </c>
      <c r="F3719" s="3" t="s">
        <v>19</v>
      </c>
      <c r="G3719" s="3" t="s">
        <v>44</v>
      </c>
      <c r="H3719" s="3">
        <v>10.0</v>
      </c>
      <c r="I3719" s="3" t="s">
        <v>15055</v>
      </c>
      <c r="J3719" s="3" t="s">
        <v>22</v>
      </c>
      <c r="K3719" s="3" t="s">
        <v>58</v>
      </c>
      <c r="L3719" s="3" t="s">
        <v>182</v>
      </c>
      <c r="M3719" s="3" t="s">
        <v>183</v>
      </c>
      <c r="N3719" s="3" t="s">
        <v>6800</v>
      </c>
      <c r="O3719" s="5">
        <v>1.0</v>
      </c>
      <c r="P3719" s="6" t="str">
        <f t="shared" si="2"/>
        <v>Media</v>
      </c>
    </row>
    <row r="3720" hidden="1">
      <c r="A3720" s="3" t="s">
        <v>15059</v>
      </c>
      <c r="B3720" s="4">
        <v>543346.0</v>
      </c>
      <c r="C3720" s="3" t="s">
        <v>15060</v>
      </c>
      <c r="D3720" s="3" t="s">
        <v>15061</v>
      </c>
      <c r="E3720" s="3" t="s">
        <v>15062</v>
      </c>
      <c r="F3720" s="3" t="s">
        <v>19</v>
      </c>
      <c r="G3720" s="3" t="s">
        <v>2428</v>
      </c>
      <c r="H3720" s="3">
        <v>10.0</v>
      </c>
      <c r="I3720" s="3" t="s">
        <v>15059</v>
      </c>
      <c r="J3720" s="3" t="s">
        <v>22</v>
      </c>
      <c r="K3720" s="3" t="s">
        <v>45</v>
      </c>
      <c r="L3720" s="3" t="s">
        <v>45</v>
      </c>
      <c r="M3720" s="3" t="s">
        <v>4488</v>
      </c>
      <c r="N3720" s="3" t="s">
        <v>5801</v>
      </c>
      <c r="O3720" s="5">
        <v>273.069895</v>
      </c>
      <c r="P3720" s="6" t="str">
        <f t="shared" si="2"/>
        <v>Healthcare Services</v>
      </c>
    </row>
    <row r="3721">
      <c r="A3721" s="3" t="s">
        <v>11740</v>
      </c>
      <c r="B3721" s="4">
        <v>526299.0</v>
      </c>
      <c r="C3721" s="3" t="s">
        <v>15063</v>
      </c>
      <c r="D3721" s="3" t="s">
        <v>15064</v>
      </c>
      <c r="E3721" s="3" t="s">
        <v>15065</v>
      </c>
      <c r="F3721" s="3" t="s">
        <v>19</v>
      </c>
      <c r="G3721" s="3" t="s">
        <v>20</v>
      </c>
      <c r="H3721" s="3">
        <v>10.0</v>
      </c>
      <c r="I3721" s="3" t="s">
        <v>6714</v>
      </c>
      <c r="J3721" s="3" t="s">
        <v>22</v>
      </c>
      <c r="K3721" s="3" t="s">
        <v>473</v>
      </c>
      <c r="L3721" s="3" t="s">
        <v>473</v>
      </c>
      <c r="M3721" s="3" t="s">
        <v>1391</v>
      </c>
      <c r="N3721" s="3" t="s">
        <v>1840</v>
      </c>
      <c r="O3721" s="5">
        <v>46681.454427</v>
      </c>
      <c r="P3721" s="6" t="str">
        <f t="shared" si="2"/>
        <v>Computers - Software &amp; Consulting</v>
      </c>
    </row>
    <row r="3722">
      <c r="A3722" s="3" t="s">
        <v>11906</v>
      </c>
      <c r="B3722" s="4">
        <v>532175.0</v>
      </c>
      <c r="C3722" s="3" t="s">
        <v>15066</v>
      </c>
      <c r="D3722" s="3" t="s">
        <v>15067</v>
      </c>
      <c r="E3722" s="3" t="s">
        <v>15066</v>
      </c>
      <c r="F3722" s="3" t="s">
        <v>19</v>
      </c>
      <c r="G3722" s="3" t="s">
        <v>20</v>
      </c>
      <c r="H3722" s="3">
        <v>5.0</v>
      </c>
      <c r="I3722" s="3" t="s">
        <v>9415</v>
      </c>
      <c r="J3722" s="3" t="s">
        <v>22</v>
      </c>
      <c r="K3722" s="3" t="s">
        <v>473</v>
      </c>
      <c r="L3722" s="3" t="s">
        <v>473</v>
      </c>
      <c r="M3722" s="3" t="s">
        <v>1538</v>
      </c>
      <c r="N3722" s="3" t="s">
        <v>1539</v>
      </c>
      <c r="O3722" s="5">
        <v>19834.1121235</v>
      </c>
      <c r="P3722" s="6" t="str">
        <f t="shared" si="2"/>
        <v>IT - Services</v>
      </c>
    </row>
    <row r="3723" hidden="1">
      <c r="A3723" s="3" t="s">
        <v>15068</v>
      </c>
      <c r="B3723" s="4">
        <v>531885.0</v>
      </c>
      <c r="C3723" s="3" t="s">
        <v>15069</v>
      </c>
      <c r="D3723" s="3" t="s">
        <v>15070</v>
      </c>
      <c r="E3723" s="3" t="s">
        <v>15071</v>
      </c>
      <c r="F3723" s="3" t="s">
        <v>19</v>
      </c>
      <c r="G3723" s="3" t="s">
        <v>1858</v>
      </c>
      <c r="H3723" s="3">
        <v>10.0</v>
      </c>
      <c r="I3723" s="3" t="s">
        <v>9068</v>
      </c>
      <c r="J3723" s="3" t="s">
        <v>22</v>
      </c>
      <c r="K3723" s="3" t="s">
        <v>1673</v>
      </c>
      <c r="L3723" s="3" t="s">
        <v>1673</v>
      </c>
      <c r="M3723" s="3" t="s">
        <v>1674</v>
      </c>
      <c r="N3723" s="3" t="s">
        <v>1915</v>
      </c>
      <c r="O3723" s="5">
        <v>1.0</v>
      </c>
      <c r="P3723" s="6" t="str">
        <f t="shared" si="2"/>
        <v>Commercial Services &amp; Supplies</v>
      </c>
    </row>
    <row r="3724">
      <c r="A3724" s="3" t="s">
        <v>4579</v>
      </c>
      <c r="B3724" s="4">
        <v>532221.0</v>
      </c>
      <c r="C3724" s="3" t="s">
        <v>15072</v>
      </c>
      <c r="D3724" s="3" t="s">
        <v>15073</v>
      </c>
      <c r="E3724" s="3" t="s">
        <v>15074</v>
      </c>
      <c r="F3724" s="3" t="s">
        <v>19</v>
      </c>
      <c r="G3724" s="3" t="s">
        <v>20</v>
      </c>
      <c r="H3724" s="3">
        <v>1.0</v>
      </c>
      <c r="I3724" s="3" t="s">
        <v>9479</v>
      </c>
      <c r="J3724" s="3" t="s">
        <v>22</v>
      </c>
      <c r="K3724" s="3" t="s">
        <v>473</v>
      </c>
      <c r="L3724" s="3" t="s">
        <v>473</v>
      </c>
      <c r="M3724" s="3" t="s">
        <v>1391</v>
      </c>
      <c r="N3724" s="3" t="s">
        <v>1840</v>
      </c>
      <c r="O3724" s="5">
        <v>16833.8516</v>
      </c>
      <c r="P3724" s="6" t="str">
        <f t="shared" si="2"/>
        <v>Computers - Software &amp; Consulting</v>
      </c>
    </row>
    <row r="3725" hidden="1">
      <c r="A3725" s="3" t="s">
        <v>15075</v>
      </c>
      <c r="B3725" s="4">
        <v>543363.0</v>
      </c>
      <c r="C3725" s="3" t="s">
        <v>15076</v>
      </c>
      <c r="D3725" s="3" t="s">
        <v>15077</v>
      </c>
      <c r="E3725" s="3" t="s">
        <v>15078</v>
      </c>
      <c r="F3725" s="3" t="s">
        <v>19</v>
      </c>
      <c r="G3725" s="3" t="s">
        <v>2428</v>
      </c>
      <c r="H3725" s="3">
        <v>10.0</v>
      </c>
      <c r="I3725" s="3" t="s">
        <v>15075</v>
      </c>
      <c r="J3725" s="3" t="s">
        <v>22</v>
      </c>
      <c r="K3725" s="3" t="s">
        <v>45</v>
      </c>
      <c r="L3725" s="3" t="s">
        <v>45</v>
      </c>
      <c r="M3725" s="3" t="s">
        <v>7249</v>
      </c>
      <c r="N3725" s="3" t="s">
        <v>7250</v>
      </c>
      <c r="O3725" s="5">
        <v>661.44234</v>
      </c>
      <c r="P3725" s="6" t="str">
        <f t="shared" si="2"/>
        <v>Healthcare Equipment &amp; Supplies</v>
      </c>
    </row>
    <row r="3726" hidden="1">
      <c r="A3726" s="3" t="s">
        <v>15079</v>
      </c>
      <c r="B3726" s="4">
        <v>543364.0</v>
      </c>
      <c r="C3726" s="3" t="s">
        <v>15080</v>
      </c>
      <c r="D3726" s="3" t="s">
        <v>15081</v>
      </c>
      <c r="E3726" s="3" t="s">
        <v>15082</v>
      </c>
      <c r="F3726" s="3" t="s">
        <v>19</v>
      </c>
      <c r="G3726" s="3" t="s">
        <v>2428</v>
      </c>
      <c r="H3726" s="3">
        <v>10.0</v>
      </c>
      <c r="I3726" s="3" t="s">
        <v>15079</v>
      </c>
      <c r="J3726" s="3" t="s">
        <v>22</v>
      </c>
      <c r="K3726" s="3" t="s">
        <v>97</v>
      </c>
      <c r="L3726" s="3" t="s">
        <v>965</v>
      </c>
      <c r="M3726" s="3" t="s">
        <v>965</v>
      </c>
      <c r="N3726" s="3" t="s">
        <v>966</v>
      </c>
      <c r="O3726" s="5">
        <v>400.6209285</v>
      </c>
      <c r="P3726" s="6" t="str">
        <f t="shared" si="2"/>
        <v>Civil Construction</v>
      </c>
    </row>
    <row r="3727" hidden="1">
      <c r="A3727" s="3" t="s">
        <v>15083</v>
      </c>
      <c r="B3727" s="4">
        <v>543366.0</v>
      </c>
      <c r="C3727" s="3" t="s">
        <v>15084</v>
      </c>
      <c r="D3727" s="3" t="s">
        <v>15085</v>
      </c>
      <c r="E3727" s="3" t="s">
        <v>15086</v>
      </c>
      <c r="F3727" s="3" t="s">
        <v>19</v>
      </c>
      <c r="G3727" s="3" t="s">
        <v>2428</v>
      </c>
      <c r="H3727" s="3">
        <v>10.0</v>
      </c>
      <c r="I3727" s="3" t="s">
        <v>15083</v>
      </c>
      <c r="J3727" s="3" t="s">
        <v>22</v>
      </c>
      <c r="K3727" s="3" t="s">
        <v>58</v>
      </c>
      <c r="L3727" s="3" t="s">
        <v>59</v>
      </c>
      <c r="M3727" s="3" t="s">
        <v>59</v>
      </c>
      <c r="N3727" s="3" t="s">
        <v>60</v>
      </c>
      <c r="O3727" s="5">
        <v>1.0</v>
      </c>
      <c r="P3727" s="6" t="str">
        <f t="shared" si="2"/>
        <v>Residential, Commercial Projects</v>
      </c>
    </row>
    <row r="3728">
      <c r="A3728" s="3" t="s">
        <v>14907</v>
      </c>
      <c r="B3728" s="4">
        <v>532281.0</v>
      </c>
      <c r="C3728" s="3" t="s">
        <v>15087</v>
      </c>
      <c r="D3728" s="3" t="s">
        <v>15088</v>
      </c>
      <c r="E3728" s="3" t="s">
        <v>15089</v>
      </c>
      <c r="F3728" s="3" t="s">
        <v>19</v>
      </c>
      <c r="G3728" s="3" t="s">
        <v>20</v>
      </c>
      <c r="H3728" s="3">
        <v>2.0</v>
      </c>
      <c r="I3728" s="3" t="s">
        <v>9513</v>
      </c>
      <c r="J3728" s="3" t="s">
        <v>22</v>
      </c>
      <c r="K3728" s="3" t="s">
        <v>473</v>
      </c>
      <c r="L3728" s="3" t="s">
        <v>473</v>
      </c>
      <c r="M3728" s="3" t="s">
        <v>1391</v>
      </c>
      <c r="N3728" s="3" t="s">
        <v>1840</v>
      </c>
      <c r="O3728" s="5">
        <v>396819.0312746</v>
      </c>
      <c r="P3728" s="6" t="str">
        <f t="shared" si="2"/>
        <v>Computers - Software &amp; Consulting</v>
      </c>
    </row>
    <row r="3729" hidden="1">
      <c r="A3729" s="3" t="s">
        <v>7497</v>
      </c>
      <c r="B3729" s="4">
        <v>531918.0</v>
      </c>
      <c r="C3729" s="3" t="s">
        <v>15090</v>
      </c>
      <c r="D3729" s="3" t="s">
        <v>15091</v>
      </c>
      <c r="E3729" s="3" t="s">
        <v>15092</v>
      </c>
      <c r="F3729" s="3" t="s">
        <v>19</v>
      </c>
      <c r="G3729" s="3" t="s">
        <v>72</v>
      </c>
      <c r="H3729" s="3">
        <v>10.0</v>
      </c>
      <c r="I3729" s="3" t="s">
        <v>9116</v>
      </c>
      <c r="J3729" s="3" t="s">
        <v>22</v>
      </c>
      <c r="K3729" s="3" t="s">
        <v>1673</v>
      </c>
      <c r="L3729" s="3" t="s">
        <v>1673</v>
      </c>
      <c r="M3729" s="3" t="s">
        <v>1674</v>
      </c>
      <c r="N3729" s="3" t="s">
        <v>1915</v>
      </c>
      <c r="O3729" s="5">
        <v>1.0</v>
      </c>
      <c r="P3729" s="6" t="str">
        <f t="shared" si="2"/>
        <v>Commercial Services &amp; Supplies</v>
      </c>
    </row>
    <row r="3730" hidden="1">
      <c r="A3730" s="3" t="s">
        <v>15093</v>
      </c>
      <c r="B3730" s="4">
        <v>543373.0</v>
      </c>
      <c r="C3730" s="3" t="s">
        <v>15094</v>
      </c>
      <c r="D3730" s="3" t="s">
        <v>15095</v>
      </c>
      <c r="E3730" s="3" t="s">
        <v>15096</v>
      </c>
      <c r="F3730" s="3" t="s">
        <v>19</v>
      </c>
      <c r="G3730" s="3" t="s">
        <v>2428</v>
      </c>
      <c r="H3730" s="3">
        <v>10.0</v>
      </c>
      <c r="I3730" s="3" t="s">
        <v>15093</v>
      </c>
      <c r="J3730" s="3" t="s">
        <v>22</v>
      </c>
      <c r="K3730" s="3" t="s">
        <v>145</v>
      </c>
      <c r="L3730" s="3" t="s">
        <v>145</v>
      </c>
      <c r="M3730" s="3" t="s">
        <v>146</v>
      </c>
      <c r="N3730" s="3" t="s">
        <v>575</v>
      </c>
      <c r="O3730" s="5">
        <v>299.8863838</v>
      </c>
      <c r="P3730" s="6" t="str">
        <f t="shared" si="2"/>
        <v>Agricultural Food &amp; other Products</v>
      </c>
    </row>
    <row r="3731">
      <c r="A3731" s="3" t="s">
        <v>10573</v>
      </c>
      <c r="B3731" s="4">
        <v>532400.0</v>
      </c>
      <c r="C3731" s="3" t="s">
        <v>15097</v>
      </c>
      <c r="D3731" s="3" t="s">
        <v>15098</v>
      </c>
      <c r="E3731" s="3" t="s">
        <v>15099</v>
      </c>
      <c r="F3731" s="3" t="s">
        <v>19</v>
      </c>
      <c r="G3731" s="3" t="s">
        <v>20</v>
      </c>
      <c r="H3731" s="3">
        <v>2.0</v>
      </c>
      <c r="I3731" s="3" t="s">
        <v>9755</v>
      </c>
      <c r="J3731" s="3" t="s">
        <v>22</v>
      </c>
      <c r="K3731" s="3" t="s">
        <v>473</v>
      </c>
      <c r="L3731" s="3" t="s">
        <v>473</v>
      </c>
      <c r="M3731" s="3" t="s">
        <v>1391</v>
      </c>
      <c r="N3731" s="3" t="s">
        <v>1840</v>
      </c>
      <c r="O3731" s="5">
        <v>19590.8130116</v>
      </c>
      <c r="P3731" s="6" t="str">
        <f t="shared" si="2"/>
        <v>Computers - Software &amp; Consulting</v>
      </c>
    </row>
    <row r="3732" hidden="1">
      <c r="A3732" s="3" t="s">
        <v>15100</v>
      </c>
      <c r="B3732" s="4">
        <v>543375.0</v>
      </c>
      <c r="C3732" s="3" t="s">
        <v>15101</v>
      </c>
      <c r="D3732" s="3" t="s">
        <v>15102</v>
      </c>
      <c r="E3732" s="3" t="s">
        <v>15103</v>
      </c>
      <c r="F3732" s="3" t="s">
        <v>19</v>
      </c>
      <c r="G3732" s="3" t="s">
        <v>2428</v>
      </c>
      <c r="H3732" s="3">
        <v>10.0</v>
      </c>
      <c r="I3732" s="3" t="s">
        <v>15100</v>
      </c>
      <c r="J3732" s="3" t="s">
        <v>22</v>
      </c>
      <c r="K3732" s="3" t="s">
        <v>97</v>
      </c>
      <c r="L3732" s="3" t="s">
        <v>965</v>
      </c>
      <c r="M3732" s="3" t="s">
        <v>965</v>
      </c>
      <c r="N3732" s="3" t="s">
        <v>966</v>
      </c>
      <c r="O3732" s="5">
        <v>136.8157446</v>
      </c>
      <c r="P3732" s="6" t="str">
        <f t="shared" si="2"/>
        <v>Civil Construction</v>
      </c>
    </row>
    <row r="3733" hidden="1">
      <c r="A3733" s="3" t="s">
        <v>15104</v>
      </c>
      <c r="B3733" s="4">
        <v>543376.0</v>
      </c>
      <c r="C3733" s="3" t="s">
        <v>15105</v>
      </c>
      <c r="D3733" s="3" t="s">
        <v>15106</v>
      </c>
      <c r="E3733" s="3" t="s">
        <v>15107</v>
      </c>
      <c r="F3733" s="3" t="s">
        <v>19</v>
      </c>
      <c r="G3733" s="3" t="s">
        <v>112</v>
      </c>
      <c r="H3733" s="3">
        <v>10.0</v>
      </c>
      <c r="I3733" s="3" t="s">
        <v>15104</v>
      </c>
      <c r="J3733" s="3" t="s">
        <v>22</v>
      </c>
      <c r="K3733" s="3" t="s">
        <v>58</v>
      </c>
      <c r="L3733" s="3" t="s">
        <v>59</v>
      </c>
      <c r="M3733" s="3" t="s">
        <v>59</v>
      </c>
      <c r="N3733" s="3" t="s">
        <v>60</v>
      </c>
      <c r="O3733" s="5">
        <v>214.7196575</v>
      </c>
      <c r="P3733" s="6" t="str">
        <f t="shared" si="2"/>
        <v>Residential, Commercial Projects</v>
      </c>
    </row>
    <row r="3734" hidden="1">
      <c r="A3734" s="3" t="s">
        <v>15108</v>
      </c>
      <c r="B3734" s="4">
        <v>543377.0</v>
      </c>
      <c r="C3734" s="3" t="s">
        <v>15109</v>
      </c>
      <c r="D3734" s="3" t="s">
        <v>15110</v>
      </c>
      <c r="E3734" s="3" t="s">
        <v>15111</v>
      </c>
      <c r="F3734" s="3" t="s">
        <v>19</v>
      </c>
      <c r="G3734" s="3" t="s">
        <v>2428</v>
      </c>
      <c r="H3734" s="3">
        <v>10.0</v>
      </c>
      <c r="I3734" s="3" t="s">
        <v>15108</v>
      </c>
      <c r="J3734" s="3" t="s">
        <v>22</v>
      </c>
      <c r="K3734" s="3" t="s">
        <v>97</v>
      </c>
      <c r="L3734" s="3" t="s">
        <v>98</v>
      </c>
      <c r="M3734" s="3" t="s">
        <v>100</v>
      </c>
      <c r="N3734" s="3" t="s">
        <v>612</v>
      </c>
      <c r="O3734" s="5">
        <v>1.0</v>
      </c>
      <c r="P3734" s="6" t="str">
        <f t="shared" si="2"/>
        <v>Industrial Products</v>
      </c>
    </row>
    <row r="3735">
      <c r="A3735" s="3" t="s">
        <v>4591</v>
      </c>
      <c r="B3735" s="4">
        <v>532407.0</v>
      </c>
      <c r="C3735" s="3" t="s">
        <v>15112</v>
      </c>
      <c r="D3735" s="3" t="s">
        <v>15113</v>
      </c>
      <c r="E3735" s="3" t="s">
        <v>15114</v>
      </c>
      <c r="F3735" s="3" t="s">
        <v>19</v>
      </c>
      <c r="G3735" s="3" t="s">
        <v>86</v>
      </c>
      <c r="H3735" s="3">
        <v>2.0</v>
      </c>
      <c r="I3735" s="3" t="s">
        <v>9771</v>
      </c>
      <c r="J3735" s="3" t="s">
        <v>22</v>
      </c>
      <c r="K3735" s="3" t="s">
        <v>473</v>
      </c>
      <c r="L3735" s="3" t="s">
        <v>473</v>
      </c>
      <c r="M3735" s="3" t="s">
        <v>1391</v>
      </c>
      <c r="N3735" s="3" t="s">
        <v>1392</v>
      </c>
      <c r="O3735" s="5">
        <v>5380.877134</v>
      </c>
      <c r="P3735" s="6" t="str">
        <f t="shared" si="2"/>
        <v>IT - Software</v>
      </c>
    </row>
    <row r="3736" hidden="1">
      <c r="A3736" s="3" t="s">
        <v>15115</v>
      </c>
      <c r="B3736" s="4">
        <v>543386.0</v>
      </c>
      <c r="C3736" s="3" t="s">
        <v>15116</v>
      </c>
      <c r="D3736" s="3" t="s">
        <v>15117</v>
      </c>
      <c r="E3736" s="3" t="s">
        <v>15118</v>
      </c>
      <c r="F3736" s="3" t="s">
        <v>19</v>
      </c>
      <c r="G3736" s="3" t="s">
        <v>112</v>
      </c>
      <c r="H3736" s="3">
        <v>10.0</v>
      </c>
      <c r="I3736" s="3" t="s">
        <v>15115</v>
      </c>
      <c r="J3736" s="3" t="s">
        <v>22</v>
      </c>
      <c r="K3736" s="3" t="s">
        <v>204</v>
      </c>
      <c r="L3736" s="3" t="s">
        <v>204</v>
      </c>
      <c r="M3736" s="3" t="s">
        <v>9428</v>
      </c>
      <c r="N3736" s="6" t="s">
        <v>9429</v>
      </c>
      <c r="O3736" s="5">
        <v>2428.8281981</v>
      </c>
      <c r="P3736" s="6" t="str">
        <f t="shared" si="2"/>
        <v>Private Sector Bank</v>
      </c>
    </row>
    <row r="3737" hidden="1">
      <c r="A3737" s="3" t="s">
        <v>15119</v>
      </c>
      <c r="B3737" s="4">
        <v>543387.0</v>
      </c>
      <c r="C3737" s="3" t="s">
        <v>15120</v>
      </c>
      <c r="D3737" s="3" t="s">
        <v>15121</v>
      </c>
      <c r="E3737" s="3" t="s">
        <v>15122</v>
      </c>
      <c r="F3737" s="3" t="s">
        <v>19</v>
      </c>
      <c r="G3737" s="3" t="s">
        <v>112</v>
      </c>
      <c r="H3737" s="3">
        <v>10.0</v>
      </c>
      <c r="I3737" s="3" t="s">
        <v>15119</v>
      </c>
      <c r="J3737" s="3" t="s">
        <v>22</v>
      </c>
      <c r="K3737" s="3" t="s">
        <v>58</v>
      </c>
      <c r="L3737" s="3" t="s">
        <v>133</v>
      </c>
      <c r="M3737" s="3" t="s">
        <v>134</v>
      </c>
      <c r="N3737" s="3" t="s">
        <v>135</v>
      </c>
      <c r="O3737" s="5">
        <v>2546.9091326</v>
      </c>
      <c r="P3737" s="6" t="str">
        <f t="shared" si="2"/>
        <v>Auto Components &amp; Equipments</v>
      </c>
    </row>
    <row r="3738" hidden="1">
      <c r="A3738" s="3" t="s">
        <v>15123</v>
      </c>
      <c r="B3738" s="4">
        <v>543389.0</v>
      </c>
      <c r="C3738" s="3" t="s">
        <v>15124</v>
      </c>
      <c r="D3738" s="3" t="s">
        <v>15125</v>
      </c>
      <c r="E3738" s="3" t="s">
        <v>15126</v>
      </c>
      <c r="F3738" s="3" t="s">
        <v>19</v>
      </c>
      <c r="G3738" s="3" t="s">
        <v>112</v>
      </c>
      <c r="H3738" s="3">
        <v>1.0</v>
      </c>
      <c r="I3738" s="3" t="s">
        <v>15123</v>
      </c>
      <c r="J3738" s="3" t="s">
        <v>22</v>
      </c>
      <c r="K3738" s="3" t="s">
        <v>45</v>
      </c>
      <c r="L3738" s="3" t="s">
        <v>45</v>
      </c>
      <c r="M3738" s="3" t="s">
        <v>46</v>
      </c>
      <c r="N3738" s="3" t="s">
        <v>47</v>
      </c>
      <c r="O3738" s="5">
        <v>2031.4900775</v>
      </c>
      <c r="P3738" s="6" t="str">
        <f t="shared" si="2"/>
        <v>Pharmaceuticals</v>
      </c>
    </row>
    <row r="3739">
      <c r="A3739" s="3" t="s">
        <v>10581</v>
      </c>
      <c r="B3739" s="4">
        <v>532466.0</v>
      </c>
      <c r="C3739" s="3" t="s">
        <v>15127</v>
      </c>
      <c r="D3739" s="3" t="s">
        <v>15128</v>
      </c>
      <c r="E3739" s="3" t="s">
        <v>15129</v>
      </c>
      <c r="F3739" s="3" t="s">
        <v>19</v>
      </c>
      <c r="G3739" s="3" t="s">
        <v>20</v>
      </c>
      <c r="H3739" s="3">
        <v>5.0</v>
      </c>
      <c r="I3739" s="3" t="s">
        <v>9844</v>
      </c>
      <c r="J3739" s="3" t="s">
        <v>22</v>
      </c>
      <c r="K3739" s="3" t="s">
        <v>473</v>
      </c>
      <c r="L3739" s="3" t="s">
        <v>473</v>
      </c>
      <c r="M3739" s="3" t="s">
        <v>1391</v>
      </c>
      <c r="N3739" s="3" t="s">
        <v>1392</v>
      </c>
      <c r="O3739" s="5">
        <v>86327.53519</v>
      </c>
      <c r="P3739" s="6" t="str">
        <f t="shared" si="2"/>
        <v>IT - Software</v>
      </c>
    </row>
    <row r="3740" hidden="1">
      <c r="A3740" s="3" t="s">
        <v>15130</v>
      </c>
      <c r="B3740" s="4">
        <v>543391.0</v>
      </c>
      <c r="C3740" s="3" t="s">
        <v>15131</v>
      </c>
      <c r="D3740" s="3" t="s">
        <v>15132</v>
      </c>
      <c r="E3740" s="3" t="s">
        <v>15133</v>
      </c>
      <c r="F3740" s="3" t="s">
        <v>19</v>
      </c>
      <c r="G3740" s="3" t="s">
        <v>2428</v>
      </c>
      <c r="H3740" s="3">
        <v>10.0</v>
      </c>
      <c r="I3740" s="3" t="s">
        <v>15130</v>
      </c>
      <c r="J3740" s="3" t="s">
        <v>22</v>
      </c>
      <c r="K3740" s="3" t="s">
        <v>97</v>
      </c>
      <c r="L3740" s="3" t="s">
        <v>965</v>
      </c>
      <c r="M3740" s="3" t="s">
        <v>965</v>
      </c>
      <c r="N3740" s="3" t="s">
        <v>966</v>
      </c>
      <c r="O3740" s="5">
        <v>363.970644</v>
      </c>
      <c r="P3740" s="6" t="str">
        <f t="shared" si="2"/>
        <v>Civil Construction</v>
      </c>
    </row>
    <row r="3741">
      <c r="A3741" s="3" t="s">
        <v>10597</v>
      </c>
      <c r="B3741" s="4">
        <v>532540.0</v>
      </c>
      <c r="C3741" s="3" t="s">
        <v>15134</v>
      </c>
      <c r="D3741" s="3" t="s">
        <v>15135</v>
      </c>
      <c r="E3741" s="3" t="s">
        <v>15136</v>
      </c>
      <c r="F3741" s="3" t="s">
        <v>19</v>
      </c>
      <c r="G3741" s="3" t="s">
        <v>20</v>
      </c>
      <c r="H3741" s="3">
        <v>1.0</v>
      </c>
      <c r="I3741" s="3" t="s">
        <v>9991</v>
      </c>
      <c r="J3741" s="3" t="s">
        <v>22</v>
      </c>
      <c r="K3741" s="3" t="s">
        <v>473</v>
      </c>
      <c r="L3741" s="3" t="s">
        <v>473</v>
      </c>
      <c r="M3741" s="3" t="s">
        <v>1391</v>
      </c>
      <c r="N3741" s="3" t="s">
        <v>1840</v>
      </c>
      <c r="O3741" s="5">
        <v>1408401.41765</v>
      </c>
      <c r="P3741" s="6" t="str">
        <f t="shared" si="2"/>
        <v>Computers - Software &amp; Consulting</v>
      </c>
    </row>
    <row r="3742">
      <c r="A3742" s="3" t="s">
        <v>4724</v>
      </c>
      <c r="B3742" s="4">
        <v>532541.0</v>
      </c>
      <c r="C3742" s="3" t="s">
        <v>15137</v>
      </c>
      <c r="D3742" s="3" t="s">
        <v>15138</v>
      </c>
      <c r="E3742" s="3" t="s">
        <v>15139</v>
      </c>
      <c r="F3742" s="3" t="s">
        <v>19</v>
      </c>
      <c r="G3742" s="3" t="s">
        <v>20</v>
      </c>
      <c r="H3742" s="3">
        <v>10.0</v>
      </c>
      <c r="I3742" s="3" t="s">
        <v>9996</v>
      </c>
      <c r="J3742" s="3" t="s">
        <v>22</v>
      </c>
      <c r="K3742" s="3" t="s">
        <v>473</v>
      </c>
      <c r="L3742" s="3" t="s">
        <v>473</v>
      </c>
      <c r="M3742" s="3" t="s">
        <v>1391</v>
      </c>
      <c r="N3742" s="3" t="s">
        <v>1840</v>
      </c>
      <c r="O3742" s="5">
        <v>34926.0392809</v>
      </c>
      <c r="P3742" s="6" t="str">
        <f t="shared" si="2"/>
        <v>Computers - Software &amp; Consulting</v>
      </c>
    </row>
    <row r="3743">
      <c r="A3743" s="3" t="s">
        <v>15140</v>
      </c>
      <c r="B3743" s="4">
        <v>532668.0</v>
      </c>
      <c r="C3743" s="3" t="s">
        <v>15141</v>
      </c>
      <c r="D3743" s="3" t="s">
        <v>15142</v>
      </c>
      <c r="E3743" s="3" t="s">
        <v>15143</v>
      </c>
      <c r="F3743" s="3" t="s">
        <v>19</v>
      </c>
      <c r="G3743" s="3" t="s">
        <v>112</v>
      </c>
      <c r="H3743" s="3">
        <v>10.0</v>
      </c>
      <c r="I3743" s="3" t="s">
        <v>10160</v>
      </c>
      <c r="J3743" s="3" t="s">
        <v>22</v>
      </c>
      <c r="K3743" s="3" t="s">
        <v>473</v>
      </c>
      <c r="L3743" s="3" t="s">
        <v>473</v>
      </c>
      <c r="M3743" s="3" t="s">
        <v>1391</v>
      </c>
      <c r="N3743" s="3" t="s">
        <v>1840</v>
      </c>
      <c r="O3743" s="5">
        <v>7938.89493</v>
      </c>
      <c r="P3743" s="6" t="str">
        <f t="shared" si="2"/>
        <v>Computers - Software &amp; Consulting</v>
      </c>
    </row>
    <row r="3744" hidden="1">
      <c r="A3744" s="3" t="s">
        <v>15144</v>
      </c>
      <c r="B3744" s="4">
        <v>543399.0</v>
      </c>
      <c r="C3744" s="3" t="s">
        <v>15145</v>
      </c>
      <c r="D3744" s="3" t="s">
        <v>15146</v>
      </c>
      <c r="E3744" s="3" t="s">
        <v>15147</v>
      </c>
      <c r="F3744" s="3" t="s">
        <v>19</v>
      </c>
      <c r="G3744" s="3" t="s">
        <v>112</v>
      </c>
      <c r="H3744" s="3">
        <v>2.0</v>
      </c>
      <c r="I3744" s="3" t="s">
        <v>15144</v>
      </c>
      <c r="J3744" s="3" t="s">
        <v>22</v>
      </c>
      <c r="K3744" s="3" t="s">
        <v>45</v>
      </c>
      <c r="L3744" s="3" t="s">
        <v>45</v>
      </c>
      <c r="M3744" s="3" t="s">
        <v>7249</v>
      </c>
      <c r="N3744" s="3" t="s">
        <v>7250</v>
      </c>
      <c r="O3744" s="5">
        <v>2646.6885186</v>
      </c>
      <c r="P3744" s="6" t="str">
        <f t="shared" si="2"/>
        <v>Healthcare Equipment &amp; Supplies</v>
      </c>
    </row>
    <row r="3745" hidden="1">
      <c r="A3745" s="3" t="s">
        <v>15148</v>
      </c>
      <c r="B3745" s="4">
        <v>543400.0</v>
      </c>
      <c r="C3745" s="3" t="s">
        <v>15149</v>
      </c>
      <c r="D3745" s="3" t="s">
        <v>15150</v>
      </c>
      <c r="E3745" s="3" t="s">
        <v>15151</v>
      </c>
      <c r="F3745" s="3" t="s">
        <v>19</v>
      </c>
      <c r="G3745" s="3" t="s">
        <v>2428</v>
      </c>
      <c r="H3745" s="3">
        <v>10.0</v>
      </c>
      <c r="I3745" s="3" t="s">
        <v>15148</v>
      </c>
      <c r="J3745" s="3" t="s">
        <v>22</v>
      </c>
      <c r="K3745" s="3" t="s">
        <v>410</v>
      </c>
      <c r="L3745" s="3" t="s">
        <v>411</v>
      </c>
      <c r="M3745" s="3" t="s">
        <v>5748</v>
      </c>
      <c r="N3745" s="3" t="s">
        <v>5749</v>
      </c>
      <c r="O3745" s="5">
        <v>5.6931391</v>
      </c>
      <c r="P3745" s="6" t="str">
        <f t="shared" si="2"/>
        <v>Petroleum Products</v>
      </c>
    </row>
    <row r="3746">
      <c r="A3746" s="3" t="s">
        <v>4746</v>
      </c>
      <c r="B3746" s="4">
        <v>532735.0</v>
      </c>
      <c r="C3746" s="3" t="s">
        <v>15152</v>
      </c>
      <c r="D3746" s="3" t="s">
        <v>15153</v>
      </c>
      <c r="E3746" s="3" t="s">
        <v>15152</v>
      </c>
      <c r="F3746" s="3" t="s">
        <v>19</v>
      </c>
      <c r="G3746" s="3" t="s">
        <v>112</v>
      </c>
      <c r="H3746" s="3">
        <v>1.0</v>
      </c>
      <c r="I3746" s="3" t="s">
        <v>10314</v>
      </c>
      <c r="J3746" s="3" t="s">
        <v>22</v>
      </c>
      <c r="K3746" s="3" t="s">
        <v>473</v>
      </c>
      <c r="L3746" s="3" t="s">
        <v>473</v>
      </c>
      <c r="M3746" s="3" t="s">
        <v>1538</v>
      </c>
      <c r="N3746" s="3" t="s">
        <v>1539</v>
      </c>
      <c r="O3746" s="5">
        <v>6350.5686472</v>
      </c>
      <c r="P3746" s="6" t="str">
        <f t="shared" si="2"/>
        <v>IT - Services</v>
      </c>
    </row>
    <row r="3747" hidden="1">
      <c r="A3747" s="3" t="s">
        <v>6294</v>
      </c>
      <c r="B3747" s="4">
        <v>532007.0</v>
      </c>
      <c r="C3747" s="3" t="s">
        <v>15154</v>
      </c>
      <c r="D3747" s="3" t="s">
        <v>15155</v>
      </c>
      <c r="E3747" s="3" t="s">
        <v>15156</v>
      </c>
      <c r="F3747" s="3" t="s">
        <v>19</v>
      </c>
      <c r="G3747" s="3" t="s">
        <v>72</v>
      </c>
      <c r="H3747" s="3">
        <v>10.0</v>
      </c>
      <c r="I3747" s="3" t="s">
        <v>9217</v>
      </c>
      <c r="J3747" s="3" t="s">
        <v>22</v>
      </c>
      <c r="K3747" s="3" t="s">
        <v>1673</v>
      </c>
      <c r="L3747" s="3" t="s">
        <v>1673</v>
      </c>
      <c r="M3747" s="3" t="s">
        <v>1674</v>
      </c>
      <c r="N3747" s="3" t="s">
        <v>1675</v>
      </c>
      <c r="O3747" s="5">
        <v>1.0</v>
      </c>
      <c r="P3747" s="6" t="str">
        <f t="shared" si="2"/>
        <v>Commercial Services &amp; Supplies</v>
      </c>
    </row>
    <row r="3748" hidden="1">
      <c r="A3748" s="3" t="s">
        <v>15157</v>
      </c>
      <c r="B3748" s="4">
        <v>543411.0</v>
      </c>
      <c r="C3748" s="3" t="s">
        <v>15158</v>
      </c>
      <c r="D3748" s="3" t="s">
        <v>15159</v>
      </c>
      <c r="E3748" s="3" t="s">
        <v>15160</v>
      </c>
      <c r="F3748" s="3" t="s">
        <v>19</v>
      </c>
      <c r="G3748" s="3" t="s">
        <v>112</v>
      </c>
      <c r="H3748" s="3">
        <v>1.0</v>
      </c>
      <c r="I3748" s="3" t="s">
        <v>15157</v>
      </c>
      <c r="J3748" s="3" t="s">
        <v>22</v>
      </c>
      <c r="K3748" s="3" t="s">
        <v>97</v>
      </c>
      <c r="L3748" s="3" t="s">
        <v>98</v>
      </c>
      <c r="M3748" s="3" t="s">
        <v>100</v>
      </c>
      <c r="N3748" s="3" t="s">
        <v>612</v>
      </c>
      <c r="O3748" s="5">
        <v>2109.6987485</v>
      </c>
      <c r="P3748" s="6" t="str">
        <f t="shared" si="2"/>
        <v>Industrial Products</v>
      </c>
    </row>
    <row r="3749">
      <c r="A3749" s="3" t="s">
        <v>10630</v>
      </c>
      <c r="B3749" s="4">
        <v>532755.0</v>
      </c>
      <c r="C3749" s="3" t="s">
        <v>15161</v>
      </c>
      <c r="D3749" s="3" t="s">
        <v>15162</v>
      </c>
      <c r="E3749" s="3" t="s">
        <v>15163</v>
      </c>
      <c r="F3749" s="3" t="s">
        <v>19</v>
      </c>
      <c r="G3749" s="3" t="s">
        <v>20</v>
      </c>
      <c r="H3749" s="3">
        <v>5.0</v>
      </c>
      <c r="I3749" s="3" t="s">
        <v>10359</v>
      </c>
      <c r="J3749" s="3" t="s">
        <v>22</v>
      </c>
      <c r="K3749" s="3" t="s">
        <v>473</v>
      </c>
      <c r="L3749" s="3" t="s">
        <v>473</v>
      </c>
      <c r="M3749" s="3" t="s">
        <v>1391</v>
      </c>
      <c r="N3749" s="3" t="s">
        <v>1840</v>
      </c>
      <c r="O3749" s="5">
        <v>139671.8589</v>
      </c>
      <c r="P3749" s="6" t="str">
        <f t="shared" si="2"/>
        <v>Computers - Software &amp; Consulting</v>
      </c>
    </row>
    <row r="3750">
      <c r="A3750" s="3" t="s">
        <v>14911</v>
      </c>
      <c r="B3750" s="4">
        <v>532790.0</v>
      </c>
      <c r="C3750" s="3" t="s">
        <v>15164</v>
      </c>
      <c r="D3750" s="3" t="s">
        <v>15165</v>
      </c>
      <c r="E3750" s="3" t="s">
        <v>15166</v>
      </c>
      <c r="F3750" s="3" t="s">
        <v>19</v>
      </c>
      <c r="G3750" s="3" t="s">
        <v>20</v>
      </c>
      <c r="H3750" s="3">
        <v>1.0</v>
      </c>
      <c r="I3750" s="3" t="s">
        <v>10452</v>
      </c>
      <c r="J3750" s="3" t="s">
        <v>22</v>
      </c>
      <c r="K3750" s="3" t="s">
        <v>473</v>
      </c>
      <c r="L3750" s="3" t="s">
        <v>473</v>
      </c>
      <c r="M3750" s="3" t="s">
        <v>1391</v>
      </c>
      <c r="N3750" s="3" t="s">
        <v>1392</v>
      </c>
      <c r="O3750" s="5">
        <v>12747.54348</v>
      </c>
      <c r="P3750" s="6" t="str">
        <f t="shared" si="2"/>
        <v>IT - Software</v>
      </c>
    </row>
    <row r="3751">
      <c r="A3751" s="3" t="s">
        <v>10646</v>
      </c>
      <c r="B3751" s="4">
        <v>533179.0</v>
      </c>
      <c r="C3751" s="3" t="s">
        <v>15167</v>
      </c>
      <c r="D3751" s="3" t="s">
        <v>15168</v>
      </c>
      <c r="E3751" s="3" t="s">
        <v>15169</v>
      </c>
      <c r="F3751" s="3" t="s">
        <v>19</v>
      </c>
      <c r="G3751" s="3" t="s">
        <v>20</v>
      </c>
      <c r="H3751" s="3">
        <v>5.0</v>
      </c>
      <c r="I3751" s="3" t="s">
        <v>11127</v>
      </c>
      <c r="J3751" s="3" t="s">
        <v>22</v>
      </c>
      <c r="K3751" s="3" t="s">
        <v>473</v>
      </c>
      <c r="L3751" s="3" t="s">
        <v>473</v>
      </c>
      <c r="M3751" s="3" t="s">
        <v>1391</v>
      </c>
      <c r="N3751" s="3" t="s">
        <v>1840</v>
      </c>
      <c r="O3751" s="5">
        <v>65200.6352093</v>
      </c>
      <c r="P3751" s="6" t="str">
        <f t="shared" si="2"/>
        <v>Computers - Software &amp; Consulting</v>
      </c>
    </row>
    <row r="3752" hidden="1">
      <c r="A3752" s="3" t="s">
        <v>15170</v>
      </c>
      <c r="B3752" s="4">
        <v>543416.0</v>
      </c>
      <c r="C3752" s="3" t="s">
        <v>15171</v>
      </c>
      <c r="D3752" s="3" t="s">
        <v>15172</v>
      </c>
      <c r="E3752" s="3" t="s">
        <v>15173</v>
      </c>
      <c r="F3752" s="3" t="s">
        <v>19</v>
      </c>
      <c r="G3752" s="3" t="s">
        <v>86</v>
      </c>
      <c r="H3752" s="3">
        <v>10.0</v>
      </c>
      <c r="I3752" s="3" t="s">
        <v>15170</v>
      </c>
      <c r="J3752" s="3" t="s">
        <v>22</v>
      </c>
      <c r="K3752" s="3" t="s">
        <v>97</v>
      </c>
      <c r="L3752" s="3" t="s">
        <v>965</v>
      </c>
      <c r="M3752" s="3" t="s">
        <v>965</v>
      </c>
      <c r="N3752" s="3" t="s">
        <v>966</v>
      </c>
      <c r="O3752" s="5">
        <v>1118.5483435</v>
      </c>
      <c r="P3752" s="6" t="str">
        <f t="shared" si="2"/>
        <v>Civil Construction</v>
      </c>
    </row>
    <row r="3753">
      <c r="A3753" s="3" t="s">
        <v>15174</v>
      </c>
      <c r="B3753" s="4">
        <v>538835.0</v>
      </c>
      <c r="C3753" s="3" t="s">
        <v>15175</v>
      </c>
      <c r="D3753" s="3" t="s">
        <v>15176</v>
      </c>
      <c r="E3753" s="3" t="s">
        <v>15177</v>
      </c>
      <c r="F3753" s="3" t="s">
        <v>19</v>
      </c>
      <c r="G3753" s="3" t="s">
        <v>20</v>
      </c>
      <c r="H3753" s="3">
        <v>5.0</v>
      </c>
      <c r="I3753" s="3" t="s">
        <v>12188</v>
      </c>
      <c r="J3753" s="3" t="s">
        <v>22</v>
      </c>
      <c r="K3753" s="3" t="s">
        <v>473</v>
      </c>
      <c r="L3753" s="3" t="s">
        <v>473</v>
      </c>
      <c r="M3753" s="3" t="s">
        <v>1391</v>
      </c>
      <c r="N3753" s="3" t="s">
        <v>1840</v>
      </c>
      <c r="O3753" s="5">
        <v>14635.323816</v>
      </c>
      <c r="P3753" s="6" t="str">
        <f t="shared" si="2"/>
        <v>Computers - Software &amp; Consulting</v>
      </c>
    </row>
    <row r="3754" hidden="1">
      <c r="A3754" s="3" t="s">
        <v>15178</v>
      </c>
      <c r="B3754" s="4">
        <v>543419.0</v>
      </c>
      <c r="C3754" s="3" t="s">
        <v>15179</v>
      </c>
      <c r="D3754" s="3" t="s">
        <v>15180</v>
      </c>
      <c r="E3754" s="3" t="s">
        <v>15181</v>
      </c>
      <c r="F3754" s="3" t="s">
        <v>19</v>
      </c>
      <c r="G3754" s="3" t="s">
        <v>112</v>
      </c>
      <c r="H3754" s="3">
        <v>10.0</v>
      </c>
      <c r="I3754" s="3" t="s">
        <v>15178</v>
      </c>
      <c r="J3754" s="3" t="s">
        <v>22</v>
      </c>
      <c r="K3754" s="3" t="s">
        <v>58</v>
      </c>
      <c r="L3754" s="3" t="s">
        <v>59</v>
      </c>
      <c r="M3754" s="3" t="s">
        <v>59</v>
      </c>
      <c r="N3754" s="3" t="s">
        <v>60</v>
      </c>
      <c r="O3754" s="5">
        <v>1874.8047539</v>
      </c>
      <c r="P3754" s="6" t="str">
        <f t="shared" si="2"/>
        <v>Residential, Commercial Projects</v>
      </c>
    </row>
    <row r="3755" hidden="1">
      <c r="A3755" s="3" t="s">
        <v>6299</v>
      </c>
      <c r="B3755" s="4">
        <v>532083.0</v>
      </c>
      <c r="C3755" s="3" t="s">
        <v>15182</v>
      </c>
      <c r="D3755" s="3" t="s">
        <v>15183</v>
      </c>
      <c r="E3755" s="3" t="s">
        <v>15184</v>
      </c>
      <c r="F3755" s="3" t="s">
        <v>19</v>
      </c>
      <c r="G3755" s="3" t="s">
        <v>72</v>
      </c>
      <c r="H3755" s="3">
        <v>10.0</v>
      </c>
      <c r="I3755" s="3" t="s">
        <v>9295</v>
      </c>
      <c r="J3755" s="3" t="s">
        <v>22</v>
      </c>
      <c r="K3755" s="3" t="s">
        <v>1673</v>
      </c>
      <c r="L3755" s="3" t="s">
        <v>1673</v>
      </c>
      <c r="M3755" s="3" t="s">
        <v>1674</v>
      </c>
      <c r="N3755" s="3" t="s">
        <v>1675</v>
      </c>
      <c r="O3755" s="5">
        <v>1.0</v>
      </c>
      <c r="P3755" s="6" t="str">
        <f t="shared" si="2"/>
        <v>Commercial Services &amp; Supplies</v>
      </c>
    </row>
    <row r="3756">
      <c r="A3756" s="3" t="s">
        <v>15185</v>
      </c>
      <c r="B3756" s="4">
        <v>538891.0</v>
      </c>
      <c r="C3756" s="3" t="s">
        <v>15186</v>
      </c>
      <c r="D3756" s="3" t="s">
        <v>15187</v>
      </c>
      <c r="E3756" s="3" t="s">
        <v>15188</v>
      </c>
      <c r="F3756" s="3" t="s">
        <v>19</v>
      </c>
      <c r="G3756" s="3" t="s">
        <v>112</v>
      </c>
      <c r="H3756" s="3">
        <v>10.0</v>
      </c>
      <c r="I3756" s="3" t="s">
        <v>12245</v>
      </c>
      <c r="J3756" s="3" t="s">
        <v>22</v>
      </c>
      <c r="K3756" s="3" t="s">
        <v>473</v>
      </c>
      <c r="L3756" s="3" t="s">
        <v>473</v>
      </c>
      <c r="M3756" s="3" t="s">
        <v>1391</v>
      </c>
      <c r="N3756" s="3" t="s">
        <v>1840</v>
      </c>
      <c r="O3756" s="5">
        <v>7213.2392534</v>
      </c>
      <c r="P3756" s="6" t="str">
        <f t="shared" si="2"/>
        <v>Computers - Software &amp; Consulting</v>
      </c>
    </row>
    <row r="3757">
      <c r="A3757" s="3" t="s">
        <v>4781</v>
      </c>
      <c r="B3757" s="4">
        <v>540005.0</v>
      </c>
      <c r="C3757" s="3" t="s">
        <v>15189</v>
      </c>
      <c r="D3757" s="3" t="s">
        <v>15190</v>
      </c>
      <c r="E3757" s="3" t="s">
        <v>15191</v>
      </c>
      <c r="F3757" s="3" t="s">
        <v>19</v>
      </c>
      <c r="G3757" s="3" t="s">
        <v>20</v>
      </c>
      <c r="H3757" s="3">
        <v>1.0</v>
      </c>
      <c r="I3757" s="3" t="s">
        <v>13259</v>
      </c>
      <c r="J3757" s="3" t="s">
        <v>22</v>
      </c>
      <c r="K3757" s="3" t="s">
        <v>473</v>
      </c>
      <c r="L3757" s="3" t="s">
        <v>473</v>
      </c>
      <c r="M3757" s="3" t="s">
        <v>1391</v>
      </c>
      <c r="N3757" s="3" t="s">
        <v>1840</v>
      </c>
      <c r="O3757" s="5">
        <v>159485.5</v>
      </c>
      <c r="P3757" s="6" t="str">
        <f t="shared" si="2"/>
        <v>Computers - Software &amp; Consulting</v>
      </c>
    </row>
    <row r="3758">
      <c r="A3758" s="3" t="s">
        <v>4797</v>
      </c>
      <c r="B3758" s="4">
        <v>540115.0</v>
      </c>
      <c r="C3758" s="3" t="s">
        <v>15192</v>
      </c>
      <c r="D3758" s="3" t="s">
        <v>15193</v>
      </c>
      <c r="E3758" s="3" t="s">
        <v>15194</v>
      </c>
      <c r="F3758" s="3" t="s">
        <v>19</v>
      </c>
      <c r="G3758" s="3" t="s">
        <v>20</v>
      </c>
      <c r="H3758" s="3">
        <v>2.0</v>
      </c>
      <c r="I3758" s="3" t="s">
        <v>13337</v>
      </c>
      <c r="J3758" s="3" t="s">
        <v>22</v>
      </c>
      <c r="K3758" s="3" t="s">
        <v>473</v>
      </c>
      <c r="L3758" s="3" t="s">
        <v>473</v>
      </c>
      <c r="M3758" s="3" t="s">
        <v>1538</v>
      </c>
      <c r="N3758" s="3" t="s">
        <v>1539</v>
      </c>
      <c r="O3758" s="5">
        <v>51586.803</v>
      </c>
      <c r="P3758" s="6" t="str">
        <f t="shared" si="2"/>
        <v>IT - Services</v>
      </c>
    </row>
    <row r="3759">
      <c r="A3759" s="3" t="s">
        <v>14919</v>
      </c>
      <c r="B3759" s="4">
        <v>540900.0</v>
      </c>
      <c r="C3759" s="3" t="s">
        <v>15195</v>
      </c>
      <c r="D3759" s="3" t="s">
        <v>15196</v>
      </c>
      <c r="E3759" s="3" t="s">
        <v>15197</v>
      </c>
      <c r="F3759" s="3" t="s">
        <v>19</v>
      </c>
      <c r="G3759" s="3" t="s">
        <v>20</v>
      </c>
      <c r="H3759" s="3">
        <v>10.0</v>
      </c>
      <c r="I3759" s="3" t="s">
        <v>13928</v>
      </c>
      <c r="J3759" s="3" t="s">
        <v>22</v>
      </c>
      <c r="K3759" s="3" t="s">
        <v>473</v>
      </c>
      <c r="L3759" s="3" t="s">
        <v>473</v>
      </c>
      <c r="M3759" s="3" t="s">
        <v>1391</v>
      </c>
      <c r="N3759" s="3" t="s">
        <v>1840</v>
      </c>
      <c r="O3759" s="5">
        <v>13547.87137</v>
      </c>
      <c r="P3759" s="6" t="str">
        <f t="shared" si="2"/>
        <v>Computers - Software &amp; Consulting</v>
      </c>
    </row>
    <row r="3760" hidden="1">
      <c r="A3760" s="3" t="s">
        <v>15198</v>
      </c>
      <c r="B3760" s="4">
        <v>543433.0</v>
      </c>
      <c r="C3760" s="3" t="s">
        <v>15199</v>
      </c>
      <c r="D3760" s="3" t="s">
        <v>15200</v>
      </c>
      <c r="E3760" s="3" t="s">
        <v>15201</v>
      </c>
      <c r="F3760" s="3" t="s">
        <v>19</v>
      </c>
      <c r="G3760" s="3" t="s">
        <v>112</v>
      </c>
      <c r="H3760" s="3">
        <v>2.0</v>
      </c>
      <c r="I3760" s="3" t="s">
        <v>15198</v>
      </c>
      <c r="J3760" s="3" t="s">
        <v>22</v>
      </c>
      <c r="K3760" s="3" t="s">
        <v>23</v>
      </c>
      <c r="L3760" s="3" t="s">
        <v>24</v>
      </c>
      <c r="M3760" s="3" t="s">
        <v>25</v>
      </c>
      <c r="N3760" s="3" t="s">
        <v>26</v>
      </c>
      <c r="O3760" s="5">
        <v>894.2288595</v>
      </c>
      <c r="P3760" s="6" t="str">
        <f t="shared" si="2"/>
        <v>Specialty Chemicals</v>
      </c>
    </row>
    <row r="3761" hidden="1">
      <c r="A3761" s="3" t="s">
        <v>15202</v>
      </c>
      <c r="B3761" s="4">
        <v>543434.0</v>
      </c>
      <c r="C3761" s="3" t="s">
        <v>15203</v>
      </c>
      <c r="D3761" s="3" t="s">
        <v>15204</v>
      </c>
      <c r="E3761" s="3" t="s">
        <v>15205</v>
      </c>
      <c r="F3761" s="3" t="s">
        <v>19</v>
      </c>
      <c r="G3761" s="3" t="s">
        <v>112</v>
      </c>
      <c r="H3761" s="3">
        <v>2.0</v>
      </c>
      <c r="I3761" s="3" t="s">
        <v>15202</v>
      </c>
      <c r="J3761" s="3" t="s">
        <v>22</v>
      </c>
      <c r="K3761" s="3" t="s">
        <v>45</v>
      </c>
      <c r="L3761" s="3" t="s">
        <v>45</v>
      </c>
      <c r="M3761" s="3" t="s">
        <v>46</v>
      </c>
      <c r="N3761" s="3" t="s">
        <v>47</v>
      </c>
      <c r="O3761" s="5">
        <v>3197.892576</v>
      </c>
      <c r="P3761" s="6" t="str">
        <f t="shared" si="2"/>
        <v>Pharmaceuticals</v>
      </c>
    </row>
    <row r="3762" hidden="1">
      <c r="A3762" s="3" t="s">
        <v>15206</v>
      </c>
      <c r="B3762" s="4">
        <v>543435.0</v>
      </c>
      <c r="C3762" s="3" t="s">
        <v>15207</v>
      </c>
      <c r="D3762" s="3" t="s">
        <v>15208</v>
      </c>
      <c r="E3762" s="3" t="s">
        <v>15209</v>
      </c>
      <c r="F3762" s="3" t="s">
        <v>19</v>
      </c>
      <c r="G3762" s="3" t="s">
        <v>2428</v>
      </c>
      <c r="H3762" s="3">
        <v>10.0</v>
      </c>
      <c r="I3762" s="3" t="s">
        <v>15206</v>
      </c>
      <c r="J3762" s="3" t="s">
        <v>22</v>
      </c>
      <c r="K3762" s="3" t="s">
        <v>97</v>
      </c>
      <c r="L3762" s="3" t="s">
        <v>98</v>
      </c>
      <c r="M3762" s="3" t="s">
        <v>100</v>
      </c>
      <c r="N3762" s="3" t="s">
        <v>373</v>
      </c>
      <c r="O3762" s="5">
        <v>101.1827488</v>
      </c>
      <c r="P3762" s="6" t="str">
        <f t="shared" si="2"/>
        <v>Industrial Products</v>
      </c>
    </row>
    <row r="3763" hidden="1">
      <c r="A3763" s="3" t="s">
        <v>15210</v>
      </c>
      <c r="B3763" s="4">
        <v>543439.0</v>
      </c>
      <c r="C3763" s="3" t="s">
        <v>15211</v>
      </c>
      <c r="D3763" s="3" t="s">
        <v>15212</v>
      </c>
      <c r="E3763" s="3" t="s">
        <v>15213</v>
      </c>
      <c r="F3763" s="3" t="s">
        <v>19</v>
      </c>
      <c r="G3763" s="3" t="s">
        <v>2428</v>
      </c>
      <c r="H3763" s="3">
        <v>10.0</v>
      </c>
      <c r="I3763" s="3" t="s">
        <v>15210</v>
      </c>
      <c r="J3763" s="3" t="s">
        <v>22</v>
      </c>
      <c r="K3763" s="3" t="s">
        <v>58</v>
      </c>
      <c r="L3763" s="3" t="s">
        <v>182</v>
      </c>
      <c r="M3763" s="3" t="s">
        <v>183</v>
      </c>
      <c r="N3763" s="3" t="s">
        <v>6800</v>
      </c>
      <c r="O3763" s="5">
        <v>22.0932037</v>
      </c>
      <c r="P3763" s="6" t="str">
        <f t="shared" si="2"/>
        <v>Media</v>
      </c>
    </row>
    <row r="3764" hidden="1">
      <c r="A3764" s="3" t="s">
        <v>15214</v>
      </c>
      <c r="B3764" s="4">
        <v>533014.0</v>
      </c>
      <c r="C3764" s="3" t="s">
        <v>15215</v>
      </c>
      <c r="D3764" s="3" t="s">
        <v>15216</v>
      </c>
      <c r="E3764" s="3" t="s">
        <v>15217</v>
      </c>
      <c r="F3764" s="3" t="s">
        <v>19</v>
      </c>
      <c r="G3764" s="3" t="s">
        <v>44</v>
      </c>
      <c r="H3764" s="3">
        <v>10.0</v>
      </c>
      <c r="I3764" s="3" t="s">
        <v>10962</v>
      </c>
      <c r="J3764" s="3" t="s">
        <v>22</v>
      </c>
      <c r="K3764" s="3" t="s">
        <v>1673</v>
      </c>
      <c r="L3764" s="3" t="s">
        <v>1673</v>
      </c>
      <c r="M3764" s="3" t="s">
        <v>1674</v>
      </c>
      <c r="N3764" s="3" t="s">
        <v>1915</v>
      </c>
      <c r="O3764" s="5">
        <v>1.0</v>
      </c>
      <c r="P3764" s="6" t="str">
        <f t="shared" si="2"/>
        <v>Commercial Services &amp; Supplies</v>
      </c>
    </row>
    <row r="3765" hidden="1">
      <c r="A3765" s="3" t="s">
        <v>15218</v>
      </c>
      <c r="B3765" s="4">
        <v>543442.0</v>
      </c>
      <c r="C3765" s="3" t="s">
        <v>15219</v>
      </c>
      <c r="D3765" s="3" t="s">
        <v>15220</v>
      </c>
      <c r="E3765" s="3" t="s">
        <v>15221</v>
      </c>
      <c r="F3765" s="3" t="s">
        <v>19</v>
      </c>
      <c r="G3765" s="3" t="s">
        <v>112</v>
      </c>
      <c r="H3765" s="3">
        <v>10.0</v>
      </c>
      <c r="I3765" s="3" t="s">
        <v>15218</v>
      </c>
      <c r="J3765" s="3" t="s">
        <v>22</v>
      </c>
      <c r="K3765" s="3" t="s">
        <v>58</v>
      </c>
      <c r="L3765" s="3" t="s">
        <v>73</v>
      </c>
      <c r="M3765" s="3" t="s">
        <v>988</v>
      </c>
      <c r="N3765" s="3" t="s">
        <v>989</v>
      </c>
      <c r="O3765" s="5">
        <v>702.331686</v>
      </c>
      <c r="P3765" s="6" t="str">
        <f t="shared" si="2"/>
        <v>Retailing</v>
      </c>
    </row>
    <row r="3766" hidden="1">
      <c r="A3766" s="3" t="s">
        <v>15222</v>
      </c>
      <c r="B3766" s="4">
        <v>543444.0</v>
      </c>
      <c r="C3766" s="3" t="s">
        <v>15223</v>
      </c>
      <c r="D3766" s="3" t="s">
        <v>15224</v>
      </c>
      <c r="E3766" s="3" t="s">
        <v>15225</v>
      </c>
      <c r="F3766" s="3" t="s">
        <v>19</v>
      </c>
      <c r="G3766" s="3" t="s">
        <v>2428</v>
      </c>
      <c r="H3766" s="3">
        <v>10.0</v>
      </c>
      <c r="I3766" s="3" t="s">
        <v>15222</v>
      </c>
      <c r="J3766" s="3" t="s">
        <v>22</v>
      </c>
      <c r="K3766" s="3" t="s">
        <v>45</v>
      </c>
      <c r="L3766" s="3" t="s">
        <v>45</v>
      </c>
      <c r="M3766" s="3" t="s">
        <v>46</v>
      </c>
      <c r="N3766" s="3" t="s">
        <v>47</v>
      </c>
      <c r="O3766" s="5">
        <v>1.0</v>
      </c>
      <c r="P3766" s="6" t="str">
        <f t="shared" si="2"/>
        <v>Pharmaceuticals</v>
      </c>
    </row>
    <row r="3767" hidden="1">
      <c r="A3767" s="3" t="s">
        <v>15226</v>
      </c>
      <c r="B3767" s="4">
        <v>543449.0</v>
      </c>
      <c r="C3767" s="3" t="s">
        <v>15227</v>
      </c>
      <c r="D3767" s="3" t="s">
        <v>15228</v>
      </c>
      <c r="E3767" s="3" t="s">
        <v>15229</v>
      </c>
      <c r="F3767" s="3" t="s">
        <v>19</v>
      </c>
      <c r="G3767" s="3" t="s">
        <v>86</v>
      </c>
      <c r="H3767" s="3">
        <v>10.0</v>
      </c>
      <c r="I3767" s="3" t="s">
        <v>15226</v>
      </c>
      <c r="J3767" s="3" t="s">
        <v>22</v>
      </c>
      <c r="K3767" s="3" t="s">
        <v>58</v>
      </c>
      <c r="L3767" s="3" t="s">
        <v>211</v>
      </c>
      <c r="M3767" s="3" t="s">
        <v>211</v>
      </c>
      <c r="N3767" s="3" t="s">
        <v>882</v>
      </c>
      <c r="O3767" s="5">
        <v>1251.50271</v>
      </c>
      <c r="P3767" s="6" t="str">
        <f t="shared" si="2"/>
        <v>Consumer Durables</v>
      </c>
    </row>
    <row r="3768" hidden="1">
      <c r="A3768" s="3" t="s">
        <v>15230</v>
      </c>
      <c r="B3768" s="4">
        <v>543451.0</v>
      </c>
      <c r="C3768" s="3" t="s">
        <v>15231</v>
      </c>
      <c r="D3768" s="3" t="s">
        <v>15232</v>
      </c>
      <c r="E3768" s="3" t="s">
        <v>15233</v>
      </c>
      <c r="F3768" s="3" t="s">
        <v>19</v>
      </c>
      <c r="G3768" s="3" t="s">
        <v>112</v>
      </c>
      <c r="H3768" s="3">
        <v>10.0</v>
      </c>
      <c r="I3768" s="3" t="s">
        <v>15230</v>
      </c>
      <c r="J3768" s="3" t="s">
        <v>22</v>
      </c>
      <c r="K3768" s="3" t="s">
        <v>204</v>
      </c>
      <c r="L3768" s="3" t="s">
        <v>204</v>
      </c>
      <c r="M3768" s="3" t="s">
        <v>3234</v>
      </c>
      <c r="N3768" s="3" t="s">
        <v>3234</v>
      </c>
      <c r="O3768" s="5">
        <v>967.2169714</v>
      </c>
      <c r="P3768" s="6" t="str">
        <f t="shared" si="2"/>
        <v>Financial Technology (Fintech)</v>
      </c>
    </row>
    <row r="3769" hidden="1">
      <c r="A3769" s="3" t="s">
        <v>15234</v>
      </c>
      <c r="B3769" s="4">
        <v>543453.0</v>
      </c>
      <c r="C3769" s="3" t="s">
        <v>15235</v>
      </c>
      <c r="D3769" s="3" t="s">
        <v>15236</v>
      </c>
      <c r="E3769" s="3" t="s">
        <v>15237</v>
      </c>
      <c r="F3769" s="3" t="s">
        <v>19</v>
      </c>
      <c r="G3769" s="3" t="s">
        <v>2428</v>
      </c>
      <c r="H3769" s="3">
        <v>10.0</v>
      </c>
      <c r="I3769" s="3" t="s">
        <v>15234</v>
      </c>
      <c r="J3769" s="3" t="s">
        <v>22</v>
      </c>
      <c r="K3769" s="3" t="s">
        <v>145</v>
      </c>
      <c r="L3769" s="3" t="s">
        <v>145</v>
      </c>
      <c r="M3769" s="3" t="s">
        <v>1757</v>
      </c>
      <c r="N3769" s="3" t="s">
        <v>5735</v>
      </c>
      <c r="O3769" s="5">
        <v>88.6259808</v>
      </c>
      <c r="P3769" s="6" t="str">
        <f t="shared" si="2"/>
        <v>Household Products</v>
      </c>
    </row>
    <row r="3770">
      <c r="A3770" s="3" t="s">
        <v>9424</v>
      </c>
      <c r="B3770" s="4">
        <v>542651.0</v>
      </c>
      <c r="C3770" s="3" t="s">
        <v>15238</v>
      </c>
      <c r="D3770" s="3" t="s">
        <v>15239</v>
      </c>
      <c r="E3770" s="3" t="s">
        <v>15238</v>
      </c>
      <c r="F3770" s="3" t="s">
        <v>19</v>
      </c>
      <c r="G3770" s="3" t="s">
        <v>20</v>
      </c>
      <c r="H3770" s="3">
        <v>10.0</v>
      </c>
      <c r="I3770" s="3" t="s">
        <v>14451</v>
      </c>
      <c r="J3770" s="3" t="s">
        <v>22</v>
      </c>
      <c r="K3770" s="3" t="s">
        <v>473</v>
      </c>
      <c r="L3770" s="3" t="s">
        <v>473</v>
      </c>
      <c r="M3770" s="3" t="s">
        <v>1391</v>
      </c>
      <c r="N3770" s="3" t="s">
        <v>1840</v>
      </c>
      <c r="O3770" s="5">
        <v>45649.04192</v>
      </c>
      <c r="P3770" s="6" t="str">
        <f t="shared" si="2"/>
        <v>Computers - Software &amp; Consulting</v>
      </c>
    </row>
    <row r="3771" hidden="1">
      <c r="A3771" s="3" t="s">
        <v>15240</v>
      </c>
      <c r="B3771" s="4">
        <v>543460.0</v>
      </c>
      <c r="C3771" s="3" t="s">
        <v>15241</v>
      </c>
      <c r="D3771" s="3" t="s">
        <v>15242</v>
      </c>
      <c r="E3771" s="3" t="s">
        <v>15243</v>
      </c>
      <c r="F3771" s="3" t="s">
        <v>19</v>
      </c>
      <c r="G3771" s="3" t="s">
        <v>6293</v>
      </c>
      <c r="H3771" s="3">
        <v>10.0</v>
      </c>
      <c r="I3771" s="3" t="s">
        <v>15240</v>
      </c>
      <c r="J3771" s="3" t="s">
        <v>22</v>
      </c>
      <c r="K3771" s="3" t="s">
        <v>97</v>
      </c>
      <c r="L3771" s="3" t="s">
        <v>98</v>
      </c>
      <c r="M3771" s="3" t="s">
        <v>99</v>
      </c>
      <c r="N3771" s="3" t="s">
        <v>100</v>
      </c>
      <c r="O3771" s="5">
        <v>27.6929996</v>
      </c>
      <c r="P3771" s="6" t="str">
        <f t="shared" si="2"/>
        <v>Industrial Products</v>
      </c>
    </row>
    <row r="3772" hidden="1">
      <c r="A3772" s="3" t="s">
        <v>7644</v>
      </c>
      <c r="B3772" s="4">
        <v>537784.0</v>
      </c>
      <c r="C3772" s="3" t="s">
        <v>15244</v>
      </c>
      <c r="D3772" s="3" t="s">
        <v>15245</v>
      </c>
      <c r="E3772" s="3" t="s">
        <v>15246</v>
      </c>
      <c r="F3772" s="3" t="s">
        <v>19</v>
      </c>
      <c r="G3772" s="3" t="s">
        <v>2428</v>
      </c>
      <c r="H3772" s="3">
        <v>10.0</v>
      </c>
      <c r="I3772" s="3" t="s">
        <v>11862</v>
      </c>
      <c r="J3772" s="3" t="s">
        <v>22</v>
      </c>
      <c r="K3772" s="3" t="s">
        <v>1673</v>
      </c>
      <c r="L3772" s="3" t="s">
        <v>1673</v>
      </c>
      <c r="M3772" s="3" t="s">
        <v>1674</v>
      </c>
      <c r="N3772" s="3" t="s">
        <v>1675</v>
      </c>
      <c r="O3772" s="5">
        <v>1.0</v>
      </c>
      <c r="P3772" s="6" t="str">
        <f t="shared" si="2"/>
        <v>Commercial Services &amp; Supplies</v>
      </c>
    </row>
    <row r="3773" hidden="1">
      <c r="A3773" s="3" t="s">
        <v>15247</v>
      </c>
      <c r="B3773" s="4">
        <v>543462.0</v>
      </c>
      <c r="C3773" s="3" t="s">
        <v>15248</v>
      </c>
      <c r="D3773" s="3" t="s">
        <v>15249</v>
      </c>
      <c r="E3773" s="3" t="s">
        <v>15250</v>
      </c>
      <c r="F3773" s="3" t="s">
        <v>19</v>
      </c>
      <c r="G3773" s="3" t="s">
        <v>112</v>
      </c>
      <c r="H3773" s="3">
        <v>5.0</v>
      </c>
      <c r="I3773" s="3" t="s">
        <v>15247</v>
      </c>
      <c r="J3773" s="3" t="s">
        <v>22</v>
      </c>
      <c r="K3773" s="3" t="s">
        <v>473</v>
      </c>
      <c r="L3773" s="3" t="s">
        <v>473</v>
      </c>
      <c r="M3773" s="3" t="s">
        <v>1538</v>
      </c>
      <c r="N3773" s="3" t="s">
        <v>1539</v>
      </c>
      <c r="O3773" s="5">
        <v>254.1017326</v>
      </c>
      <c r="P3773" s="6" t="str">
        <f t="shared" si="2"/>
        <v>IT - Services</v>
      </c>
    </row>
    <row r="3774">
      <c r="A3774" s="3" t="s">
        <v>4806</v>
      </c>
      <c r="B3774" s="4">
        <v>542752.0</v>
      </c>
      <c r="C3774" s="3" t="s">
        <v>15251</v>
      </c>
      <c r="D3774" s="3" t="s">
        <v>15252</v>
      </c>
      <c r="E3774" s="3" t="s">
        <v>15253</v>
      </c>
      <c r="F3774" s="3" t="s">
        <v>19</v>
      </c>
      <c r="G3774" s="3" t="s">
        <v>20</v>
      </c>
      <c r="H3774" s="3">
        <v>2.0</v>
      </c>
      <c r="I3774" s="3" t="s">
        <v>14538</v>
      </c>
      <c r="J3774" s="3" t="s">
        <v>22</v>
      </c>
      <c r="K3774" s="3" t="s">
        <v>473</v>
      </c>
      <c r="L3774" s="3" t="s">
        <v>473</v>
      </c>
      <c r="M3774" s="3" t="s">
        <v>1538</v>
      </c>
      <c r="N3774" s="3" t="s">
        <v>1539</v>
      </c>
      <c r="O3774" s="5">
        <v>18711.9762559</v>
      </c>
      <c r="P3774" s="6" t="str">
        <f t="shared" si="2"/>
        <v>IT - Services</v>
      </c>
    </row>
    <row r="3775" hidden="1">
      <c r="A3775" s="3" t="s">
        <v>15254</v>
      </c>
      <c r="B3775" s="4">
        <v>543464.0</v>
      </c>
      <c r="C3775" s="3" t="s">
        <v>15255</v>
      </c>
      <c r="D3775" s="3" t="s">
        <v>15256</v>
      </c>
      <c r="E3775" s="3" t="s">
        <v>15257</v>
      </c>
      <c r="F3775" s="3" t="s">
        <v>19</v>
      </c>
      <c r="G3775" s="3" t="s">
        <v>2428</v>
      </c>
      <c r="H3775" s="3">
        <v>10.0</v>
      </c>
      <c r="I3775" s="3" t="s">
        <v>15254</v>
      </c>
      <c r="J3775" s="3" t="s">
        <v>22</v>
      </c>
      <c r="K3775" s="3" t="s">
        <v>58</v>
      </c>
      <c r="L3775" s="3" t="s">
        <v>211</v>
      </c>
      <c r="M3775" s="3" t="s">
        <v>211</v>
      </c>
      <c r="N3775" s="3" t="s">
        <v>2812</v>
      </c>
      <c r="O3775" s="5">
        <v>126.131356</v>
      </c>
      <c r="P3775" s="6" t="str">
        <f t="shared" si="2"/>
        <v>Consumer Durables</v>
      </c>
    </row>
    <row r="3776" hidden="1">
      <c r="A3776" s="3" t="s">
        <v>15258</v>
      </c>
      <c r="B3776" s="4">
        <v>543470.0</v>
      </c>
      <c r="C3776" s="3" t="s">
        <v>15259</v>
      </c>
      <c r="D3776" s="3" t="s">
        <v>15260</v>
      </c>
      <c r="E3776" s="3" t="s">
        <v>15261</v>
      </c>
      <c r="F3776" s="3" t="s">
        <v>19</v>
      </c>
      <c r="G3776" s="3" t="s">
        <v>112</v>
      </c>
      <c r="H3776" s="3">
        <v>10.0</v>
      </c>
      <c r="I3776" s="3" t="s">
        <v>15258</v>
      </c>
      <c r="J3776" s="3" t="s">
        <v>22</v>
      </c>
      <c r="K3776" s="3" t="s">
        <v>473</v>
      </c>
      <c r="L3776" s="3" t="s">
        <v>473</v>
      </c>
      <c r="M3776" s="3" t="s">
        <v>1391</v>
      </c>
      <c r="N3776" s="3" t="s">
        <v>1840</v>
      </c>
      <c r="O3776" s="5">
        <v>457.8402982</v>
      </c>
      <c r="P3776" s="6" t="str">
        <f t="shared" si="2"/>
        <v>Computers - Software &amp; Consulting</v>
      </c>
    </row>
    <row r="3777" hidden="1">
      <c r="A3777" s="3" t="s">
        <v>15262</v>
      </c>
      <c r="B3777" s="4">
        <v>543475.0</v>
      </c>
      <c r="C3777" s="3" t="s">
        <v>15263</v>
      </c>
      <c r="D3777" s="3" t="s">
        <v>15264</v>
      </c>
      <c r="E3777" s="3" t="s">
        <v>15265</v>
      </c>
      <c r="F3777" s="3" t="s">
        <v>19</v>
      </c>
      <c r="G3777" s="3" t="s">
        <v>2428</v>
      </c>
      <c r="H3777" s="3">
        <v>10.0</v>
      </c>
      <c r="I3777" s="3" t="s">
        <v>15262</v>
      </c>
      <c r="J3777" s="3" t="s">
        <v>22</v>
      </c>
      <c r="K3777" s="3" t="s">
        <v>473</v>
      </c>
      <c r="L3777" s="3" t="s">
        <v>473</v>
      </c>
      <c r="M3777" s="3" t="s">
        <v>1538</v>
      </c>
      <c r="N3777" s="3" t="s">
        <v>1539</v>
      </c>
      <c r="O3777" s="5">
        <v>15.197249</v>
      </c>
      <c r="P3777" s="6" t="str">
        <f t="shared" si="2"/>
        <v>IT - Services</v>
      </c>
    </row>
    <row r="3778">
      <c r="A3778" s="3" t="s">
        <v>4830</v>
      </c>
      <c r="B3778" s="4">
        <v>543227.0</v>
      </c>
      <c r="C3778" s="3" t="s">
        <v>15266</v>
      </c>
      <c r="D3778" s="3" t="s">
        <v>15267</v>
      </c>
      <c r="E3778" s="3" t="s">
        <v>15268</v>
      </c>
      <c r="F3778" s="3" t="s">
        <v>19</v>
      </c>
      <c r="G3778" s="3" t="s">
        <v>20</v>
      </c>
      <c r="H3778" s="3">
        <v>2.0</v>
      </c>
      <c r="I3778" s="3" t="s">
        <v>14741</v>
      </c>
      <c r="J3778" s="3" t="s">
        <v>22</v>
      </c>
      <c r="K3778" s="3" t="s">
        <v>473</v>
      </c>
      <c r="L3778" s="3" t="s">
        <v>473</v>
      </c>
      <c r="M3778" s="3" t="s">
        <v>1391</v>
      </c>
      <c r="N3778" s="3" t="s">
        <v>1840</v>
      </c>
      <c r="O3778" s="5">
        <v>12120.99166</v>
      </c>
      <c r="P3778" s="6" t="str">
        <f t="shared" si="2"/>
        <v>Computers - Software &amp; Consulting</v>
      </c>
    </row>
    <row r="3779" hidden="1">
      <c r="A3779" s="3" t="s">
        <v>15269</v>
      </c>
      <c r="B3779" s="4">
        <v>538563.0</v>
      </c>
      <c r="C3779" s="3" t="s">
        <v>15270</v>
      </c>
      <c r="D3779" s="3" t="s">
        <v>15271</v>
      </c>
      <c r="E3779" s="3" t="s">
        <v>15272</v>
      </c>
      <c r="F3779" s="3" t="s">
        <v>19</v>
      </c>
      <c r="G3779" s="3" t="s">
        <v>72</v>
      </c>
      <c r="H3779" s="3">
        <v>10.0</v>
      </c>
      <c r="I3779" s="3" t="s">
        <v>11995</v>
      </c>
      <c r="J3779" s="3" t="s">
        <v>22</v>
      </c>
      <c r="K3779" s="3" t="s">
        <v>1673</v>
      </c>
      <c r="L3779" s="3" t="s">
        <v>1673</v>
      </c>
      <c r="M3779" s="3" t="s">
        <v>1674</v>
      </c>
      <c r="N3779" s="3" t="s">
        <v>1915</v>
      </c>
      <c r="O3779" s="5">
        <v>1.0</v>
      </c>
      <c r="P3779" s="6" t="str">
        <f t="shared" si="2"/>
        <v>Commercial Services &amp; Supplies</v>
      </c>
    </row>
    <row r="3780">
      <c r="A3780" s="3" t="s">
        <v>15273</v>
      </c>
      <c r="B3780" s="4">
        <v>543398.0</v>
      </c>
      <c r="C3780" s="3" t="s">
        <v>15274</v>
      </c>
      <c r="D3780" s="3" t="s">
        <v>15275</v>
      </c>
      <c r="E3780" s="3" t="s">
        <v>15276</v>
      </c>
      <c r="F3780" s="3" t="s">
        <v>19</v>
      </c>
      <c r="G3780" s="3" t="s">
        <v>86</v>
      </c>
      <c r="H3780" s="3">
        <v>1.0</v>
      </c>
      <c r="I3780" s="3" t="s">
        <v>15140</v>
      </c>
      <c r="J3780" s="3" t="s">
        <v>22</v>
      </c>
      <c r="K3780" s="3" t="s">
        <v>473</v>
      </c>
      <c r="L3780" s="3" t="s">
        <v>473</v>
      </c>
      <c r="M3780" s="3" t="s">
        <v>1391</v>
      </c>
      <c r="N3780" s="3" t="s">
        <v>1840</v>
      </c>
      <c r="O3780" s="5">
        <v>10311.41163</v>
      </c>
      <c r="P3780" s="6" t="str">
        <f t="shared" si="2"/>
        <v>Computers - Software &amp; Consulting</v>
      </c>
    </row>
    <row r="3781" hidden="1">
      <c r="A3781" s="3" t="s">
        <v>15277</v>
      </c>
      <c r="B3781" s="4">
        <v>543497.0</v>
      </c>
      <c r="C3781" s="3" t="s">
        <v>15278</v>
      </c>
      <c r="D3781" s="3" t="s">
        <v>15279</v>
      </c>
      <c r="E3781" s="3" t="s">
        <v>15280</v>
      </c>
      <c r="F3781" s="3" t="s">
        <v>19</v>
      </c>
      <c r="G3781" s="3" t="s">
        <v>2428</v>
      </c>
      <c r="H3781" s="3">
        <v>10.0</v>
      </c>
      <c r="I3781" s="3" t="s">
        <v>15277</v>
      </c>
      <c r="J3781" s="3" t="s">
        <v>22</v>
      </c>
      <c r="K3781" s="3" t="s">
        <v>23</v>
      </c>
      <c r="L3781" s="3" t="s">
        <v>24</v>
      </c>
      <c r="M3781" s="3" t="s">
        <v>25</v>
      </c>
      <c r="N3781" s="3" t="s">
        <v>26</v>
      </c>
      <c r="O3781" s="5">
        <v>58.722</v>
      </c>
      <c r="P3781" s="6" t="str">
        <f t="shared" si="2"/>
        <v>Specialty Chemicals</v>
      </c>
    </row>
    <row r="3782">
      <c r="A3782" s="3" t="s">
        <v>4906</v>
      </c>
      <c r="B3782" s="4">
        <v>543417.0</v>
      </c>
      <c r="C3782" s="3" t="s">
        <v>15281</v>
      </c>
      <c r="D3782" s="3" t="s">
        <v>15282</v>
      </c>
      <c r="E3782" s="3" t="s">
        <v>15283</v>
      </c>
      <c r="F3782" s="3" t="s">
        <v>19</v>
      </c>
      <c r="G3782" s="3" t="s">
        <v>20</v>
      </c>
      <c r="H3782" s="3">
        <v>1.0</v>
      </c>
      <c r="I3782" s="3" t="s">
        <v>15174</v>
      </c>
      <c r="J3782" s="3" t="s">
        <v>22</v>
      </c>
      <c r="K3782" s="3" t="s">
        <v>473</v>
      </c>
      <c r="L3782" s="3" t="s">
        <v>473</v>
      </c>
      <c r="M3782" s="3" t="s">
        <v>1391</v>
      </c>
      <c r="N3782" s="3" t="s">
        <v>1840</v>
      </c>
      <c r="O3782" s="5">
        <v>8864.6154986</v>
      </c>
      <c r="P3782" s="6" t="str">
        <f t="shared" si="2"/>
        <v>Computers - Software &amp; Consulting</v>
      </c>
    </row>
    <row r="3783" hidden="1">
      <c r="A3783" s="3" t="s">
        <v>15284</v>
      </c>
      <c r="B3783" s="4">
        <v>543499.0</v>
      </c>
      <c r="C3783" s="3" t="s">
        <v>15285</v>
      </c>
      <c r="D3783" s="3" t="s">
        <v>15286</v>
      </c>
      <c r="E3783" s="3" t="s">
        <v>15287</v>
      </c>
      <c r="F3783" s="3" t="s">
        <v>19</v>
      </c>
      <c r="G3783" s="3" t="s">
        <v>2428</v>
      </c>
      <c r="H3783" s="3">
        <v>10.0</v>
      </c>
      <c r="I3783" s="3" t="s">
        <v>15284</v>
      </c>
      <c r="J3783" s="3" t="s">
        <v>22</v>
      </c>
      <c r="K3783" s="3" t="s">
        <v>45</v>
      </c>
      <c r="L3783" s="3" t="s">
        <v>45</v>
      </c>
      <c r="M3783" s="3" t="s">
        <v>46</v>
      </c>
      <c r="N3783" s="3" t="s">
        <v>47</v>
      </c>
      <c r="O3783" s="5">
        <v>95.40059</v>
      </c>
      <c r="P3783" s="6" t="str">
        <f t="shared" si="2"/>
        <v>Pharmaceuticals</v>
      </c>
    </row>
    <row r="3784" hidden="1">
      <c r="A3784" s="3" t="s">
        <v>15288</v>
      </c>
      <c r="B3784" s="4">
        <v>538652.0</v>
      </c>
      <c r="C3784" s="3" t="s">
        <v>15289</v>
      </c>
      <c r="D3784" s="3" t="s">
        <v>15290</v>
      </c>
      <c r="E3784" s="3" t="s">
        <v>15291</v>
      </c>
      <c r="F3784" s="3" t="s">
        <v>19</v>
      </c>
      <c r="G3784" s="3" t="s">
        <v>44</v>
      </c>
      <c r="H3784" s="3">
        <v>10.0</v>
      </c>
      <c r="I3784" s="3" t="s">
        <v>12066</v>
      </c>
      <c r="J3784" s="3" t="s">
        <v>22</v>
      </c>
      <c r="K3784" s="3" t="s">
        <v>1673</v>
      </c>
      <c r="L3784" s="3" t="s">
        <v>1673</v>
      </c>
      <c r="M3784" s="3" t="s">
        <v>1674</v>
      </c>
      <c r="N3784" s="3" t="s">
        <v>1915</v>
      </c>
      <c r="O3784" s="5">
        <v>1.0</v>
      </c>
      <c r="P3784" s="6" t="str">
        <f t="shared" si="2"/>
        <v>Commercial Services &amp; Supplies</v>
      </c>
    </row>
    <row r="3785" hidden="1">
      <c r="A3785" s="3" t="s">
        <v>15292</v>
      </c>
      <c r="B3785" s="4">
        <v>543512.0</v>
      </c>
      <c r="C3785" s="3" t="s">
        <v>15293</v>
      </c>
      <c r="D3785" s="3" t="s">
        <v>15294</v>
      </c>
      <c r="E3785" s="3" t="s">
        <v>15295</v>
      </c>
      <c r="F3785" s="3" t="s">
        <v>19</v>
      </c>
      <c r="G3785" s="3" t="s">
        <v>112</v>
      </c>
      <c r="H3785" s="3">
        <v>10.0</v>
      </c>
      <c r="I3785" s="3" t="s">
        <v>15292</v>
      </c>
      <c r="J3785" s="3" t="s">
        <v>22</v>
      </c>
      <c r="K3785" s="3" t="s">
        <v>58</v>
      </c>
      <c r="L3785" s="3" t="s">
        <v>211</v>
      </c>
      <c r="M3785" s="3" t="s">
        <v>211</v>
      </c>
      <c r="N3785" s="3" t="s">
        <v>848</v>
      </c>
      <c r="O3785" s="5">
        <v>118.979754</v>
      </c>
      <c r="P3785" s="6" t="str">
        <f t="shared" si="2"/>
        <v>Consumer Durables</v>
      </c>
    </row>
    <row r="3786" hidden="1">
      <c r="A3786" s="3" t="s">
        <v>3733</v>
      </c>
      <c r="B3786" s="4">
        <v>538667.0</v>
      </c>
      <c r="C3786" s="3" t="s">
        <v>15296</v>
      </c>
      <c r="D3786" s="3" t="s">
        <v>15297</v>
      </c>
      <c r="E3786" s="3" t="s">
        <v>15298</v>
      </c>
      <c r="F3786" s="3" t="s">
        <v>19</v>
      </c>
      <c r="G3786" s="3" t="s">
        <v>2428</v>
      </c>
      <c r="H3786" s="3">
        <v>10.0</v>
      </c>
      <c r="I3786" s="3" t="s">
        <v>12074</v>
      </c>
      <c r="J3786" s="3" t="s">
        <v>22</v>
      </c>
      <c r="K3786" s="3" t="s">
        <v>1673</v>
      </c>
      <c r="L3786" s="3" t="s">
        <v>1673</v>
      </c>
      <c r="M3786" s="3" t="s">
        <v>1674</v>
      </c>
      <c r="N3786" s="3" t="s">
        <v>1915</v>
      </c>
      <c r="O3786" s="5">
        <v>1.0</v>
      </c>
      <c r="P3786" s="6" t="str">
        <f t="shared" si="2"/>
        <v>Commercial Services &amp; Supplies</v>
      </c>
    </row>
    <row r="3787" hidden="1">
      <c r="A3787" s="3" t="s">
        <v>15299</v>
      </c>
      <c r="B3787" s="4">
        <v>543514.0</v>
      </c>
      <c r="C3787" s="3" t="s">
        <v>15300</v>
      </c>
      <c r="D3787" s="3" t="s">
        <v>15301</v>
      </c>
      <c r="E3787" s="3" t="s">
        <v>15302</v>
      </c>
      <c r="F3787" s="3" t="s">
        <v>19</v>
      </c>
      <c r="G3787" s="3" t="s">
        <v>112</v>
      </c>
      <c r="H3787" s="3">
        <v>10.0</v>
      </c>
      <c r="I3787" s="3" t="s">
        <v>15299</v>
      </c>
      <c r="J3787" s="3" t="s">
        <v>22</v>
      </c>
      <c r="K3787" s="3" t="s">
        <v>58</v>
      </c>
      <c r="L3787" s="3" t="s">
        <v>73</v>
      </c>
      <c r="M3787" s="3" t="s">
        <v>800</v>
      </c>
      <c r="N3787" s="3" t="s">
        <v>4711</v>
      </c>
      <c r="O3787" s="5">
        <v>1605.4793462</v>
      </c>
      <c r="P3787" s="6" t="str">
        <f t="shared" si="2"/>
        <v>Other Consumer Services</v>
      </c>
    </row>
    <row r="3788" hidden="1">
      <c r="A3788" s="3" t="s">
        <v>5893</v>
      </c>
      <c r="B3788" s="4">
        <v>538895.0</v>
      </c>
      <c r="C3788" s="3" t="s">
        <v>15303</v>
      </c>
      <c r="D3788" s="3" t="s">
        <v>15304</v>
      </c>
      <c r="E3788" s="3" t="s">
        <v>15305</v>
      </c>
      <c r="F3788" s="3" t="s">
        <v>19</v>
      </c>
      <c r="G3788" s="3" t="s">
        <v>72</v>
      </c>
      <c r="H3788" s="3">
        <v>10.0</v>
      </c>
      <c r="I3788" s="3" t="s">
        <v>12254</v>
      </c>
      <c r="J3788" s="3" t="s">
        <v>22</v>
      </c>
      <c r="K3788" s="3" t="s">
        <v>1673</v>
      </c>
      <c r="L3788" s="3" t="s">
        <v>1673</v>
      </c>
      <c r="M3788" s="3" t="s">
        <v>1674</v>
      </c>
      <c r="N3788" s="3" t="s">
        <v>1915</v>
      </c>
      <c r="O3788" s="5">
        <v>1.0</v>
      </c>
      <c r="P3788" s="6" t="str">
        <f t="shared" si="2"/>
        <v>Commercial Services &amp; Supplies</v>
      </c>
    </row>
    <row r="3789" hidden="1">
      <c r="A3789" s="3" t="s">
        <v>10634</v>
      </c>
      <c r="B3789" s="4">
        <v>538935.0</v>
      </c>
      <c r="C3789" s="3" t="s">
        <v>15306</v>
      </c>
      <c r="D3789" s="3" t="s">
        <v>15307</v>
      </c>
      <c r="E3789" s="3" t="s">
        <v>15308</v>
      </c>
      <c r="F3789" s="3" t="s">
        <v>19</v>
      </c>
      <c r="G3789" s="3" t="s">
        <v>44</v>
      </c>
      <c r="H3789" s="3">
        <v>10.0</v>
      </c>
      <c r="I3789" s="3" t="s">
        <v>12296</v>
      </c>
      <c r="J3789" s="3" t="s">
        <v>22</v>
      </c>
      <c r="K3789" s="3" t="s">
        <v>1673</v>
      </c>
      <c r="L3789" s="3" t="s">
        <v>1673</v>
      </c>
      <c r="M3789" s="3" t="s">
        <v>1674</v>
      </c>
      <c r="N3789" s="3" t="s">
        <v>3189</v>
      </c>
      <c r="O3789" s="5">
        <v>1.0</v>
      </c>
      <c r="P3789" s="6" t="str">
        <f t="shared" si="2"/>
        <v>Commercial Services &amp; Supplies</v>
      </c>
    </row>
    <row r="3790" hidden="1">
      <c r="A3790" s="3" t="s">
        <v>15309</v>
      </c>
      <c r="B3790" s="4">
        <v>543517.0</v>
      </c>
      <c r="C3790" s="3" t="s">
        <v>15310</v>
      </c>
      <c r="D3790" s="3" t="s">
        <v>15311</v>
      </c>
      <c r="E3790" s="3" t="s">
        <v>15312</v>
      </c>
      <c r="F3790" s="3" t="s">
        <v>19</v>
      </c>
      <c r="G3790" s="3" t="s">
        <v>112</v>
      </c>
      <c r="H3790" s="3">
        <v>10.0</v>
      </c>
      <c r="I3790" s="3" t="s">
        <v>15309</v>
      </c>
      <c r="J3790" s="3" t="s">
        <v>22</v>
      </c>
      <c r="K3790" s="3" t="s">
        <v>97</v>
      </c>
      <c r="L3790" s="3" t="s">
        <v>98</v>
      </c>
      <c r="M3790" s="3" t="s">
        <v>100</v>
      </c>
      <c r="N3790" s="3" t="s">
        <v>612</v>
      </c>
      <c r="O3790" s="5">
        <v>1828.5978487</v>
      </c>
      <c r="P3790" s="6" t="str">
        <f t="shared" si="2"/>
        <v>Industrial Products</v>
      </c>
    </row>
    <row r="3791" hidden="1">
      <c r="A3791" s="3" t="s">
        <v>15313</v>
      </c>
      <c r="B3791" s="4">
        <v>543518.0</v>
      </c>
      <c r="C3791" s="3" t="s">
        <v>15314</v>
      </c>
      <c r="D3791" s="3" t="s">
        <v>15315</v>
      </c>
      <c r="E3791" s="3" t="s">
        <v>15316</v>
      </c>
      <c r="F3791" s="3" t="s">
        <v>19</v>
      </c>
      <c r="G3791" s="3" t="s">
        <v>2428</v>
      </c>
      <c r="H3791" s="3">
        <v>10.0</v>
      </c>
      <c r="I3791" s="3" t="s">
        <v>15313</v>
      </c>
      <c r="J3791" s="3" t="s">
        <v>22</v>
      </c>
      <c r="K3791" s="3" t="s">
        <v>58</v>
      </c>
      <c r="L3791" s="3" t="s">
        <v>211</v>
      </c>
      <c r="M3791" s="3" t="s">
        <v>211</v>
      </c>
      <c r="N3791" s="3" t="s">
        <v>947</v>
      </c>
      <c r="O3791" s="5">
        <v>44.9276514</v>
      </c>
      <c r="P3791" s="6" t="str">
        <f t="shared" si="2"/>
        <v>Consumer Durables</v>
      </c>
    </row>
    <row r="3792" hidden="1">
      <c r="A3792" s="3" t="s">
        <v>15317</v>
      </c>
      <c r="B3792" s="4">
        <v>543519.0</v>
      </c>
      <c r="C3792" s="3" t="s">
        <v>15318</v>
      </c>
      <c r="D3792" s="3" t="s">
        <v>15319</v>
      </c>
      <c r="E3792" s="3" t="s">
        <v>15320</v>
      </c>
      <c r="F3792" s="3" t="s">
        <v>19</v>
      </c>
      <c r="G3792" s="3" t="s">
        <v>2428</v>
      </c>
      <c r="H3792" s="3">
        <v>10.0</v>
      </c>
      <c r="I3792" s="3" t="s">
        <v>15317</v>
      </c>
      <c r="J3792" s="3" t="s">
        <v>22</v>
      </c>
      <c r="K3792" s="3" t="s">
        <v>58</v>
      </c>
      <c r="L3792" s="3" t="s">
        <v>211</v>
      </c>
      <c r="M3792" s="3" t="s">
        <v>211</v>
      </c>
      <c r="N3792" s="3" t="s">
        <v>1152</v>
      </c>
      <c r="O3792" s="5">
        <v>1.0</v>
      </c>
      <c r="P3792" s="6" t="str">
        <f t="shared" si="2"/>
        <v>Consumer Durables</v>
      </c>
    </row>
    <row r="3793" hidden="1">
      <c r="A3793" s="3" t="s">
        <v>15321</v>
      </c>
      <c r="B3793" s="4">
        <v>543520.0</v>
      </c>
      <c r="C3793" s="3" t="s">
        <v>15322</v>
      </c>
      <c r="D3793" s="3" t="s">
        <v>15323</v>
      </c>
      <c r="E3793" s="3" t="s">
        <v>15324</v>
      </c>
      <c r="F3793" s="3" t="s">
        <v>19</v>
      </c>
      <c r="G3793" s="3" t="s">
        <v>2428</v>
      </c>
      <c r="H3793" s="3">
        <v>10.0</v>
      </c>
      <c r="I3793" s="3" t="s">
        <v>15321</v>
      </c>
      <c r="J3793" s="3" t="s">
        <v>22</v>
      </c>
      <c r="K3793" s="3" t="s">
        <v>45</v>
      </c>
      <c r="L3793" s="3" t="s">
        <v>45</v>
      </c>
      <c r="M3793" s="3" t="s">
        <v>4488</v>
      </c>
      <c r="N3793" s="3" t="s">
        <v>5801</v>
      </c>
      <c r="O3793" s="5">
        <v>35.49</v>
      </c>
      <c r="P3793" s="6" t="str">
        <f t="shared" si="2"/>
        <v>Healthcare Services</v>
      </c>
    </row>
    <row r="3794" hidden="1">
      <c r="A3794" s="3" t="s">
        <v>15325</v>
      </c>
      <c r="B3794" s="4">
        <v>543521.0</v>
      </c>
      <c r="C3794" s="3" t="s">
        <v>15326</v>
      </c>
      <c r="D3794" s="3" t="s">
        <v>15327</v>
      </c>
      <c r="E3794" s="3" t="s">
        <v>15328</v>
      </c>
      <c r="F3794" s="3" t="s">
        <v>19</v>
      </c>
      <c r="G3794" s="3" t="s">
        <v>2428</v>
      </c>
      <c r="H3794" s="3">
        <v>10.0</v>
      </c>
      <c r="I3794" s="3" t="s">
        <v>15325</v>
      </c>
      <c r="J3794" s="3" t="s">
        <v>22</v>
      </c>
      <c r="K3794" s="3" t="s">
        <v>58</v>
      </c>
      <c r="L3794" s="3" t="s">
        <v>73</v>
      </c>
      <c r="M3794" s="3" t="s">
        <v>988</v>
      </c>
      <c r="N3794" s="3" t="s">
        <v>2246</v>
      </c>
      <c r="O3794" s="5">
        <v>1.0</v>
      </c>
      <c r="P3794" s="6" t="str">
        <f t="shared" si="2"/>
        <v>Retailing</v>
      </c>
    </row>
    <row r="3795" hidden="1">
      <c r="A3795" s="3" t="s">
        <v>15329</v>
      </c>
      <c r="B3795" s="4">
        <v>543522.0</v>
      </c>
      <c r="C3795" s="3" t="s">
        <v>15330</v>
      </c>
      <c r="D3795" s="3" t="s">
        <v>15331</v>
      </c>
      <c r="E3795" s="3" t="s">
        <v>15332</v>
      </c>
      <c r="F3795" s="3" t="s">
        <v>19</v>
      </c>
      <c r="G3795" s="3" t="s">
        <v>2428</v>
      </c>
      <c r="H3795" s="3">
        <v>10.0</v>
      </c>
      <c r="I3795" s="3" t="s">
        <v>15329</v>
      </c>
      <c r="J3795" s="3" t="s">
        <v>22</v>
      </c>
      <c r="K3795" s="3" t="s">
        <v>23</v>
      </c>
      <c r="L3795" s="3" t="s">
        <v>65</v>
      </c>
      <c r="M3795" s="3" t="s">
        <v>66</v>
      </c>
      <c r="N3795" s="3" t="s">
        <v>67</v>
      </c>
      <c r="O3795" s="5">
        <v>23.1865507</v>
      </c>
      <c r="P3795" s="6" t="str">
        <f t="shared" si="2"/>
        <v>Non - Ferrous Metals</v>
      </c>
    </row>
    <row r="3796">
      <c r="A3796" s="3" t="s">
        <v>4946</v>
      </c>
      <c r="B3796" s="4">
        <v>543425.0</v>
      </c>
      <c r="C3796" s="3" t="s">
        <v>15333</v>
      </c>
      <c r="D3796" s="3" t="s">
        <v>15334</v>
      </c>
      <c r="E3796" s="3" t="s">
        <v>15335</v>
      </c>
      <c r="F3796" s="3" t="s">
        <v>19</v>
      </c>
      <c r="G3796" s="3" t="s">
        <v>20</v>
      </c>
      <c r="H3796" s="3">
        <v>2.0</v>
      </c>
      <c r="I3796" s="3" t="s">
        <v>15185</v>
      </c>
      <c r="J3796" s="3" t="s">
        <v>22</v>
      </c>
      <c r="K3796" s="3" t="s">
        <v>473</v>
      </c>
      <c r="L3796" s="3" t="s">
        <v>473</v>
      </c>
      <c r="M3796" s="3" t="s">
        <v>1391</v>
      </c>
      <c r="N3796" s="3" t="s">
        <v>1392</v>
      </c>
      <c r="O3796" s="5">
        <v>12376.9009182</v>
      </c>
      <c r="P3796" s="6" t="str">
        <f t="shared" si="2"/>
        <v>IT - Software</v>
      </c>
    </row>
    <row r="3797">
      <c r="A3797" s="3" t="s">
        <v>12010</v>
      </c>
      <c r="B3797" s="4">
        <v>543533.0</v>
      </c>
      <c r="C3797" s="3" t="s">
        <v>15336</v>
      </c>
      <c r="D3797" s="3" t="s">
        <v>15337</v>
      </c>
      <c r="E3797" s="3" t="s">
        <v>15338</v>
      </c>
      <c r="F3797" s="3" t="s">
        <v>19</v>
      </c>
      <c r="G3797" s="3" t="s">
        <v>112</v>
      </c>
      <c r="H3797" s="3">
        <v>5.0</v>
      </c>
      <c r="I3797" s="3" t="s">
        <v>15339</v>
      </c>
      <c r="J3797" s="3" t="s">
        <v>22</v>
      </c>
      <c r="K3797" s="3" t="s">
        <v>473</v>
      </c>
      <c r="L3797" s="3" t="s">
        <v>473</v>
      </c>
      <c r="M3797" s="3" t="s">
        <v>1538</v>
      </c>
      <c r="N3797" s="3" t="s">
        <v>1539</v>
      </c>
      <c r="O3797" s="5">
        <v>6962.4652478</v>
      </c>
      <c r="P3797" s="6" t="str">
        <f t="shared" si="2"/>
        <v>IT - Services</v>
      </c>
    </row>
    <row r="3798" hidden="1">
      <c r="A3798" s="3" t="s">
        <v>15340</v>
      </c>
      <c r="B3798" s="4">
        <v>543525.0</v>
      </c>
      <c r="C3798" s="3" t="s">
        <v>15341</v>
      </c>
      <c r="D3798" s="3" t="s">
        <v>15342</v>
      </c>
      <c r="E3798" s="3" t="s">
        <v>15343</v>
      </c>
      <c r="F3798" s="3" t="s">
        <v>19</v>
      </c>
      <c r="G3798" s="3" t="s">
        <v>112</v>
      </c>
      <c r="H3798" s="3">
        <v>10.0</v>
      </c>
      <c r="I3798" s="3" t="s">
        <v>15340</v>
      </c>
      <c r="J3798" s="3" t="s">
        <v>22</v>
      </c>
      <c r="K3798" s="3" t="s">
        <v>473</v>
      </c>
      <c r="L3798" s="3" t="s">
        <v>473</v>
      </c>
      <c r="M3798" s="3" t="s">
        <v>1538</v>
      </c>
      <c r="N3798" s="3" t="s">
        <v>1539</v>
      </c>
      <c r="O3798" s="5">
        <v>926.7996259</v>
      </c>
      <c r="P3798" s="6" t="str">
        <f t="shared" si="2"/>
        <v>IT - Services</v>
      </c>
    </row>
    <row r="3799">
      <c r="A3799" s="3" t="s">
        <v>10660</v>
      </c>
      <c r="B3799" s="4">
        <v>543945.0</v>
      </c>
      <c r="C3799" s="3" t="s">
        <v>15344</v>
      </c>
      <c r="D3799" s="3" t="s">
        <v>15345</v>
      </c>
      <c r="E3799" s="3" t="s">
        <v>15346</v>
      </c>
      <c r="F3799" s="3" t="s">
        <v>19</v>
      </c>
      <c r="G3799" s="3" t="s">
        <v>112</v>
      </c>
      <c r="H3799" s="3">
        <v>2.0</v>
      </c>
      <c r="I3799" s="3" t="s">
        <v>15347</v>
      </c>
      <c r="J3799" s="3" t="s">
        <v>22</v>
      </c>
      <c r="K3799" s="3" t="s">
        <v>473</v>
      </c>
      <c r="L3799" s="3" t="s">
        <v>473</v>
      </c>
      <c r="M3799" s="3" t="s">
        <v>474</v>
      </c>
      <c r="N3799" s="3" t="s">
        <v>475</v>
      </c>
      <c r="O3799" s="5">
        <v>14570.5875342</v>
      </c>
      <c r="P3799" s="6" t="str">
        <f t="shared" si="2"/>
        <v>IT - Hardware</v>
      </c>
    </row>
    <row r="3800">
      <c r="A3800" s="3" t="s">
        <v>10683</v>
      </c>
      <c r="B3800" s="4">
        <v>544028.0</v>
      </c>
      <c r="C3800" s="3" t="s">
        <v>15348</v>
      </c>
      <c r="D3800" s="3" t="s">
        <v>15349</v>
      </c>
      <c r="E3800" s="3" t="s">
        <v>15350</v>
      </c>
      <c r="F3800" s="3" t="s">
        <v>19</v>
      </c>
      <c r="G3800" s="3" t="s">
        <v>112</v>
      </c>
      <c r="H3800" s="3">
        <v>2.0</v>
      </c>
      <c r="I3800" s="3" t="s">
        <v>15351</v>
      </c>
      <c r="J3800" s="3" t="s">
        <v>22</v>
      </c>
      <c r="K3800" s="3" t="s">
        <v>473</v>
      </c>
      <c r="L3800" s="3" t="s">
        <v>473</v>
      </c>
      <c r="M3800" s="3" t="s">
        <v>1538</v>
      </c>
      <c r="N3800" s="3" t="s">
        <v>1539</v>
      </c>
      <c r="O3800" s="5">
        <v>41236.6992356</v>
      </c>
      <c r="P3800" s="6" t="str">
        <f t="shared" si="2"/>
        <v>IT - Services</v>
      </c>
    </row>
    <row r="3801" hidden="1">
      <c r="A3801" s="3" t="s">
        <v>15352</v>
      </c>
      <c r="B3801" s="4">
        <v>543528.0</v>
      </c>
      <c r="C3801" s="3" t="s">
        <v>15353</v>
      </c>
      <c r="D3801" s="3" t="s">
        <v>15354</v>
      </c>
      <c r="E3801" s="3" t="s">
        <v>15355</v>
      </c>
      <c r="F3801" s="3" t="s">
        <v>19</v>
      </c>
      <c r="G3801" s="3" t="s">
        <v>20</v>
      </c>
      <c r="H3801" s="3">
        <v>10.0</v>
      </c>
      <c r="I3801" s="3" t="s">
        <v>15352</v>
      </c>
      <c r="J3801" s="3" t="s">
        <v>22</v>
      </c>
      <c r="K3801" s="3" t="s">
        <v>97</v>
      </c>
      <c r="L3801" s="3" t="s">
        <v>98</v>
      </c>
      <c r="M3801" s="3" t="s">
        <v>100</v>
      </c>
      <c r="N3801" s="3" t="s">
        <v>612</v>
      </c>
      <c r="O3801" s="5">
        <v>4111.99497</v>
      </c>
      <c r="P3801" s="6" t="str">
        <f t="shared" si="2"/>
        <v>Industrial Products</v>
      </c>
    </row>
    <row r="3802" hidden="1">
      <c r="A3802" s="3" t="s">
        <v>15356</v>
      </c>
      <c r="B3802" s="4">
        <v>539005.0</v>
      </c>
      <c r="C3802" s="3" t="s">
        <v>15357</v>
      </c>
      <c r="D3802" s="3" t="s">
        <v>15358</v>
      </c>
      <c r="E3802" s="3" t="s">
        <v>15359</v>
      </c>
      <c r="F3802" s="3" t="s">
        <v>19</v>
      </c>
      <c r="G3802" s="3" t="s">
        <v>44</v>
      </c>
      <c r="H3802" s="3">
        <v>10.0</v>
      </c>
      <c r="I3802" s="3" t="s">
        <v>12347</v>
      </c>
      <c r="J3802" s="3" t="s">
        <v>22</v>
      </c>
      <c r="K3802" s="3" t="s">
        <v>1673</v>
      </c>
      <c r="L3802" s="3" t="s">
        <v>1673</v>
      </c>
      <c r="M3802" s="3" t="s">
        <v>1674</v>
      </c>
      <c r="N3802" s="3" t="s">
        <v>1675</v>
      </c>
      <c r="O3802" s="5">
        <v>1.0</v>
      </c>
      <c r="P3802" s="6" t="str">
        <f t="shared" si="2"/>
        <v>Commercial Services &amp; Supplies</v>
      </c>
    </row>
    <row r="3803">
      <c r="A3803" s="3" t="s">
        <v>853</v>
      </c>
      <c r="B3803" s="4">
        <v>532921.0</v>
      </c>
      <c r="C3803" s="3" t="s">
        <v>15360</v>
      </c>
      <c r="D3803" s="3" t="s">
        <v>15361</v>
      </c>
      <c r="E3803" s="3" t="s">
        <v>15362</v>
      </c>
      <c r="F3803" s="3" t="s">
        <v>19</v>
      </c>
      <c r="G3803" s="3" t="s">
        <v>20</v>
      </c>
      <c r="H3803" s="3">
        <v>2.0</v>
      </c>
      <c r="I3803" s="3" t="s">
        <v>10764</v>
      </c>
      <c r="J3803" s="3" t="s">
        <v>22</v>
      </c>
      <c r="K3803" s="3" t="s">
        <v>1673</v>
      </c>
      <c r="L3803" s="3" t="s">
        <v>1673</v>
      </c>
      <c r="M3803" s="3" t="s">
        <v>1879</v>
      </c>
      <c r="N3803" s="3" t="s">
        <v>2912</v>
      </c>
      <c r="O3803" s="5">
        <v>321260.5190333</v>
      </c>
      <c r="P3803" s="6" t="str">
        <f t="shared" si="2"/>
        <v>Transport Infrastructure</v>
      </c>
    </row>
    <row r="3804" hidden="1">
      <c r="A3804" s="3" t="s">
        <v>15363</v>
      </c>
      <c r="B3804" s="4">
        <v>543531.0</v>
      </c>
      <c r="C3804" s="3" t="s">
        <v>15364</v>
      </c>
      <c r="D3804" s="3" t="s">
        <v>15365</v>
      </c>
      <c r="E3804" s="3" t="s">
        <v>15366</v>
      </c>
      <c r="F3804" s="3" t="s">
        <v>19</v>
      </c>
      <c r="G3804" s="3" t="s">
        <v>44</v>
      </c>
      <c r="H3804" s="3">
        <v>10.0</v>
      </c>
      <c r="I3804" s="3" t="s">
        <v>15363</v>
      </c>
      <c r="J3804" s="3" t="s">
        <v>22</v>
      </c>
      <c r="K3804" s="3" t="s">
        <v>145</v>
      </c>
      <c r="L3804" s="3" t="s">
        <v>145</v>
      </c>
      <c r="M3804" s="3" t="s">
        <v>146</v>
      </c>
      <c r="N3804" s="3" t="s">
        <v>2645</v>
      </c>
      <c r="O3804" s="5">
        <v>372.085375</v>
      </c>
      <c r="P3804" s="6" t="str">
        <f t="shared" si="2"/>
        <v>Agricultural Food &amp; other Products</v>
      </c>
    </row>
    <row r="3805">
      <c r="A3805" s="3" t="s">
        <v>4994</v>
      </c>
      <c r="B3805" s="4">
        <v>539448.0</v>
      </c>
      <c r="C3805" s="3" t="s">
        <v>15367</v>
      </c>
      <c r="D3805" s="3" t="s">
        <v>15368</v>
      </c>
      <c r="E3805" s="3" t="s">
        <v>15369</v>
      </c>
      <c r="F3805" s="3" t="s">
        <v>19</v>
      </c>
      <c r="G3805" s="3" t="s">
        <v>20</v>
      </c>
      <c r="H3805" s="3">
        <v>10.0</v>
      </c>
      <c r="I3805" s="3" t="s">
        <v>12836</v>
      </c>
      <c r="J3805" s="3" t="s">
        <v>22</v>
      </c>
      <c r="K3805" s="3" t="s">
        <v>1673</v>
      </c>
      <c r="L3805" s="3" t="s">
        <v>1673</v>
      </c>
      <c r="M3805" s="3" t="s">
        <v>1689</v>
      </c>
      <c r="N3805" s="3" t="s">
        <v>1695</v>
      </c>
      <c r="O3805" s="5">
        <v>164402.0945175</v>
      </c>
      <c r="P3805" s="6" t="str">
        <f t="shared" si="2"/>
        <v>Transport Services</v>
      </c>
    </row>
    <row r="3806">
      <c r="A3806" s="3" t="s">
        <v>15339</v>
      </c>
      <c r="B3806" s="4">
        <v>543994.0</v>
      </c>
      <c r="C3806" s="3" t="s">
        <v>15370</v>
      </c>
      <c r="D3806" s="3" t="s">
        <v>15371</v>
      </c>
      <c r="E3806" s="3" t="s">
        <v>15372</v>
      </c>
      <c r="F3806" s="3" t="s">
        <v>19</v>
      </c>
      <c r="G3806" s="3" t="s">
        <v>112</v>
      </c>
      <c r="H3806" s="3">
        <v>2.0</v>
      </c>
      <c r="I3806" s="3" t="s">
        <v>15373</v>
      </c>
      <c r="J3806" s="3" t="s">
        <v>22</v>
      </c>
      <c r="K3806" s="3" t="s">
        <v>1673</v>
      </c>
      <c r="L3806" s="3" t="s">
        <v>1673</v>
      </c>
      <c r="M3806" s="3" t="s">
        <v>1879</v>
      </c>
      <c r="N3806" s="3" t="s">
        <v>2912</v>
      </c>
      <c r="O3806" s="5">
        <v>66637.2210692</v>
      </c>
      <c r="P3806" s="6" t="str">
        <f t="shared" si="2"/>
        <v>Transport Infrastructure</v>
      </c>
    </row>
    <row r="3807">
      <c r="A3807" s="3" t="s">
        <v>857</v>
      </c>
      <c r="B3807" s="4">
        <v>531344.0</v>
      </c>
      <c r="C3807" s="3" t="s">
        <v>15374</v>
      </c>
      <c r="D3807" s="3" t="s">
        <v>15375</v>
      </c>
      <c r="E3807" s="3" t="s">
        <v>15376</v>
      </c>
      <c r="F3807" s="3" t="s">
        <v>19</v>
      </c>
      <c r="G3807" s="3" t="s">
        <v>20</v>
      </c>
      <c r="H3807" s="3">
        <v>5.0</v>
      </c>
      <c r="I3807" s="3" t="s">
        <v>8446</v>
      </c>
      <c r="J3807" s="3" t="s">
        <v>22</v>
      </c>
      <c r="K3807" s="3" t="s">
        <v>1673</v>
      </c>
      <c r="L3807" s="3" t="s">
        <v>1673</v>
      </c>
      <c r="M3807" s="3" t="s">
        <v>1689</v>
      </c>
      <c r="N3807" s="3" t="s">
        <v>1690</v>
      </c>
      <c r="O3807" s="5">
        <v>62434.2638599</v>
      </c>
      <c r="P3807" s="6" t="str">
        <f t="shared" si="2"/>
        <v>Transport Services</v>
      </c>
    </row>
    <row r="3808" hidden="1">
      <c r="A3808" s="3" t="s">
        <v>5588</v>
      </c>
      <c r="B3808" s="4">
        <v>539032.0</v>
      </c>
      <c r="C3808" s="3" t="s">
        <v>15377</v>
      </c>
      <c r="D3808" s="3" t="s">
        <v>15378</v>
      </c>
      <c r="E3808" s="3" t="s">
        <v>15379</v>
      </c>
      <c r="F3808" s="3" t="s">
        <v>19</v>
      </c>
      <c r="G3808" s="3" t="s">
        <v>44</v>
      </c>
      <c r="H3808" s="3">
        <v>10.0</v>
      </c>
      <c r="I3808" s="3" t="s">
        <v>12383</v>
      </c>
      <c r="J3808" s="3" t="s">
        <v>22</v>
      </c>
      <c r="K3808" s="3" t="s">
        <v>1673</v>
      </c>
      <c r="L3808" s="3" t="s">
        <v>1673</v>
      </c>
      <c r="M3808" s="3" t="s">
        <v>1674</v>
      </c>
      <c r="N3808" s="3" t="s">
        <v>1915</v>
      </c>
      <c r="O3808" s="5">
        <v>1.0</v>
      </c>
      <c r="P3808" s="6" t="str">
        <f t="shared" si="2"/>
        <v>Commercial Services &amp; Supplies</v>
      </c>
    </row>
    <row r="3809" hidden="1">
      <c r="A3809" s="3" t="s">
        <v>15380</v>
      </c>
      <c r="B3809" s="4">
        <v>543536.0</v>
      </c>
      <c r="C3809" s="3" t="s">
        <v>15381</v>
      </c>
      <c r="D3809" s="3" t="s">
        <v>15382</v>
      </c>
      <c r="E3809" s="3" t="s">
        <v>15383</v>
      </c>
      <c r="F3809" s="3" t="s">
        <v>19</v>
      </c>
      <c r="G3809" s="3" t="s">
        <v>2428</v>
      </c>
      <c r="H3809" s="3">
        <v>10.0</v>
      </c>
      <c r="I3809" s="3" t="s">
        <v>15380</v>
      </c>
      <c r="J3809" s="3" t="s">
        <v>22</v>
      </c>
      <c r="K3809" s="3" t="s">
        <v>58</v>
      </c>
      <c r="L3809" s="3" t="s">
        <v>73</v>
      </c>
      <c r="M3809" s="3" t="s">
        <v>74</v>
      </c>
      <c r="N3809" s="3" t="s">
        <v>75</v>
      </c>
      <c r="O3809" s="5">
        <v>1.0</v>
      </c>
      <c r="P3809" s="6" t="str">
        <f t="shared" si="2"/>
        <v>Leisure Services</v>
      </c>
    </row>
    <row r="3810" hidden="1">
      <c r="A3810" s="3" t="s">
        <v>15384</v>
      </c>
      <c r="B3810" s="4">
        <v>543537.0</v>
      </c>
      <c r="C3810" s="3" t="s">
        <v>15385</v>
      </c>
      <c r="D3810" s="3" t="s">
        <v>15386</v>
      </c>
      <c r="E3810" s="3" t="s">
        <v>15387</v>
      </c>
      <c r="F3810" s="3" t="s">
        <v>19</v>
      </c>
      <c r="G3810" s="3" t="s">
        <v>6293</v>
      </c>
      <c r="H3810" s="3">
        <v>10.0</v>
      </c>
      <c r="I3810" s="3" t="s">
        <v>15384</v>
      </c>
      <c r="J3810" s="3" t="s">
        <v>22</v>
      </c>
      <c r="K3810" s="3" t="s">
        <v>58</v>
      </c>
      <c r="L3810" s="3" t="s">
        <v>80</v>
      </c>
      <c r="M3810" s="3" t="s">
        <v>81</v>
      </c>
      <c r="N3810" s="3" t="s">
        <v>82</v>
      </c>
      <c r="O3810" s="5">
        <v>35.6912</v>
      </c>
      <c r="P3810" s="6" t="str">
        <f t="shared" si="2"/>
        <v>Textiles &amp; Apparels</v>
      </c>
    </row>
    <row r="3811" hidden="1">
      <c r="A3811" s="3" t="s">
        <v>15388</v>
      </c>
      <c r="B3811" s="4">
        <v>543538.0</v>
      </c>
      <c r="C3811" s="3" t="s">
        <v>15389</v>
      </c>
      <c r="D3811" s="3" t="s">
        <v>15390</v>
      </c>
      <c r="E3811" s="3" t="s">
        <v>15391</v>
      </c>
      <c r="F3811" s="3" t="s">
        <v>19</v>
      </c>
      <c r="G3811" s="3" t="s">
        <v>2428</v>
      </c>
      <c r="H3811" s="3">
        <v>10.0</v>
      </c>
      <c r="I3811" s="3" t="s">
        <v>15388</v>
      </c>
      <c r="J3811" s="3" t="s">
        <v>22</v>
      </c>
      <c r="K3811" s="3" t="s">
        <v>58</v>
      </c>
      <c r="L3811" s="3" t="s">
        <v>73</v>
      </c>
      <c r="M3811" s="3" t="s">
        <v>74</v>
      </c>
      <c r="N3811" s="3" t="s">
        <v>75</v>
      </c>
      <c r="O3811" s="5">
        <v>67.138056</v>
      </c>
      <c r="P3811" s="6" t="str">
        <f t="shared" si="2"/>
        <v>Leisure Services</v>
      </c>
    </row>
    <row r="3812" hidden="1">
      <c r="A3812" s="3" t="s">
        <v>15392</v>
      </c>
      <c r="B3812" s="4">
        <v>543539.0</v>
      </c>
      <c r="C3812" s="3" t="s">
        <v>15393</v>
      </c>
      <c r="D3812" s="3" t="s">
        <v>15394</v>
      </c>
      <c r="E3812" s="3" t="s">
        <v>15395</v>
      </c>
      <c r="F3812" s="3" t="s">
        <v>19</v>
      </c>
      <c r="G3812" s="3" t="s">
        <v>2428</v>
      </c>
      <c r="H3812" s="3">
        <v>10.0</v>
      </c>
      <c r="I3812" s="3" t="s">
        <v>15392</v>
      </c>
      <c r="J3812" s="3" t="s">
        <v>22</v>
      </c>
      <c r="K3812" s="3" t="s">
        <v>58</v>
      </c>
      <c r="L3812" s="3" t="s">
        <v>59</v>
      </c>
      <c r="M3812" s="3" t="s">
        <v>59</v>
      </c>
      <c r="N3812" s="3" t="s">
        <v>60</v>
      </c>
      <c r="O3812" s="5">
        <v>486.75912</v>
      </c>
      <c r="P3812" s="6" t="str">
        <f t="shared" si="2"/>
        <v>Residential, Commercial Projects</v>
      </c>
    </row>
    <row r="3813" hidden="1">
      <c r="A3813" s="3" t="s">
        <v>15396</v>
      </c>
      <c r="B3813" s="4">
        <v>543540.0</v>
      </c>
      <c r="C3813" s="3" t="s">
        <v>15397</v>
      </c>
      <c r="D3813" s="3" t="s">
        <v>15398</v>
      </c>
      <c r="E3813" s="3" t="s">
        <v>15399</v>
      </c>
      <c r="F3813" s="3" t="s">
        <v>19</v>
      </c>
      <c r="G3813" s="3" t="s">
        <v>2428</v>
      </c>
      <c r="H3813" s="3">
        <v>10.0</v>
      </c>
      <c r="I3813" s="3" t="s">
        <v>15396</v>
      </c>
      <c r="J3813" s="3" t="s">
        <v>22</v>
      </c>
      <c r="K3813" s="3" t="s">
        <v>145</v>
      </c>
      <c r="L3813" s="3" t="s">
        <v>145</v>
      </c>
      <c r="M3813" s="3" t="s">
        <v>146</v>
      </c>
      <c r="N3813" s="3" t="s">
        <v>2645</v>
      </c>
      <c r="O3813" s="5">
        <v>41.74937</v>
      </c>
      <c r="P3813" s="6" t="str">
        <f t="shared" si="2"/>
        <v>Agricultural Food &amp; other Products</v>
      </c>
    </row>
    <row r="3814" hidden="1">
      <c r="A3814" s="3" t="s">
        <v>15400</v>
      </c>
      <c r="B3814" s="4">
        <v>543541.0</v>
      </c>
      <c r="C3814" s="3" t="s">
        <v>15401</v>
      </c>
      <c r="D3814" s="3" t="s">
        <v>15402</v>
      </c>
      <c r="E3814" s="3" t="s">
        <v>15403</v>
      </c>
      <c r="F3814" s="3" t="s">
        <v>19</v>
      </c>
      <c r="G3814" s="3" t="s">
        <v>2428</v>
      </c>
      <c r="H3814" s="3">
        <v>10.0</v>
      </c>
      <c r="I3814" s="3" t="s">
        <v>15400</v>
      </c>
      <c r="J3814" s="3" t="s">
        <v>22</v>
      </c>
      <c r="K3814" s="3" t="s">
        <v>58</v>
      </c>
      <c r="L3814" s="3" t="s">
        <v>73</v>
      </c>
      <c r="M3814" s="3" t="s">
        <v>74</v>
      </c>
      <c r="N3814" s="3" t="s">
        <v>565</v>
      </c>
      <c r="O3814" s="5">
        <v>11.61888</v>
      </c>
      <c r="P3814" s="6" t="str">
        <f t="shared" si="2"/>
        <v>Leisure Services</v>
      </c>
    </row>
    <row r="3815" hidden="1">
      <c r="A3815" s="3" t="s">
        <v>15404</v>
      </c>
      <c r="B3815" s="4">
        <v>543542.0</v>
      </c>
      <c r="C3815" s="3" t="s">
        <v>15405</v>
      </c>
      <c r="D3815" s="3" t="s">
        <v>15406</v>
      </c>
      <c r="E3815" s="3" t="s">
        <v>15407</v>
      </c>
      <c r="F3815" s="3" t="s">
        <v>19</v>
      </c>
      <c r="G3815" s="3" t="s">
        <v>2428</v>
      </c>
      <c r="H3815" s="3">
        <v>10.0</v>
      </c>
      <c r="I3815" s="3" t="s">
        <v>15404</v>
      </c>
      <c r="J3815" s="3" t="s">
        <v>22</v>
      </c>
      <c r="K3815" s="3" t="s">
        <v>58</v>
      </c>
      <c r="L3815" s="3" t="s">
        <v>59</v>
      </c>
      <c r="M3815" s="3" t="s">
        <v>59</v>
      </c>
      <c r="N3815" s="3" t="s">
        <v>60</v>
      </c>
      <c r="O3815" s="5">
        <v>2082.223092</v>
      </c>
      <c r="P3815" s="6" t="str">
        <f t="shared" si="2"/>
        <v>Residential, Commercial Projects</v>
      </c>
    </row>
    <row r="3816" hidden="1">
      <c r="A3816" s="3" t="s">
        <v>15408</v>
      </c>
      <c r="B3816" s="4">
        <v>543543.0</v>
      </c>
      <c r="C3816" s="3" t="s">
        <v>15409</v>
      </c>
      <c r="D3816" s="3" t="s">
        <v>15410</v>
      </c>
      <c r="E3816" s="3" t="s">
        <v>15411</v>
      </c>
      <c r="F3816" s="3" t="s">
        <v>19</v>
      </c>
      <c r="G3816" s="3" t="s">
        <v>2428</v>
      </c>
      <c r="H3816" s="3">
        <v>10.0</v>
      </c>
      <c r="I3816" s="3" t="s">
        <v>15408</v>
      </c>
      <c r="J3816" s="3" t="s">
        <v>22</v>
      </c>
      <c r="K3816" s="3" t="s">
        <v>58</v>
      </c>
      <c r="L3816" s="3" t="s">
        <v>59</v>
      </c>
      <c r="M3816" s="3" t="s">
        <v>59</v>
      </c>
      <c r="N3816" s="3" t="s">
        <v>60</v>
      </c>
      <c r="O3816" s="5">
        <v>150.2156</v>
      </c>
      <c r="P3816" s="6" t="str">
        <f t="shared" si="2"/>
        <v>Residential, Commercial Projects</v>
      </c>
    </row>
    <row r="3817" hidden="1">
      <c r="A3817" s="3" t="s">
        <v>15412</v>
      </c>
      <c r="B3817" s="4">
        <v>543544.0</v>
      </c>
      <c r="C3817" s="3" t="s">
        <v>15413</v>
      </c>
      <c r="D3817" s="3" t="s">
        <v>15414</v>
      </c>
      <c r="E3817" s="3" t="s">
        <v>15415</v>
      </c>
      <c r="F3817" s="3" t="s">
        <v>19</v>
      </c>
      <c r="G3817" s="3" t="s">
        <v>2428</v>
      </c>
      <c r="H3817" s="3">
        <v>10.0</v>
      </c>
      <c r="I3817" s="3" t="s">
        <v>15412</v>
      </c>
      <c r="J3817" s="3" t="s">
        <v>22</v>
      </c>
      <c r="K3817" s="3" t="s">
        <v>97</v>
      </c>
      <c r="L3817" s="3" t="s">
        <v>965</v>
      </c>
      <c r="M3817" s="3" t="s">
        <v>965</v>
      </c>
      <c r="N3817" s="3" t="s">
        <v>966</v>
      </c>
      <c r="O3817" s="5">
        <v>169.993794</v>
      </c>
      <c r="P3817" s="6" t="str">
        <f t="shared" si="2"/>
        <v>Civil Construction</v>
      </c>
    </row>
    <row r="3818" hidden="1">
      <c r="A3818" s="3" t="s">
        <v>15416</v>
      </c>
      <c r="B3818" s="4">
        <v>543545.0</v>
      </c>
      <c r="C3818" s="3" t="s">
        <v>15417</v>
      </c>
      <c r="D3818" s="3" t="s">
        <v>15418</v>
      </c>
      <c r="E3818" s="3" t="s">
        <v>15419</v>
      </c>
      <c r="F3818" s="3" t="s">
        <v>19</v>
      </c>
      <c r="G3818" s="3" t="s">
        <v>6293</v>
      </c>
      <c r="H3818" s="3">
        <v>1.0</v>
      </c>
      <c r="I3818" s="3" t="s">
        <v>15416</v>
      </c>
      <c r="J3818" s="3" t="s">
        <v>22</v>
      </c>
      <c r="K3818" s="3" t="s">
        <v>58</v>
      </c>
      <c r="L3818" s="3" t="s">
        <v>211</v>
      </c>
      <c r="M3818" s="3" t="s">
        <v>211</v>
      </c>
      <c r="N3818" s="3" t="s">
        <v>947</v>
      </c>
      <c r="O3818" s="5">
        <v>24.1807662</v>
      </c>
      <c r="P3818" s="6" t="str">
        <f t="shared" si="2"/>
        <v>Consumer Durables</v>
      </c>
    </row>
    <row r="3819" hidden="1">
      <c r="A3819" s="3" t="s">
        <v>15420</v>
      </c>
      <c r="B3819" s="4">
        <v>543546.0</v>
      </c>
      <c r="C3819" s="3" t="s">
        <v>15421</v>
      </c>
      <c r="D3819" s="3" t="s">
        <v>15422</v>
      </c>
      <c r="E3819" s="3" t="s">
        <v>15423</v>
      </c>
      <c r="F3819" s="3" t="s">
        <v>19</v>
      </c>
      <c r="G3819" s="3" t="s">
        <v>2428</v>
      </c>
      <c r="H3819" s="3">
        <v>10.0</v>
      </c>
      <c r="I3819" s="3" t="s">
        <v>15420</v>
      </c>
      <c r="J3819" s="3" t="s">
        <v>22</v>
      </c>
      <c r="K3819" s="3" t="s">
        <v>145</v>
      </c>
      <c r="L3819" s="3" t="s">
        <v>145</v>
      </c>
      <c r="M3819" s="3" t="s">
        <v>597</v>
      </c>
      <c r="N3819" s="3" t="s">
        <v>598</v>
      </c>
      <c r="O3819" s="5">
        <v>1.0</v>
      </c>
      <c r="P3819" s="6" t="str">
        <f t="shared" si="2"/>
        <v>Food Products</v>
      </c>
    </row>
    <row r="3820" hidden="1">
      <c r="A3820" s="3" t="s">
        <v>15424</v>
      </c>
      <c r="B3820" s="4">
        <v>543547.0</v>
      </c>
      <c r="C3820" s="3" t="s">
        <v>15425</v>
      </c>
      <c r="D3820" s="3" t="s">
        <v>15426</v>
      </c>
      <c r="E3820" s="3" t="s">
        <v>15427</v>
      </c>
      <c r="F3820" s="3" t="s">
        <v>19</v>
      </c>
      <c r="G3820" s="3" t="s">
        <v>112</v>
      </c>
      <c r="H3820" s="3">
        <v>1.0</v>
      </c>
      <c r="I3820" s="3" t="s">
        <v>15424</v>
      </c>
      <c r="J3820" s="3" t="s">
        <v>22</v>
      </c>
      <c r="K3820" s="3" t="s">
        <v>23</v>
      </c>
      <c r="L3820" s="3" t="s">
        <v>24</v>
      </c>
      <c r="M3820" s="3" t="s">
        <v>25</v>
      </c>
      <c r="N3820" s="3" t="s">
        <v>26</v>
      </c>
      <c r="O3820" s="5">
        <v>4001.2662985</v>
      </c>
      <c r="P3820" s="6" t="str">
        <f t="shared" si="2"/>
        <v>Specialty Chemicals</v>
      </c>
    </row>
    <row r="3821">
      <c r="A3821" s="3" t="s">
        <v>14942</v>
      </c>
      <c r="B3821" s="4">
        <v>532754.0</v>
      </c>
      <c r="C3821" s="3" t="s">
        <v>15428</v>
      </c>
      <c r="D3821" s="3" t="s">
        <v>15429</v>
      </c>
      <c r="E3821" s="3" t="s">
        <v>15430</v>
      </c>
      <c r="F3821" s="3" t="s">
        <v>19</v>
      </c>
      <c r="G3821" s="3" t="s">
        <v>20</v>
      </c>
      <c r="H3821" s="3">
        <v>1.0</v>
      </c>
      <c r="I3821" s="3" t="s">
        <v>10354</v>
      </c>
      <c r="J3821" s="3" t="s">
        <v>22</v>
      </c>
      <c r="K3821" s="3" t="s">
        <v>1673</v>
      </c>
      <c r="L3821" s="3" t="s">
        <v>1673</v>
      </c>
      <c r="M3821" s="3" t="s">
        <v>1879</v>
      </c>
      <c r="N3821" s="3" t="s">
        <v>2074</v>
      </c>
      <c r="O3821" s="5">
        <v>57447.2117363</v>
      </c>
      <c r="P3821" s="6" t="str">
        <f t="shared" si="2"/>
        <v>Transport Infrastructure</v>
      </c>
    </row>
    <row r="3822" hidden="1">
      <c r="A3822" s="3" t="s">
        <v>15431</v>
      </c>
      <c r="B3822" s="4">
        <v>543578.0</v>
      </c>
      <c r="C3822" s="3" t="s">
        <v>15432</v>
      </c>
      <c r="D3822" s="3" t="s">
        <v>15433</v>
      </c>
      <c r="E3822" s="3" t="s">
        <v>15434</v>
      </c>
      <c r="F3822" s="3" t="s">
        <v>19</v>
      </c>
      <c r="G3822" s="3" t="s">
        <v>2428</v>
      </c>
      <c r="H3822" s="3">
        <v>10.0</v>
      </c>
      <c r="I3822" s="3" t="s">
        <v>15431</v>
      </c>
      <c r="J3822" s="3" t="s">
        <v>22</v>
      </c>
      <c r="K3822" s="3" t="s">
        <v>473</v>
      </c>
      <c r="L3822" s="3" t="s">
        <v>473</v>
      </c>
      <c r="M3822" s="3" t="s">
        <v>1391</v>
      </c>
      <c r="N3822" s="3" t="s">
        <v>1392</v>
      </c>
      <c r="O3822" s="5">
        <v>64.899059</v>
      </c>
      <c r="P3822" s="6" t="str">
        <f t="shared" si="2"/>
        <v>IT - Software</v>
      </c>
    </row>
    <row r="3823" hidden="1">
      <c r="A3823" s="3" t="s">
        <v>15435</v>
      </c>
      <c r="B3823" s="4">
        <v>543579.0</v>
      </c>
      <c r="C3823" s="3" t="s">
        <v>15436</v>
      </c>
      <c r="D3823" s="3" t="s">
        <v>15437</v>
      </c>
      <c r="E3823" s="3" t="s">
        <v>15438</v>
      </c>
      <c r="F3823" s="3" t="s">
        <v>19</v>
      </c>
      <c r="G3823" s="3" t="s">
        <v>2428</v>
      </c>
      <c r="H3823" s="3">
        <v>10.0</v>
      </c>
      <c r="I3823" s="3" t="s">
        <v>15435</v>
      </c>
      <c r="J3823" s="3" t="s">
        <v>22</v>
      </c>
      <c r="K3823" s="3" t="s">
        <v>145</v>
      </c>
      <c r="L3823" s="3" t="s">
        <v>145</v>
      </c>
      <c r="M3823" s="3" t="s">
        <v>2790</v>
      </c>
      <c r="N3823" s="3" t="s">
        <v>2791</v>
      </c>
      <c r="O3823" s="5">
        <v>1.0</v>
      </c>
      <c r="P3823" s="6" t="str">
        <f t="shared" si="2"/>
        <v>Personal Products</v>
      </c>
    </row>
    <row r="3824" hidden="1">
      <c r="A3824" s="3" t="s">
        <v>15439</v>
      </c>
      <c r="B3824" s="4">
        <v>543590.0</v>
      </c>
      <c r="C3824" s="3" t="s">
        <v>15440</v>
      </c>
      <c r="D3824" s="3" t="s">
        <v>15441</v>
      </c>
      <c r="E3824" s="3" t="s">
        <v>15442</v>
      </c>
      <c r="F3824" s="3" t="s">
        <v>19</v>
      </c>
      <c r="G3824" s="3" t="s">
        <v>112</v>
      </c>
      <c r="H3824" s="3">
        <v>1.0</v>
      </c>
      <c r="I3824" s="3" t="s">
        <v>15439</v>
      </c>
      <c r="J3824" s="3" t="s">
        <v>22</v>
      </c>
      <c r="K3824" s="3" t="s">
        <v>97</v>
      </c>
      <c r="L3824" s="3" t="s">
        <v>98</v>
      </c>
      <c r="M3824" s="3" t="s">
        <v>100</v>
      </c>
      <c r="N3824" s="3" t="s">
        <v>612</v>
      </c>
      <c r="O3824" s="5">
        <v>1179.2536237</v>
      </c>
      <c r="P3824" s="6" t="str">
        <f t="shared" si="2"/>
        <v>Industrial Products</v>
      </c>
    </row>
    <row r="3825" hidden="1">
      <c r="A3825" s="3" t="s">
        <v>2073</v>
      </c>
      <c r="B3825" s="4">
        <v>539149.0</v>
      </c>
      <c r="C3825" s="3" t="s">
        <v>15443</v>
      </c>
      <c r="D3825" s="3" t="s">
        <v>15444</v>
      </c>
      <c r="E3825" s="3" t="s">
        <v>15443</v>
      </c>
      <c r="F3825" s="3" t="s">
        <v>19</v>
      </c>
      <c r="G3825" s="3" t="s">
        <v>44</v>
      </c>
      <c r="H3825" s="3">
        <v>1.0</v>
      </c>
      <c r="I3825" s="3" t="s">
        <v>12510</v>
      </c>
      <c r="J3825" s="3" t="s">
        <v>22</v>
      </c>
      <c r="K3825" s="3" t="s">
        <v>1673</v>
      </c>
      <c r="L3825" s="3" t="s">
        <v>1673</v>
      </c>
      <c r="M3825" s="3" t="s">
        <v>1674</v>
      </c>
      <c r="N3825" s="3" t="s">
        <v>3189</v>
      </c>
      <c r="O3825" s="5">
        <v>1.0</v>
      </c>
      <c r="P3825" s="6" t="str">
        <f t="shared" si="2"/>
        <v>Commercial Services &amp; Supplies</v>
      </c>
    </row>
    <row r="3826" hidden="1">
      <c r="A3826" s="3" t="s">
        <v>15445</v>
      </c>
      <c r="B3826" s="4">
        <v>543593.0</v>
      </c>
      <c r="C3826" s="3" t="s">
        <v>15446</v>
      </c>
      <c r="D3826" s="3" t="s">
        <v>15447</v>
      </c>
      <c r="E3826" s="3" t="s">
        <v>15448</v>
      </c>
      <c r="F3826" s="3" t="s">
        <v>19</v>
      </c>
      <c r="G3826" s="3" t="s">
        <v>112</v>
      </c>
      <c r="H3826" s="3">
        <v>10.0</v>
      </c>
      <c r="I3826" s="3" t="s">
        <v>15445</v>
      </c>
      <c r="J3826" s="3" t="s">
        <v>22</v>
      </c>
      <c r="K3826" s="3" t="s">
        <v>145</v>
      </c>
      <c r="L3826" s="3" t="s">
        <v>145</v>
      </c>
      <c r="M3826" s="3" t="s">
        <v>146</v>
      </c>
      <c r="N3826" s="3" t="s">
        <v>147</v>
      </c>
      <c r="O3826" s="5">
        <v>965.0065732</v>
      </c>
      <c r="P3826" s="6" t="str">
        <f t="shared" si="2"/>
        <v>Agricultural Food &amp; other Products</v>
      </c>
    </row>
    <row r="3827" hidden="1">
      <c r="A3827" s="3" t="s">
        <v>15449</v>
      </c>
      <c r="B3827" s="4">
        <v>543594.0</v>
      </c>
      <c r="C3827" s="3" t="s">
        <v>15450</v>
      </c>
      <c r="D3827" s="3" t="s">
        <v>15451</v>
      </c>
      <c r="E3827" s="3" t="s">
        <v>15452</v>
      </c>
      <c r="F3827" s="3" t="s">
        <v>19</v>
      </c>
      <c r="G3827" s="3" t="s">
        <v>2428</v>
      </c>
      <c r="H3827" s="3">
        <v>10.0</v>
      </c>
      <c r="I3827" s="3" t="s">
        <v>15449</v>
      </c>
      <c r="J3827" s="3" t="s">
        <v>22</v>
      </c>
      <c r="K3827" s="3" t="s">
        <v>45</v>
      </c>
      <c r="L3827" s="3" t="s">
        <v>45</v>
      </c>
      <c r="M3827" s="3" t="s">
        <v>46</v>
      </c>
      <c r="N3827" s="3" t="s">
        <v>47</v>
      </c>
      <c r="O3827" s="5">
        <v>19.6933521</v>
      </c>
      <c r="P3827" s="6" t="str">
        <f t="shared" si="2"/>
        <v>Pharmaceuticals</v>
      </c>
    </row>
    <row r="3828" hidden="1">
      <c r="A3828" s="3" t="s">
        <v>15453</v>
      </c>
      <c r="B3828" s="4">
        <v>543595.0</v>
      </c>
      <c r="C3828" s="3" t="s">
        <v>15454</v>
      </c>
      <c r="D3828" s="3" t="s">
        <v>15455</v>
      </c>
      <c r="E3828" s="3" t="s">
        <v>15456</v>
      </c>
      <c r="F3828" s="3" t="s">
        <v>19</v>
      </c>
      <c r="G3828" s="3" t="s">
        <v>2428</v>
      </c>
      <c r="H3828" s="3">
        <v>10.0</v>
      </c>
      <c r="I3828" s="3" t="s">
        <v>15453</v>
      </c>
      <c r="J3828" s="3" t="s">
        <v>22</v>
      </c>
      <c r="K3828" s="3" t="s">
        <v>1647</v>
      </c>
      <c r="L3828" s="3" t="s">
        <v>1647</v>
      </c>
      <c r="M3828" s="3" t="s">
        <v>7778</v>
      </c>
      <c r="N3828" s="3" t="s">
        <v>7779</v>
      </c>
      <c r="O3828" s="5">
        <v>24.9366455</v>
      </c>
      <c r="P3828" s="6" t="str">
        <f t="shared" si="2"/>
        <v>Other Utilities</v>
      </c>
    </row>
    <row r="3829">
      <c r="A3829" s="3" t="s">
        <v>10695</v>
      </c>
      <c r="B3829" s="4">
        <v>543529.0</v>
      </c>
      <c r="C3829" s="3" t="s">
        <v>15457</v>
      </c>
      <c r="D3829" s="3" t="s">
        <v>15458</v>
      </c>
      <c r="E3829" s="3" t="s">
        <v>15459</v>
      </c>
      <c r="F3829" s="3" t="s">
        <v>19</v>
      </c>
      <c r="G3829" s="3" t="s">
        <v>20</v>
      </c>
      <c r="H3829" s="3">
        <v>1.0</v>
      </c>
      <c r="I3829" s="3" t="s">
        <v>15356</v>
      </c>
      <c r="J3829" s="3" t="s">
        <v>22</v>
      </c>
      <c r="K3829" s="3" t="s">
        <v>1673</v>
      </c>
      <c r="L3829" s="3" t="s">
        <v>1673</v>
      </c>
      <c r="M3829" s="3" t="s">
        <v>1689</v>
      </c>
      <c r="N3829" s="3" t="s">
        <v>1690</v>
      </c>
      <c r="O3829" s="5">
        <v>29486.5589717</v>
      </c>
      <c r="P3829" s="6" t="str">
        <f t="shared" si="2"/>
        <v>Transport Services</v>
      </c>
    </row>
    <row r="3830" hidden="1">
      <c r="A3830" s="3" t="s">
        <v>15460</v>
      </c>
      <c r="B3830" s="4">
        <v>543597.0</v>
      </c>
      <c r="C3830" s="3" t="s">
        <v>15461</v>
      </c>
      <c r="D3830" s="3" t="s">
        <v>15462</v>
      </c>
      <c r="E3830" s="3" t="s">
        <v>15463</v>
      </c>
      <c r="F3830" s="3" t="s">
        <v>19</v>
      </c>
      <c r="G3830" s="3" t="s">
        <v>2428</v>
      </c>
      <c r="H3830" s="3">
        <v>10.0</v>
      </c>
      <c r="I3830" s="3" t="s">
        <v>15460</v>
      </c>
      <c r="J3830" s="3" t="s">
        <v>22</v>
      </c>
      <c r="K3830" s="3" t="s">
        <v>58</v>
      </c>
      <c r="L3830" s="3" t="s">
        <v>211</v>
      </c>
      <c r="M3830" s="3" t="s">
        <v>211</v>
      </c>
      <c r="N3830" s="3" t="s">
        <v>5910</v>
      </c>
      <c r="O3830" s="5">
        <v>776.993125</v>
      </c>
      <c r="P3830" s="6" t="str">
        <f t="shared" si="2"/>
        <v>Consumer Durables</v>
      </c>
    </row>
    <row r="3831" hidden="1">
      <c r="A3831" s="3" t="s">
        <v>15464</v>
      </c>
      <c r="B3831" s="4">
        <v>543598.0</v>
      </c>
      <c r="C3831" s="3" t="s">
        <v>15465</v>
      </c>
      <c r="D3831" s="3" t="s">
        <v>15466</v>
      </c>
      <c r="E3831" s="3" t="s">
        <v>15467</v>
      </c>
      <c r="F3831" s="3" t="s">
        <v>19</v>
      </c>
      <c r="G3831" s="3" t="s">
        <v>6293</v>
      </c>
      <c r="H3831" s="3">
        <v>10.0</v>
      </c>
      <c r="I3831" s="3" t="s">
        <v>15464</v>
      </c>
      <c r="J3831" s="3" t="s">
        <v>22</v>
      </c>
      <c r="K3831" s="3" t="s">
        <v>58</v>
      </c>
      <c r="L3831" s="3" t="s">
        <v>59</v>
      </c>
      <c r="M3831" s="3" t="s">
        <v>59</v>
      </c>
      <c r="N3831" s="3" t="s">
        <v>60</v>
      </c>
      <c r="O3831" s="5">
        <v>512.832656</v>
      </c>
      <c r="P3831" s="6" t="str">
        <f t="shared" si="2"/>
        <v>Residential, Commercial Projects</v>
      </c>
    </row>
    <row r="3832" hidden="1">
      <c r="A3832" s="3" t="s">
        <v>15468</v>
      </c>
      <c r="B3832" s="4">
        <v>543599.0</v>
      </c>
      <c r="C3832" s="3" t="s">
        <v>15469</v>
      </c>
      <c r="D3832" s="3" t="s">
        <v>15470</v>
      </c>
      <c r="E3832" s="3" t="s">
        <v>15471</v>
      </c>
      <c r="F3832" s="3" t="s">
        <v>19</v>
      </c>
      <c r="G3832" s="3" t="s">
        <v>112</v>
      </c>
      <c r="H3832" s="3">
        <v>10.0</v>
      </c>
      <c r="I3832" s="3" t="s">
        <v>15468</v>
      </c>
      <c r="J3832" s="3" t="s">
        <v>22</v>
      </c>
      <c r="K3832" s="3" t="s">
        <v>473</v>
      </c>
      <c r="L3832" s="3" t="s">
        <v>473</v>
      </c>
      <c r="M3832" s="3" t="s">
        <v>1391</v>
      </c>
      <c r="N3832" s="3" t="s">
        <v>1840</v>
      </c>
      <c r="O3832" s="5">
        <v>1353.2443759</v>
      </c>
      <c r="P3832" s="6" t="str">
        <f t="shared" si="2"/>
        <v>Computers - Software &amp; Consulting</v>
      </c>
    </row>
    <row r="3833" hidden="1">
      <c r="A3833" s="3" t="s">
        <v>15472</v>
      </c>
      <c r="B3833" s="4">
        <v>543600.0</v>
      </c>
      <c r="C3833" s="3" t="s">
        <v>15473</v>
      </c>
      <c r="D3833" s="3" t="s">
        <v>15474</v>
      </c>
      <c r="E3833" s="3" t="s">
        <v>15475</v>
      </c>
      <c r="F3833" s="3" t="s">
        <v>19</v>
      </c>
      <c r="G3833" s="3" t="s">
        <v>112</v>
      </c>
      <c r="H3833" s="3">
        <v>10.0</v>
      </c>
      <c r="I3833" s="3" t="s">
        <v>15472</v>
      </c>
      <c r="J3833" s="3" t="s">
        <v>22</v>
      </c>
      <c r="K3833" s="3" t="s">
        <v>97</v>
      </c>
      <c r="L3833" s="3" t="s">
        <v>98</v>
      </c>
      <c r="M3833" s="3" t="s">
        <v>100</v>
      </c>
      <c r="N3833" s="3" t="s">
        <v>1386</v>
      </c>
      <c r="O3833" s="5">
        <v>4954.82238</v>
      </c>
      <c r="P3833" s="6" t="str">
        <f t="shared" si="2"/>
        <v>Industrial Products</v>
      </c>
    </row>
    <row r="3834" hidden="1">
      <c r="A3834" s="3" t="s">
        <v>15476</v>
      </c>
      <c r="B3834" s="4">
        <v>543606.0</v>
      </c>
      <c r="C3834" s="3" t="s">
        <v>15477</v>
      </c>
      <c r="D3834" s="3" t="s">
        <v>15478</v>
      </c>
      <c r="E3834" s="3" t="s">
        <v>15479</v>
      </c>
      <c r="F3834" s="3" t="s">
        <v>19</v>
      </c>
      <c r="G3834" s="3" t="s">
        <v>6293</v>
      </c>
      <c r="H3834" s="3">
        <v>10.0</v>
      </c>
      <c r="I3834" s="3" t="s">
        <v>15476</v>
      </c>
      <c r="J3834" s="3" t="s">
        <v>22</v>
      </c>
      <c r="K3834" s="3" t="s">
        <v>97</v>
      </c>
      <c r="L3834" s="3" t="s">
        <v>98</v>
      </c>
      <c r="M3834" s="3" t="s">
        <v>99</v>
      </c>
      <c r="N3834" s="3" t="s">
        <v>100</v>
      </c>
      <c r="O3834" s="5">
        <v>51.0424408</v>
      </c>
      <c r="P3834" s="6" t="str">
        <f t="shared" si="2"/>
        <v>Industrial Products</v>
      </c>
    </row>
    <row r="3835" hidden="1">
      <c r="A3835" s="3" t="s">
        <v>15480</v>
      </c>
      <c r="B3835" s="4">
        <v>543613.0</v>
      </c>
      <c r="C3835" s="3" t="s">
        <v>15481</v>
      </c>
      <c r="D3835" s="3" t="s">
        <v>15482</v>
      </c>
      <c r="E3835" s="3" t="s">
        <v>15483</v>
      </c>
      <c r="F3835" s="3" t="s">
        <v>19</v>
      </c>
      <c r="G3835" s="3" t="s">
        <v>6293</v>
      </c>
      <c r="H3835" s="3">
        <v>10.0</v>
      </c>
      <c r="I3835" s="3" t="s">
        <v>15480</v>
      </c>
      <c r="J3835" s="3" t="s">
        <v>22</v>
      </c>
      <c r="K3835" s="3" t="s">
        <v>58</v>
      </c>
      <c r="L3835" s="3" t="s">
        <v>73</v>
      </c>
      <c r="M3835" s="3" t="s">
        <v>988</v>
      </c>
      <c r="N3835" s="3" t="s">
        <v>989</v>
      </c>
      <c r="O3835" s="5">
        <v>1.0</v>
      </c>
      <c r="P3835" s="6" t="str">
        <f t="shared" si="2"/>
        <v>Retailing</v>
      </c>
    </row>
    <row r="3836" hidden="1">
      <c r="A3836" s="3" t="s">
        <v>15484</v>
      </c>
      <c r="B3836" s="4">
        <v>543614.0</v>
      </c>
      <c r="C3836" s="3" t="s">
        <v>15485</v>
      </c>
      <c r="D3836" s="3" t="s">
        <v>15486</v>
      </c>
      <c r="E3836" s="3" t="s">
        <v>15487</v>
      </c>
      <c r="F3836" s="3" t="s">
        <v>19</v>
      </c>
      <c r="G3836" s="3" t="s">
        <v>112</v>
      </c>
      <c r="H3836" s="3">
        <v>10.0</v>
      </c>
      <c r="I3836" s="3" t="s">
        <v>15484</v>
      </c>
      <c r="J3836" s="3" t="s">
        <v>22</v>
      </c>
      <c r="K3836" s="3" t="s">
        <v>58</v>
      </c>
      <c r="L3836" s="3" t="s">
        <v>182</v>
      </c>
      <c r="M3836" s="3" t="s">
        <v>1168</v>
      </c>
      <c r="N3836" s="3" t="s">
        <v>1568</v>
      </c>
      <c r="O3836" s="5">
        <v>243.4050501</v>
      </c>
      <c r="P3836" s="6" t="str">
        <f t="shared" si="2"/>
        <v>Entertainment</v>
      </c>
    </row>
    <row r="3837" hidden="1">
      <c r="A3837" s="3" t="s">
        <v>3884</v>
      </c>
      <c r="B3837" s="4">
        <v>539246.0</v>
      </c>
      <c r="C3837" s="3" t="s">
        <v>15488</v>
      </c>
      <c r="D3837" s="3" t="s">
        <v>15489</v>
      </c>
      <c r="E3837" s="3" t="s">
        <v>15490</v>
      </c>
      <c r="F3837" s="3" t="s">
        <v>19</v>
      </c>
      <c r="G3837" s="3" t="s">
        <v>44</v>
      </c>
      <c r="H3837" s="3">
        <v>10.0</v>
      </c>
      <c r="I3837" s="3" t="s">
        <v>12616</v>
      </c>
      <c r="J3837" s="3" t="s">
        <v>22</v>
      </c>
      <c r="K3837" s="3" t="s">
        <v>1673</v>
      </c>
      <c r="L3837" s="3" t="s">
        <v>1673</v>
      </c>
      <c r="M3837" s="3" t="s">
        <v>1674</v>
      </c>
      <c r="N3837" s="3" t="s">
        <v>1915</v>
      </c>
      <c r="O3837" s="5">
        <v>1.0</v>
      </c>
      <c r="P3837" s="6" t="str">
        <f t="shared" si="2"/>
        <v>Commercial Services &amp; Supplies</v>
      </c>
    </row>
    <row r="3838" hidden="1">
      <c r="A3838" s="3" t="s">
        <v>15491</v>
      </c>
      <c r="B3838" s="4">
        <v>543616.0</v>
      </c>
      <c r="C3838" s="3" t="s">
        <v>15492</v>
      </c>
      <c r="D3838" s="3" t="s">
        <v>15493</v>
      </c>
      <c r="E3838" s="3" t="s">
        <v>15494</v>
      </c>
      <c r="F3838" s="3" t="s">
        <v>19</v>
      </c>
      <c r="G3838" s="3" t="s">
        <v>2428</v>
      </c>
      <c r="H3838" s="3">
        <v>10.0</v>
      </c>
      <c r="I3838" s="3" t="s">
        <v>15491</v>
      </c>
      <c r="J3838" s="3" t="s">
        <v>22</v>
      </c>
      <c r="K3838" s="3" t="s">
        <v>45</v>
      </c>
      <c r="L3838" s="3" t="s">
        <v>45</v>
      </c>
      <c r="M3838" s="3" t="s">
        <v>46</v>
      </c>
      <c r="N3838" s="3" t="s">
        <v>47</v>
      </c>
      <c r="O3838" s="5">
        <v>263.90664</v>
      </c>
      <c r="P3838" s="6" t="str">
        <f t="shared" si="2"/>
        <v>Pharmaceuticals</v>
      </c>
    </row>
    <row r="3839" hidden="1">
      <c r="A3839" s="3" t="s">
        <v>15495</v>
      </c>
      <c r="B3839" s="4">
        <v>543617.0</v>
      </c>
      <c r="C3839" s="3" t="s">
        <v>15496</v>
      </c>
      <c r="D3839" s="3" t="s">
        <v>15497</v>
      </c>
      <c r="E3839" s="3" t="s">
        <v>15498</v>
      </c>
      <c r="F3839" s="3" t="s">
        <v>19</v>
      </c>
      <c r="G3839" s="3" t="s">
        <v>2428</v>
      </c>
      <c r="H3839" s="3">
        <v>10.0</v>
      </c>
      <c r="I3839" s="3" t="s">
        <v>15495</v>
      </c>
      <c r="J3839" s="3" t="s">
        <v>22</v>
      </c>
      <c r="K3839" s="3" t="s">
        <v>410</v>
      </c>
      <c r="L3839" s="3" t="s">
        <v>411</v>
      </c>
      <c r="M3839" s="3" t="s">
        <v>4270</v>
      </c>
      <c r="N3839" s="3" t="s">
        <v>12769</v>
      </c>
      <c r="O3839" s="5">
        <v>21.1355</v>
      </c>
      <c r="P3839" s="6" t="str">
        <f t="shared" si="2"/>
        <v>Consumable Fuels</v>
      </c>
    </row>
    <row r="3840" hidden="1">
      <c r="A3840" s="3" t="s">
        <v>8534</v>
      </c>
      <c r="B3840" s="4">
        <v>539406.0</v>
      </c>
      <c r="C3840" s="3" t="s">
        <v>15499</v>
      </c>
      <c r="D3840" s="3" t="s">
        <v>15500</v>
      </c>
      <c r="E3840" s="3" t="s">
        <v>15501</v>
      </c>
      <c r="F3840" s="3" t="s">
        <v>19</v>
      </c>
      <c r="G3840" s="3" t="s">
        <v>72</v>
      </c>
      <c r="H3840" s="3">
        <v>10.0</v>
      </c>
      <c r="I3840" s="3" t="s">
        <v>12798</v>
      </c>
      <c r="J3840" s="3" t="s">
        <v>22</v>
      </c>
      <c r="K3840" s="3" t="s">
        <v>1673</v>
      </c>
      <c r="L3840" s="3" t="s">
        <v>1673</v>
      </c>
      <c r="M3840" s="3" t="s">
        <v>1674</v>
      </c>
      <c r="N3840" s="3" t="s">
        <v>1915</v>
      </c>
      <c r="O3840" s="5">
        <v>1.0</v>
      </c>
      <c r="P3840" s="6" t="str">
        <f t="shared" si="2"/>
        <v>Commercial Services &amp; Supplies</v>
      </c>
    </row>
    <row r="3841" hidden="1">
      <c r="A3841" s="3" t="s">
        <v>15502</v>
      </c>
      <c r="B3841" s="4">
        <v>543619.0</v>
      </c>
      <c r="C3841" s="3" t="s">
        <v>15503</v>
      </c>
      <c r="D3841" s="3" t="s">
        <v>15504</v>
      </c>
      <c r="E3841" s="3" t="s">
        <v>15505</v>
      </c>
      <c r="F3841" s="3" t="s">
        <v>19</v>
      </c>
      <c r="G3841" s="3" t="s">
        <v>2428</v>
      </c>
      <c r="H3841" s="3">
        <v>10.0</v>
      </c>
      <c r="I3841" s="3" t="s">
        <v>15502</v>
      </c>
      <c r="J3841" s="3" t="s">
        <v>22</v>
      </c>
      <c r="K3841" s="3" t="s">
        <v>97</v>
      </c>
      <c r="L3841" s="3" t="s">
        <v>98</v>
      </c>
      <c r="M3841" s="3" t="s">
        <v>99</v>
      </c>
      <c r="N3841" s="3" t="s">
        <v>100</v>
      </c>
      <c r="O3841" s="5">
        <v>703.6109925</v>
      </c>
      <c r="P3841" s="6" t="str">
        <f t="shared" si="2"/>
        <v>Industrial Products</v>
      </c>
    </row>
    <row r="3842">
      <c r="A3842" s="3" t="s">
        <v>15506</v>
      </c>
      <c r="B3842" s="4">
        <v>526612.0</v>
      </c>
      <c r="C3842" s="3" t="s">
        <v>15507</v>
      </c>
      <c r="D3842" s="3" t="s">
        <v>15508</v>
      </c>
      <c r="E3842" s="3" t="s">
        <v>15509</v>
      </c>
      <c r="F3842" s="3" t="s">
        <v>19</v>
      </c>
      <c r="G3842" s="3" t="s">
        <v>20</v>
      </c>
      <c r="H3842" s="3">
        <v>10.0</v>
      </c>
      <c r="I3842" s="3" t="s">
        <v>6926</v>
      </c>
      <c r="J3842" s="3" t="s">
        <v>22</v>
      </c>
      <c r="K3842" s="3" t="s">
        <v>1673</v>
      </c>
      <c r="L3842" s="3" t="s">
        <v>1673</v>
      </c>
      <c r="M3842" s="3" t="s">
        <v>1689</v>
      </c>
      <c r="N3842" s="3" t="s">
        <v>1690</v>
      </c>
      <c r="O3842" s="5">
        <v>18973.5169015</v>
      </c>
      <c r="P3842" s="6" t="str">
        <f t="shared" si="2"/>
        <v>Transport Services</v>
      </c>
    </row>
    <row r="3843" hidden="1">
      <c r="A3843" s="3" t="s">
        <v>7901</v>
      </c>
      <c r="B3843" s="4">
        <v>539449.0</v>
      </c>
      <c r="C3843" s="3" t="s">
        <v>15510</v>
      </c>
      <c r="D3843" s="3" t="s">
        <v>15511</v>
      </c>
      <c r="E3843" s="3" t="s">
        <v>15512</v>
      </c>
      <c r="F3843" s="3" t="s">
        <v>19</v>
      </c>
      <c r="G3843" s="3" t="s">
        <v>72</v>
      </c>
      <c r="H3843" s="3">
        <v>10.0</v>
      </c>
      <c r="I3843" s="3" t="s">
        <v>12840</v>
      </c>
      <c r="J3843" s="3" t="s">
        <v>22</v>
      </c>
      <c r="K3843" s="3" t="s">
        <v>1673</v>
      </c>
      <c r="L3843" s="3" t="s">
        <v>1673</v>
      </c>
      <c r="M3843" s="3" t="s">
        <v>1674</v>
      </c>
      <c r="N3843" s="3" t="s">
        <v>1915</v>
      </c>
      <c r="O3843" s="5">
        <v>1.0</v>
      </c>
      <c r="P3843" s="6" t="str">
        <f t="shared" si="2"/>
        <v>Commercial Services &amp; Supplies</v>
      </c>
    </row>
    <row r="3844" hidden="1">
      <c r="A3844" s="3" t="s">
        <v>15513</v>
      </c>
      <c r="B3844" s="4">
        <v>543622.0</v>
      </c>
      <c r="C3844" s="3" t="s">
        <v>15514</v>
      </c>
      <c r="D3844" s="3" t="s">
        <v>15515</v>
      </c>
      <c r="E3844" s="3" t="s">
        <v>15516</v>
      </c>
      <c r="F3844" s="3" t="s">
        <v>19</v>
      </c>
      <c r="G3844" s="3" t="s">
        <v>2428</v>
      </c>
      <c r="H3844" s="3">
        <v>10.0</v>
      </c>
      <c r="I3844" s="3" t="s">
        <v>15513</v>
      </c>
      <c r="J3844" s="3" t="s">
        <v>22</v>
      </c>
      <c r="K3844" s="3" t="s">
        <v>189</v>
      </c>
      <c r="L3844" s="3" t="s">
        <v>189</v>
      </c>
      <c r="M3844" s="3" t="s">
        <v>291</v>
      </c>
      <c r="N3844" s="3" t="s">
        <v>423</v>
      </c>
      <c r="O3844" s="5">
        <v>139.81986</v>
      </c>
      <c r="P3844" s="6" t="str">
        <f t="shared" si="2"/>
        <v>Telecom - Services</v>
      </c>
    </row>
    <row r="3845" hidden="1">
      <c r="A3845" s="3" t="s">
        <v>15517</v>
      </c>
      <c r="B3845" s="4">
        <v>543623.0</v>
      </c>
      <c r="C3845" s="3" t="s">
        <v>15518</v>
      </c>
      <c r="D3845" s="3" t="s">
        <v>15519</v>
      </c>
      <c r="E3845" s="3" t="s">
        <v>15520</v>
      </c>
      <c r="F3845" s="3" t="s">
        <v>19</v>
      </c>
      <c r="G3845" s="3" t="s">
        <v>2428</v>
      </c>
      <c r="H3845" s="3">
        <v>10.0</v>
      </c>
      <c r="I3845" s="3" t="s">
        <v>15517</v>
      </c>
      <c r="J3845" s="3" t="s">
        <v>22</v>
      </c>
      <c r="K3845" s="3" t="s">
        <v>204</v>
      </c>
      <c r="L3845" s="3" t="s">
        <v>204</v>
      </c>
      <c r="M3845" s="3" t="s">
        <v>205</v>
      </c>
      <c r="N3845" s="3" t="s">
        <v>10647</v>
      </c>
      <c r="O3845" s="5">
        <v>1.0</v>
      </c>
      <c r="P3845" s="6" t="str">
        <f t="shared" si="2"/>
        <v>Capital Markets</v>
      </c>
    </row>
    <row r="3846" hidden="1">
      <c r="A3846" s="3" t="s">
        <v>15521</v>
      </c>
      <c r="B3846" s="4">
        <v>543624.0</v>
      </c>
      <c r="C3846" s="3" t="s">
        <v>15522</v>
      </c>
      <c r="D3846" s="3" t="s">
        <v>15523</v>
      </c>
      <c r="E3846" s="3" t="s">
        <v>15524</v>
      </c>
      <c r="F3846" s="3" t="s">
        <v>19</v>
      </c>
      <c r="G3846" s="3" t="s">
        <v>2428</v>
      </c>
      <c r="H3846" s="3">
        <v>1.0</v>
      </c>
      <c r="I3846" s="3" t="s">
        <v>15521</v>
      </c>
      <c r="J3846" s="3" t="s">
        <v>22</v>
      </c>
      <c r="K3846" s="3" t="s">
        <v>58</v>
      </c>
      <c r="L3846" s="3" t="s">
        <v>182</v>
      </c>
      <c r="M3846" s="3" t="s">
        <v>183</v>
      </c>
      <c r="N3846" s="3" t="s">
        <v>6800</v>
      </c>
      <c r="O3846" s="5">
        <v>298.8166</v>
      </c>
      <c r="P3846" s="6" t="str">
        <f t="shared" si="2"/>
        <v>Media</v>
      </c>
    </row>
    <row r="3847" hidden="1">
      <c r="A3847" s="3" t="s">
        <v>7136</v>
      </c>
      <c r="B3847" s="4">
        <v>539533.0</v>
      </c>
      <c r="C3847" s="3" t="s">
        <v>15525</v>
      </c>
      <c r="D3847" s="3" t="s">
        <v>15526</v>
      </c>
      <c r="E3847" s="3" t="s">
        <v>15527</v>
      </c>
      <c r="F3847" s="3" t="s">
        <v>19</v>
      </c>
      <c r="G3847" s="3" t="s">
        <v>72</v>
      </c>
      <c r="H3847" s="3">
        <v>10.0</v>
      </c>
      <c r="I3847" s="3" t="s">
        <v>12917</v>
      </c>
      <c r="J3847" s="3" t="s">
        <v>22</v>
      </c>
      <c r="K3847" s="3" t="s">
        <v>1673</v>
      </c>
      <c r="L3847" s="3" t="s">
        <v>1673</v>
      </c>
      <c r="M3847" s="3" t="s">
        <v>1674</v>
      </c>
      <c r="N3847" s="3" t="s">
        <v>1915</v>
      </c>
      <c r="O3847" s="5">
        <v>1.0</v>
      </c>
      <c r="P3847" s="6" t="str">
        <f t="shared" si="2"/>
        <v>Commercial Services &amp; Supplies</v>
      </c>
    </row>
    <row r="3848">
      <c r="A3848" s="3" t="s">
        <v>5156</v>
      </c>
      <c r="B3848" s="4">
        <v>500620.0</v>
      </c>
      <c r="C3848" s="3" t="s">
        <v>15528</v>
      </c>
      <c r="D3848" s="3" t="s">
        <v>15529</v>
      </c>
      <c r="E3848" s="3" t="s">
        <v>15530</v>
      </c>
      <c r="F3848" s="3" t="s">
        <v>19</v>
      </c>
      <c r="G3848" s="3" t="s">
        <v>20</v>
      </c>
      <c r="H3848" s="3">
        <v>10.0</v>
      </c>
      <c r="I3848" s="3" t="s">
        <v>1178</v>
      </c>
      <c r="J3848" s="3" t="s">
        <v>22</v>
      </c>
      <c r="K3848" s="3" t="s">
        <v>1673</v>
      </c>
      <c r="L3848" s="3" t="s">
        <v>1673</v>
      </c>
      <c r="M3848" s="3" t="s">
        <v>1689</v>
      </c>
      <c r="N3848" s="3" t="s">
        <v>2055</v>
      </c>
      <c r="O3848" s="5">
        <v>17460.2657036</v>
      </c>
      <c r="P3848" s="6" t="str">
        <f t="shared" si="2"/>
        <v>Transport Services</v>
      </c>
    </row>
    <row r="3849">
      <c r="A3849" s="3" t="s">
        <v>12116</v>
      </c>
      <c r="B3849" s="4">
        <v>532805.0</v>
      </c>
      <c r="C3849" s="3" t="s">
        <v>15531</v>
      </c>
      <c r="D3849" s="3" t="s">
        <v>15532</v>
      </c>
      <c r="E3849" s="3" t="s">
        <v>15533</v>
      </c>
      <c r="F3849" s="3" t="s">
        <v>19</v>
      </c>
      <c r="G3849" s="3" t="s">
        <v>20</v>
      </c>
      <c r="H3849" s="3">
        <v>2.0</v>
      </c>
      <c r="I3849" s="3" t="s">
        <v>10493</v>
      </c>
      <c r="J3849" s="3" t="s">
        <v>22</v>
      </c>
      <c r="K3849" s="3" t="s">
        <v>1673</v>
      </c>
      <c r="L3849" s="3" t="s">
        <v>1673</v>
      </c>
      <c r="M3849" s="3" t="s">
        <v>1674</v>
      </c>
      <c r="N3849" s="3" t="s">
        <v>1915</v>
      </c>
      <c r="O3849" s="5">
        <v>16531.3923231</v>
      </c>
      <c r="P3849" s="6" t="str">
        <f t="shared" si="2"/>
        <v>Commercial Services &amp; Supplies</v>
      </c>
    </row>
    <row r="3850" hidden="1">
      <c r="A3850" s="3" t="s">
        <v>15534</v>
      </c>
      <c r="B3850" s="4">
        <v>543636.0</v>
      </c>
      <c r="C3850" s="3" t="s">
        <v>15535</v>
      </c>
      <c r="D3850" s="3" t="s">
        <v>15536</v>
      </c>
      <c r="E3850" s="3" t="s">
        <v>15537</v>
      </c>
      <c r="F3850" s="3" t="s">
        <v>19</v>
      </c>
      <c r="G3850" s="3" t="s">
        <v>86</v>
      </c>
      <c r="H3850" s="3">
        <v>10.0</v>
      </c>
      <c r="I3850" s="3" t="s">
        <v>15534</v>
      </c>
      <c r="J3850" s="3" t="s">
        <v>22</v>
      </c>
      <c r="K3850" s="3" t="s">
        <v>473</v>
      </c>
      <c r="L3850" s="3" t="s">
        <v>473</v>
      </c>
      <c r="M3850" s="3" t="s">
        <v>474</v>
      </c>
      <c r="N3850" s="3" t="s">
        <v>475</v>
      </c>
      <c r="O3850" s="5">
        <v>318.198382</v>
      </c>
      <c r="P3850" s="6" t="str">
        <f t="shared" si="2"/>
        <v>IT - Hardware</v>
      </c>
    </row>
    <row r="3851" hidden="1">
      <c r="A3851" s="3" t="s">
        <v>15538</v>
      </c>
      <c r="B3851" s="4">
        <v>543637.0</v>
      </c>
      <c r="C3851" s="3" t="s">
        <v>15539</v>
      </c>
      <c r="D3851" s="3" t="s">
        <v>15540</v>
      </c>
      <c r="E3851" s="3" t="s">
        <v>15541</v>
      </c>
      <c r="F3851" s="3" t="s">
        <v>19</v>
      </c>
      <c r="G3851" s="3" t="s">
        <v>2428</v>
      </c>
      <c r="H3851" s="3">
        <v>10.0</v>
      </c>
      <c r="I3851" s="3" t="s">
        <v>15538</v>
      </c>
      <c r="J3851" s="3" t="s">
        <v>22</v>
      </c>
      <c r="K3851" s="3" t="s">
        <v>58</v>
      </c>
      <c r="L3851" s="3" t="s">
        <v>73</v>
      </c>
      <c r="M3851" s="3" t="s">
        <v>988</v>
      </c>
      <c r="N3851" s="3" t="s">
        <v>2246</v>
      </c>
      <c r="O3851" s="5">
        <v>66.2461793</v>
      </c>
      <c r="P3851" s="6" t="str">
        <f t="shared" si="2"/>
        <v>Retailing</v>
      </c>
    </row>
    <row r="3852" hidden="1">
      <c r="A3852" s="3" t="s">
        <v>3182</v>
      </c>
      <c r="B3852" s="4">
        <v>539584.0</v>
      </c>
      <c r="C3852" s="3" t="s">
        <v>15542</v>
      </c>
      <c r="D3852" s="3" t="s">
        <v>15543</v>
      </c>
      <c r="E3852" s="3" t="s">
        <v>15544</v>
      </c>
      <c r="F3852" s="3" t="s">
        <v>19</v>
      </c>
      <c r="G3852" s="3" t="s">
        <v>72</v>
      </c>
      <c r="H3852" s="3">
        <v>1.0</v>
      </c>
      <c r="I3852" s="3" t="s">
        <v>12966</v>
      </c>
      <c r="J3852" s="3" t="s">
        <v>22</v>
      </c>
      <c r="K3852" s="3" t="s">
        <v>1673</v>
      </c>
      <c r="L3852" s="3" t="s">
        <v>1673</v>
      </c>
      <c r="M3852" s="3" t="s">
        <v>1674</v>
      </c>
      <c r="N3852" s="3" t="s">
        <v>1915</v>
      </c>
      <c r="O3852" s="5">
        <v>1.0</v>
      </c>
      <c r="P3852" s="6" t="str">
        <f t="shared" si="2"/>
        <v>Commercial Services &amp; Supplies</v>
      </c>
    </row>
    <row r="3853" hidden="1">
      <c r="A3853" s="3" t="s">
        <v>15545</v>
      </c>
      <c r="B3853" s="4">
        <v>543643.0</v>
      </c>
      <c r="C3853" s="3" t="s">
        <v>15546</v>
      </c>
      <c r="D3853" s="3" t="s">
        <v>15547</v>
      </c>
      <c r="E3853" s="3" t="s">
        <v>15548</v>
      </c>
      <c r="F3853" s="3" t="s">
        <v>19</v>
      </c>
      <c r="G3853" s="3" t="s">
        <v>86</v>
      </c>
      <c r="H3853" s="3">
        <v>10.0</v>
      </c>
      <c r="I3853" s="3" t="s">
        <v>15545</v>
      </c>
      <c r="J3853" s="3" t="s">
        <v>22</v>
      </c>
      <c r="K3853" s="3" t="s">
        <v>145</v>
      </c>
      <c r="L3853" s="3" t="s">
        <v>145</v>
      </c>
      <c r="M3853" s="3" t="s">
        <v>597</v>
      </c>
      <c r="N3853" s="3" t="s">
        <v>5098</v>
      </c>
      <c r="O3853" s="5">
        <v>29.5662773</v>
      </c>
      <c r="P3853" s="6" t="str">
        <f t="shared" si="2"/>
        <v>Food Products</v>
      </c>
    </row>
    <row r="3854" hidden="1">
      <c r="A3854" s="3" t="s">
        <v>15549</v>
      </c>
      <c r="B3854" s="4">
        <v>543644.0</v>
      </c>
      <c r="C3854" s="3" t="s">
        <v>15550</v>
      </c>
      <c r="D3854" s="3" t="s">
        <v>15551</v>
      </c>
      <c r="E3854" s="3" t="s">
        <v>15552</v>
      </c>
      <c r="F3854" s="3" t="s">
        <v>19</v>
      </c>
      <c r="G3854" s="3" t="s">
        <v>112</v>
      </c>
      <c r="H3854" s="3">
        <v>10.0</v>
      </c>
      <c r="I3854" s="3" t="s">
        <v>15549</v>
      </c>
      <c r="J3854" s="3" t="s">
        <v>22</v>
      </c>
      <c r="K3854" s="3" t="s">
        <v>473</v>
      </c>
      <c r="L3854" s="3" t="s">
        <v>473</v>
      </c>
      <c r="M3854" s="3" t="s">
        <v>1391</v>
      </c>
      <c r="N3854" s="3" t="s">
        <v>1840</v>
      </c>
      <c r="O3854" s="5">
        <v>1092.1426451</v>
      </c>
      <c r="P3854" s="6" t="str">
        <f t="shared" si="2"/>
        <v>Computers - Software &amp; Consulting</v>
      </c>
    </row>
    <row r="3855" hidden="1">
      <c r="A3855" s="3" t="s">
        <v>15553</v>
      </c>
      <c r="B3855" s="4">
        <v>543645.0</v>
      </c>
      <c r="C3855" s="3" t="s">
        <v>15554</v>
      </c>
      <c r="D3855" s="3" t="s">
        <v>15555</v>
      </c>
      <c r="E3855" s="3" t="s">
        <v>15556</v>
      </c>
      <c r="F3855" s="3" t="s">
        <v>19</v>
      </c>
      <c r="G3855" s="3" t="s">
        <v>112</v>
      </c>
      <c r="H3855" s="3">
        <v>10.0</v>
      </c>
      <c r="I3855" s="3" t="s">
        <v>15553</v>
      </c>
      <c r="J3855" s="3" t="s">
        <v>22</v>
      </c>
      <c r="K3855" s="3" t="s">
        <v>23</v>
      </c>
      <c r="L3855" s="3" t="s">
        <v>24</v>
      </c>
      <c r="M3855" s="3" t="s">
        <v>25</v>
      </c>
      <c r="N3855" s="3" t="s">
        <v>368</v>
      </c>
      <c r="O3855" s="5">
        <v>183.9655112</v>
      </c>
      <c r="P3855" s="6" t="str">
        <f t="shared" si="2"/>
        <v>Chemicals &amp; Petrochemicals</v>
      </c>
    </row>
    <row r="3856" hidden="1">
      <c r="A3856" s="3" t="s">
        <v>15557</v>
      </c>
      <c r="B3856" s="4">
        <v>543650.0</v>
      </c>
      <c r="C3856" s="3" t="s">
        <v>15558</v>
      </c>
      <c r="D3856" s="3" t="s">
        <v>15559</v>
      </c>
      <c r="E3856" s="3" t="s">
        <v>15560</v>
      </c>
      <c r="F3856" s="3" t="s">
        <v>19</v>
      </c>
      <c r="G3856" s="3" t="s">
        <v>112</v>
      </c>
      <c r="H3856" s="3">
        <v>2.0</v>
      </c>
      <c r="I3856" s="3" t="s">
        <v>15557</v>
      </c>
      <c r="J3856" s="3" t="s">
        <v>22</v>
      </c>
      <c r="K3856" s="3" t="s">
        <v>97</v>
      </c>
      <c r="L3856" s="3" t="s">
        <v>98</v>
      </c>
      <c r="M3856" s="3" t="s">
        <v>806</v>
      </c>
      <c r="N3856" s="3" t="s">
        <v>806</v>
      </c>
      <c r="O3856" s="5">
        <v>4734.9506104</v>
      </c>
      <c r="P3856" s="6" t="str">
        <f t="shared" si="2"/>
        <v>Aerospace &amp; Defense</v>
      </c>
    </row>
    <row r="3857" hidden="1">
      <c r="A3857" s="3" t="s">
        <v>15561</v>
      </c>
      <c r="B3857" s="4">
        <v>543651.0</v>
      </c>
      <c r="C3857" s="3" t="s">
        <v>15562</v>
      </c>
      <c r="D3857" s="3" t="s">
        <v>15563</v>
      </c>
      <c r="E3857" s="3" t="s">
        <v>15564</v>
      </c>
      <c r="F3857" s="3" t="s">
        <v>19</v>
      </c>
      <c r="G3857" s="3" t="s">
        <v>2428</v>
      </c>
      <c r="H3857" s="3">
        <v>10.0</v>
      </c>
      <c r="I3857" s="3" t="s">
        <v>15561</v>
      </c>
      <c r="J3857" s="3" t="s">
        <v>22</v>
      </c>
      <c r="K3857" s="3" t="s">
        <v>58</v>
      </c>
      <c r="L3857" s="3" t="s">
        <v>182</v>
      </c>
      <c r="M3857" s="3" t="s">
        <v>183</v>
      </c>
      <c r="N3857" s="3" t="s">
        <v>6800</v>
      </c>
      <c r="O3857" s="5">
        <v>15.5764476</v>
      </c>
      <c r="P3857" s="6" t="str">
        <f t="shared" si="2"/>
        <v>Media</v>
      </c>
    </row>
    <row r="3858" hidden="1">
      <c r="A3858" s="3" t="s">
        <v>15565</v>
      </c>
      <c r="B3858" s="4">
        <v>543652.0</v>
      </c>
      <c r="C3858" s="3" t="s">
        <v>15566</v>
      </c>
      <c r="D3858" s="3" t="s">
        <v>15567</v>
      </c>
      <c r="E3858" s="3" t="s">
        <v>15568</v>
      </c>
      <c r="F3858" s="3" t="s">
        <v>19</v>
      </c>
      <c r="G3858" s="3" t="s">
        <v>20</v>
      </c>
      <c r="H3858" s="3">
        <v>10.0</v>
      </c>
      <c r="I3858" s="3" t="s">
        <v>15565</v>
      </c>
      <c r="J3858" s="3" t="s">
        <v>22</v>
      </c>
      <c r="K3858" s="3" t="s">
        <v>204</v>
      </c>
      <c r="L3858" s="3" t="s">
        <v>204</v>
      </c>
      <c r="M3858" s="3" t="s">
        <v>378</v>
      </c>
      <c r="N3858" s="3" t="s">
        <v>10426</v>
      </c>
      <c r="O3858" s="5">
        <v>4574.5322839</v>
      </c>
      <c r="P3858" s="6" t="str">
        <f t="shared" si="2"/>
        <v>Finance</v>
      </c>
    </row>
    <row r="3859">
      <c r="A3859" s="3" t="s">
        <v>9433</v>
      </c>
      <c r="B3859" s="4">
        <v>532809.0</v>
      </c>
      <c r="C3859" s="3" t="s">
        <v>15569</v>
      </c>
      <c r="D3859" s="3" t="s">
        <v>15570</v>
      </c>
      <c r="E3859" s="3" t="s">
        <v>15571</v>
      </c>
      <c r="F3859" s="3" t="s">
        <v>19</v>
      </c>
      <c r="G3859" s="3" t="s">
        <v>20</v>
      </c>
      <c r="H3859" s="3">
        <v>10.0</v>
      </c>
      <c r="I3859" s="3" t="s">
        <v>10507</v>
      </c>
      <c r="J3859" s="3" t="s">
        <v>22</v>
      </c>
      <c r="K3859" s="3" t="s">
        <v>1673</v>
      </c>
      <c r="L3859" s="3" t="s">
        <v>1673</v>
      </c>
      <c r="M3859" s="3" t="s">
        <v>1674</v>
      </c>
      <c r="N3859" s="3" t="s">
        <v>1705</v>
      </c>
      <c r="O3859" s="5">
        <v>15248.0633095</v>
      </c>
      <c r="P3859" s="6" t="str">
        <f t="shared" si="2"/>
        <v>Commercial Services &amp; Supplies</v>
      </c>
    </row>
    <row r="3860">
      <c r="A3860" s="3" t="s">
        <v>12192</v>
      </c>
      <c r="B3860" s="4">
        <v>513377.0</v>
      </c>
      <c r="C3860" s="3" t="s">
        <v>15572</v>
      </c>
      <c r="D3860" s="3" t="s">
        <v>15573</v>
      </c>
      <c r="E3860" s="3" t="s">
        <v>15574</v>
      </c>
      <c r="F3860" s="3" t="s">
        <v>19</v>
      </c>
      <c r="G3860" s="3" t="s">
        <v>20</v>
      </c>
      <c r="H3860" s="3">
        <v>1.0</v>
      </c>
      <c r="I3860" s="3" t="s">
        <v>4146</v>
      </c>
      <c r="J3860" s="3" t="s">
        <v>22</v>
      </c>
      <c r="K3860" s="3" t="s">
        <v>1673</v>
      </c>
      <c r="L3860" s="3" t="s">
        <v>1673</v>
      </c>
      <c r="M3860" s="3" t="s">
        <v>1674</v>
      </c>
      <c r="N3860" s="3" t="s">
        <v>1915</v>
      </c>
      <c r="O3860" s="5">
        <v>12898.7125287</v>
      </c>
      <c r="P3860" s="6" t="str">
        <f t="shared" si="2"/>
        <v>Commercial Services &amp; Supplies</v>
      </c>
    </row>
    <row r="3861" hidden="1">
      <c r="A3861" s="3" t="s">
        <v>15575</v>
      </c>
      <c r="B3861" s="4">
        <v>543656.0</v>
      </c>
      <c r="C3861" s="3" t="s">
        <v>15576</v>
      </c>
      <c r="D3861" s="3" t="s">
        <v>15577</v>
      </c>
      <c r="E3861" s="3" t="s">
        <v>15578</v>
      </c>
      <c r="F3861" s="3" t="s">
        <v>19</v>
      </c>
      <c r="G3861" s="3" t="s">
        <v>2428</v>
      </c>
      <c r="H3861" s="3">
        <v>10.0</v>
      </c>
      <c r="I3861" s="3" t="s">
        <v>15575</v>
      </c>
      <c r="J3861" s="3" t="s">
        <v>22</v>
      </c>
      <c r="K3861" s="3" t="s">
        <v>58</v>
      </c>
      <c r="L3861" s="3" t="s">
        <v>211</v>
      </c>
      <c r="M3861" s="3" t="s">
        <v>211</v>
      </c>
      <c r="N3861" s="3" t="s">
        <v>848</v>
      </c>
      <c r="O3861" s="5">
        <v>35.6909</v>
      </c>
      <c r="P3861" s="6" t="str">
        <f t="shared" si="2"/>
        <v>Consumer Durables</v>
      </c>
    </row>
    <row r="3862">
      <c r="A3862" s="3" t="s">
        <v>866</v>
      </c>
      <c r="B3862" s="4">
        <v>523598.0</v>
      </c>
      <c r="C3862" s="3" t="s">
        <v>15579</v>
      </c>
      <c r="D3862" s="3" t="s">
        <v>15580</v>
      </c>
      <c r="E3862" s="3" t="s">
        <v>15581</v>
      </c>
      <c r="F3862" s="3" t="s">
        <v>19</v>
      </c>
      <c r="G3862" s="3" t="s">
        <v>20</v>
      </c>
      <c r="H3862" s="3">
        <v>10.0</v>
      </c>
      <c r="I3862" s="3" t="s">
        <v>5927</v>
      </c>
      <c r="J3862" s="3" t="s">
        <v>22</v>
      </c>
      <c r="K3862" s="3" t="s">
        <v>1673</v>
      </c>
      <c r="L3862" s="3" t="s">
        <v>1673</v>
      </c>
      <c r="M3862" s="3" t="s">
        <v>1689</v>
      </c>
      <c r="N3862" s="3" t="s">
        <v>2055</v>
      </c>
      <c r="O3862" s="5">
        <v>12032.4150426</v>
      </c>
      <c r="P3862" s="6" t="str">
        <f t="shared" si="2"/>
        <v>Transport Services</v>
      </c>
    </row>
    <row r="3863">
      <c r="A3863" s="3" t="s">
        <v>10703</v>
      </c>
      <c r="B3863" s="4">
        <v>532927.0</v>
      </c>
      <c r="C3863" s="3" t="s">
        <v>15582</v>
      </c>
      <c r="D3863" s="3" t="s">
        <v>15583</v>
      </c>
      <c r="E3863" s="3" t="s">
        <v>15584</v>
      </c>
      <c r="F3863" s="3" t="s">
        <v>19</v>
      </c>
      <c r="G3863" s="3" t="s">
        <v>20</v>
      </c>
      <c r="H3863" s="3">
        <v>10.0</v>
      </c>
      <c r="I3863" s="3" t="s">
        <v>10789</v>
      </c>
      <c r="J3863" s="3" t="s">
        <v>22</v>
      </c>
      <c r="K3863" s="3" t="s">
        <v>1673</v>
      </c>
      <c r="L3863" s="3" t="s">
        <v>1673</v>
      </c>
      <c r="M3863" s="3" t="s">
        <v>1674</v>
      </c>
      <c r="N3863" s="3" t="s">
        <v>1705</v>
      </c>
      <c r="O3863" s="5">
        <v>11727.9002222</v>
      </c>
      <c r="P3863" s="6" t="str">
        <f t="shared" si="2"/>
        <v>Commercial Services &amp; Supplies</v>
      </c>
    </row>
    <row r="3864">
      <c r="A3864" s="3" t="s">
        <v>14950</v>
      </c>
      <c r="B3864" s="4">
        <v>533248.0</v>
      </c>
      <c r="C3864" s="3" t="s">
        <v>15585</v>
      </c>
      <c r="D3864" s="3" t="s">
        <v>15586</v>
      </c>
      <c r="E3864" s="3" t="s">
        <v>15587</v>
      </c>
      <c r="F3864" s="3" t="s">
        <v>19</v>
      </c>
      <c r="G3864" s="3" t="s">
        <v>20</v>
      </c>
      <c r="H3864" s="3">
        <v>10.0</v>
      </c>
      <c r="I3864" s="3" t="s">
        <v>11190</v>
      </c>
      <c r="J3864" s="3" t="s">
        <v>22</v>
      </c>
      <c r="K3864" s="3" t="s">
        <v>1673</v>
      </c>
      <c r="L3864" s="3" t="s">
        <v>1673</v>
      </c>
      <c r="M3864" s="3" t="s">
        <v>1879</v>
      </c>
      <c r="N3864" s="3" t="s">
        <v>2912</v>
      </c>
      <c r="O3864" s="5">
        <v>10754.5284289</v>
      </c>
      <c r="P3864" s="6" t="str">
        <f t="shared" si="2"/>
        <v>Transport Infrastructure</v>
      </c>
    </row>
    <row r="3865">
      <c r="A3865" s="3" t="s">
        <v>15588</v>
      </c>
      <c r="B3865" s="4">
        <v>539978.0</v>
      </c>
      <c r="C3865" s="3" t="s">
        <v>15589</v>
      </c>
      <c r="D3865" s="3" t="s">
        <v>15590</v>
      </c>
      <c r="E3865" s="3" t="s">
        <v>15591</v>
      </c>
      <c r="F3865" s="3" t="s">
        <v>19</v>
      </c>
      <c r="G3865" s="3" t="s">
        <v>20</v>
      </c>
      <c r="H3865" s="3">
        <v>10.0</v>
      </c>
      <c r="I3865" s="3" t="s">
        <v>13228</v>
      </c>
      <c r="J3865" s="3" t="s">
        <v>22</v>
      </c>
      <c r="K3865" s="3" t="s">
        <v>1673</v>
      </c>
      <c r="L3865" s="3" t="s">
        <v>1673</v>
      </c>
      <c r="M3865" s="3" t="s">
        <v>1674</v>
      </c>
      <c r="N3865" s="3" t="s">
        <v>1675</v>
      </c>
      <c r="O3865" s="5">
        <v>8998.6609836</v>
      </c>
      <c r="P3865" s="6" t="str">
        <f t="shared" si="2"/>
        <v>Commercial Services &amp; Supplies</v>
      </c>
    </row>
    <row r="3866" hidden="1">
      <c r="A3866" s="3" t="s">
        <v>15592</v>
      </c>
      <c r="B3866" s="4">
        <v>543668.0</v>
      </c>
      <c r="C3866" s="3" t="s">
        <v>15593</v>
      </c>
      <c r="D3866" s="3" t="s">
        <v>15594</v>
      </c>
      <c r="E3866" s="3" t="s">
        <v>15595</v>
      </c>
      <c r="F3866" s="3" t="s">
        <v>19</v>
      </c>
      <c r="G3866" s="3" t="s">
        <v>112</v>
      </c>
      <c r="H3866" s="3">
        <v>10.0</v>
      </c>
      <c r="I3866" s="3" t="s">
        <v>15592</v>
      </c>
      <c r="J3866" s="3" t="s">
        <v>22</v>
      </c>
      <c r="K3866" s="3" t="s">
        <v>97</v>
      </c>
      <c r="L3866" s="3" t="s">
        <v>98</v>
      </c>
      <c r="M3866" s="3" t="s">
        <v>100</v>
      </c>
      <c r="N3866" s="3" t="s">
        <v>373</v>
      </c>
      <c r="O3866" s="5">
        <v>494.698248</v>
      </c>
      <c r="P3866" s="6" t="str">
        <f t="shared" si="2"/>
        <v>Industrial Products</v>
      </c>
    </row>
    <row r="3867">
      <c r="A3867" s="3" t="s">
        <v>5170</v>
      </c>
      <c r="B3867" s="4">
        <v>543965.0</v>
      </c>
      <c r="C3867" s="3" t="s">
        <v>15596</v>
      </c>
      <c r="D3867" s="3" t="s">
        <v>15597</v>
      </c>
      <c r="E3867" s="3" t="s">
        <v>15598</v>
      </c>
      <c r="F3867" s="3" t="s">
        <v>19</v>
      </c>
      <c r="G3867" s="3" t="s">
        <v>112</v>
      </c>
      <c r="H3867" s="3">
        <v>1.0</v>
      </c>
      <c r="I3867" s="3" t="s">
        <v>15599</v>
      </c>
      <c r="J3867" s="3" t="s">
        <v>22</v>
      </c>
      <c r="K3867" s="3" t="s">
        <v>1673</v>
      </c>
      <c r="L3867" s="3" t="s">
        <v>1673</v>
      </c>
      <c r="M3867" s="3" t="s">
        <v>1689</v>
      </c>
      <c r="N3867" s="3" t="s">
        <v>1690</v>
      </c>
      <c r="O3867" s="5">
        <v>8290.484475</v>
      </c>
      <c r="P3867" s="6" t="str">
        <f t="shared" si="2"/>
        <v>Transport Services</v>
      </c>
    </row>
    <row r="3868" hidden="1">
      <c r="A3868" s="3" t="s">
        <v>15600</v>
      </c>
      <c r="B3868" s="4">
        <v>543670.0</v>
      </c>
      <c r="C3868" s="3" t="s">
        <v>15601</v>
      </c>
      <c r="D3868" s="3" t="s">
        <v>15602</v>
      </c>
      <c r="E3868" s="3" t="s">
        <v>15603</v>
      </c>
      <c r="F3868" s="3" t="s">
        <v>19</v>
      </c>
      <c r="G3868" s="3" t="s">
        <v>112</v>
      </c>
      <c r="H3868" s="3">
        <v>1.0</v>
      </c>
      <c r="I3868" s="3" t="s">
        <v>15600</v>
      </c>
      <c r="J3868" s="3" t="s">
        <v>22</v>
      </c>
      <c r="K3868" s="3" t="s">
        <v>58</v>
      </c>
      <c r="L3868" s="3" t="s">
        <v>80</v>
      </c>
      <c r="M3868" s="3" t="s">
        <v>81</v>
      </c>
      <c r="N3868" s="3" t="s">
        <v>944</v>
      </c>
      <c r="O3868" s="5">
        <v>100.0426584</v>
      </c>
      <c r="P3868" s="6" t="str">
        <f t="shared" si="2"/>
        <v>Textiles &amp; Apparels</v>
      </c>
    </row>
    <row r="3869" hidden="1">
      <c r="A3869" s="3" t="s">
        <v>4026</v>
      </c>
      <c r="B3869" s="4">
        <v>539938.0</v>
      </c>
      <c r="C3869" s="3" t="s">
        <v>15604</v>
      </c>
      <c r="D3869" s="3" t="s">
        <v>15605</v>
      </c>
      <c r="E3869" s="3" t="s">
        <v>15606</v>
      </c>
      <c r="F3869" s="3" t="s">
        <v>19</v>
      </c>
      <c r="G3869" s="3" t="s">
        <v>72</v>
      </c>
      <c r="H3869" s="3">
        <v>10.0</v>
      </c>
      <c r="I3869" s="3" t="s">
        <v>13203</v>
      </c>
      <c r="J3869" s="3" t="s">
        <v>22</v>
      </c>
      <c r="K3869" s="3" t="s">
        <v>1673</v>
      </c>
      <c r="L3869" s="3" t="s">
        <v>1673</v>
      </c>
      <c r="M3869" s="3" t="s">
        <v>1674</v>
      </c>
      <c r="N3869" s="3" t="s">
        <v>1915</v>
      </c>
      <c r="O3869" s="5">
        <v>1.0</v>
      </c>
      <c r="P3869" s="6" t="str">
        <f t="shared" si="2"/>
        <v>Commercial Services &amp; Supplies</v>
      </c>
    </row>
    <row r="3870" hidden="1">
      <c r="A3870" s="3" t="s">
        <v>15607</v>
      </c>
      <c r="B3870" s="4">
        <v>543678.0</v>
      </c>
      <c r="C3870" s="3" t="s">
        <v>15608</v>
      </c>
      <c r="D3870" s="3" t="s">
        <v>15609</v>
      </c>
      <c r="E3870" s="3" t="s">
        <v>15610</v>
      </c>
      <c r="F3870" s="3" t="s">
        <v>19</v>
      </c>
      <c r="G3870" s="3" t="s">
        <v>6293</v>
      </c>
      <c r="H3870" s="3">
        <v>10.0</v>
      </c>
      <c r="I3870" s="3" t="s">
        <v>15607</v>
      </c>
      <c r="J3870" s="3" t="s">
        <v>22</v>
      </c>
      <c r="K3870" s="3" t="s">
        <v>145</v>
      </c>
      <c r="L3870" s="3" t="s">
        <v>145</v>
      </c>
      <c r="M3870" s="3" t="s">
        <v>146</v>
      </c>
      <c r="N3870" s="3" t="s">
        <v>575</v>
      </c>
      <c r="O3870" s="5">
        <v>87.5092031</v>
      </c>
      <c r="P3870" s="6" t="str">
        <f t="shared" si="2"/>
        <v>Agricultural Food &amp; other Products</v>
      </c>
    </row>
    <row r="3871" hidden="1">
      <c r="A3871" s="3" t="s">
        <v>15611</v>
      </c>
      <c r="B3871" s="4">
        <v>543686.0</v>
      </c>
      <c r="C3871" s="3" t="s">
        <v>15612</v>
      </c>
      <c r="D3871" s="3" t="s">
        <v>15613</v>
      </c>
      <c r="E3871" s="3" t="s">
        <v>15614</v>
      </c>
      <c r="F3871" s="3" t="s">
        <v>19</v>
      </c>
      <c r="G3871" s="3" t="s">
        <v>112</v>
      </c>
      <c r="H3871" s="3">
        <v>10.0</v>
      </c>
      <c r="I3871" s="3" t="s">
        <v>15611</v>
      </c>
      <c r="J3871" s="3" t="s">
        <v>22</v>
      </c>
      <c r="K3871" s="3" t="s">
        <v>58</v>
      </c>
      <c r="L3871" s="3" t="s">
        <v>211</v>
      </c>
      <c r="M3871" s="3" t="s">
        <v>211</v>
      </c>
      <c r="N3871" s="3" t="s">
        <v>956</v>
      </c>
      <c r="O3871" s="5">
        <v>1784.5488469</v>
      </c>
      <c r="P3871" s="6" t="str">
        <f t="shared" si="2"/>
        <v>Consumer Durables</v>
      </c>
    </row>
    <row r="3872" hidden="1">
      <c r="A3872" s="3" t="s">
        <v>15615</v>
      </c>
      <c r="B3872" s="4">
        <v>543687.0</v>
      </c>
      <c r="C3872" s="3" t="s">
        <v>15616</v>
      </c>
      <c r="D3872" s="3" t="s">
        <v>15617</v>
      </c>
      <c r="E3872" s="3" t="s">
        <v>15618</v>
      </c>
      <c r="F3872" s="3" t="s">
        <v>19</v>
      </c>
      <c r="G3872" s="3" t="s">
        <v>112</v>
      </c>
      <c r="H3872" s="3">
        <v>10.0</v>
      </c>
      <c r="I3872" s="3" t="s">
        <v>15615</v>
      </c>
      <c r="J3872" s="3" t="s">
        <v>22</v>
      </c>
      <c r="K3872" s="3" t="s">
        <v>23</v>
      </c>
      <c r="L3872" s="3" t="s">
        <v>24</v>
      </c>
      <c r="M3872" s="3" t="s">
        <v>91</v>
      </c>
      <c r="N3872" s="3" t="s">
        <v>252</v>
      </c>
      <c r="O3872" s="5">
        <v>1037.854381</v>
      </c>
      <c r="P3872" s="6" t="str">
        <f t="shared" si="2"/>
        <v>Fertilizers &amp; Agrochemicals</v>
      </c>
    </row>
    <row r="3873" hidden="1">
      <c r="A3873" s="3" t="s">
        <v>15619</v>
      </c>
      <c r="B3873" s="4">
        <v>543688.0</v>
      </c>
      <c r="C3873" s="3" t="s">
        <v>15620</v>
      </c>
      <c r="D3873" s="3" t="s">
        <v>15621</v>
      </c>
      <c r="E3873" s="3" t="s">
        <v>15622</v>
      </c>
      <c r="F3873" s="3" t="s">
        <v>19</v>
      </c>
      <c r="G3873" s="3" t="s">
        <v>112</v>
      </c>
      <c r="H3873" s="3">
        <v>1.0</v>
      </c>
      <c r="I3873" s="3" t="s">
        <v>15619</v>
      </c>
      <c r="J3873" s="3" t="s">
        <v>22</v>
      </c>
      <c r="K3873" s="3" t="s">
        <v>145</v>
      </c>
      <c r="L3873" s="3" t="s">
        <v>145</v>
      </c>
      <c r="M3873" s="3" t="s">
        <v>146</v>
      </c>
      <c r="N3873" s="3" t="s">
        <v>2645</v>
      </c>
      <c r="O3873" s="5">
        <v>913.3924093</v>
      </c>
      <c r="P3873" s="6" t="str">
        <f t="shared" si="2"/>
        <v>Agricultural Food &amp; other Products</v>
      </c>
    </row>
    <row r="3874" hidden="1">
      <c r="A3874" s="3" t="s">
        <v>15623</v>
      </c>
      <c r="B3874" s="4">
        <v>543689.0</v>
      </c>
      <c r="C3874" s="3" t="s">
        <v>15624</v>
      </c>
      <c r="D3874" s="3" t="s">
        <v>15625</v>
      </c>
      <c r="E3874" s="3" t="s">
        <v>15626</v>
      </c>
      <c r="F3874" s="3" t="s">
        <v>19</v>
      </c>
      <c r="G3874" s="3" t="s">
        <v>112</v>
      </c>
      <c r="H3874" s="3">
        <v>10.0</v>
      </c>
      <c r="I3874" s="3" t="s">
        <v>15623</v>
      </c>
      <c r="J3874" s="3" t="s">
        <v>22</v>
      </c>
      <c r="K3874" s="3" t="s">
        <v>58</v>
      </c>
      <c r="L3874" s="3" t="s">
        <v>133</v>
      </c>
      <c r="M3874" s="3" t="s">
        <v>134</v>
      </c>
      <c r="N3874" s="3" t="s">
        <v>135</v>
      </c>
      <c r="O3874" s="5">
        <v>2355.6261555</v>
      </c>
      <c r="P3874" s="6" t="str">
        <f t="shared" si="2"/>
        <v>Auto Components &amp; Equipments</v>
      </c>
    </row>
    <row r="3875" hidden="1">
      <c r="A3875" s="3" t="s">
        <v>15627</v>
      </c>
      <c r="B3875" s="4">
        <v>543709.0</v>
      </c>
      <c r="C3875" s="3" t="s">
        <v>15628</v>
      </c>
      <c r="D3875" s="3" t="s">
        <v>15629</v>
      </c>
      <c r="E3875" s="3" t="s">
        <v>15630</v>
      </c>
      <c r="F3875" s="3" t="s">
        <v>19</v>
      </c>
      <c r="G3875" s="3" t="s">
        <v>2428</v>
      </c>
      <c r="H3875" s="3">
        <v>10.0</v>
      </c>
      <c r="I3875" s="3" t="s">
        <v>15627</v>
      </c>
      <c r="J3875" s="3" t="s">
        <v>22</v>
      </c>
      <c r="K3875" s="3" t="s">
        <v>58</v>
      </c>
      <c r="L3875" s="3" t="s">
        <v>211</v>
      </c>
      <c r="M3875" s="3" t="s">
        <v>211</v>
      </c>
      <c r="N3875" s="3" t="s">
        <v>947</v>
      </c>
      <c r="O3875" s="5">
        <v>568.9185</v>
      </c>
      <c r="P3875" s="6" t="str">
        <f t="shared" si="2"/>
        <v>Consumer Durables</v>
      </c>
    </row>
    <row r="3876" hidden="1">
      <c r="A3876" s="3" t="s">
        <v>15631</v>
      </c>
      <c r="B3876" s="4">
        <v>543711.0</v>
      </c>
      <c r="C3876" s="3" t="s">
        <v>15632</v>
      </c>
      <c r="D3876" s="3" t="s">
        <v>15633</v>
      </c>
      <c r="E3876" s="3" t="s">
        <v>15634</v>
      </c>
      <c r="F3876" s="3" t="s">
        <v>19</v>
      </c>
      <c r="G3876" s="3" t="s">
        <v>20</v>
      </c>
      <c r="H3876" s="3">
        <v>2.0</v>
      </c>
      <c r="I3876" s="3" t="s">
        <v>15631</v>
      </c>
      <c r="J3876" s="3" t="s">
        <v>22</v>
      </c>
      <c r="K3876" s="3" t="s">
        <v>145</v>
      </c>
      <c r="L3876" s="3" t="s">
        <v>145</v>
      </c>
      <c r="M3876" s="3" t="s">
        <v>2558</v>
      </c>
      <c r="N3876" s="3" t="s">
        <v>2559</v>
      </c>
      <c r="O3876" s="5">
        <v>4230.0663525</v>
      </c>
      <c r="P3876" s="6" t="str">
        <f t="shared" si="2"/>
        <v>Beverages</v>
      </c>
    </row>
    <row r="3877" hidden="1">
      <c r="A3877" s="3" t="s">
        <v>15635</v>
      </c>
      <c r="B3877" s="4">
        <v>543712.0</v>
      </c>
      <c r="C3877" s="3" t="s">
        <v>15636</v>
      </c>
      <c r="D3877" s="3" t="s">
        <v>15637</v>
      </c>
      <c r="E3877" s="3" t="s">
        <v>15638</v>
      </c>
      <c r="F3877" s="3" t="s">
        <v>19</v>
      </c>
      <c r="G3877" s="3" t="s">
        <v>112</v>
      </c>
      <c r="H3877" s="3">
        <v>2.0</v>
      </c>
      <c r="I3877" s="3" t="s">
        <v>15635</v>
      </c>
      <c r="J3877" s="3" t="s">
        <v>22</v>
      </c>
      <c r="K3877" s="3" t="s">
        <v>204</v>
      </c>
      <c r="L3877" s="3" t="s">
        <v>204</v>
      </c>
      <c r="M3877" s="3" t="s">
        <v>378</v>
      </c>
      <c r="N3877" s="3" t="s">
        <v>463</v>
      </c>
      <c r="O3877" s="5">
        <v>2305.4034766</v>
      </c>
      <c r="P3877" s="6" t="str">
        <f t="shared" si="2"/>
        <v>Finance</v>
      </c>
    </row>
    <row r="3878" hidden="1">
      <c r="A3878" s="3" t="s">
        <v>3702</v>
      </c>
      <c r="B3878" s="4">
        <v>540132.0</v>
      </c>
      <c r="C3878" s="3" t="s">
        <v>15639</v>
      </c>
      <c r="D3878" s="3" t="s">
        <v>15640</v>
      </c>
      <c r="E3878" s="3" t="s">
        <v>15641</v>
      </c>
      <c r="F3878" s="3" t="s">
        <v>19</v>
      </c>
      <c r="G3878" s="3" t="s">
        <v>72</v>
      </c>
      <c r="H3878" s="3">
        <v>10.0</v>
      </c>
      <c r="I3878" s="3" t="s">
        <v>13349</v>
      </c>
      <c r="J3878" s="3" t="s">
        <v>22</v>
      </c>
      <c r="K3878" s="3" t="s">
        <v>1673</v>
      </c>
      <c r="L3878" s="3" t="s">
        <v>1673</v>
      </c>
      <c r="M3878" s="3" t="s">
        <v>1674</v>
      </c>
      <c r="N3878" s="3" t="s">
        <v>1915</v>
      </c>
      <c r="O3878" s="5">
        <v>1.0</v>
      </c>
      <c r="P3878" s="6" t="str">
        <f t="shared" si="2"/>
        <v>Commercial Services &amp; Supplies</v>
      </c>
    </row>
    <row r="3879" hidden="1">
      <c r="A3879" s="3" t="s">
        <v>15642</v>
      </c>
      <c r="B3879" s="4">
        <v>543714.0</v>
      </c>
      <c r="C3879" s="3" t="s">
        <v>15643</v>
      </c>
      <c r="D3879" s="3" t="s">
        <v>15644</v>
      </c>
      <c r="E3879" s="3" t="s">
        <v>15645</v>
      </c>
      <c r="F3879" s="3" t="s">
        <v>19</v>
      </c>
      <c r="G3879" s="3" t="s">
        <v>112</v>
      </c>
      <c r="H3879" s="3">
        <v>5.0</v>
      </c>
      <c r="I3879" s="3" t="s">
        <v>15642</v>
      </c>
      <c r="J3879" s="3" t="s">
        <v>22</v>
      </c>
      <c r="K3879" s="3" t="s">
        <v>58</v>
      </c>
      <c r="L3879" s="3" t="s">
        <v>133</v>
      </c>
      <c r="M3879" s="3" t="s">
        <v>906</v>
      </c>
      <c r="N3879" s="3" t="s">
        <v>8067</v>
      </c>
      <c r="O3879" s="5">
        <v>2986.4482193</v>
      </c>
      <c r="P3879" s="6" t="str">
        <f t="shared" si="2"/>
        <v>Automobiles</v>
      </c>
    </row>
    <row r="3880" hidden="1">
      <c r="A3880" s="3" t="s">
        <v>3810</v>
      </c>
      <c r="B3880" s="4">
        <v>540190.0</v>
      </c>
      <c r="C3880" s="3" t="s">
        <v>15646</v>
      </c>
      <c r="D3880" s="3" t="s">
        <v>15647</v>
      </c>
      <c r="E3880" s="3" t="s">
        <v>15648</v>
      </c>
      <c r="F3880" s="3" t="s">
        <v>19</v>
      </c>
      <c r="G3880" s="3" t="s">
        <v>72</v>
      </c>
      <c r="H3880" s="3">
        <v>1.0</v>
      </c>
      <c r="I3880" s="3" t="s">
        <v>13424</v>
      </c>
      <c r="J3880" s="3" t="s">
        <v>22</v>
      </c>
      <c r="K3880" s="3" t="s">
        <v>1673</v>
      </c>
      <c r="L3880" s="3" t="s">
        <v>1673</v>
      </c>
      <c r="M3880" s="3" t="s">
        <v>1674</v>
      </c>
      <c r="N3880" s="3" t="s">
        <v>1915</v>
      </c>
      <c r="O3880" s="5">
        <v>1.0</v>
      </c>
      <c r="P3880" s="6" t="str">
        <f t="shared" si="2"/>
        <v>Commercial Services &amp; Supplies</v>
      </c>
    </row>
    <row r="3881">
      <c r="A3881" s="3" t="s">
        <v>10707</v>
      </c>
      <c r="B3881" s="4">
        <v>543441.0</v>
      </c>
      <c r="C3881" s="3" t="s">
        <v>15649</v>
      </c>
      <c r="D3881" s="3" t="s">
        <v>15650</v>
      </c>
      <c r="E3881" s="3" t="s">
        <v>15651</v>
      </c>
      <c r="F3881" s="3" t="s">
        <v>19</v>
      </c>
      <c r="G3881" s="3" t="s">
        <v>20</v>
      </c>
      <c r="H3881" s="3">
        <v>10.0</v>
      </c>
      <c r="I3881" s="3" t="s">
        <v>15214</v>
      </c>
      <c r="J3881" s="3" t="s">
        <v>22</v>
      </c>
      <c r="K3881" s="3" t="s">
        <v>1673</v>
      </c>
      <c r="L3881" s="3" t="s">
        <v>1673</v>
      </c>
      <c r="M3881" s="3" t="s">
        <v>1674</v>
      </c>
      <c r="N3881" s="3" t="s">
        <v>1675</v>
      </c>
      <c r="O3881" s="5">
        <v>8044.170771</v>
      </c>
      <c r="P3881" s="6" t="str">
        <f t="shared" si="2"/>
        <v>Commercial Services &amp; Supplies</v>
      </c>
    </row>
    <row r="3882" hidden="1">
      <c r="A3882" s="3" t="s">
        <v>15652</v>
      </c>
      <c r="B3882" s="4">
        <v>543725.0</v>
      </c>
      <c r="C3882" s="3" t="s">
        <v>15653</v>
      </c>
      <c r="D3882" s="3" t="s">
        <v>15654</v>
      </c>
      <c r="E3882" s="3" t="s">
        <v>15655</v>
      </c>
      <c r="F3882" s="3" t="s">
        <v>19</v>
      </c>
      <c r="G3882" s="3" t="s">
        <v>112</v>
      </c>
      <c r="H3882" s="3">
        <v>5.0</v>
      </c>
      <c r="I3882" s="3" t="s">
        <v>15652</v>
      </c>
      <c r="J3882" s="3" t="s">
        <v>22</v>
      </c>
      <c r="K3882" s="3" t="s">
        <v>58</v>
      </c>
      <c r="L3882" s="3" t="s">
        <v>211</v>
      </c>
      <c r="M3882" s="3" t="s">
        <v>211</v>
      </c>
      <c r="N3882" s="3" t="s">
        <v>882</v>
      </c>
      <c r="O3882" s="5">
        <v>1030.2865955</v>
      </c>
      <c r="P3882" s="6" t="str">
        <f t="shared" si="2"/>
        <v>Consumer Durables</v>
      </c>
    </row>
    <row r="3883" hidden="1">
      <c r="A3883" s="3" t="s">
        <v>3256</v>
      </c>
      <c r="B3883" s="4">
        <v>540221.0</v>
      </c>
      <c r="C3883" s="3" t="s">
        <v>15656</v>
      </c>
      <c r="D3883" s="3" t="s">
        <v>15657</v>
      </c>
      <c r="E3883" s="3" t="s">
        <v>15658</v>
      </c>
      <c r="F3883" s="3" t="s">
        <v>19</v>
      </c>
      <c r="G3883" s="3" t="s">
        <v>72</v>
      </c>
      <c r="H3883" s="3">
        <v>10.0</v>
      </c>
      <c r="I3883" s="3" t="s">
        <v>13457</v>
      </c>
      <c r="J3883" s="3" t="s">
        <v>22</v>
      </c>
      <c r="K3883" s="3" t="s">
        <v>1673</v>
      </c>
      <c r="L3883" s="3" t="s">
        <v>1673</v>
      </c>
      <c r="M3883" s="3" t="s">
        <v>1674</v>
      </c>
      <c r="N3883" s="3" t="s">
        <v>1915</v>
      </c>
      <c r="O3883" s="5">
        <v>1.0</v>
      </c>
      <c r="P3883" s="6" t="str">
        <f t="shared" si="2"/>
        <v>Commercial Services &amp; Supplies</v>
      </c>
    </row>
    <row r="3884" hidden="1">
      <c r="A3884" s="3" t="s">
        <v>15659</v>
      </c>
      <c r="B3884" s="4">
        <v>543737.0</v>
      </c>
      <c r="C3884" s="3" t="s">
        <v>15660</v>
      </c>
      <c r="D3884" s="3" t="s">
        <v>15661</v>
      </c>
      <c r="E3884" s="3" t="s">
        <v>15662</v>
      </c>
      <c r="F3884" s="3" t="s">
        <v>19</v>
      </c>
      <c r="G3884" s="3" t="s">
        <v>44</v>
      </c>
      <c r="H3884" s="3">
        <v>10.0</v>
      </c>
      <c r="I3884" s="3" t="s">
        <v>15659</v>
      </c>
      <c r="J3884" s="3" t="s">
        <v>22</v>
      </c>
      <c r="K3884" s="3" t="s">
        <v>145</v>
      </c>
      <c r="L3884" s="3" t="s">
        <v>145</v>
      </c>
      <c r="M3884" s="3" t="s">
        <v>597</v>
      </c>
      <c r="N3884" s="3" t="s">
        <v>2344</v>
      </c>
      <c r="O3884" s="5">
        <v>1.0</v>
      </c>
      <c r="P3884" s="6" t="str">
        <f t="shared" si="2"/>
        <v>Food Products</v>
      </c>
    </row>
    <row r="3885" hidden="1">
      <c r="A3885" s="3" t="s">
        <v>15663</v>
      </c>
      <c r="B3885" s="4">
        <v>543743.0</v>
      </c>
      <c r="C3885" s="3" t="s">
        <v>15664</v>
      </c>
      <c r="D3885" s="3" t="s">
        <v>15665</v>
      </c>
      <c r="E3885" s="3" t="s">
        <v>15666</v>
      </c>
      <c r="F3885" s="3" t="s">
        <v>19</v>
      </c>
      <c r="G3885" s="3" t="s">
        <v>112</v>
      </c>
      <c r="H3885" s="3">
        <v>10.0</v>
      </c>
      <c r="I3885" s="3" t="s">
        <v>15663</v>
      </c>
      <c r="J3885" s="3" t="s">
        <v>22</v>
      </c>
      <c r="K3885" s="3" t="s">
        <v>97</v>
      </c>
      <c r="L3885" s="3" t="s">
        <v>98</v>
      </c>
      <c r="M3885" s="3" t="s">
        <v>100</v>
      </c>
      <c r="N3885" s="3" t="s">
        <v>373</v>
      </c>
      <c r="O3885" s="5">
        <v>240.6268836</v>
      </c>
      <c r="P3885" s="6" t="str">
        <f t="shared" si="2"/>
        <v>Industrial Products</v>
      </c>
    </row>
    <row r="3886" hidden="1">
      <c r="A3886" s="3" t="s">
        <v>15667</v>
      </c>
      <c r="B3886" s="4">
        <v>543744.0</v>
      </c>
      <c r="C3886" s="3" t="s">
        <v>15668</v>
      </c>
      <c r="D3886" s="3" t="s">
        <v>15669</v>
      </c>
      <c r="E3886" s="3" t="s">
        <v>15670</v>
      </c>
      <c r="F3886" s="3" t="s">
        <v>19</v>
      </c>
      <c r="G3886" s="3" t="s">
        <v>2428</v>
      </c>
      <c r="H3886" s="3">
        <v>10.0</v>
      </c>
      <c r="I3886" s="3" t="s">
        <v>15667</v>
      </c>
      <c r="J3886" s="3" t="s">
        <v>22</v>
      </c>
      <c r="K3886" s="3" t="s">
        <v>97</v>
      </c>
      <c r="L3886" s="3" t="s">
        <v>98</v>
      </c>
      <c r="M3886" s="3" t="s">
        <v>100</v>
      </c>
      <c r="N3886" s="3" t="s">
        <v>373</v>
      </c>
      <c r="O3886" s="5">
        <v>1.0</v>
      </c>
      <c r="P3886" s="6" t="str">
        <f t="shared" si="2"/>
        <v>Industrial Products</v>
      </c>
    </row>
    <row r="3887" hidden="1">
      <c r="A3887" s="3" t="s">
        <v>15671</v>
      </c>
      <c r="B3887" s="4">
        <v>543745.0</v>
      </c>
      <c r="C3887" s="3" t="s">
        <v>15672</v>
      </c>
      <c r="D3887" s="3" t="s">
        <v>15673</v>
      </c>
      <c r="E3887" s="3" t="s">
        <v>15674</v>
      </c>
      <c r="F3887" s="3" t="s">
        <v>19</v>
      </c>
      <c r="G3887" s="3" t="s">
        <v>2428</v>
      </c>
      <c r="H3887" s="3">
        <v>10.0</v>
      </c>
      <c r="I3887" s="3" t="s">
        <v>15671</v>
      </c>
      <c r="J3887" s="3" t="s">
        <v>22</v>
      </c>
      <c r="K3887" s="3" t="s">
        <v>58</v>
      </c>
      <c r="L3887" s="3" t="s">
        <v>59</v>
      </c>
      <c r="M3887" s="3" t="s">
        <v>59</v>
      </c>
      <c r="N3887" s="3" t="s">
        <v>60</v>
      </c>
      <c r="O3887" s="5">
        <v>23.527086</v>
      </c>
      <c r="P3887" s="6" t="str">
        <f t="shared" si="2"/>
        <v>Residential, Commercial Projects</v>
      </c>
    </row>
    <row r="3888" hidden="1">
      <c r="A3888" s="3" t="s">
        <v>15675</v>
      </c>
      <c r="B3888" s="4">
        <v>543746.0</v>
      </c>
      <c r="C3888" s="3" t="s">
        <v>15676</v>
      </c>
      <c r="D3888" s="3" t="s">
        <v>15677</v>
      </c>
      <c r="E3888" s="3" t="s">
        <v>15678</v>
      </c>
      <c r="F3888" s="3" t="s">
        <v>19</v>
      </c>
      <c r="G3888" s="3" t="s">
        <v>2428</v>
      </c>
      <c r="H3888" s="3">
        <v>10.0</v>
      </c>
      <c r="I3888" s="3" t="s">
        <v>15675</v>
      </c>
      <c r="J3888" s="3" t="s">
        <v>22</v>
      </c>
      <c r="K3888" s="3" t="s">
        <v>58</v>
      </c>
      <c r="L3888" s="3" t="s">
        <v>73</v>
      </c>
      <c r="M3888" s="3" t="s">
        <v>988</v>
      </c>
      <c r="N3888" s="3" t="s">
        <v>989</v>
      </c>
      <c r="O3888" s="5">
        <v>438.023799</v>
      </c>
      <c r="P3888" s="6" t="str">
        <f t="shared" si="2"/>
        <v>Retailing</v>
      </c>
    </row>
    <row r="3889" hidden="1">
      <c r="A3889" s="3" t="s">
        <v>15679</v>
      </c>
      <c r="B3889" s="4">
        <v>543747.0</v>
      </c>
      <c r="C3889" s="3" t="s">
        <v>15680</v>
      </c>
      <c r="D3889" s="3" t="s">
        <v>15681</v>
      </c>
      <c r="E3889" s="3" t="s">
        <v>15682</v>
      </c>
      <c r="F3889" s="3" t="s">
        <v>19</v>
      </c>
      <c r="G3889" s="3" t="s">
        <v>112</v>
      </c>
      <c r="H3889" s="3">
        <v>1.0</v>
      </c>
      <c r="I3889" s="3" t="s">
        <v>15679</v>
      </c>
      <c r="J3889" s="3" t="s">
        <v>22</v>
      </c>
      <c r="K3889" s="3" t="s">
        <v>58</v>
      </c>
      <c r="L3889" s="3" t="s">
        <v>211</v>
      </c>
      <c r="M3889" s="3" t="s">
        <v>211</v>
      </c>
      <c r="N3889" s="3" t="s">
        <v>956</v>
      </c>
      <c r="O3889" s="5">
        <v>1252.9492568</v>
      </c>
      <c r="P3889" s="6" t="str">
        <f t="shared" si="2"/>
        <v>Consumer Durables</v>
      </c>
    </row>
    <row r="3890">
      <c r="A3890" s="3" t="s">
        <v>12249</v>
      </c>
      <c r="B3890" s="4">
        <v>532349.0</v>
      </c>
      <c r="C3890" s="3" t="s">
        <v>15683</v>
      </c>
      <c r="D3890" s="3" t="s">
        <v>15684</v>
      </c>
      <c r="E3890" s="3" t="s">
        <v>15685</v>
      </c>
      <c r="F3890" s="3" t="s">
        <v>19</v>
      </c>
      <c r="G3890" s="3" t="s">
        <v>20</v>
      </c>
      <c r="H3890" s="3">
        <v>2.0</v>
      </c>
      <c r="I3890" s="3" t="s">
        <v>9634</v>
      </c>
      <c r="J3890" s="3" t="s">
        <v>22</v>
      </c>
      <c r="K3890" s="3" t="s">
        <v>1673</v>
      </c>
      <c r="L3890" s="3" t="s">
        <v>1673</v>
      </c>
      <c r="M3890" s="3" t="s">
        <v>1689</v>
      </c>
      <c r="N3890" s="3" t="s">
        <v>1690</v>
      </c>
      <c r="O3890" s="5">
        <v>7231.3170589</v>
      </c>
      <c r="P3890" s="6" t="str">
        <f t="shared" si="2"/>
        <v>Transport Services</v>
      </c>
    </row>
    <row r="3891" hidden="1">
      <c r="A3891" s="3" t="s">
        <v>15686</v>
      </c>
      <c r="B3891" s="4">
        <v>543753.0</v>
      </c>
      <c r="C3891" s="3" t="s">
        <v>15687</v>
      </c>
      <c r="D3891" s="3" t="s">
        <v>15688</v>
      </c>
      <c r="E3891" s="3" t="s">
        <v>15689</v>
      </c>
      <c r="F3891" s="3" t="s">
        <v>19</v>
      </c>
      <c r="G3891" s="3" t="s">
        <v>2428</v>
      </c>
      <c r="H3891" s="3">
        <v>1.0</v>
      </c>
      <c r="I3891" s="3" t="s">
        <v>15686</v>
      </c>
      <c r="J3891" s="3" t="s">
        <v>22</v>
      </c>
      <c r="K3891" s="3" t="s">
        <v>204</v>
      </c>
      <c r="L3891" s="3" t="s">
        <v>204</v>
      </c>
      <c r="M3891" s="3" t="s">
        <v>205</v>
      </c>
      <c r="N3891" s="3" t="s">
        <v>10647</v>
      </c>
      <c r="O3891" s="5">
        <v>95.9595645</v>
      </c>
      <c r="P3891" s="6" t="str">
        <f t="shared" si="2"/>
        <v>Capital Markets</v>
      </c>
    </row>
    <row r="3892" hidden="1">
      <c r="A3892" s="3" t="s">
        <v>7888</v>
      </c>
      <c r="B3892" s="4">
        <v>540243.0</v>
      </c>
      <c r="C3892" s="3" t="s">
        <v>15690</v>
      </c>
      <c r="D3892" s="3" t="s">
        <v>15691</v>
      </c>
      <c r="E3892" s="3" t="s">
        <v>15692</v>
      </c>
      <c r="F3892" s="3" t="s">
        <v>19</v>
      </c>
      <c r="G3892" s="3" t="s">
        <v>44</v>
      </c>
      <c r="H3892" s="3">
        <v>10.0</v>
      </c>
      <c r="I3892" s="3" t="s">
        <v>13464</v>
      </c>
      <c r="J3892" s="3" t="s">
        <v>22</v>
      </c>
      <c r="K3892" s="3" t="s">
        <v>1673</v>
      </c>
      <c r="L3892" s="3" t="s">
        <v>1673</v>
      </c>
      <c r="M3892" s="3" t="s">
        <v>1674</v>
      </c>
      <c r="N3892" s="3" t="s">
        <v>1915</v>
      </c>
      <c r="O3892" s="5">
        <v>1.0</v>
      </c>
      <c r="P3892" s="6" t="str">
        <f t="shared" si="2"/>
        <v>Commercial Services &amp; Supplies</v>
      </c>
    </row>
    <row r="3893" hidden="1">
      <c r="A3893" s="3" t="s">
        <v>15693</v>
      </c>
      <c r="B3893" s="4">
        <v>543765.0</v>
      </c>
      <c r="C3893" s="3" t="s">
        <v>15694</v>
      </c>
      <c r="D3893" s="3" t="s">
        <v>15695</v>
      </c>
      <c r="E3893" s="3" t="s">
        <v>15696</v>
      </c>
      <c r="F3893" s="3" t="s">
        <v>19</v>
      </c>
      <c r="G3893" s="3" t="s">
        <v>2428</v>
      </c>
      <c r="H3893" s="3">
        <v>10.0</v>
      </c>
      <c r="I3893" s="3" t="s">
        <v>15693</v>
      </c>
      <c r="J3893" s="3" t="s">
        <v>22</v>
      </c>
      <c r="K3893" s="3" t="s">
        <v>97</v>
      </c>
      <c r="L3893" s="3" t="s">
        <v>98</v>
      </c>
      <c r="M3893" s="3" t="s">
        <v>100</v>
      </c>
      <c r="N3893" s="3" t="s">
        <v>612</v>
      </c>
      <c r="O3893" s="5">
        <v>52.7897881</v>
      </c>
      <c r="P3893" s="6" t="str">
        <f t="shared" si="2"/>
        <v>Industrial Products</v>
      </c>
    </row>
    <row r="3894" hidden="1">
      <c r="A3894" s="3" t="s">
        <v>15697</v>
      </c>
      <c r="B3894" s="4">
        <v>543766.0</v>
      </c>
      <c r="C3894" s="3" t="s">
        <v>15698</v>
      </c>
      <c r="D3894" s="3" t="s">
        <v>15699</v>
      </c>
      <c r="E3894" s="3" t="s">
        <v>15700</v>
      </c>
      <c r="F3894" s="3" t="s">
        <v>19</v>
      </c>
      <c r="G3894" s="3" t="s">
        <v>44</v>
      </c>
      <c r="H3894" s="3">
        <v>10.0</v>
      </c>
      <c r="I3894" s="3" t="s">
        <v>15697</v>
      </c>
      <c r="J3894" s="3" t="s">
        <v>22</v>
      </c>
      <c r="K3894" s="3" t="s">
        <v>204</v>
      </c>
      <c r="L3894" s="3" t="s">
        <v>204</v>
      </c>
      <c r="M3894" s="3" t="s">
        <v>378</v>
      </c>
      <c r="N3894" s="3" t="s">
        <v>379</v>
      </c>
      <c r="O3894" s="5">
        <v>99.2352765</v>
      </c>
      <c r="P3894" s="6" t="str">
        <f t="shared" si="2"/>
        <v>Non Banking Financial Company (NBFC)</v>
      </c>
    </row>
    <row r="3895" hidden="1">
      <c r="A3895" s="3" t="s">
        <v>15701</v>
      </c>
      <c r="B3895" s="4">
        <v>543767.0</v>
      </c>
      <c r="C3895" s="3" t="s">
        <v>15702</v>
      </c>
      <c r="D3895" s="3" t="s">
        <v>15703</v>
      </c>
      <c r="E3895" s="3" t="s">
        <v>15704</v>
      </c>
      <c r="F3895" s="3" t="s">
        <v>19</v>
      </c>
      <c r="G3895" s="3" t="s">
        <v>86</v>
      </c>
      <c r="H3895" s="3">
        <v>1.0</v>
      </c>
      <c r="I3895" s="3" t="s">
        <v>15701</v>
      </c>
      <c r="J3895" s="3" t="s">
        <v>22</v>
      </c>
      <c r="K3895" s="3" t="s">
        <v>58</v>
      </c>
      <c r="L3895" s="3" t="s">
        <v>182</v>
      </c>
      <c r="M3895" s="3" t="s">
        <v>1168</v>
      </c>
      <c r="N3895" s="3" t="s">
        <v>4004</v>
      </c>
      <c r="O3895" s="5">
        <v>193.43638</v>
      </c>
      <c r="P3895" s="6" t="str">
        <f t="shared" si="2"/>
        <v>Entertainment</v>
      </c>
    </row>
    <row r="3896" hidden="1">
      <c r="A3896" s="3" t="s">
        <v>15705</v>
      </c>
      <c r="B3896" s="4">
        <v>543768.0</v>
      </c>
      <c r="C3896" s="3" t="s">
        <v>15706</v>
      </c>
      <c r="D3896" s="3" t="s">
        <v>15707</v>
      </c>
      <c r="E3896" s="3" t="s">
        <v>15708</v>
      </c>
      <c r="F3896" s="3" t="s">
        <v>19</v>
      </c>
      <c r="G3896" s="3" t="s">
        <v>20</v>
      </c>
      <c r="H3896" s="3">
        <v>10.0</v>
      </c>
      <c r="I3896" s="3" t="s">
        <v>15705</v>
      </c>
      <c r="J3896" s="3" t="s">
        <v>22</v>
      </c>
      <c r="K3896" s="3" t="s">
        <v>23</v>
      </c>
      <c r="L3896" s="3" t="s">
        <v>65</v>
      </c>
      <c r="M3896" s="3" t="s">
        <v>106</v>
      </c>
      <c r="N3896" s="3" t="s">
        <v>107</v>
      </c>
      <c r="O3896" s="5">
        <v>1.0</v>
      </c>
      <c r="P3896" s="6" t="str">
        <f t="shared" si="2"/>
        <v>Ferrous Metals</v>
      </c>
    </row>
    <row r="3897" hidden="1">
      <c r="A3897" s="3" t="s">
        <v>15709</v>
      </c>
      <c r="B3897" s="4">
        <v>543769.0</v>
      </c>
      <c r="C3897" s="3" t="s">
        <v>15710</v>
      </c>
      <c r="D3897" s="3" t="s">
        <v>15711</v>
      </c>
      <c r="E3897" s="3" t="s">
        <v>15712</v>
      </c>
      <c r="F3897" s="3" t="s">
        <v>19</v>
      </c>
      <c r="G3897" s="3" t="s">
        <v>2428</v>
      </c>
      <c r="H3897" s="3">
        <v>10.0</v>
      </c>
      <c r="I3897" s="3" t="s">
        <v>15709</v>
      </c>
      <c r="J3897" s="3" t="s">
        <v>22</v>
      </c>
      <c r="K3897" s="3" t="s">
        <v>145</v>
      </c>
      <c r="L3897" s="3" t="s">
        <v>145</v>
      </c>
      <c r="M3897" s="3" t="s">
        <v>146</v>
      </c>
      <c r="N3897" s="3" t="s">
        <v>444</v>
      </c>
      <c r="O3897" s="5">
        <v>39.060684</v>
      </c>
      <c r="P3897" s="6" t="str">
        <f t="shared" si="2"/>
        <v>Agricultural Food &amp; other Products</v>
      </c>
    </row>
    <row r="3898" hidden="1">
      <c r="A3898" s="3" t="s">
        <v>15713</v>
      </c>
      <c r="B3898" s="4">
        <v>543782.0</v>
      </c>
      <c r="C3898" s="3" t="s">
        <v>15714</v>
      </c>
      <c r="D3898" s="3" t="s">
        <v>15715</v>
      </c>
      <c r="E3898" s="3" t="s">
        <v>15716</v>
      </c>
      <c r="F3898" s="3" t="s">
        <v>19</v>
      </c>
      <c r="G3898" s="3" t="s">
        <v>2428</v>
      </c>
      <c r="H3898" s="3">
        <v>10.0</v>
      </c>
      <c r="I3898" s="3" t="s">
        <v>15713</v>
      </c>
      <c r="J3898" s="3" t="s">
        <v>22</v>
      </c>
      <c r="K3898" s="3" t="s">
        <v>97</v>
      </c>
      <c r="L3898" s="3" t="s">
        <v>98</v>
      </c>
      <c r="M3898" s="3" t="s">
        <v>100</v>
      </c>
      <c r="N3898" s="3" t="s">
        <v>1386</v>
      </c>
      <c r="O3898" s="5">
        <v>566.5839166</v>
      </c>
      <c r="P3898" s="6" t="str">
        <f t="shared" si="2"/>
        <v>Industrial Products</v>
      </c>
    </row>
    <row r="3899" hidden="1">
      <c r="A3899" s="3" t="s">
        <v>15717</v>
      </c>
      <c r="B3899" s="4">
        <v>543787.0</v>
      </c>
      <c r="C3899" s="3" t="s">
        <v>15718</v>
      </c>
      <c r="D3899" s="3" t="s">
        <v>15719</v>
      </c>
      <c r="E3899" s="3" t="s">
        <v>15720</v>
      </c>
      <c r="F3899" s="3" t="s">
        <v>19</v>
      </c>
      <c r="G3899" s="3" t="s">
        <v>2428</v>
      </c>
      <c r="H3899" s="3">
        <v>10.0</v>
      </c>
      <c r="I3899" s="3" t="s">
        <v>15717</v>
      </c>
      <c r="J3899" s="3" t="s">
        <v>22</v>
      </c>
      <c r="K3899" s="3" t="s">
        <v>58</v>
      </c>
      <c r="L3899" s="3" t="s">
        <v>73</v>
      </c>
      <c r="M3899" s="3" t="s">
        <v>988</v>
      </c>
      <c r="N3899" s="3" t="s">
        <v>2246</v>
      </c>
      <c r="O3899" s="5">
        <v>1.0</v>
      </c>
      <c r="P3899" s="6" t="str">
        <f t="shared" si="2"/>
        <v>Retailing</v>
      </c>
    </row>
    <row r="3900" hidden="1">
      <c r="A3900" s="3" t="s">
        <v>15721</v>
      </c>
      <c r="B3900" s="4">
        <v>543798.0</v>
      </c>
      <c r="C3900" s="3" t="s">
        <v>15722</v>
      </c>
      <c r="D3900" s="3" t="s">
        <v>15723</v>
      </c>
      <c r="E3900" s="3" t="s">
        <v>15724</v>
      </c>
      <c r="F3900" s="3" t="s">
        <v>19</v>
      </c>
      <c r="G3900" s="3" t="s">
        <v>2428</v>
      </c>
      <c r="H3900" s="3">
        <v>10.0</v>
      </c>
      <c r="I3900" s="3" t="s">
        <v>15721</v>
      </c>
      <c r="J3900" s="3" t="s">
        <v>22</v>
      </c>
      <c r="K3900" s="3" t="s">
        <v>23</v>
      </c>
      <c r="L3900" s="3" t="s">
        <v>24</v>
      </c>
      <c r="M3900" s="3" t="s">
        <v>25</v>
      </c>
      <c r="N3900" s="3" t="s">
        <v>1036</v>
      </c>
      <c r="O3900" s="5">
        <v>19.4949195</v>
      </c>
      <c r="P3900" s="6" t="str">
        <f t="shared" si="2"/>
        <v>Chemicals &amp; Petrochemicals</v>
      </c>
    </row>
    <row r="3901" hidden="1">
      <c r="A3901" s="3" t="s">
        <v>15725</v>
      </c>
      <c r="B3901" s="4">
        <v>543799.0</v>
      </c>
      <c r="C3901" s="3" t="s">
        <v>15726</v>
      </c>
      <c r="D3901" s="3" t="s">
        <v>15727</v>
      </c>
      <c r="E3901" s="3" t="s">
        <v>15728</v>
      </c>
      <c r="F3901" s="3" t="s">
        <v>19</v>
      </c>
      <c r="G3901" s="3" t="s">
        <v>2428</v>
      </c>
      <c r="H3901" s="3">
        <v>10.0</v>
      </c>
      <c r="I3901" s="3" t="s">
        <v>15725</v>
      </c>
      <c r="J3901" s="3" t="s">
        <v>22</v>
      </c>
      <c r="K3901" s="3" t="s">
        <v>23</v>
      </c>
      <c r="L3901" s="3" t="s">
        <v>32</v>
      </c>
      <c r="M3901" s="3" t="s">
        <v>33</v>
      </c>
      <c r="N3901" s="3" t="s">
        <v>34</v>
      </c>
      <c r="O3901" s="5">
        <v>16.8409658</v>
      </c>
      <c r="P3901" s="6" t="str">
        <f t="shared" si="2"/>
        <v>Paper, Forest &amp; Jute Products</v>
      </c>
    </row>
    <row r="3902" hidden="1">
      <c r="A3902" s="3" t="s">
        <v>15729</v>
      </c>
      <c r="B3902" s="4">
        <v>543804.0</v>
      </c>
      <c r="C3902" s="3" t="s">
        <v>15730</v>
      </c>
      <c r="D3902" s="3" t="s">
        <v>15731</v>
      </c>
      <c r="E3902" s="3" t="s">
        <v>15732</v>
      </c>
      <c r="F3902" s="3" t="s">
        <v>19</v>
      </c>
      <c r="G3902" s="3" t="s">
        <v>6293</v>
      </c>
      <c r="H3902" s="3">
        <v>10.0</v>
      </c>
      <c r="I3902" s="3" t="s">
        <v>15729</v>
      </c>
      <c r="J3902" s="3" t="s">
        <v>22</v>
      </c>
      <c r="K3902" s="3" t="s">
        <v>23</v>
      </c>
      <c r="L3902" s="3" t="s">
        <v>65</v>
      </c>
      <c r="M3902" s="3" t="s">
        <v>66</v>
      </c>
      <c r="N3902" s="3" t="s">
        <v>67</v>
      </c>
      <c r="O3902" s="5">
        <v>1.0</v>
      </c>
      <c r="P3902" s="6" t="str">
        <f t="shared" si="2"/>
        <v>Non - Ferrous Metals</v>
      </c>
    </row>
    <row r="3903" hidden="1">
      <c r="A3903" s="3" t="s">
        <v>15733</v>
      </c>
      <c r="B3903" s="4">
        <v>543805.0</v>
      </c>
      <c r="C3903" s="3" t="s">
        <v>15734</v>
      </c>
      <c r="D3903" s="3" t="s">
        <v>15735</v>
      </c>
      <c r="E3903" s="3" t="s">
        <v>15736</v>
      </c>
      <c r="F3903" s="3" t="s">
        <v>19</v>
      </c>
      <c r="G3903" s="3" t="s">
        <v>2428</v>
      </c>
      <c r="H3903" s="3">
        <v>10.0</v>
      </c>
      <c r="I3903" s="3" t="s">
        <v>15733</v>
      </c>
      <c r="J3903" s="3" t="s">
        <v>22</v>
      </c>
      <c r="K3903" s="3" t="s">
        <v>410</v>
      </c>
      <c r="L3903" s="3" t="s">
        <v>411</v>
      </c>
      <c r="M3903" s="3" t="s">
        <v>5748</v>
      </c>
      <c r="N3903" s="3" t="s">
        <v>5749</v>
      </c>
      <c r="O3903" s="5">
        <v>168.647751</v>
      </c>
      <c r="P3903" s="6" t="str">
        <f t="shared" si="2"/>
        <v>Petroleum Products</v>
      </c>
    </row>
    <row r="3904" hidden="1">
      <c r="A3904" s="3" t="s">
        <v>6038</v>
      </c>
      <c r="B3904" s="4">
        <v>540259.0</v>
      </c>
      <c r="C3904" s="3" t="s">
        <v>15737</v>
      </c>
      <c r="D3904" s="3" t="s">
        <v>15738</v>
      </c>
      <c r="E3904" s="3" t="s">
        <v>15739</v>
      </c>
      <c r="F3904" s="3" t="s">
        <v>19</v>
      </c>
      <c r="G3904" s="3" t="s">
        <v>72</v>
      </c>
      <c r="H3904" s="3">
        <v>5.0</v>
      </c>
      <c r="I3904" s="3" t="s">
        <v>13476</v>
      </c>
      <c r="J3904" s="3" t="s">
        <v>22</v>
      </c>
      <c r="K3904" s="3" t="s">
        <v>1673</v>
      </c>
      <c r="L3904" s="3" t="s">
        <v>1673</v>
      </c>
      <c r="M3904" s="3" t="s">
        <v>1674</v>
      </c>
      <c r="N3904" s="3" t="s">
        <v>1675</v>
      </c>
      <c r="O3904" s="5">
        <v>1.0</v>
      </c>
      <c r="P3904" s="6" t="str">
        <f t="shared" si="2"/>
        <v>Commercial Services &amp; Supplies</v>
      </c>
    </row>
    <row r="3905" hidden="1">
      <c r="A3905" s="3" t="s">
        <v>15740</v>
      </c>
      <c r="B3905" s="4">
        <v>543811.0</v>
      </c>
      <c r="C3905" s="3" t="s">
        <v>15741</v>
      </c>
      <c r="D3905" s="3" t="s">
        <v>15742</v>
      </c>
      <c r="E3905" s="3" t="s">
        <v>15743</v>
      </c>
      <c r="F3905" s="3" t="s">
        <v>19</v>
      </c>
      <c r="G3905" s="3" t="s">
        <v>112</v>
      </c>
      <c r="H3905" s="3">
        <v>2.0</v>
      </c>
      <c r="I3905" s="3" t="s">
        <v>15740</v>
      </c>
      <c r="J3905" s="3" t="s">
        <v>22</v>
      </c>
      <c r="K3905" s="3" t="s">
        <v>473</v>
      </c>
      <c r="L3905" s="3" t="s">
        <v>473</v>
      </c>
      <c r="M3905" s="3" t="s">
        <v>1538</v>
      </c>
      <c r="N3905" s="3" t="s">
        <v>1539</v>
      </c>
      <c r="O3905" s="5">
        <v>377.5106775</v>
      </c>
      <c r="P3905" s="6" t="str">
        <f t="shared" si="2"/>
        <v>IT - Services</v>
      </c>
    </row>
    <row r="3906" hidden="1">
      <c r="A3906" s="3" t="s">
        <v>15744</v>
      </c>
      <c r="B3906" s="4">
        <v>543812.0</v>
      </c>
      <c r="C3906" s="3" t="s">
        <v>15745</v>
      </c>
      <c r="D3906" s="3" t="s">
        <v>15746</v>
      </c>
      <c r="E3906" s="3" t="s">
        <v>15747</v>
      </c>
      <c r="F3906" s="3" t="s">
        <v>19</v>
      </c>
      <c r="G3906" s="3" t="s">
        <v>112</v>
      </c>
      <c r="H3906" s="3">
        <v>5.0</v>
      </c>
      <c r="I3906" s="3" t="s">
        <v>15744</v>
      </c>
      <c r="J3906" s="3" t="s">
        <v>22</v>
      </c>
      <c r="K3906" s="3" t="s">
        <v>58</v>
      </c>
      <c r="L3906" s="3" t="s">
        <v>133</v>
      </c>
      <c r="M3906" s="3" t="s">
        <v>134</v>
      </c>
      <c r="N3906" s="3" t="s">
        <v>135</v>
      </c>
      <c r="O3906" s="5">
        <v>2118.2522674</v>
      </c>
      <c r="P3906" s="6" t="str">
        <f t="shared" si="2"/>
        <v>Auto Components &amp; Equipments</v>
      </c>
    </row>
    <row r="3907" hidden="1">
      <c r="A3907" s="3" t="s">
        <v>15748</v>
      </c>
      <c r="B3907" s="4">
        <v>543814.0</v>
      </c>
      <c r="C3907" s="3" t="s">
        <v>15749</v>
      </c>
      <c r="D3907" s="3" t="s">
        <v>15750</v>
      </c>
      <c r="E3907" s="3" t="s">
        <v>15751</v>
      </c>
      <c r="F3907" s="3" t="s">
        <v>19</v>
      </c>
      <c r="G3907" s="3" t="s">
        <v>6293</v>
      </c>
      <c r="H3907" s="3">
        <v>10.0</v>
      </c>
      <c r="I3907" s="3" t="s">
        <v>15748</v>
      </c>
      <c r="J3907" s="3" t="s">
        <v>22</v>
      </c>
      <c r="K3907" s="3" t="s">
        <v>145</v>
      </c>
      <c r="L3907" s="3" t="s">
        <v>145</v>
      </c>
      <c r="M3907" s="3" t="s">
        <v>146</v>
      </c>
      <c r="N3907" s="3" t="s">
        <v>2645</v>
      </c>
      <c r="O3907" s="5">
        <v>76.039973</v>
      </c>
      <c r="P3907" s="6" t="str">
        <f t="shared" si="2"/>
        <v>Agricultural Food &amp; other Products</v>
      </c>
    </row>
    <row r="3908" hidden="1">
      <c r="A3908" s="3" t="s">
        <v>15752</v>
      </c>
      <c r="B3908" s="4">
        <v>543828.0</v>
      </c>
      <c r="C3908" s="3" t="s">
        <v>15753</v>
      </c>
      <c r="D3908" s="3" t="s">
        <v>15754</v>
      </c>
      <c r="E3908" s="3" t="s">
        <v>15755</v>
      </c>
      <c r="F3908" s="3" t="s">
        <v>19</v>
      </c>
      <c r="G3908" s="3" t="s">
        <v>2428</v>
      </c>
      <c r="H3908" s="3">
        <v>10.0</v>
      </c>
      <c r="I3908" s="3" t="s">
        <v>15752</v>
      </c>
      <c r="J3908" s="3" t="s">
        <v>22</v>
      </c>
      <c r="K3908" s="3" t="s">
        <v>23</v>
      </c>
      <c r="L3908" s="3" t="s">
        <v>24</v>
      </c>
      <c r="M3908" s="3" t="s">
        <v>25</v>
      </c>
      <c r="N3908" s="3" t="s">
        <v>26</v>
      </c>
      <c r="O3908" s="5">
        <v>201.5602805</v>
      </c>
      <c r="P3908" s="6" t="str">
        <f t="shared" si="2"/>
        <v>Specialty Chemicals</v>
      </c>
    </row>
    <row r="3909" hidden="1">
      <c r="A3909" s="3" t="s">
        <v>15756</v>
      </c>
      <c r="B3909" s="4">
        <v>543829.0</v>
      </c>
      <c r="C3909" s="3" t="s">
        <v>15757</v>
      </c>
      <c r="D3909" s="3" t="s">
        <v>15758</v>
      </c>
      <c r="E3909" s="3" t="s">
        <v>15759</v>
      </c>
      <c r="F3909" s="3" t="s">
        <v>19</v>
      </c>
      <c r="G3909" s="3" t="s">
        <v>112</v>
      </c>
      <c r="H3909" s="3">
        <v>10.0</v>
      </c>
      <c r="I3909" s="3" t="s">
        <v>15756</v>
      </c>
      <c r="J3909" s="3" t="s">
        <v>22</v>
      </c>
      <c r="K3909" s="3" t="s">
        <v>58</v>
      </c>
      <c r="L3909" s="3" t="s">
        <v>211</v>
      </c>
      <c r="M3909" s="3" t="s">
        <v>211</v>
      </c>
      <c r="N3909" s="3" t="s">
        <v>4317</v>
      </c>
      <c r="O3909" s="5">
        <v>933.3470081</v>
      </c>
      <c r="P3909" s="6" t="str">
        <f t="shared" si="2"/>
        <v>Consumer Durables</v>
      </c>
    </row>
    <row r="3910" hidden="1">
      <c r="A3910" s="3" t="s">
        <v>15760</v>
      </c>
      <c r="B3910" s="4">
        <v>543830.0</v>
      </c>
      <c r="C3910" s="3" t="s">
        <v>15761</v>
      </c>
      <c r="D3910" s="3" t="s">
        <v>15762</v>
      </c>
      <c r="E3910" s="3" t="s">
        <v>15763</v>
      </c>
      <c r="F3910" s="3" t="s">
        <v>19</v>
      </c>
      <c r="G3910" s="3" t="s">
        <v>2428</v>
      </c>
      <c r="H3910" s="3">
        <v>10.0</v>
      </c>
      <c r="I3910" s="3" t="s">
        <v>15760</v>
      </c>
      <c r="J3910" s="3" t="s">
        <v>22</v>
      </c>
      <c r="K3910" s="3" t="s">
        <v>23</v>
      </c>
      <c r="L3910" s="3" t="s">
        <v>32</v>
      </c>
      <c r="M3910" s="3" t="s">
        <v>33</v>
      </c>
      <c r="N3910" s="3" t="s">
        <v>34</v>
      </c>
      <c r="O3910" s="5">
        <v>21.2481945</v>
      </c>
      <c r="P3910" s="6" t="str">
        <f t="shared" si="2"/>
        <v>Paper, Forest &amp; Jute Products</v>
      </c>
    </row>
    <row r="3911" hidden="1">
      <c r="A3911" s="3" t="s">
        <v>15764</v>
      </c>
      <c r="B3911" s="4">
        <v>543831.0</v>
      </c>
      <c r="C3911" s="3" t="s">
        <v>15765</v>
      </c>
      <c r="D3911" s="3" t="s">
        <v>15766</v>
      </c>
      <c r="E3911" s="3" t="s">
        <v>15767</v>
      </c>
      <c r="F3911" s="3" t="s">
        <v>19</v>
      </c>
      <c r="G3911" s="3" t="s">
        <v>2428</v>
      </c>
      <c r="H3911" s="3">
        <v>10.0</v>
      </c>
      <c r="I3911" s="3" t="s">
        <v>15764</v>
      </c>
      <c r="J3911" s="3" t="s">
        <v>22</v>
      </c>
      <c r="K3911" s="3" t="s">
        <v>58</v>
      </c>
      <c r="L3911" s="3" t="s">
        <v>182</v>
      </c>
      <c r="M3911" s="3" t="s">
        <v>183</v>
      </c>
      <c r="N3911" s="3" t="s">
        <v>6800</v>
      </c>
      <c r="O3911" s="5">
        <v>636.2893763</v>
      </c>
      <c r="P3911" s="6" t="str">
        <f t="shared" si="2"/>
        <v>Media</v>
      </c>
    </row>
    <row r="3912" hidden="1">
      <c r="A3912" s="3" t="s">
        <v>15768</v>
      </c>
      <c r="B3912" s="4">
        <v>543843.0</v>
      </c>
      <c r="C3912" s="3" t="s">
        <v>15769</v>
      </c>
      <c r="D3912" s="3" t="s">
        <v>15770</v>
      </c>
      <c r="E3912" s="3" t="s">
        <v>15771</v>
      </c>
      <c r="F3912" s="3" t="s">
        <v>19</v>
      </c>
      <c r="G3912" s="3" t="s">
        <v>2428</v>
      </c>
      <c r="H3912" s="3">
        <v>10.0</v>
      </c>
      <c r="I3912" s="3" t="s">
        <v>15768</v>
      </c>
      <c r="J3912" s="3" t="s">
        <v>22</v>
      </c>
      <c r="K3912" s="3" t="s">
        <v>97</v>
      </c>
      <c r="L3912" s="3" t="s">
        <v>98</v>
      </c>
      <c r="M3912" s="3" t="s">
        <v>100</v>
      </c>
      <c r="N3912" s="3" t="s">
        <v>580</v>
      </c>
      <c r="O3912" s="5">
        <v>25.97346</v>
      </c>
      <c r="P3912" s="6" t="str">
        <f t="shared" si="2"/>
        <v>Industrial Products</v>
      </c>
    </row>
    <row r="3913" hidden="1">
      <c r="A3913" s="3" t="s">
        <v>15772</v>
      </c>
      <c r="B3913" s="4">
        <v>543848.0</v>
      </c>
      <c r="C3913" s="3" t="s">
        <v>15773</v>
      </c>
      <c r="D3913" s="3" t="s">
        <v>15774</v>
      </c>
      <c r="E3913" s="3" t="s">
        <v>15775</v>
      </c>
      <c r="F3913" s="3" t="s">
        <v>19</v>
      </c>
      <c r="G3913" s="3" t="s">
        <v>2428</v>
      </c>
      <c r="H3913" s="3">
        <v>10.0</v>
      </c>
      <c r="I3913" s="3" t="s">
        <v>15772</v>
      </c>
      <c r="J3913" s="3" t="s">
        <v>22</v>
      </c>
      <c r="K3913" s="3" t="s">
        <v>58</v>
      </c>
      <c r="L3913" s="3" t="s">
        <v>211</v>
      </c>
      <c r="M3913" s="3" t="s">
        <v>211</v>
      </c>
      <c r="N3913" s="3" t="s">
        <v>947</v>
      </c>
      <c r="O3913" s="5">
        <v>91.1333948</v>
      </c>
      <c r="P3913" s="6" t="str">
        <f t="shared" si="2"/>
        <v>Consumer Durables</v>
      </c>
    </row>
    <row r="3914" hidden="1">
      <c r="A3914" s="3" t="s">
        <v>15776</v>
      </c>
      <c r="B3914" s="4">
        <v>543860.0</v>
      </c>
      <c r="C3914" s="3" t="s">
        <v>15777</v>
      </c>
      <c r="D3914" s="3" t="s">
        <v>15778</v>
      </c>
      <c r="E3914" s="3" t="s">
        <v>15779</v>
      </c>
      <c r="F3914" s="3" t="s">
        <v>19</v>
      </c>
      <c r="G3914" s="3" t="s">
        <v>44</v>
      </c>
      <c r="H3914" s="3">
        <v>10.0</v>
      </c>
      <c r="I3914" s="3" t="s">
        <v>15776</v>
      </c>
      <c r="J3914" s="3" t="s">
        <v>22</v>
      </c>
      <c r="K3914" s="3" t="s">
        <v>204</v>
      </c>
      <c r="L3914" s="3" t="s">
        <v>204</v>
      </c>
      <c r="M3914" s="3" t="s">
        <v>378</v>
      </c>
      <c r="N3914" s="3" t="s">
        <v>379</v>
      </c>
      <c r="O3914" s="5">
        <v>31.1302712</v>
      </c>
      <c r="P3914" s="6" t="str">
        <f t="shared" si="2"/>
        <v>Non Banking Financial Company (NBFC)</v>
      </c>
    </row>
    <row r="3915" hidden="1">
      <c r="A3915" s="3" t="s">
        <v>15780</v>
      </c>
      <c r="B3915" s="4">
        <v>543861.0</v>
      </c>
      <c r="C3915" s="3" t="s">
        <v>15781</v>
      </c>
      <c r="D3915" s="3" t="s">
        <v>15782</v>
      </c>
      <c r="E3915" s="3" t="s">
        <v>15783</v>
      </c>
      <c r="F3915" s="3" t="s">
        <v>19</v>
      </c>
      <c r="G3915" s="3" t="s">
        <v>86</v>
      </c>
      <c r="H3915" s="3">
        <v>10.0</v>
      </c>
      <c r="I3915" s="3" t="s">
        <v>15780</v>
      </c>
      <c r="J3915" s="3" t="s">
        <v>22</v>
      </c>
      <c r="K3915" s="3" t="s">
        <v>97</v>
      </c>
      <c r="L3915" s="3" t="s">
        <v>965</v>
      </c>
      <c r="M3915" s="3" t="s">
        <v>965</v>
      </c>
      <c r="N3915" s="3" t="s">
        <v>966</v>
      </c>
      <c r="O3915" s="5">
        <v>417.9097747</v>
      </c>
      <c r="P3915" s="6" t="str">
        <f t="shared" si="2"/>
        <v>Civil Construction</v>
      </c>
    </row>
    <row r="3916" hidden="1">
      <c r="A3916" s="3" t="s">
        <v>15784</v>
      </c>
      <c r="B3916" s="4">
        <v>543874.0</v>
      </c>
      <c r="C3916" s="3" t="s">
        <v>15785</v>
      </c>
      <c r="D3916" s="3" t="s">
        <v>15786</v>
      </c>
      <c r="E3916" s="3" t="s">
        <v>15787</v>
      </c>
      <c r="F3916" s="3" t="s">
        <v>19</v>
      </c>
      <c r="G3916" s="3" t="s">
        <v>2428</v>
      </c>
      <c r="H3916" s="3">
        <v>10.0</v>
      </c>
      <c r="I3916" s="3" t="s">
        <v>15784</v>
      </c>
      <c r="J3916" s="3" t="s">
        <v>22</v>
      </c>
      <c r="K3916" s="3" t="s">
        <v>97</v>
      </c>
      <c r="L3916" s="3" t="s">
        <v>98</v>
      </c>
      <c r="M3916" s="3" t="s">
        <v>100</v>
      </c>
      <c r="N3916" s="3" t="s">
        <v>612</v>
      </c>
      <c r="O3916" s="5">
        <v>129.0814778</v>
      </c>
      <c r="P3916" s="6" t="str">
        <f t="shared" si="2"/>
        <v>Industrial Products</v>
      </c>
    </row>
    <row r="3917" hidden="1">
      <c r="A3917" s="3" t="s">
        <v>15788</v>
      </c>
      <c r="B3917" s="4">
        <v>543895.0</v>
      </c>
      <c r="C3917" s="3" t="s">
        <v>15789</v>
      </c>
      <c r="D3917" s="3" t="s">
        <v>15790</v>
      </c>
      <c r="E3917" s="3" t="s">
        <v>15791</v>
      </c>
      <c r="F3917" s="3" t="s">
        <v>19</v>
      </c>
      <c r="G3917" s="3" t="s">
        <v>2428</v>
      </c>
      <c r="H3917" s="3">
        <v>10.0</v>
      </c>
      <c r="I3917" s="3" t="s">
        <v>15788</v>
      </c>
      <c r="J3917" s="3" t="s">
        <v>22</v>
      </c>
      <c r="K3917" s="3" t="s">
        <v>58</v>
      </c>
      <c r="L3917" s="3" t="s">
        <v>73</v>
      </c>
      <c r="M3917" s="3" t="s">
        <v>800</v>
      </c>
      <c r="N3917" s="3" t="s">
        <v>800</v>
      </c>
      <c r="O3917" s="5">
        <v>359.232284</v>
      </c>
      <c r="P3917" s="6" t="str">
        <f t="shared" si="2"/>
        <v>Other Consumer Services</v>
      </c>
    </row>
    <row r="3918" hidden="1">
      <c r="A3918" s="3" t="s">
        <v>15792</v>
      </c>
      <c r="B3918" s="4">
        <v>543896.0</v>
      </c>
      <c r="C3918" s="3" t="s">
        <v>15793</v>
      </c>
      <c r="D3918" s="3" t="s">
        <v>15794</v>
      </c>
      <c r="E3918" s="3" t="s">
        <v>15795</v>
      </c>
      <c r="F3918" s="3" t="s">
        <v>19</v>
      </c>
      <c r="G3918" s="3" t="s">
        <v>112</v>
      </c>
      <c r="H3918" s="3">
        <v>2.0</v>
      </c>
      <c r="I3918" s="3" t="s">
        <v>15792</v>
      </c>
      <c r="J3918" s="3" t="s">
        <v>22</v>
      </c>
      <c r="K3918" s="3" t="s">
        <v>97</v>
      </c>
      <c r="L3918" s="3" t="s">
        <v>98</v>
      </c>
      <c r="M3918" s="3" t="s">
        <v>1747</v>
      </c>
      <c r="N3918" s="3" t="s">
        <v>1748</v>
      </c>
      <c r="O3918" s="5">
        <v>3522.9087141</v>
      </c>
      <c r="P3918" s="6" t="str">
        <f t="shared" si="2"/>
        <v>Electrical Equipment</v>
      </c>
    </row>
    <row r="3919" hidden="1">
      <c r="A3919" s="3" t="s">
        <v>15796</v>
      </c>
      <c r="B3919" s="4">
        <v>543897.0</v>
      </c>
      <c r="C3919" s="3" t="s">
        <v>15797</v>
      </c>
      <c r="D3919" s="3" t="s">
        <v>15798</v>
      </c>
      <c r="E3919" s="3" t="s">
        <v>15799</v>
      </c>
      <c r="F3919" s="3" t="s">
        <v>19</v>
      </c>
      <c r="G3919" s="3" t="s">
        <v>2428</v>
      </c>
      <c r="H3919" s="3">
        <v>10.0</v>
      </c>
      <c r="I3919" s="3" t="s">
        <v>15796</v>
      </c>
      <c r="J3919" s="3" t="s">
        <v>22</v>
      </c>
      <c r="K3919" s="3" t="s">
        <v>473</v>
      </c>
      <c r="L3919" s="3" t="s">
        <v>473</v>
      </c>
      <c r="M3919" s="3" t="s">
        <v>1538</v>
      </c>
      <c r="N3919" s="3" t="s">
        <v>1539</v>
      </c>
      <c r="O3919" s="5">
        <v>25.7252474</v>
      </c>
      <c r="P3919" s="6" t="str">
        <f t="shared" si="2"/>
        <v>IT - Services</v>
      </c>
    </row>
    <row r="3920" hidden="1">
      <c r="A3920" s="3" t="s">
        <v>15800</v>
      </c>
      <c r="B3920" s="4">
        <v>543898.0</v>
      </c>
      <c r="C3920" s="3" t="s">
        <v>15801</v>
      </c>
      <c r="D3920" s="3" t="s">
        <v>15802</v>
      </c>
      <c r="E3920" s="3" t="s">
        <v>15803</v>
      </c>
      <c r="F3920" s="3" t="s">
        <v>19</v>
      </c>
      <c r="G3920" s="3" t="s">
        <v>112</v>
      </c>
      <c r="H3920" s="3">
        <v>10.0</v>
      </c>
      <c r="I3920" s="3" t="s">
        <v>15800</v>
      </c>
      <c r="J3920" s="3" t="s">
        <v>22</v>
      </c>
      <c r="K3920" s="3" t="s">
        <v>58</v>
      </c>
      <c r="L3920" s="3" t="s">
        <v>59</v>
      </c>
      <c r="M3920" s="3" t="s">
        <v>59</v>
      </c>
      <c r="N3920" s="3" t="s">
        <v>60</v>
      </c>
      <c r="O3920" s="5">
        <v>1256.1591415</v>
      </c>
      <c r="P3920" s="6" t="str">
        <f t="shared" si="2"/>
        <v>Residential, Commercial Projects</v>
      </c>
    </row>
    <row r="3921" hidden="1">
      <c r="A3921" s="3" t="s">
        <v>15804</v>
      </c>
      <c r="B3921" s="4">
        <v>543901.0</v>
      </c>
      <c r="C3921" s="3" t="s">
        <v>15805</v>
      </c>
      <c r="D3921" s="3" t="s">
        <v>15806</v>
      </c>
      <c r="E3921" s="3" t="s">
        <v>15807</v>
      </c>
      <c r="F3921" s="3" t="s">
        <v>19</v>
      </c>
      <c r="G3921" s="3" t="s">
        <v>112</v>
      </c>
      <c r="H3921" s="3">
        <v>10.0</v>
      </c>
      <c r="I3921" s="3" t="s">
        <v>15804</v>
      </c>
      <c r="J3921" s="3" t="s">
        <v>22</v>
      </c>
      <c r="K3921" s="3" t="s">
        <v>58</v>
      </c>
      <c r="L3921" s="3" t="s">
        <v>73</v>
      </c>
      <c r="M3921" s="3" t="s">
        <v>74</v>
      </c>
      <c r="N3921" s="3" t="s">
        <v>75</v>
      </c>
      <c r="O3921" s="5">
        <v>322.543818</v>
      </c>
      <c r="P3921" s="6" t="str">
        <f t="shared" si="2"/>
        <v>Leisure Services</v>
      </c>
    </row>
    <row r="3922" hidden="1">
      <c r="A3922" s="3" t="s">
        <v>15808</v>
      </c>
      <c r="B3922" s="4">
        <v>543902.0</v>
      </c>
      <c r="C3922" s="3" t="s">
        <v>15809</v>
      </c>
      <c r="D3922" s="3" t="s">
        <v>15810</v>
      </c>
      <c r="E3922" s="3" t="s">
        <v>15811</v>
      </c>
      <c r="F3922" s="3" t="s">
        <v>19</v>
      </c>
      <c r="G3922" s="3" t="s">
        <v>2428</v>
      </c>
      <c r="H3922" s="3">
        <v>10.0</v>
      </c>
      <c r="I3922" s="3" t="s">
        <v>15808</v>
      </c>
      <c r="J3922" s="3" t="s">
        <v>22</v>
      </c>
      <c r="K3922" s="3" t="s">
        <v>58</v>
      </c>
      <c r="L3922" s="3" t="s">
        <v>211</v>
      </c>
      <c r="M3922" s="3" t="s">
        <v>211</v>
      </c>
      <c r="N3922" s="3" t="s">
        <v>956</v>
      </c>
      <c r="O3922" s="5">
        <v>117.5624287</v>
      </c>
      <c r="P3922" s="6" t="str">
        <f t="shared" si="2"/>
        <v>Consumer Durables</v>
      </c>
    </row>
    <row r="3923">
      <c r="A3923" s="3" t="s">
        <v>12318</v>
      </c>
      <c r="B3923" s="4">
        <v>540673.0</v>
      </c>
      <c r="C3923" s="3" t="s">
        <v>15812</v>
      </c>
      <c r="D3923" s="3" t="s">
        <v>15813</v>
      </c>
      <c r="E3923" s="3" t="s">
        <v>15814</v>
      </c>
      <c r="F3923" s="3" t="s">
        <v>19</v>
      </c>
      <c r="G3923" s="3" t="s">
        <v>20</v>
      </c>
      <c r="H3923" s="3">
        <v>5.0</v>
      </c>
      <c r="I3923" s="3" t="s">
        <v>13693</v>
      </c>
      <c r="J3923" s="3" t="s">
        <v>22</v>
      </c>
      <c r="K3923" s="3" t="s">
        <v>1673</v>
      </c>
      <c r="L3923" s="3" t="s">
        <v>1673</v>
      </c>
      <c r="M3923" s="3" t="s">
        <v>1674</v>
      </c>
      <c r="N3923" s="3" t="s">
        <v>1675</v>
      </c>
      <c r="O3923" s="5">
        <v>6493.0826828</v>
      </c>
      <c r="P3923" s="6" t="str">
        <f t="shared" si="2"/>
        <v>Commercial Services &amp; Supplies</v>
      </c>
    </row>
    <row r="3924" hidden="1">
      <c r="A3924" s="3" t="s">
        <v>15815</v>
      </c>
      <c r="B3924" s="4">
        <v>543905.0</v>
      </c>
      <c r="C3924" s="3" t="s">
        <v>15816</v>
      </c>
      <c r="D3924" s="3" t="s">
        <v>15817</v>
      </c>
      <c r="E3924" s="3" t="s">
        <v>15818</v>
      </c>
      <c r="F3924" s="3" t="s">
        <v>19</v>
      </c>
      <c r="G3924" s="3" t="s">
        <v>2428</v>
      </c>
      <c r="H3924" s="3">
        <v>10.0</v>
      </c>
      <c r="I3924" s="3" t="s">
        <v>15815</v>
      </c>
      <c r="J3924" s="3" t="s">
        <v>22</v>
      </c>
      <c r="K3924" s="3" t="s">
        <v>58</v>
      </c>
      <c r="L3924" s="3" t="s">
        <v>182</v>
      </c>
      <c r="M3924" s="3" t="s">
        <v>183</v>
      </c>
      <c r="N3924" s="3" t="s">
        <v>6800</v>
      </c>
      <c r="O3924" s="5">
        <v>49.9360115</v>
      </c>
      <c r="P3924" s="6" t="str">
        <f t="shared" si="2"/>
        <v>Media</v>
      </c>
    </row>
    <row r="3925" hidden="1">
      <c r="A3925" s="3" t="s">
        <v>3583</v>
      </c>
      <c r="B3925" s="4">
        <v>540267.0</v>
      </c>
      <c r="C3925" s="3" t="s">
        <v>15819</v>
      </c>
      <c r="D3925" s="3" t="s">
        <v>15820</v>
      </c>
      <c r="E3925" s="3" t="s">
        <v>15821</v>
      </c>
      <c r="F3925" s="3" t="s">
        <v>19</v>
      </c>
      <c r="G3925" s="3" t="s">
        <v>44</v>
      </c>
      <c r="H3925" s="3">
        <v>10.0</v>
      </c>
      <c r="I3925" s="3" t="s">
        <v>13480</v>
      </c>
      <c r="J3925" s="3" t="s">
        <v>22</v>
      </c>
      <c r="K3925" s="3" t="s">
        <v>1673</v>
      </c>
      <c r="L3925" s="3" t="s">
        <v>1673</v>
      </c>
      <c r="M3925" s="3" t="s">
        <v>1674</v>
      </c>
      <c r="N3925" s="3" t="s">
        <v>1915</v>
      </c>
      <c r="O3925" s="5">
        <v>1.0</v>
      </c>
      <c r="P3925" s="6" t="str">
        <f t="shared" si="2"/>
        <v>Commercial Services &amp; Supplies</v>
      </c>
    </row>
    <row r="3926" hidden="1">
      <c r="A3926" s="3" t="s">
        <v>15822</v>
      </c>
      <c r="B3926" s="4">
        <v>543911.0</v>
      </c>
      <c r="C3926" s="3" t="s">
        <v>15823</v>
      </c>
      <c r="D3926" s="3" t="s">
        <v>15824</v>
      </c>
      <c r="E3926" s="3" t="s">
        <v>15825</v>
      </c>
      <c r="F3926" s="3" t="s">
        <v>19</v>
      </c>
      <c r="G3926" s="3" t="s">
        <v>86</v>
      </c>
      <c r="H3926" s="3">
        <v>2.0</v>
      </c>
      <c r="I3926" s="3" t="s">
        <v>15822</v>
      </c>
      <c r="J3926" s="3" t="s">
        <v>22</v>
      </c>
      <c r="K3926" s="3" t="s">
        <v>58</v>
      </c>
      <c r="L3926" s="3" t="s">
        <v>59</v>
      </c>
      <c r="M3926" s="3" t="s">
        <v>59</v>
      </c>
      <c r="N3926" s="3" t="s">
        <v>60</v>
      </c>
      <c r="O3926" s="5">
        <v>55.4226052</v>
      </c>
      <c r="P3926" s="6" t="str">
        <f t="shared" si="2"/>
        <v>Residential, Commercial Projects</v>
      </c>
    </row>
    <row r="3927" hidden="1">
      <c r="A3927" s="3" t="s">
        <v>15826</v>
      </c>
      <c r="B3927" s="4">
        <v>543912.0</v>
      </c>
      <c r="C3927" s="3" t="s">
        <v>15827</v>
      </c>
      <c r="D3927" s="3" t="s">
        <v>15828</v>
      </c>
      <c r="E3927" s="3" t="s">
        <v>15829</v>
      </c>
      <c r="F3927" s="3" t="s">
        <v>19</v>
      </c>
      <c r="G3927" s="3" t="s">
        <v>86</v>
      </c>
      <c r="H3927" s="3">
        <v>10.0</v>
      </c>
      <c r="I3927" s="3" t="s">
        <v>15826</v>
      </c>
      <c r="J3927" s="3" t="s">
        <v>22</v>
      </c>
      <c r="K3927" s="3" t="s">
        <v>97</v>
      </c>
      <c r="L3927" s="3" t="s">
        <v>98</v>
      </c>
      <c r="M3927" s="3" t="s">
        <v>1747</v>
      </c>
      <c r="N3927" s="3" t="s">
        <v>1748</v>
      </c>
      <c r="O3927" s="5">
        <v>92.2294351</v>
      </c>
      <c r="P3927" s="6" t="str">
        <f t="shared" si="2"/>
        <v>Electrical Equipment</v>
      </c>
    </row>
    <row r="3928" hidden="1">
      <c r="A3928" s="3" t="s">
        <v>15830</v>
      </c>
      <c r="B3928" s="4">
        <v>543914.0</v>
      </c>
      <c r="C3928" s="3" t="s">
        <v>15831</v>
      </c>
      <c r="D3928" s="3" t="s">
        <v>15832</v>
      </c>
      <c r="E3928" s="3" t="s">
        <v>15833</v>
      </c>
      <c r="F3928" s="3" t="s">
        <v>19</v>
      </c>
      <c r="G3928" s="3" t="s">
        <v>72</v>
      </c>
      <c r="H3928" s="3">
        <v>10.0</v>
      </c>
      <c r="I3928" s="3" t="s">
        <v>15830</v>
      </c>
      <c r="J3928" s="3" t="s">
        <v>22</v>
      </c>
      <c r="K3928" s="3" t="s">
        <v>204</v>
      </c>
      <c r="L3928" s="3" t="s">
        <v>204</v>
      </c>
      <c r="M3928" s="3" t="s">
        <v>378</v>
      </c>
      <c r="N3928" s="3" t="s">
        <v>379</v>
      </c>
      <c r="O3928" s="5">
        <v>203.4323678</v>
      </c>
      <c r="P3928" s="6" t="str">
        <f t="shared" si="2"/>
        <v>Non Banking Financial Company (NBFC)</v>
      </c>
    </row>
    <row r="3929" hidden="1">
      <c r="A3929" s="3" t="s">
        <v>15834</v>
      </c>
      <c r="B3929" s="4">
        <v>543915.0</v>
      </c>
      <c r="C3929" s="3" t="s">
        <v>15835</v>
      </c>
      <c r="D3929" s="3" t="s">
        <v>15836</v>
      </c>
      <c r="E3929" s="3" t="s">
        <v>15837</v>
      </c>
      <c r="F3929" s="3" t="s">
        <v>19</v>
      </c>
      <c r="G3929" s="3" t="s">
        <v>112</v>
      </c>
      <c r="H3929" s="3">
        <v>10.0</v>
      </c>
      <c r="I3929" s="3" t="s">
        <v>15834</v>
      </c>
      <c r="J3929" s="3" t="s">
        <v>22</v>
      </c>
      <c r="K3929" s="3" t="s">
        <v>58</v>
      </c>
      <c r="L3929" s="3" t="s">
        <v>133</v>
      </c>
      <c r="M3929" s="3" t="s">
        <v>134</v>
      </c>
      <c r="N3929" s="3" t="s">
        <v>135</v>
      </c>
      <c r="O3929" s="5">
        <v>631.0400847</v>
      </c>
      <c r="P3929" s="6" t="str">
        <f t="shared" si="2"/>
        <v>Auto Components &amp; Equipments</v>
      </c>
    </row>
    <row r="3930" hidden="1">
      <c r="A3930" s="3" t="s">
        <v>15838</v>
      </c>
      <c r="B3930" s="4">
        <v>543916.0</v>
      </c>
      <c r="C3930" s="3" t="s">
        <v>15839</v>
      </c>
      <c r="D3930" s="3" t="s">
        <v>15840</v>
      </c>
      <c r="E3930" s="3" t="s">
        <v>15841</v>
      </c>
      <c r="F3930" s="3" t="s">
        <v>19</v>
      </c>
      <c r="G3930" s="3" t="s">
        <v>2428</v>
      </c>
      <c r="H3930" s="3">
        <v>10.0</v>
      </c>
      <c r="I3930" s="3" t="s">
        <v>15838</v>
      </c>
      <c r="J3930" s="3" t="s">
        <v>22</v>
      </c>
      <c r="K3930" s="3" t="s">
        <v>45</v>
      </c>
      <c r="L3930" s="3" t="s">
        <v>45</v>
      </c>
      <c r="M3930" s="3" t="s">
        <v>7249</v>
      </c>
      <c r="N3930" s="3" t="s">
        <v>7250</v>
      </c>
      <c r="O3930" s="5">
        <v>140.3054835</v>
      </c>
      <c r="P3930" s="6" t="str">
        <f t="shared" si="2"/>
        <v>Healthcare Equipment &amp; Supplies</v>
      </c>
    </row>
    <row r="3931" hidden="1">
      <c r="A3931" s="3" t="s">
        <v>15842</v>
      </c>
      <c r="B3931" s="4">
        <v>543917.0</v>
      </c>
      <c r="C3931" s="3" t="s">
        <v>15843</v>
      </c>
      <c r="D3931" s="3" t="s">
        <v>15844</v>
      </c>
      <c r="E3931" s="3" t="s">
        <v>15845</v>
      </c>
      <c r="F3931" s="3" t="s">
        <v>19</v>
      </c>
      <c r="G3931" s="3" t="s">
        <v>112</v>
      </c>
      <c r="H3931" s="3">
        <v>10.0</v>
      </c>
      <c r="I3931" s="3" t="s">
        <v>15842</v>
      </c>
      <c r="J3931" s="3" t="s">
        <v>22</v>
      </c>
      <c r="K3931" s="3" t="s">
        <v>473</v>
      </c>
      <c r="L3931" s="3" t="s">
        <v>473</v>
      </c>
      <c r="M3931" s="3" t="s">
        <v>1538</v>
      </c>
      <c r="N3931" s="3" t="s">
        <v>1539</v>
      </c>
      <c r="O3931" s="5">
        <v>415.2037054</v>
      </c>
      <c r="P3931" s="6" t="str">
        <f t="shared" si="2"/>
        <v>IT - Services</v>
      </c>
    </row>
    <row r="3932" hidden="1">
      <c r="A3932" s="3" t="s">
        <v>15846</v>
      </c>
      <c r="B3932" s="4">
        <v>543918.0</v>
      </c>
      <c r="C3932" s="3" t="s">
        <v>15847</v>
      </c>
      <c r="D3932" s="3" t="s">
        <v>15848</v>
      </c>
      <c r="E3932" s="3" t="s">
        <v>15849</v>
      </c>
      <c r="F3932" s="3" t="s">
        <v>19</v>
      </c>
      <c r="G3932" s="3" t="s">
        <v>112</v>
      </c>
      <c r="H3932" s="3">
        <v>2.0</v>
      </c>
      <c r="I3932" s="3" t="s">
        <v>15846</v>
      </c>
      <c r="J3932" s="3" t="s">
        <v>22</v>
      </c>
      <c r="K3932" s="3" t="s">
        <v>58</v>
      </c>
      <c r="L3932" s="3" t="s">
        <v>80</v>
      </c>
      <c r="M3932" s="3" t="s">
        <v>81</v>
      </c>
      <c r="N3932" s="3" t="s">
        <v>82</v>
      </c>
      <c r="O3932" s="5">
        <v>881.5622155</v>
      </c>
      <c r="P3932" s="6" t="str">
        <f t="shared" si="2"/>
        <v>Textiles &amp; Apparels</v>
      </c>
    </row>
    <row r="3933" hidden="1">
      <c r="A3933" s="3" t="s">
        <v>15850</v>
      </c>
      <c r="B3933" s="4">
        <v>543919.0</v>
      </c>
      <c r="C3933" s="3" t="s">
        <v>15851</v>
      </c>
      <c r="D3933" s="3" t="s">
        <v>15852</v>
      </c>
      <c r="E3933" s="3" t="s">
        <v>15853</v>
      </c>
      <c r="F3933" s="3" t="s">
        <v>19</v>
      </c>
      <c r="G3933" s="3" t="s">
        <v>86</v>
      </c>
      <c r="H3933" s="3">
        <v>1.0</v>
      </c>
      <c r="I3933" s="3" t="s">
        <v>15850</v>
      </c>
      <c r="J3933" s="3" t="s">
        <v>22</v>
      </c>
      <c r="K3933" s="3" t="s">
        <v>145</v>
      </c>
      <c r="L3933" s="3" t="s">
        <v>145</v>
      </c>
      <c r="M3933" s="3" t="s">
        <v>146</v>
      </c>
      <c r="N3933" s="3" t="s">
        <v>575</v>
      </c>
      <c r="O3933" s="5">
        <v>440.9409882</v>
      </c>
      <c r="P3933" s="6" t="str">
        <f t="shared" si="2"/>
        <v>Agricultural Food &amp; other Products</v>
      </c>
    </row>
    <row r="3934" hidden="1">
      <c r="A3934" s="3" t="s">
        <v>15854</v>
      </c>
      <c r="B3934" s="4">
        <v>543920.0</v>
      </c>
      <c r="C3934" s="3" t="s">
        <v>15855</v>
      </c>
      <c r="D3934" s="3" t="s">
        <v>15856</v>
      </c>
      <c r="E3934" s="3" t="s">
        <v>15857</v>
      </c>
      <c r="F3934" s="3" t="s">
        <v>19</v>
      </c>
      <c r="G3934" s="3" t="s">
        <v>2428</v>
      </c>
      <c r="H3934" s="3">
        <v>10.0</v>
      </c>
      <c r="I3934" s="3" t="s">
        <v>15854</v>
      </c>
      <c r="J3934" s="3" t="s">
        <v>22</v>
      </c>
      <c r="K3934" s="3" t="s">
        <v>97</v>
      </c>
      <c r="L3934" s="3" t="s">
        <v>98</v>
      </c>
      <c r="M3934" s="3" t="s">
        <v>806</v>
      </c>
      <c r="N3934" s="3" t="s">
        <v>806</v>
      </c>
      <c r="O3934" s="5">
        <v>1628.8951404</v>
      </c>
      <c r="P3934" s="6" t="str">
        <f t="shared" si="2"/>
        <v>Aerospace &amp; Defense</v>
      </c>
    </row>
    <row r="3935" hidden="1">
      <c r="A3935" s="3" t="s">
        <v>15858</v>
      </c>
      <c r="B3935" s="4">
        <v>543921.0</v>
      </c>
      <c r="C3935" s="3" t="s">
        <v>15859</v>
      </c>
      <c r="D3935" s="3" t="s">
        <v>15860</v>
      </c>
      <c r="E3935" s="3" t="s">
        <v>15861</v>
      </c>
      <c r="F3935" s="3" t="s">
        <v>19</v>
      </c>
      <c r="G3935" s="3" t="s">
        <v>2428</v>
      </c>
      <c r="H3935" s="3">
        <v>10.0</v>
      </c>
      <c r="I3935" s="3" t="s">
        <v>15858</v>
      </c>
      <c r="J3935" s="3" t="s">
        <v>22</v>
      </c>
      <c r="K3935" s="3" t="s">
        <v>58</v>
      </c>
      <c r="L3935" s="3" t="s">
        <v>211</v>
      </c>
      <c r="M3935" s="3" t="s">
        <v>211</v>
      </c>
      <c r="N3935" s="3" t="s">
        <v>212</v>
      </c>
      <c r="O3935" s="5">
        <v>72.8724595</v>
      </c>
      <c r="P3935" s="6" t="str">
        <f t="shared" si="2"/>
        <v>Consumer Durables</v>
      </c>
    </row>
    <row r="3936" hidden="1">
      <c r="A3936" s="3" t="s">
        <v>15862</v>
      </c>
      <c r="B3936" s="4">
        <v>543923.0</v>
      </c>
      <c r="C3936" s="3" t="s">
        <v>15863</v>
      </c>
      <c r="D3936" s="3" t="s">
        <v>15864</v>
      </c>
      <c r="E3936" s="3" t="s">
        <v>15865</v>
      </c>
      <c r="F3936" s="3" t="s">
        <v>19</v>
      </c>
      <c r="G3936" s="3" t="s">
        <v>112</v>
      </c>
      <c r="H3936" s="3">
        <v>10.0</v>
      </c>
      <c r="I3936" s="3" t="s">
        <v>15862</v>
      </c>
      <c r="J3936" s="3" t="s">
        <v>22</v>
      </c>
      <c r="K3936" s="3" t="s">
        <v>58</v>
      </c>
      <c r="L3936" s="3" t="s">
        <v>211</v>
      </c>
      <c r="M3936" s="3" t="s">
        <v>211</v>
      </c>
      <c r="N3936" s="3" t="s">
        <v>212</v>
      </c>
      <c r="O3936" s="5">
        <v>2236.8096693</v>
      </c>
      <c r="P3936" s="6" t="str">
        <f t="shared" si="2"/>
        <v>Consumer Durables</v>
      </c>
    </row>
    <row r="3937" hidden="1">
      <c r="A3937" s="3" t="s">
        <v>15866</v>
      </c>
      <c r="B3937" s="4">
        <v>543924.0</v>
      </c>
      <c r="C3937" s="3" t="s">
        <v>15867</v>
      </c>
      <c r="D3937" s="3" t="s">
        <v>15868</v>
      </c>
      <c r="E3937" s="3" t="s">
        <v>15869</v>
      </c>
      <c r="F3937" s="3" t="s">
        <v>19</v>
      </c>
      <c r="G3937" s="3" t="s">
        <v>2428</v>
      </c>
      <c r="H3937" s="3">
        <v>10.0</v>
      </c>
      <c r="I3937" s="3" t="s">
        <v>15866</v>
      </c>
      <c r="J3937" s="3" t="s">
        <v>22</v>
      </c>
      <c r="K3937" s="3" t="s">
        <v>145</v>
      </c>
      <c r="L3937" s="3" t="s">
        <v>145</v>
      </c>
      <c r="M3937" s="3" t="s">
        <v>597</v>
      </c>
      <c r="N3937" s="3" t="s">
        <v>2344</v>
      </c>
      <c r="O3937" s="5">
        <v>12.8119317</v>
      </c>
      <c r="P3937" s="6" t="str">
        <f t="shared" si="2"/>
        <v>Food Products</v>
      </c>
    </row>
    <row r="3938" hidden="1">
      <c r="A3938" s="3" t="s">
        <v>15870</v>
      </c>
      <c r="B3938" s="4">
        <v>543926.0</v>
      </c>
      <c r="C3938" s="3" t="s">
        <v>15871</v>
      </c>
      <c r="D3938" s="3" t="s">
        <v>15872</v>
      </c>
      <c r="E3938" s="3" t="s">
        <v>15873</v>
      </c>
      <c r="F3938" s="3" t="s">
        <v>19</v>
      </c>
      <c r="G3938" s="3" t="s">
        <v>2428</v>
      </c>
      <c r="H3938" s="3">
        <v>10.0</v>
      </c>
      <c r="I3938" s="3" t="s">
        <v>15870</v>
      </c>
      <c r="J3938" s="3" t="s">
        <v>22</v>
      </c>
      <c r="K3938" s="3" t="s">
        <v>58</v>
      </c>
      <c r="L3938" s="3" t="s">
        <v>80</v>
      </c>
      <c r="M3938" s="3" t="s">
        <v>81</v>
      </c>
      <c r="N3938" s="3" t="s">
        <v>944</v>
      </c>
      <c r="O3938" s="5">
        <v>41.719115</v>
      </c>
      <c r="P3938" s="6" t="str">
        <f t="shared" si="2"/>
        <v>Textiles &amp; Apparels</v>
      </c>
    </row>
    <row r="3939" hidden="1">
      <c r="A3939" s="3" t="s">
        <v>15874</v>
      </c>
      <c r="B3939" s="4">
        <v>543927.0</v>
      </c>
      <c r="C3939" s="3" t="s">
        <v>15875</v>
      </c>
      <c r="D3939" s="3" t="s">
        <v>15876</v>
      </c>
      <c r="E3939" s="3" t="s">
        <v>15877</v>
      </c>
      <c r="F3939" s="3" t="s">
        <v>19</v>
      </c>
      <c r="G3939" s="3" t="s">
        <v>72</v>
      </c>
      <c r="H3939" s="3">
        <v>10.0</v>
      </c>
      <c r="I3939" s="3" t="s">
        <v>15874</v>
      </c>
      <c r="J3939" s="3" t="s">
        <v>22</v>
      </c>
      <c r="K3939" s="3" t="s">
        <v>58</v>
      </c>
      <c r="L3939" s="3" t="s">
        <v>73</v>
      </c>
      <c r="M3939" s="3" t="s">
        <v>800</v>
      </c>
      <c r="N3939" s="3" t="s">
        <v>15878</v>
      </c>
      <c r="O3939" s="5">
        <v>21.7629725</v>
      </c>
      <c r="P3939" s="6" t="str">
        <f t="shared" si="2"/>
        <v>Other Consumer Services</v>
      </c>
    </row>
    <row r="3940" hidden="1">
      <c r="A3940" s="3" t="s">
        <v>15879</v>
      </c>
      <c r="B3940" s="4">
        <v>543928.0</v>
      </c>
      <c r="C3940" s="3" t="s">
        <v>15880</v>
      </c>
      <c r="D3940" s="3" t="s">
        <v>15881</v>
      </c>
      <c r="E3940" s="3" t="s">
        <v>15882</v>
      </c>
      <c r="F3940" s="3" t="s">
        <v>19</v>
      </c>
      <c r="G3940" s="3" t="s">
        <v>2428</v>
      </c>
      <c r="H3940" s="3">
        <v>10.0</v>
      </c>
      <c r="I3940" s="3" t="s">
        <v>15879</v>
      </c>
      <c r="J3940" s="3" t="s">
        <v>22</v>
      </c>
      <c r="K3940" s="3" t="s">
        <v>97</v>
      </c>
      <c r="L3940" s="3" t="s">
        <v>98</v>
      </c>
      <c r="M3940" s="3" t="s">
        <v>100</v>
      </c>
      <c r="N3940" s="3" t="s">
        <v>612</v>
      </c>
      <c r="O3940" s="5">
        <v>1257.4514535</v>
      </c>
      <c r="P3940" s="6" t="str">
        <f t="shared" si="2"/>
        <v>Industrial Products</v>
      </c>
    </row>
    <row r="3941" hidden="1">
      <c r="A3941" s="3" t="s">
        <v>15883</v>
      </c>
      <c r="B3941" s="4">
        <v>543929.0</v>
      </c>
      <c r="C3941" s="3" t="s">
        <v>15884</v>
      </c>
      <c r="D3941" s="3" t="s">
        <v>15885</v>
      </c>
      <c r="E3941" s="3" t="s">
        <v>15886</v>
      </c>
      <c r="F3941" s="3" t="s">
        <v>19</v>
      </c>
      <c r="G3941" s="3" t="s">
        <v>112</v>
      </c>
      <c r="H3941" s="3">
        <v>1.0</v>
      </c>
      <c r="I3941" s="3" t="s">
        <v>15883</v>
      </c>
      <c r="J3941" s="3" t="s">
        <v>22</v>
      </c>
      <c r="K3941" s="3" t="s">
        <v>145</v>
      </c>
      <c r="L3941" s="3" t="s">
        <v>145</v>
      </c>
      <c r="M3941" s="3" t="s">
        <v>597</v>
      </c>
      <c r="N3941" s="3" t="s">
        <v>5161</v>
      </c>
      <c r="O3941" s="5">
        <v>2673.4046141</v>
      </c>
      <c r="P3941" s="6" t="str">
        <f t="shared" si="2"/>
        <v>Food Products</v>
      </c>
    </row>
    <row r="3942" hidden="1">
      <c r="A3942" s="3" t="s">
        <v>15887</v>
      </c>
      <c r="B3942" s="4">
        <v>543930.0</v>
      </c>
      <c r="C3942" s="3" t="s">
        <v>15888</v>
      </c>
      <c r="D3942" s="3" t="s">
        <v>15889</v>
      </c>
      <c r="E3942" s="3" t="s">
        <v>15890</v>
      </c>
      <c r="F3942" s="3" t="s">
        <v>19</v>
      </c>
      <c r="G3942" s="3" t="s">
        <v>86</v>
      </c>
      <c r="H3942" s="3">
        <v>10.0</v>
      </c>
      <c r="I3942" s="3" t="s">
        <v>15887</v>
      </c>
      <c r="J3942" s="3" t="s">
        <v>22</v>
      </c>
      <c r="K3942" s="3" t="s">
        <v>58</v>
      </c>
      <c r="L3942" s="3" t="s">
        <v>133</v>
      </c>
      <c r="M3942" s="3" t="s">
        <v>134</v>
      </c>
      <c r="N3942" s="3" t="s">
        <v>135</v>
      </c>
      <c r="O3942" s="5">
        <v>628.49072</v>
      </c>
      <c r="P3942" s="6" t="str">
        <f t="shared" si="2"/>
        <v>Auto Components &amp; Equipments</v>
      </c>
    </row>
    <row r="3943" hidden="1">
      <c r="A3943" s="3" t="s">
        <v>15891</v>
      </c>
      <c r="B3943" s="4">
        <v>543931.0</v>
      </c>
      <c r="C3943" s="3" t="s">
        <v>15892</v>
      </c>
      <c r="D3943" s="3" t="s">
        <v>15893</v>
      </c>
      <c r="E3943" s="3" t="s">
        <v>15894</v>
      </c>
      <c r="F3943" s="3" t="s">
        <v>19</v>
      </c>
      <c r="G3943" s="3" t="s">
        <v>2428</v>
      </c>
      <c r="H3943" s="3">
        <v>10.0</v>
      </c>
      <c r="I3943" s="3" t="s">
        <v>15891</v>
      </c>
      <c r="J3943" s="3" t="s">
        <v>22</v>
      </c>
      <c r="K3943" s="3" t="s">
        <v>473</v>
      </c>
      <c r="L3943" s="3" t="s">
        <v>473</v>
      </c>
      <c r="M3943" s="3" t="s">
        <v>1538</v>
      </c>
      <c r="N3943" s="3" t="s">
        <v>1539</v>
      </c>
      <c r="O3943" s="5">
        <v>870.3987993</v>
      </c>
      <c r="P3943" s="6" t="str">
        <f t="shared" si="2"/>
        <v>IT - Services</v>
      </c>
    </row>
    <row r="3944" hidden="1">
      <c r="A3944" s="3" t="s">
        <v>15895</v>
      </c>
      <c r="B3944" s="4">
        <v>543932.0</v>
      </c>
      <c r="C3944" s="3" t="s">
        <v>15896</v>
      </c>
      <c r="D3944" s="3" t="s">
        <v>15897</v>
      </c>
      <c r="E3944" s="3" t="s">
        <v>15898</v>
      </c>
      <c r="F3944" s="3" t="s">
        <v>19</v>
      </c>
      <c r="G3944" s="3" t="s">
        <v>112</v>
      </c>
      <c r="H3944" s="3">
        <v>10.0</v>
      </c>
      <c r="I3944" s="3" t="s">
        <v>15895</v>
      </c>
      <c r="J3944" s="3" t="s">
        <v>22</v>
      </c>
      <c r="K3944" s="3" t="s">
        <v>97</v>
      </c>
      <c r="L3944" s="3" t="s">
        <v>98</v>
      </c>
      <c r="M3944" s="3" t="s">
        <v>806</v>
      </c>
      <c r="N3944" s="3" t="s">
        <v>806</v>
      </c>
      <c r="O3944" s="5">
        <v>3315.4157152</v>
      </c>
      <c r="P3944" s="6" t="str">
        <f t="shared" si="2"/>
        <v>Aerospace &amp; Defense</v>
      </c>
    </row>
    <row r="3945">
      <c r="A3945" s="3" t="s">
        <v>14958</v>
      </c>
      <c r="B3945" s="4">
        <v>505355.0</v>
      </c>
      <c r="C3945" s="3" t="s">
        <v>15899</v>
      </c>
      <c r="D3945" s="3" t="s">
        <v>15900</v>
      </c>
      <c r="E3945" s="3" t="s">
        <v>15901</v>
      </c>
      <c r="F3945" s="3" t="s">
        <v>19</v>
      </c>
      <c r="G3945" s="3" t="s">
        <v>20</v>
      </c>
      <c r="H3945" s="3">
        <v>2.0</v>
      </c>
      <c r="I3945" s="3" t="s">
        <v>2056</v>
      </c>
      <c r="J3945" s="3" t="s">
        <v>22</v>
      </c>
      <c r="K3945" s="3" t="s">
        <v>1673</v>
      </c>
      <c r="L3945" s="3" t="s">
        <v>1673</v>
      </c>
      <c r="M3945" s="3" t="s">
        <v>1674</v>
      </c>
      <c r="N3945" s="3" t="s">
        <v>1675</v>
      </c>
      <c r="O3945" s="5">
        <v>6474.1558281</v>
      </c>
      <c r="P3945" s="6" t="str">
        <f t="shared" si="2"/>
        <v>Commercial Services &amp; Supplies</v>
      </c>
    </row>
    <row r="3946" hidden="1">
      <c r="A3946" s="3" t="s">
        <v>15902</v>
      </c>
      <c r="B3946" s="4">
        <v>543934.0</v>
      </c>
      <c r="C3946" s="3" t="s">
        <v>15903</v>
      </c>
      <c r="D3946" s="3" t="s">
        <v>15904</v>
      </c>
      <c r="E3946" s="3" t="s">
        <v>15905</v>
      </c>
      <c r="F3946" s="3" t="s">
        <v>19</v>
      </c>
      <c r="G3946" s="3" t="s">
        <v>72</v>
      </c>
      <c r="H3946" s="3">
        <v>10.0</v>
      </c>
      <c r="I3946" s="3" t="s">
        <v>15902</v>
      </c>
      <c r="J3946" s="3" t="s">
        <v>22</v>
      </c>
      <c r="K3946" s="3" t="s">
        <v>23</v>
      </c>
      <c r="L3946" s="3" t="s">
        <v>24</v>
      </c>
      <c r="M3946" s="3" t="s">
        <v>25</v>
      </c>
      <c r="N3946" s="3" t="s">
        <v>26</v>
      </c>
      <c r="O3946" s="5">
        <v>27.2717352</v>
      </c>
      <c r="P3946" s="6" t="str">
        <f t="shared" si="2"/>
        <v>Specialty Chemicals</v>
      </c>
    </row>
    <row r="3947">
      <c r="A3947" s="3" t="s">
        <v>5206</v>
      </c>
      <c r="B3947" s="4">
        <v>542597.0</v>
      </c>
      <c r="C3947" s="3" t="s">
        <v>15906</v>
      </c>
      <c r="D3947" s="3" t="s">
        <v>15907</v>
      </c>
      <c r="E3947" s="3" t="s">
        <v>15908</v>
      </c>
      <c r="F3947" s="3" t="s">
        <v>19</v>
      </c>
      <c r="G3947" s="3" t="s">
        <v>20</v>
      </c>
      <c r="H3947" s="3">
        <v>10.0</v>
      </c>
      <c r="I3947" s="3" t="s">
        <v>14429</v>
      </c>
      <c r="J3947" s="3" t="s">
        <v>22</v>
      </c>
      <c r="K3947" s="3" t="s">
        <v>1673</v>
      </c>
      <c r="L3947" s="3" t="s">
        <v>1673</v>
      </c>
      <c r="M3947" s="3" t="s">
        <v>1674</v>
      </c>
      <c r="N3947" s="3" t="s">
        <v>1915</v>
      </c>
      <c r="O3947" s="5">
        <v>6177.480861</v>
      </c>
      <c r="P3947" s="6" t="str">
        <f t="shared" si="2"/>
        <v>Commercial Services &amp; Supplies</v>
      </c>
    </row>
    <row r="3948" hidden="1">
      <c r="A3948" s="3" t="s">
        <v>15909</v>
      </c>
      <c r="B3948" s="4">
        <v>543937.0</v>
      </c>
      <c r="C3948" s="3" t="s">
        <v>15910</v>
      </c>
      <c r="D3948" s="3" t="s">
        <v>15911</v>
      </c>
      <c r="E3948" s="3" t="s">
        <v>15912</v>
      </c>
      <c r="F3948" s="3" t="s">
        <v>19</v>
      </c>
      <c r="G3948" s="3" t="s">
        <v>2428</v>
      </c>
      <c r="H3948" s="3">
        <v>10.0</v>
      </c>
      <c r="I3948" s="3" t="s">
        <v>15909</v>
      </c>
      <c r="J3948" s="3" t="s">
        <v>22</v>
      </c>
      <c r="K3948" s="3" t="s">
        <v>97</v>
      </c>
      <c r="L3948" s="3" t="s">
        <v>98</v>
      </c>
      <c r="M3948" s="3" t="s">
        <v>100</v>
      </c>
      <c r="N3948" s="3" t="s">
        <v>1386</v>
      </c>
      <c r="O3948" s="5">
        <v>304.6770355</v>
      </c>
      <c r="P3948" s="6" t="str">
        <f t="shared" si="2"/>
        <v>Industrial Products</v>
      </c>
    </row>
    <row r="3949" hidden="1">
      <c r="A3949" s="3" t="s">
        <v>15913</v>
      </c>
      <c r="B3949" s="4">
        <v>543938.0</v>
      </c>
      <c r="C3949" s="3" t="s">
        <v>15914</v>
      </c>
      <c r="D3949" s="3" t="s">
        <v>15915</v>
      </c>
      <c r="E3949" s="3" t="s">
        <v>15916</v>
      </c>
      <c r="F3949" s="3" t="s">
        <v>19</v>
      </c>
      <c r="G3949" s="3" t="s">
        <v>2428</v>
      </c>
      <c r="H3949" s="3">
        <v>10.0</v>
      </c>
      <c r="I3949" s="3" t="s">
        <v>15913</v>
      </c>
      <c r="J3949" s="3" t="s">
        <v>22</v>
      </c>
      <c r="K3949" s="3" t="s">
        <v>473</v>
      </c>
      <c r="L3949" s="3" t="s">
        <v>473</v>
      </c>
      <c r="M3949" s="3" t="s">
        <v>1391</v>
      </c>
      <c r="N3949" s="3" t="s">
        <v>1840</v>
      </c>
      <c r="O3949" s="5">
        <v>74.9820916</v>
      </c>
      <c r="P3949" s="6" t="str">
        <f t="shared" si="2"/>
        <v>Computers - Software &amp; Consulting</v>
      </c>
    </row>
    <row r="3950" hidden="1">
      <c r="A3950" s="3" t="s">
        <v>15917</v>
      </c>
      <c r="B3950" s="4">
        <v>543939.0</v>
      </c>
      <c r="C3950" s="3" t="s">
        <v>15918</v>
      </c>
      <c r="D3950" s="3" t="s">
        <v>15919</v>
      </c>
      <c r="E3950" s="3" t="s">
        <v>15920</v>
      </c>
      <c r="F3950" s="3" t="s">
        <v>19</v>
      </c>
      <c r="G3950" s="3" t="s">
        <v>2428</v>
      </c>
      <c r="H3950" s="3">
        <v>10.0</v>
      </c>
      <c r="I3950" s="3" t="s">
        <v>15917</v>
      </c>
      <c r="J3950" s="3" t="s">
        <v>22</v>
      </c>
      <c r="K3950" s="3" t="s">
        <v>97</v>
      </c>
      <c r="L3950" s="3" t="s">
        <v>98</v>
      </c>
      <c r="M3950" s="3" t="s">
        <v>100</v>
      </c>
      <c r="N3950" s="3" t="s">
        <v>580</v>
      </c>
      <c r="O3950" s="5">
        <v>286.6449731</v>
      </c>
      <c r="P3950" s="6" t="str">
        <f t="shared" si="2"/>
        <v>Industrial Products</v>
      </c>
    </row>
    <row r="3951">
      <c r="A3951" s="3" t="s">
        <v>10728</v>
      </c>
      <c r="B3951" s="4">
        <v>532749.0</v>
      </c>
      <c r="C3951" s="3" t="s">
        <v>15921</v>
      </c>
      <c r="D3951" s="3" t="s">
        <v>15922</v>
      </c>
      <c r="E3951" s="3" t="s">
        <v>15923</v>
      </c>
      <c r="F3951" s="3" t="s">
        <v>19</v>
      </c>
      <c r="G3951" s="3" t="s">
        <v>20</v>
      </c>
      <c r="H3951" s="3">
        <v>2.0</v>
      </c>
      <c r="I3951" s="3" t="s">
        <v>10350</v>
      </c>
      <c r="J3951" s="3" t="s">
        <v>22</v>
      </c>
      <c r="K3951" s="3" t="s">
        <v>1673</v>
      </c>
      <c r="L3951" s="3" t="s">
        <v>1673</v>
      </c>
      <c r="M3951" s="3" t="s">
        <v>1689</v>
      </c>
      <c r="N3951" s="3" t="s">
        <v>1690</v>
      </c>
      <c r="O3951" s="5">
        <v>5908.484623</v>
      </c>
      <c r="P3951" s="6" t="str">
        <f t="shared" si="2"/>
        <v>Transport Services</v>
      </c>
    </row>
    <row r="3952" hidden="1">
      <c r="A3952" s="3" t="s">
        <v>15924</v>
      </c>
      <c r="B3952" s="4">
        <v>543941.0</v>
      </c>
      <c r="C3952" s="3" t="s">
        <v>15925</v>
      </c>
      <c r="D3952" s="3" t="s">
        <v>15926</v>
      </c>
      <c r="E3952" s="3" t="s">
        <v>15927</v>
      </c>
      <c r="F3952" s="3" t="s">
        <v>19</v>
      </c>
      <c r="G3952" s="3" t="s">
        <v>2428</v>
      </c>
      <c r="H3952" s="3">
        <v>10.0</v>
      </c>
      <c r="I3952" s="3" t="s">
        <v>15924</v>
      </c>
      <c r="J3952" s="3" t="s">
        <v>22</v>
      </c>
      <c r="K3952" s="3" t="s">
        <v>58</v>
      </c>
      <c r="L3952" s="3" t="s">
        <v>73</v>
      </c>
      <c r="M3952" s="3" t="s">
        <v>988</v>
      </c>
      <c r="N3952" s="3" t="s">
        <v>2246</v>
      </c>
      <c r="O3952" s="5">
        <v>110.051412</v>
      </c>
      <c r="P3952" s="6" t="str">
        <f t="shared" si="2"/>
        <v>Retailing</v>
      </c>
    </row>
    <row r="3953">
      <c r="A3953" s="3" t="s">
        <v>10736</v>
      </c>
      <c r="B3953" s="4">
        <v>543242.0</v>
      </c>
      <c r="C3953" s="3" t="s">
        <v>15928</v>
      </c>
      <c r="D3953" s="3" t="s">
        <v>15929</v>
      </c>
      <c r="E3953" s="3" t="s">
        <v>15930</v>
      </c>
      <c r="F3953" s="3" t="s">
        <v>19</v>
      </c>
      <c r="G3953" s="3" t="s">
        <v>112</v>
      </c>
      <c r="H3953" s="3">
        <v>10.0</v>
      </c>
      <c r="I3953" s="3" t="s">
        <v>14798</v>
      </c>
      <c r="J3953" s="3" t="s">
        <v>22</v>
      </c>
      <c r="K3953" s="3" t="s">
        <v>1673</v>
      </c>
      <c r="L3953" s="3" t="s">
        <v>1673</v>
      </c>
      <c r="M3953" s="3" t="s">
        <v>1674</v>
      </c>
      <c r="N3953" s="3" t="s">
        <v>1675</v>
      </c>
      <c r="O3953" s="5">
        <v>5445.3753189</v>
      </c>
      <c r="P3953" s="6" t="str">
        <f t="shared" si="2"/>
        <v>Commercial Services &amp; Supplies</v>
      </c>
    </row>
    <row r="3954" hidden="1">
      <c r="A3954" s="3" t="s">
        <v>15931</v>
      </c>
      <c r="B3954" s="4">
        <v>543943.0</v>
      </c>
      <c r="C3954" s="3" t="s">
        <v>15932</v>
      </c>
      <c r="D3954" s="3" t="s">
        <v>15933</v>
      </c>
      <c r="E3954" s="3" t="s">
        <v>15934</v>
      </c>
      <c r="F3954" s="3" t="s">
        <v>19</v>
      </c>
      <c r="G3954" s="3" t="s">
        <v>6293</v>
      </c>
      <c r="H3954" s="3">
        <v>10.0</v>
      </c>
      <c r="I3954" s="3" t="s">
        <v>15931</v>
      </c>
      <c r="J3954" s="3" t="s">
        <v>22</v>
      </c>
      <c r="K3954" s="3" t="s">
        <v>45</v>
      </c>
      <c r="L3954" s="3" t="s">
        <v>45</v>
      </c>
      <c r="M3954" s="3" t="s">
        <v>4488</v>
      </c>
      <c r="N3954" s="3" t="s">
        <v>5801</v>
      </c>
      <c r="O3954" s="5">
        <v>127.2613741</v>
      </c>
      <c r="P3954" s="6" t="str">
        <f t="shared" si="2"/>
        <v>Healthcare Services</v>
      </c>
    </row>
    <row r="3955">
      <c r="A3955" s="3" t="s">
        <v>15347</v>
      </c>
      <c r="B3955" s="4">
        <v>539118.0</v>
      </c>
      <c r="C3955" s="3" t="s">
        <v>15935</v>
      </c>
      <c r="D3955" s="3" t="s">
        <v>15936</v>
      </c>
      <c r="E3955" s="3" t="s">
        <v>15937</v>
      </c>
      <c r="F3955" s="3" t="s">
        <v>19</v>
      </c>
      <c r="G3955" s="3" t="s">
        <v>20</v>
      </c>
      <c r="H3955" s="3">
        <v>10.0</v>
      </c>
      <c r="I3955" s="3" t="s">
        <v>12467</v>
      </c>
      <c r="J3955" s="3" t="s">
        <v>22</v>
      </c>
      <c r="K3955" s="3" t="s">
        <v>1673</v>
      </c>
      <c r="L3955" s="3" t="s">
        <v>1673</v>
      </c>
      <c r="M3955" s="3" t="s">
        <v>1689</v>
      </c>
      <c r="N3955" s="3" t="s">
        <v>1690</v>
      </c>
      <c r="O3955" s="5">
        <v>5077.2823128</v>
      </c>
      <c r="P3955" s="6" t="str">
        <f t="shared" si="2"/>
        <v>Transport Services</v>
      </c>
    </row>
    <row r="3956" hidden="1">
      <c r="A3956" s="3" t="s">
        <v>15938</v>
      </c>
      <c r="B3956" s="4">
        <v>543950.0</v>
      </c>
      <c r="C3956" s="3" t="s">
        <v>15939</v>
      </c>
      <c r="D3956" s="3" t="s">
        <v>15940</v>
      </c>
      <c r="E3956" s="3" t="s">
        <v>15941</v>
      </c>
      <c r="F3956" s="3" t="s">
        <v>19</v>
      </c>
      <c r="G3956" s="3" t="s">
        <v>112</v>
      </c>
      <c r="H3956" s="3">
        <v>10.0</v>
      </c>
      <c r="I3956" s="3" t="s">
        <v>15938</v>
      </c>
      <c r="J3956" s="3" t="s">
        <v>22</v>
      </c>
      <c r="K3956" s="3" t="s">
        <v>45</v>
      </c>
      <c r="L3956" s="3" t="s">
        <v>45</v>
      </c>
      <c r="M3956" s="3" t="s">
        <v>4488</v>
      </c>
      <c r="N3956" s="3" t="s">
        <v>5801</v>
      </c>
      <c r="O3956" s="5">
        <v>3541.5003665</v>
      </c>
      <c r="P3956" s="6" t="str">
        <f t="shared" si="2"/>
        <v>Healthcare Services</v>
      </c>
    </row>
    <row r="3957" hidden="1">
      <c r="A3957" s="3" t="s">
        <v>15942</v>
      </c>
      <c r="B3957" s="4">
        <v>543951.0</v>
      </c>
      <c r="C3957" s="3" t="s">
        <v>15943</v>
      </c>
      <c r="D3957" s="3" t="s">
        <v>15944</v>
      </c>
      <c r="E3957" s="3" t="s">
        <v>15945</v>
      </c>
      <c r="F3957" s="3" t="s">
        <v>19</v>
      </c>
      <c r="G3957" s="3" t="s">
        <v>2428</v>
      </c>
      <c r="H3957" s="3">
        <v>10.0</v>
      </c>
      <c r="I3957" s="3" t="s">
        <v>15942</v>
      </c>
      <c r="J3957" s="3" t="s">
        <v>22</v>
      </c>
      <c r="K3957" s="3" t="s">
        <v>58</v>
      </c>
      <c r="L3957" s="3" t="s">
        <v>73</v>
      </c>
      <c r="M3957" s="3" t="s">
        <v>800</v>
      </c>
      <c r="N3957" s="3" t="s">
        <v>800</v>
      </c>
      <c r="O3957" s="5">
        <v>1.0</v>
      </c>
      <c r="P3957" s="6" t="str">
        <f t="shared" si="2"/>
        <v>Other Consumer Services</v>
      </c>
    </row>
    <row r="3958">
      <c r="A3958" s="3" t="s">
        <v>5210</v>
      </c>
      <c r="B3958" s="4">
        <v>543489.0</v>
      </c>
      <c r="C3958" s="3" t="s">
        <v>15946</v>
      </c>
      <c r="D3958" s="3" t="s">
        <v>15947</v>
      </c>
      <c r="E3958" s="3" t="s">
        <v>15948</v>
      </c>
      <c r="F3958" s="3" t="s">
        <v>19</v>
      </c>
      <c r="G3958" s="3" t="s">
        <v>20</v>
      </c>
      <c r="H3958" s="3">
        <v>10.0</v>
      </c>
      <c r="I3958" s="3" t="s">
        <v>15269</v>
      </c>
      <c r="J3958" s="3" t="s">
        <v>22</v>
      </c>
      <c r="K3958" s="3" t="s">
        <v>1673</v>
      </c>
      <c r="L3958" s="3" t="s">
        <v>1673</v>
      </c>
      <c r="M3958" s="3" t="s">
        <v>1689</v>
      </c>
      <c r="N3958" s="3" t="s">
        <v>1690</v>
      </c>
      <c r="O3958" s="5">
        <v>5075.887829</v>
      </c>
      <c r="P3958" s="6" t="str">
        <f t="shared" si="2"/>
        <v>Transport Services</v>
      </c>
    </row>
    <row r="3959" hidden="1">
      <c r="A3959" s="3" t="s">
        <v>15949</v>
      </c>
      <c r="B3959" s="4">
        <v>543953.0</v>
      </c>
      <c r="C3959" s="3" t="s">
        <v>15950</v>
      </c>
      <c r="D3959" s="3" t="s">
        <v>15951</v>
      </c>
      <c r="E3959" s="3" t="s">
        <v>15952</v>
      </c>
      <c r="F3959" s="3" t="s">
        <v>19</v>
      </c>
      <c r="G3959" s="3" t="s">
        <v>2428</v>
      </c>
      <c r="H3959" s="3">
        <v>10.0</v>
      </c>
      <c r="I3959" s="3" t="s">
        <v>15949</v>
      </c>
      <c r="J3959" s="3" t="s">
        <v>22</v>
      </c>
      <c r="K3959" s="3" t="s">
        <v>58</v>
      </c>
      <c r="L3959" s="3" t="s">
        <v>211</v>
      </c>
      <c r="M3959" s="3" t="s">
        <v>211</v>
      </c>
      <c r="N3959" s="3" t="s">
        <v>947</v>
      </c>
      <c r="O3959" s="5">
        <v>1022.7577275</v>
      </c>
      <c r="P3959" s="6" t="str">
        <f t="shared" si="2"/>
        <v>Consumer Durables</v>
      </c>
    </row>
    <row r="3960" hidden="1">
      <c r="A3960" s="3" t="s">
        <v>2911</v>
      </c>
      <c r="B3960" s="4">
        <v>540270.0</v>
      </c>
      <c r="C3960" s="3" t="s">
        <v>15953</v>
      </c>
      <c r="D3960" s="3" t="s">
        <v>15954</v>
      </c>
      <c r="E3960" s="3" t="s">
        <v>15955</v>
      </c>
      <c r="F3960" s="3" t="s">
        <v>19</v>
      </c>
      <c r="G3960" s="3" t="s">
        <v>72</v>
      </c>
      <c r="H3960" s="3">
        <v>10.0</v>
      </c>
      <c r="I3960" s="3" t="s">
        <v>13492</v>
      </c>
      <c r="J3960" s="3" t="s">
        <v>22</v>
      </c>
      <c r="K3960" s="3" t="s">
        <v>1673</v>
      </c>
      <c r="L3960" s="3" t="s">
        <v>1673</v>
      </c>
      <c r="M3960" s="3" t="s">
        <v>1674</v>
      </c>
      <c r="N3960" s="3" t="s">
        <v>1915</v>
      </c>
      <c r="O3960" s="5">
        <v>1.0</v>
      </c>
      <c r="P3960" s="6" t="str">
        <f t="shared" si="2"/>
        <v>Commercial Services &amp; Supplies</v>
      </c>
    </row>
    <row r="3961" hidden="1">
      <c r="A3961" s="3" t="s">
        <v>2970</v>
      </c>
      <c r="B3961" s="4">
        <v>540696.0</v>
      </c>
      <c r="C3961" s="3" t="s">
        <v>15956</v>
      </c>
      <c r="D3961" s="3" t="s">
        <v>15957</v>
      </c>
      <c r="E3961" s="3" t="s">
        <v>15958</v>
      </c>
      <c r="F3961" s="3" t="s">
        <v>19</v>
      </c>
      <c r="G3961" s="3" t="s">
        <v>44</v>
      </c>
      <c r="H3961" s="3">
        <v>1.0</v>
      </c>
      <c r="I3961" s="3" t="s">
        <v>13730</v>
      </c>
      <c r="J3961" s="3" t="s">
        <v>22</v>
      </c>
      <c r="K3961" s="3" t="s">
        <v>1673</v>
      </c>
      <c r="L3961" s="3" t="s">
        <v>1673</v>
      </c>
      <c r="M3961" s="3" t="s">
        <v>1674</v>
      </c>
      <c r="N3961" s="3" t="s">
        <v>1915</v>
      </c>
      <c r="O3961" s="5">
        <v>1.0</v>
      </c>
      <c r="P3961" s="6" t="str">
        <f t="shared" si="2"/>
        <v>Commercial Services &amp; Supplies</v>
      </c>
    </row>
    <row r="3962">
      <c r="A3962" s="3" t="s">
        <v>5239</v>
      </c>
      <c r="B3962" s="4">
        <v>500183.0</v>
      </c>
      <c r="C3962" s="3" t="s">
        <v>15959</v>
      </c>
      <c r="D3962" s="3" t="s">
        <v>15960</v>
      </c>
      <c r="E3962" s="3" t="s">
        <v>15961</v>
      </c>
      <c r="F3962" s="3" t="s">
        <v>19</v>
      </c>
      <c r="G3962" s="3" t="s">
        <v>20</v>
      </c>
      <c r="H3962" s="3">
        <v>1.0</v>
      </c>
      <c r="I3962" s="3" t="s">
        <v>486</v>
      </c>
      <c r="J3962" s="3" t="s">
        <v>22</v>
      </c>
      <c r="K3962" s="3" t="s">
        <v>189</v>
      </c>
      <c r="L3962" s="3" t="s">
        <v>189</v>
      </c>
      <c r="M3962" s="3" t="s">
        <v>291</v>
      </c>
      <c r="N3962" s="3" t="s">
        <v>4689</v>
      </c>
      <c r="O3962" s="5">
        <v>16142.5359445</v>
      </c>
      <c r="P3962" s="6" t="str">
        <f t="shared" si="2"/>
        <v>Telecom - Services</v>
      </c>
    </row>
    <row r="3963" hidden="1">
      <c r="A3963" s="3" t="s">
        <v>15962</v>
      </c>
      <c r="B3963" s="4">
        <v>543958.0</v>
      </c>
      <c r="C3963" s="3" t="s">
        <v>15963</v>
      </c>
      <c r="D3963" s="3" t="s">
        <v>15964</v>
      </c>
      <c r="E3963" s="3" t="s">
        <v>15965</v>
      </c>
      <c r="F3963" s="3" t="s">
        <v>19</v>
      </c>
      <c r="G3963" s="3" t="s">
        <v>86</v>
      </c>
      <c r="H3963" s="3">
        <v>10.0</v>
      </c>
      <c r="I3963" s="3" t="s">
        <v>15962</v>
      </c>
      <c r="J3963" s="3" t="s">
        <v>22</v>
      </c>
      <c r="K3963" s="3" t="s">
        <v>473</v>
      </c>
      <c r="L3963" s="3" t="s">
        <v>473</v>
      </c>
      <c r="M3963" s="3" t="s">
        <v>1538</v>
      </c>
      <c r="N3963" s="3" t="s">
        <v>1539</v>
      </c>
      <c r="O3963" s="5">
        <v>691.559867</v>
      </c>
      <c r="P3963" s="6" t="str">
        <f t="shared" si="2"/>
        <v>IT - Services</v>
      </c>
    </row>
    <row r="3964">
      <c r="A3964" s="3" t="s">
        <v>10755</v>
      </c>
      <c r="B3964" s="4">
        <v>500483.0</v>
      </c>
      <c r="C3964" s="3" t="s">
        <v>15966</v>
      </c>
      <c r="D3964" s="3" t="s">
        <v>15967</v>
      </c>
      <c r="E3964" s="3" t="s">
        <v>15968</v>
      </c>
      <c r="F3964" s="3" t="s">
        <v>19</v>
      </c>
      <c r="G3964" s="3" t="s">
        <v>20</v>
      </c>
      <c r="H3964" s="3">
        <v>10.0</v>
      </c>
      <c r="I3964" s="3" t="s">
        <v>1111</v>
      </c>
      <c r="J3964" s="3" t="s">
        <v>22</v>
      </c>
      <c r="K3964" s="3" t="s">
        <v>189</v>
      </c>
      <c r="L3964" s="3" t="s">
        <v>189</v>
      </c>
      <c r="M3964" s="3" t="s">
        <v>291</v>
      </c>
      <c r="N3964" s="3" t="s">
        <v>292</v>
      </c>
      <c r="O3964" s="5">
        <v>54047.3373489</v>
      </c>
      <c r="P3964" s="6" t="str">
        <f t="shared" si="2"/>
        <v>Telecom - Services</v>
      </c>
    </row>
    <row r="3965">
      <c r="A3965" s="3" t="s">
        <v>12338</v>
      </c>
      <c r="B3965" s="4">
        <v>523610.0</v>
      </c>
      <c r="C3965" s="3" t="s">
        <v>15969</v>
      </c>
      <c r="D3965" s="3" t="s">
        <v>15970</v>
      </c>
      <c r="E3965" s="3" t="s">
        <v>15971</v>
      </c>
      <c r="F3965" s="3" t="s">
        <v>19</v>
      </c>
      <c r="G3965" s="3" t="s">
        <v>20</v>
      </c>
      <c r="H3965" s="3">
        <v>10.0</v>
      </c>
      <c r="I3965" s="3" t="s">
        <v>5936</v>
      </c>
      <c r="J3965" s="3" t="s">
        <v>22</v>
      </c>
      <c r="K3965" s="3" t="s">
        <v>189</v>
      </c>
      <c r="L3965" s="3" t="s">
        <v>189</v>
      </c>
      <c r="M3965" s="3" t="s">
        <v>190</v>
      </c>
      <c r="N3965" s="3" t="s">
        <v>190</v>
      </c>
      <c r="O3965" s="5">
        <v>29696.17854</v>
      </c>
      <c r="P3965" s="6" t="str">
        <f t="shared" si="2"/>
        <v>Telecom - Equipment &amp; Accessories</v>
      </c>
    </row>
    <row r="3966" hidden="1">
      <c r="A3966" s="3" t="s">
        <v>15972</v>
      </c>
      <c r="B3966" s="4">
        <v>543962.0</v>
      </c>
      <c r="C3966" s="3" t="s">
        <v>15973</v>
      </c>
      <c r="D3966" s="3" t="s">
        <v>15974</v>
      </c>
      <c r="E3966" s="3" t="s">
        <v>15975</v>
      </c>
      <c r="F3966" s="3" t="s">
        <v>19</v>
      </c>
      <c r="G3966" s="3" t="s">
        <v>112</v>
      </c>
      <c r="H3966" s="3">
        <v>10.0</v>
      </c>
      <c r="I3966" s="3" t="s">
        <v>15972</v>
      </c>
      <c r="J3966" s="3" t="s">
        <v>22</v>
      </c>
      <c r="K3966" s="3" t="s">
        <v>97</v>
      </c>
      <c r="L3966" s="3" t="s">
        <v>98</v>
      </c>
      <c r="M3966" s="3" t="s">
        <v>100</v>
      </c>
      <c r="N3966" s="3" t="s">
        <v>612</v>
      </c>
      <c r="O3966" s="5">
        <v>702.6448251</v>
      </c>
      <c r="P3966" s="6" t="str">
        <f t="shared" si="2"/>
        <v>Industrial Products</v>
      </c>
    </row>
    <row r="3967" hidden="1">
      <c r="A3967" s="3" t="s">
        <v>15976</v>
      </c>
      <c r="B3967" s="4">
        <v>543963.0</v>
      </c>
      <c r="C3967" s="3" t="s">
        <v>15977</v>
      </c>
      <c r="D3967" s="3" t="s">
        <v>15978</v>
      </c>
      <c r="E3967" s="3" t="s">
        <v>15979</v>
      </c>
      <c r="F3967" s="3" t="s">
        <v>19</v>
      </c>
      <c r="G3967" s="3" t="s">
        <v>2428</v>
      </c>
      <c r="H3967" s="3">
        <v>10.0</v>
      </c>
      <c r="I3967" s="3" t="s">
        <v>15976</v>
      </c>
      <c r="J3967" s="3" t="s">
        <v>22</v>
      </c>
      <c r="K3967" s="3" t="s">
        <v>45</v>
      </c>
      <c r="L3967" s="3" t="s">
        <v>45</v>
      </c>
      <c r="M3967" s="3" t="s">
        <v>46</v>
      </c>
      <c r="N3967" s="3" t="s">
        <v>47</v>
      </c>
      <c r="O3967" s="5">
        <v>58.8565773</v>
      </c>
      <c r="P3967" s="6" t="str">
        <f t="shared" si="2"/>
        <v>Pharmaceuticals</v>
      </c>
    </row>
    <row r="3968" hidden="1">
      <c r="A3968" s="3" t="s">
        <v>15599</v>
      </c>
      <c r="B3968" s="4">
        <v>540703.0</v>
      </c>
      <c r="C3968" s="3" t="s">
        <v>15980</v>
      </c>
      <c r="D3968" s="3" t="s">
        <v>15981</v>
      </c>
      <c r="E3968" s="3" t="s">
        <v>15982</v>
      </c>
      <c r="F3968" s="3" t="s">
        <v>19</v>
      </c>
      <c r="G3968" s="3" t="s">
        <v>44</v>
      </c>
      <c r="H3968" s="3">
        <v>10.0</v>
      </c>
      <c r="I3968" s="3" t="s">
        <v>13749</v>
      </c>
      <c r="J3968" s="3" t="s">
        <v>22</v>
      </c>
      <c r="K3968" s="3" t="s">
        <v>1673</v>
      </c>
      <c r="L3968" s="3" t="s">
        <v>1673</v>
      </c>
      <c r="M3968" s="3" t="s">
        <v>1674</v>
      </c>
      <c r="N3968" s="3" t="s">
        <v>3189</v>
      </c>
      <c r="O3968" s="5">
        <v>1.0</v>
      </c>
      <c r="P3968" s="6" t="str">
        <f t="shared" si="2"/>
        <v>Commercial Services &amp; Supplies</v>
      </c>
    </row>
    <row r="3969" hidden="1">
      <c r="A3969" s="3" t="s">
        <v>15983</v>
      </c>
      <c r="B3969" s="4">
        <v>543969.0</v>
      </c>
      <c r="C3969" s="3" t="s">
        <v>15984</v>
      </c>
      <c r="D3969" s="3" t="s">
        <v>15985</v>
      </c>
      <c r="E3969" s="3" t="s">
        <v>15986</v>
      </c>
      <c r="F3969" s="3" t="s">
        <v>19</v>
      </c>
      <c r="G3969" s="3" t="s">
        <v>112</v>
      </c>
      <c r="H3969" s="3">
        <v>10.0</v>
      </c>
      <c r="I3969" s="3" t="s">
        <v>15983</v>
      </c>
      <c r="J3969" s="3" t="s">
        <v>22</v>
      </c>
      <c r="K3969" s="3" t="s">
        <v>97</v>
      </c>
      <c r="L3969" s="3" t="s">
        <v>98</v>
      </c>
      <c r="M3969" s="3" t="s">
        <v>100</v>
      </c>
      <c r="N3969" s="3" t="s">
        <v>373</v>
      </c>
      <c r="O3969" s="5">
        <v>653.114677</v>
      </c>
      <c r="P3969" s="6" t="str">
        <f t="shared" si="2"/>
        <v>Industrial Products</v>
      </c>
    </row>
    <row r="3970" hidden="1">
      <c r="A3970" s="3" t="s">
        <v>15987</v>
      </c>
      <c r="B3970" s="4">
        <v>543970.0</v>
      </c>
      <c r="C3970" s="3" t="s">
        <v>15988</v>
      </c>
      <c r="D3970" s="3" t="s">
        <v>15989</v>
      </c>
      <c r="E3970" s="3" t="s">
        <v>15990</v>
      </c>
      <c r="F3970" s="3" t="s">
        <v>19</v>
      </c>
      <c r="G3970" s="3" t="s">
        <v>6293</v>
      </c>
      <c r="H3970" s="3">
        <v>10.0</v>
      </c>
      <c r="I3970" s="3" t="s">
        <v>15987</v>
      </c>
      <c r="J3970" s="3" t="s">
        <v>22</v>
      </c>
      <c r="K3970" s="3" t="s">
        <v>58</v>
      </c>
      <c r="L3970" s="3" t="s">
        <v>211</v>
      </c>
      <c r="M3970" s="3" t="s">
        <v>211</v>
      </c>
      <c r="N3970" s="3" t="s">
        <v>947</v>
      </c>
      <c r="O3970" s="5">
        <v>1.0</v>
      </c>
      <c r="P3970" s="6" t="str">
        <f t="shared" si="2"/>
        <v>Consumer Durables</v>
      </c>
    </row>
    <row r="3971">
      <c r="A3971" s="3" t="s">
        <v>15991</v>
      </c>
      <c r="B3971" s="4">
        <v>532371.0</v>
      </c>
      <c r="C3971" s="3" t="s">
        <v>15992</v>
      </c>
      <c r="D3971" s="3" t="s">
        <v>15993</v>
      </c>
      <c r="E3971" s="3" t="s">
        <v>15994</v>
      </c>
      <c r="F3971" s="3" t="s">
        <v>19</v>
      </c>
      <c r="G3971" s="3" t="s">
        <v>20</v>
      </c>
      <c r="H3971" s="3">
        <v>10.0</v>
      </c>
      <c r="I3971" s="3" t="s">
        <v>9682</v>
      </c>
      <c r="J3971" s="3" t="s">
        <v>22</v>
      </c>
      <c r="K3971" s="3" t="s">
        <v>189</v>
      </c>
      <c r="L3971" s="3" t="s">
        <v>189</v>
      </c>
      <c r="M3971" s="3" t="s">
        <v>291</v>
      </c>
      <c r="N3971" s="3" t="s">
        <v>292</v>
      </c>
      <c r="O3971" s="5">
        <v>14977.1985685</v>
      </c>
      <c r="P3971" s="6" t="str">
        <f t="shared" si="2"/>
        <v>Telecom - Services</v>
      </c>
    </row>
    <row r="3972" hidden="1">
      <c r="A3972" s="3" t="s">
        <v>15995</v>
      </c>
      <c r="B3972" s="4">
        <v>543972.0</v>
      </c>
      <c r="C3972" s="3" t="s">
        <v>15996</v>
      </c>
      <c r="D3972" s="3" t="s">
        <v>15997</v>
      </c>
      <c r="E3972" s="3" t="s">
        <v>15998</v>
      </c>
      <c r="F3972" s="3" t="s">
        <v>19</v>
      </c>
      <c r="G3972" s="3" t="s">
        <v>112</v>
      </c>
      <c r="H3972" s="3">
        <v>2.0</v>
      </c>
      <c r="I3972" s="3" t="s">
        <v>15995</v>
      </c>
      <c r="J3972" s="3" t="s">
        <v>22</v>
      </c>
      <c r="K3972" s="3" t="s">
        <v>97</v>
      </c>
      <c r="L3972" s="3" t="s">
        <v>98</v>
      </c>
      <c r="M3972" s="3" t="s">
        <v>100</v>
      </c>
      <c r="N3972" s="3" t="s">
        <v>612</v>
      </c>
      <c r="O3972" s="5">
        <v>2052.966178</v>
      </c>
      <c r="P3972" s="6" t="str">
        <f t="shared" si="2"/>
        <v>Industrial Products</v>
      </c>
    </row>
    <row r="3973" hidden="1">
      <c r="A3973" s="3" t="s">
        <v>15999</v>
      </c>
      <c r="B3973" s="4">
        <v>543974.0</v>
      </c>
      <c r="C3973" s="3" t="s">
        <v>16000</v>
      </c>
      <c r="D3973" s="3" t="s">
        <v>16001</v>
      </c>
      <c r="E3973" s="3" t="s">
        <v>16002</v>
      </c>
      <c r="F3973" s="3" t="s">
        <v>19</v>
      </c>
      <c r="G3973" s="3" t="s">
        <v>112</v>
      </c>
      <c r="H3973" s="3">
        <v>10.0</v>
      </c>
      <c r="I3973" s="3" t="s">
        <v>15999</v>
      </c>
      <c r="J3973" s="3" t="s">
        <v>22</v>
      </c>
      <c r="K3973" s="3" t="s">
        <v>97</v>
      </c>
      <c r="L3973" s="3" t="s">
        <v>965</v>
      </c>
      <c r="M3973" s="3" t="s">
        <v>965</v>
      </c>
      <c r="N3973" s="3" t="s">
        <v>966</v>
      </c>
      <c r="O3973" s="5">
        <v>2587.5920805</v>
      </c>
      <c r="P3973" s="6" t="str">
        <f t="shared" si="2"/>
        <v>Civil Construction</v>
      </c>
    </row>
    <row r="3974" hidden="1">
      <c r="A3974" s="3" t="s">
        <v>16003</v>
      </c>
      <c r="B3974" s="4">
        <v>543976.0</v>
      </c>
      <c r="C3974" s="3" t="s">
        <v>16004</v>
      </c>
      <c r="D3974" s="3" t="s">
        <v>16005</v>
      </c>
      <c r="E3974" s="3" t="s">
        <v>16006</v>
      </c>
      <c r="F3974" s="3" t="s">
        <v>19</v>
      </c>
      <c r="G3974" s="3" t="s">
        <v>44</v>
      </c>
      <c r="H3974" s="3">
        <v>5.0</v>
      </c>
      <c r="I3974" s="3" t="s">
        <v>16003</v>
      </c>
      <c r="J3974" s="3" t="s">
        <v>22</v>
      </c>
      <c r="K3974" s="3" t="s">
        <v>473</v>
      </c>
      <c r="L3974" s="3" t="s">
        <v>473</v>
      </c>
      <c r="M3974" s="3" t="s">
        <v>1391</v>
      </c>
      <c r="N3974" s="3" t="s">
        <v>1840</v>
      </c>
      <c r="O3974" s="5">
        <v>225.986747</v>
      </c>
      <c r="P3974" s="6" t="str">
        <f t="shared" si="2"/>
        <v>Computers - Software &amp; Consulting</v>
      </c>
    </row>
    <row r="3975" hidden="1">
      <c r="A3975" s="3" t="s">
        <v>16007</v>
      </c>
      <c r="B3975" s="4">
        <v>543977.0</v>
      </c>
      <c r="C3975" s="3" t="s">
        <v>16008</v>
      </c>
      <c r="D3975" s="3" t="s">
        <v>16009</v>
      </c>
      <c r="E3975" s="3" t="s">
        <v>16010</v>
      </c>
      <c r="F3975" s="3" t="s">
        <v>19</v>
      </c>
      <c r="G3975" s="3" t="s">
        <v>112</v>
      </c>
      <c r="H3975" s="3">
        <v>10.0</v>
      </c>
      <c r="I3975" s="3" t="s">
        <v>16007</v>
      </c>
      <c r="J3975" s="3" t="s">
        <v>22</v>
      </c>
      <c r="K3975" s="3" t="s">
        <v>97</v>
      </c>
      <c r="L3975" s="3" t="s">
        <v>98</v>
      </c>
      <c r="M3975" s="3" t="s">
        <v>1747</v>
      </c>
      <c r="N3975" s="3" t="s">
        <v>1748</v>
      </c>
      <c r="O3975" s="5">
        <v>1704.4084235</v>
      </c>
      <c r="P3975" s="6" t="str">
        <f t="shared" si="2"/>
        <v>Electrical Equipment</v>
      </c>
    </row>
    <row r="3976" hidden="1">
      <c r="A3976" s="3" t="s">
        <v>16011</v>
      </c>
      <c r="B3976" s="4">
        <v>543978.0</v>
      </c>
      <c r="C3976" s="3" t="s">
        <v>16012</v>
      </c>
      <c r="D3976" s="3" t="s">
        <v>16013</v>
      </c>
      <c r="E3976" s="3" t="s">
        <v>16014</v>
      </c>
      <c r="F3976" s="3" t="s">
        <v>19</v>
      </c>
      <c r="G3976" s="3" t="s">
        <v>112</v>
      </c>
      <c r="H3976" s="3">
        <v>10.0</v>
      </c>
      <c r="I3976" s="3" t="s">
        <v>16011</v>
      </c>
      <c r="J3976" s="3" t="s">
        <v>22</v>
      </c>
      <c r="K3976" s="3" t="s">
        <v>97</v>
      </c>
      <c r="L3976" s="3" t="s">
        <v>98</v>
      </c>
      <c r="M3976" s="3" t="s">
        <v>100</v>
      </c>
      <c r="N3976" s="3" t="s">
        <v>612</v>
      </c>
      <c r="O3976" s="5">
        <v>818.9687642</v>
      </c>
      <c r="P3976" s="6" t="str">
        <f t="shared" si="2"/>
        <v>Industrial Products</v>
      </c>
    </row>
    <row r="3977" hidden="1">
      <c r="A3977" s="3" t="s">
        <v>16015</v>
      </c>
      <c r="B3977" s="4">
        <v>543979.0</v>
      </c>
      <c r="C3977" s="3" t="s">
        <v>16016</v>
      </c>
      <c r="D3977" s="3" t="s">
        <v>16017</v>
      </c>
      <c r="E3977" s="3" t="s">
        <v>16018</v>
      </c>
      <c r="F3977" s="3" t="s">
        <v>19</v>
      </c>
      <c r="G3977" s="3" t="s">
        <v>2428</v>
      </c>
      <c r="H3977" s="3">
        <v>10.0</v>
      </c>
      <c r="I3977" s="3" t="s">
        <v>16015</v>
      </c>
      <c r="J3977" s="3" t="s">
        <v>22</v>
      </c>
      <c r="K3977" s="3" t="s">
        <v>97</v>
      </c>
      <c r="L3977" s="3" t="s">
        <v>98</v>
      </c>
      <c r="M3977" s="3" t="s">
        <v>100</v>
      </c>
      <c r="N3977" s="3" t="s">
        <v>373</v>
      </c>
      <c r="O3977" s="5">
        <v>17.6799966</v>
      </c>
      <c r="P3977" s="6" t="str">
        <f t="shared" si="2"/>
        <v>Industrial Products</v>
      </c>
    </row>
    <row r="3978">
      <c r="A3978" s="3" t="s">
        <v>12355</v>
      </c>
      <c r="B3978" s="4">
        <v>532374.0</v>
      </c>
      <c r="C3978" s="3" t="s">
        <v>16019</v>
      </c>
      <c r="D3978" s="3" t="s">
        <v>16020</v>
      </c>
      <c r="E3978" s="3" t="s">
        <v>16021</v>
      </c>
      <c r="F3978" s="3" t="s">
        <v>19</v>
      </c>
      <c r="G3978" s="3" t="s">
        <v>20</v>
      </c>
      <c r="H3978" s="3">
        <v>2.0</v>
      </c>
      <c r="I3978" s="3" t="s">
        <v>9694</v>
      </c>
      <c r="J3978" s="3" t="s">
        <v>22</v>
      </c>
      <c r="K3978" s="3" t="s">
        <v>189</v>
      </c>
      <c r="L3978" s="3" t="s">
        <v>189</v>
      </c>
      <c r="M3978" s="3" t="s">
        <v>190</v>
      </c>
      <c r="N3978" s="3" t="s">
        <v>190</v>
      </c>
      <c r="O3978" s="5">
        <v>6656.7882669</v>
      </c>
      <c r="P3978" s="6" t="str">
        <f t="shared" si="2"/>
        <v>Telecom - Equipment &amp; Accessories</v>
      </c>
    </row>
    <row r="3979">
      <c r="A3979" s="3" t="s">
        <v>14962</v>
      </c>
      <c r="B3979" s="4">
        <v>532454.0</v>
      </c>
      <c r="C3979" s="3" t="s">
        <v>16022</v>
      </c>
      <c r="D3979" s="3" t="s">
        <v>16023</v>
      </c>
      <c r="E3979" s="3" t="s">
        <v>16024</v>
      </c>
      <c r="F3979" s="3" t="s">
        <v>19</v>
      </c>
      <c r="G3979" s="3" t="s">
        <v>20</v>
      </c>
      <c r="H3979" s="3">
        <v>5.0</v>
      </c>
      <c r="I3979" s="3" t="s">
        <v>9824</v>
      </c>
      <c r="J3979" s="3" t="s">
        <v>22</v>
      </c>
      <c r="K3979" s="3" t="s">
        <v>189</v>
      </c>
      <c r="L3979" s="3" t="s">
        <v>189</v>
      </c>
      <c r="M3979" s="3" t="s">
        <v>291</v>
      </c>
      <c r="N3979" s="3" t="s">
        <v>292</v>
      </c>
      <c r="O3979" s="5">
        <v>847662.9384338</v>
      </c>
      <c r="P3979" s="6" t="str">
        <f t="shared" si="2"/>
        <v>Telecom - Services</v>
      </c>
    </row>
    <row r="3980" hidden="1">
      <c r="A3980" s="3" t="s">
        <v>16025</v>
      </c>
      <c r="B3980" s="4">
        <v>543982.0</v>
      </c>
      <c r="C3980" s="3" t="s">
        <v>16026</v>
      </c>
      <c r="D3980" s="3" t="s">
        <v>16027</v>
      </c>
      <c r="E3980" s="3" t="s">
        <v>16028</v>
      </c>
      <c r="F3980" s="3" t="s">
        <v>19</v>
      </c>
      <c r="G3980" s="3" t="s">
        <v>2428</v>
      </c>
      <c r="H3980" s="3">
        <v>10.0</v>
      </c>
      <c r="I3980" s="3" t="s">
        <v>16025</v>
      </c>
      <c r="J3980" s="3" t="s">
        <v>22</v>
      </c>
      <c r="K3980" s="3" t="s">
        <v>97</v>
      </c>
      <c r="L3980" s="3" t="s">
        <v>98</v>
      </c>
      <c r="M3980" s="3" t="s">
        <v>100</v>
      </c>
      <c r="N3980" s="3" t="s">
        <v>1386</v>
      </c>
      <c r="O3980" s="5">
        <v>1110.8432976</v>
      </c>
      <c r="P3980" s="6" t="str">
        <f t="shared" si="2"/>
        <v>Industrial Products</v>
      </c>
    </row>
    <row r="3981" hidden="1">
      <c r="A3981" s="3" t="s">
        <v>16029</v>
      </c>
      <c r="B3981" s="4">
        <v>543983.0</v>
      </c>
      <c r="C3981" s="3" t="s">
        <v>16030</v>
      </c>
      <c r="D3981" s="3" t="s">
        <v>16031</v>
      </c>
      <c r="E3981" s="3" t="s">
        <v>16032</v>
      </c>
      <c r="F3981" s="3" t="s">
        <v>19</v>
      </c>
      <c r="G3981" s="3" t="s">
        <v>112</v>
      </c>
      <c r="H3981" s="3">
        <v>10.0</v>
      </c>
      <c r="I3981" s="3" t="s">
        <v>16029</v>
      </c>
      <c r="J3981" s="3" t="s">
        <v>22</v>
      </c>
      <c r="K3981" s="3" t="s">
        <v>1647</v>
      </c>
      <c r="L3981" s="3" t="s">
        <v>1647</v>
      </c>
      <c r="M3981" s="3" t="s">
        <v>7778</v>
      </c>
      <c r="N3981" s="3" t="s">
        <v>7779</v>
      </c>
      <c r="O3981" s="5">
        <v>3608.4412133</v>
      </c>
      <c r="P3981" s="6" t="str">
        <f t="shared" si="2"/>
        <v>Other Utilities</v>
      </c>
    </row>
    <row r="3982" hidden="1">
      <c r="A3982" s="3" t="s">
        <v>16033</v>
      </c>
      <c r="B3982" s="4">
        <v>543984.0</v>
      </c>
      <c r="C3982" s="3" t="s">
        <v>16034</v>
      </c>
      <c r="D3982" s="3" t="s">
        <v>16035</v>
      </c>
      <c r="E3982" s="3" t="s">
        <v>16036</v>
      </c>
      <c r="F3982" s="3" t="s">
        <v>19</v>
      </c>
      <c r="G3982" s="3" t="s">
        <v>112</v>
      </c>
      <c r="H3982" s="3">
        <v>1.0</v>
      </c>
      <c r="I3982" s="3" t="s">
        <v>16033</v>
      </c>
      <c r="J3982" s="3" t="s">
        <v>22</v>
      </c>
      <c r="K3982" s="3" t="s">
        <v>58</v>
      </c>
      <c r="L3982" s="3" t="s">
        <v>73</v>
      </c>
      <c r="M3982" s="3" t="s">
        <v>74</v>
      </c>
      <c r="N3982" s="3" t="s">
        <v>75</v>
      </c>
      <c r="O3982" s="5">
        <v>4207.6564427</v>
      </c>
      <c r="P3982" s="6" t="str">
        <f t="shared" si="2"/>
        <v>Leisure Services</v>
      </c>
    </row>
    <row r="3983" hidden="1">
      <c r="A3983" s="3" t="s">
        <v>16037</v>
      </c>
      <c r="B3983" s="4">
        <v>543985.0</v>
      </c>
      <c r="C3983" s="3" t="s">
        <v>16038</v>
      </c>
      <c r="D3983" s="3" t="s">
        <v>16039</v>
      </c>
      <c r="E3983" s="3" t="s">
        <v>16040</v>
      </c>
      <c r="F3983" s="3" t="s">
        <v>19</v>
      </c>
      <c r="G3983" s="3" t="s">
        <v>112</v>
      </c>
      <c r="H3983" s="3">
        <v>1.0</v>
      </c>
      <c r="I3983" s="3" t="s">
        <v>16037</v>
      </c>
      <c r="J3983" s="3" t="s">
        <v>22</v>
      </c>
      <c r="K3983" s="3" t="s">
        <v>473</v>
      </c>
      <c r="L3983" s="3" t="s">
        <v>473</v>
      </c>
      <c r="M3983" s="3" t="s">
        <v>1538</v>
      </c>
      <c r="N3983" s="3" t="s">
        <v>1539</v>
      </c>
      <c r="O3983" s="5">
        <v>3512.1767</v>
      </c>
      <c r="P3983" s="6" t="str">
        <f t="shared" si="2"/>
        <v>IT - Services</v>
      </c>
    </row>
    <row r="3984" hidden="1">
      <c r="A3984" s="3" t="s">
        <v>16041</v>
      </c>
      <c r="B3984" s="4">
        <v>543986.0</v>
      </c>
      <c r="C3984" s="3" t="s">
        <v>16042</v>
      </c>
      <c r="D3984" s="3" t="s">
        <v>16043</v>
      </c>
      <c r="E3984" s="3" t="s">
        <v>16044</v>
      </c>
      <c r="F3984" s="3" t="s">
        <v>19</v>
      </c>
      <c r="G3984" s="3" t="s">
        <v>112</v>
      </c>
      <c r="H3984" s="3">
        <v>10.0</v>
      </c>
      <c r="I3984" s="3" t="s">
        <v>16041</v>
      </c>
      <c r="J3984" s="3" t="s">
        <v>22</v>
      </c>
      <c r="K3984" s="3" t="s">
        <v>410</v>
      </c>
      <c r="L3984" s="3" t="s">
        <v>411</v>
      </c>
      <c r="M3984" s="3" t="s">
        <v>4270</v>
      </c>
      <c r="N3984" s="3" t="s">
        <v>4271</v>
      </c>
      <c r="O3984" s="5">
        <v>326.6339732</v>
      </c>
      <c r="P3984" s="6" t="str">
        <f t="shared" si="2"/>
        <v>Consumable Fuels</v>
      </c>
    </row>
    <row r="3985">
      <c r="A3985" s="3" t="s">
        <v>10772</v>
      </c>
      <c r="B3985" s="4">
        <v>532822.0</v>
      </c>
      <c r="C3985" s="3" t="s">
        <v>16045</v>
      </c>
      <c r="D3985" s="3" t="s">
        <v>16046</v>
      </c>
      <c r="E3985" s="3" t="s">
        <v>16047</v>
      </c>
      <c r="F3985" s="3" t="s">
        <v>19</v>
      </c>
      <c r="G3985" s="3" t="s">
        <v>20</v>
      </c>
      <c r="H3985" s="3">
        <v>10.0</v>
      </c>
      <c r="I3985" s="3" t="s">
        <v>10540</v>
      </c>
      <c r="J3985" s="3" t="s">
        <v>22</v>
      </c>
      <c r="K3985" s="3" t="s">
        <v>189</v>
      </c>
      <c r="L3985" s="3" t="s">
        <v>189</v>
      </c>
      <c r="M3985" s="3" t="s">
        <v>291</v>
      </c>
      <c r="N3985" s="3" t="s">
        <v>292</v>
      </c>
      <c r="O3985" s="5">
        <v>120402.0970069</v>
      </c>
      <c r="P3985" s="6" t="str">
        <f t="shared" si="2"/>
        <v>Telecom - Services</v>
      </c>
    </row>
    <row r="3986" hidden="1">
      <c r="A3986" s="3" t="s">
        <v>16048</v>
      </c>
      <c r="B3986" s="4">
        <v>543989.0</v>
      </c>
      <c r="C3986" s="3" t="s">
        <v>16049</v>
      </c>
      <c r="D3986" s="3" t="s">
        <v>16050</v>
      </c>
      <c r="E3986" s="3" t="s">
        <v>16051</v>
      </c>
      <c r="F3986" s="3" t="s">
        <v>19</v>
      </c>
      <c r="G3986" s="3" t="s">
        <v>112</v>
      </c>
      <c r="H3986" s="3">
        <v>2.0</v>
      </c>
      <c r="I3986" s="3" t="s">
        <v>16048</v>
      </c>
      <c r="J3986" s="3" t="s">
        <v>22</v>
      </c>
      <c r="K3986" s="3" t="s">
        <v>58</v>
      </c>
      <c r="L3986" s="3" t="s">
        <v>73</v>
      </c>
      <c r="M3986" s="3" t="s">
        <v>988</v>
      </c>
      <c r="N3986" s="3" t="s">
        <v>989</v>
      </c>
      <c r="O3986" s="5">
        <v>2785.08356</v>
      </c>
      <c r="P3986" s="6" t="str">
        <f t="shared" si="2"/>
        <v>Retailing</v>
      </c>
    </row>
    <row r="3987">
      <c r="A3987" s="3" t="s">
        <v>5244</v>
      </c>
      <c r="B3987" s="4">
        <v>534816.0</v>
      </c>
      <c r="C3987" s="3" t="s">
        <v>16052</v>
      </c>
      <c r="D3987" s="3" t="s">
        <v>16053</v>
      </c>
      <c r="E3987" s="3" t="s">
        <v>16054</v>
      </c>
      <c r="F3987" s="3" t="s">
        <v>19</v>
      </c>
      <c r="G3987" s="3" t="s">
        <v>20</v>
      </c>
      <c r="H3987" s="3">
        <v>10.0</v>
      </c>
      <c r="I3987" s="3" t="s">
        <v>11638</v>
      </c>
      <c r="J3987" s="3" t="s">
        <v>22</v>
      </c>
      <c r="K3987" s="3" t="s">
        <v>189</v>
      </c>
      <c r="L3987" s="3" t="s">
        <v>189</v>
      </c>
      <c r="M3987" s="3" t="s">
        <v>291</v>
      </c>
      <c r="N3987" s="3" t="s">
        <v>4689</v>
      </c>
      <c r="O3987" s="5">
        <v>100910.1399</v>
      </c>
      <c r="P3987" s="6" t="str">
        <f t="shared" si="2"/>
        <v>Telecom - Services</v>
      </c>
    </row>
    <row r="3988" hidden="1">
      <c r="A3988" s="3" t="s">
        <v>3879</v>
      </c>
      <c r="B3988" s="4">
        <v>540829.0</v>
      </c>
      <c r="C3988" s="3" t="s">
        <v>16055</v>
      </c>
      <c r="D3988" s="3" t="s">
        <v>16056</v>
      </c>
      <c r="E3988" s="3" t="s">
        <v>16057</v>
      </c>
      <c r="F3988" s="3" t="s">
        <v>19</v>
      </c>
      <c r="G3988" s="3" t="s">
        <v>72</v>
      </c>
      <c r="H3988" s="3">
        <v>10.0</v>
      </c>
      <c r="I3988" s="3" t="s">
        <v>13909</v>
      </c>
      <c r="J3988" s="3" t="s">
        <v>22</v>
      </c>
      <c r="K3988" s="3" t="s">
        <v>1673</v>
      </c>
      <c r="L3988" s="3" t="s">
        <v>1673</v>
      </c>
      <c r="M3988" s="3" t="s">
        <v>1674</v>
      </c>
      <c r="N3988" s="3" t="s">
        <v>1915</v>
      </c>
      <c r="O3988" s="5">
        <v>1.0</v>
      </c>
      <c r="P3988" s="6" t="str">
        <f t="shared" si="2"/>
        <v>Commercial Services &amp; Supplies</v>
      </c>
    </row>
    <row r="3989" hidden="1">
      <c r="A3989" s="3" t="s">
        <v>16058</v>
      </c>
      <c r="B3989" s="4">
        <v>543992.0</v>
      </c>
      <c r="C3989" s="3" t="s">
        <v>16059</v>
      </c>
      <c r="D3989" s="3" t="s">
        <v>16060</v>
      </c>
      <c r="E3989" s="3" t="s">
        <v>16061</v>
      </c>
      <c r="F3989" s="3" t="s">
        <v>19</v>
      </c>
      <c r="G3989" s="3" t="s">
        <v>112</v>
      </c>
      <c r="H3989" s="3">
        <v>1.0</v>
      </c>
      <c r="I3989" s="3" t="s">
        <v>16058</v>
      </c>
      <c r="J3989" s="3" t="s">
        <v>22</v>
      </c>
      <c r="K3989" s="3" t="s">
        <v>58</v>
      </c>
      <c r="L3989" s="3" t="s">
        <v>73</v>
      </c>
      <c r="M3989" s="3" t="s">
        <v>74</v>
      </c>
      <c r="N3989" s="3" t="s">
        <v>565</v>
      </c>
      <c r="O3989" s="5">
        <v>1990.55574</v>
      </c>
      <c r="P3989" s="6" t="str">
        <f t="shared" si="2"/>
        <v>Leisure Services</v>
      </c>
    </row>
    <row r="3990" hidden="1">
      <c r="A3990" s="3" t="s">
        <v>16062</v>
      </c>
      <c r="B3990" s="4">
        <v>543993.0</v>
      </c>
      <c r="C3990" s="3" t="s">
        <v>16063</v>
      </c>
      <c r="D3990" s="3" t="s">
        <v>16064</v>
      </c>
      <c r="E3990" s="3" t="s">
        <v>16063</v>
      </c>
      <c r="F3990" s="3" t="s">
        <v>19</v>
      </c>
      <c r="G3990" s="3" t="s">
        <v>72</v>
      </c>
      <c r="H3990" s="3">
        <v>10.0</v>
      </c>
      <c r="I3990" s="3" t="s">
        <v>16062</v>
      </c>
      <c r="J3990" s="3" t="s">
        <v>22</v>
      </c>
      <c r="K3990" s="3" t="s">
        <v>23</v>
      </c>
      <c r="L3990" s="3" t="s">
        <v>24</v>
      </c>
      <c r="M3990" s="3" t="s">
        <v>25</v>
      </c>
      <c r="N3990" s="3" t="s">
        <v>52</v>
      </c>
      <c r="O3990" s="5">
        <v>57.512</v>
      </c>
      <c r="P3990" s="6" t="str">
        <f t="shared" si="2"/>
        <v>Chemicals &amp; Petrochemicals</v>
      </c>
    </row>
    <row r="3991" hidden="1">
      <c r="A3991" s="3" t="s">
        <v>15373</v>
      </c>
      <c r="B3991" s="4">
        <v>542446.0</v>
      </c>
      <c r="C3991" s="3" t="s">
        <v>16065</v>
      </c>
      <c r="D3991" s="3" t="s">
        <v>16066</v>
      </c>
      <c r="E3991" s="3" t="s">
        <v>16067</v>
      </c>
      <c r="F3991" s="3" t="s">
        <v>19</v>
      </c>
      <c r="G3991" s="3" t="s">
        <v>2428</v>
      </c>
      <c r="H3991" s="3">
        <v>10.0</v>
      </c>
      <c r="I3991" s="3" t="s">
        <v>14391</v>
      </c>
      <c r="J3991" s="3" t="s">
        <v>22</v>
      </c>
      <c r="K3991" s="3" t="s">
        <v>1673</v>
      </c>
      <c r="L3991" s="3" t="s">
        <v>1673</v>
      </c>
      <c r="M3991" s="3" t="s">
        <v>1674</v>
      </c>
      <c r="N3991" s="3" t="s">
        <v>3189</v>
      </c>
      <c r="O3991" s="5">
        <v>1.0</v>
      </c>
      <c r="P3991" s="6" t="str">
        <f t="shared" si="2"/>
        <v>Commercial Services &amp; Supplies</v>
      </c>
    </row>
    <row r="3992" hidden="1">
      <c r="A3992" s="3" t="s">
        <v>16068</v>
      </c>
      <c r="B3992" s="4">
        <v>543995.0</v>
      </c>
      <c r="C3992" s="3" t="s">
        <v>16069</v>
      </c>
      <c r="D3992" s="3" t="s">
        <v>16070</v>
      </c>
      <c r="E3992" s="3" t="s">
        <v>16071</v>
      </c>
      <c r="F3992" s="3" t="s">
        <v>19</v>
      </c>
      <c r="G3992" s="3" t="s">
        <v>112</v>
      </c>
      <c r="H3992" s="3">
        <v>10.0</v>
      </c>
      <c r="I3992" s="3" t="s">
        <v>16068</v>
      </c>
      <c r="J3992" s="3" t="s">
        <v>22</v>
      </c>
      <c r="K3992" s="3" t="s">
        <v>58</v>
      </c>
      <c r="L3992" s="3" t="s">
        <v>211</v>
      </c>
      <c r="M3992" s="3" t="s">
        <v>211</v>
      </c>
      <c r="N3992" s="3" t="s">
        <v>947</v>
      </c>
      <c r="O3992" s="5">
        <v>1113.3243092</v>
      </c>
      <c r="P3992" s="6" t="str">
        <f t="shared" si="2"/>
        <v>Consumer Durables</v>
      </c>
    </row>
    <row r="3993" hidden="1">
      <c r="A3993" s="3" t="s">
        <v>2104</v>
      </c>
      <c r="B3993" s="4">
        <v>542477.0</v>
      </c>
      <c r="C3993" s="3" t="s">
        <v>16072</v>
      </c>
      <c r="D3993" s="3" t="s">
        <v>16073</v>
      </c>
      <c r="E3993" s="3" t="s">
        <v>16074</v>
      </c>
      <c r="F3993" s="3" t="s">
        <v>19</v>
      </c>
      <c r="G3993" s="3" t="s">
        <v>2428</v>
      </c>
      <c r="H3993" s="3">
        <v>10.0</v>
      </c>
      <c r="I3993" s="3" t="s">
        <v>14402</v>
      </c>
      <c r="J3993" s="3" t="s">
        <v>22</v>
      </c>
      <c r="K3993" s="3" t="s">
        <v>1673</v>
      </c>
      <c r="L3993" s="3" t="s">
        <v>1673</v>
      </c>
      <c r="M3993" s="3" t="s">
        <v>1674</v>
      </c>
      <c r="N3993" s="3" t="s">
        <v>1915</v>
      </c>
      <c r="O3993" s="5">
        <v>1.0</v>
      </c>
      <c r="P3993" s="6" t="str">
        <f t="shared" si="2"/>
        <v>Commercial Services &amp; Supplies</v>
      </c>
    </row>
    <row r="3994" hidden="1">
      <c r="A3994" s="3" t="s">
        <v>16075</v>
      </c>
      <c r="B3994" s="4">
        <v>543997.0</v>
      </c>
      <c r="C3994" s="3" t="s">
        <v>16076</v>
      </c>
      <c r="D3994" s="3" t="s">
        <v>16077</v>
      </c>
      <c r="E3994" s="3" t="s">
        <v>16078</v>
      </c>
      <c r="F3994" s="3" t="s">
        <v>19</v>
      </c>
      <c r="G3994" s="3" t="s">
        <v>2428</v>
      </c>
      <c r="H3994" s="3">
        <v>10.0</v>
      </c>
      <c r="I3994" s="3" t="s">
        <v>16075</v>
      </c>
      <c r="J3994" s="3" t="s">
        <v>22</v>
      </c>
      <c r="K3994" s="3" t="s">
        <v>1647</v>
      </c>
      <c r="L3994" s="3" t="s">
        <v>1647</v>
      </c>
      <c r="M3994" s="3" t="s">
        <v>7778</v>
      </c>
      <c r="N3994" s="3" t="s">
        <v>7779</v>
      </c>
      <c r="O3994" s="5">
        <v>217.2418799</v>
      </c>
      <c r="P3994" s="6" t="str">
        <f t="shared" si="2"/>
        <v>Other Utilities</v>
      </c>
    </row>
    <row r="3995" hidden="1">
      <c r="A3995" s="3" t="s">
        <v>16079</v>
      </c>
      <c r="B3995" s="4">
        <v>543998.0</v>
      </c>
      <c r="C3995" s="3" t="s">
        <v>16080</v>
      </c>
      <c r="D3995" s="3" t="s">
        <v>16081</v>
      </c>
      <c r="E3995" s="3" t="s">
        <v>16082</v>
      </c>
      <c r="F3995" s="3" t="s">
        <v>19</v>
      </c>
      <c r="G3995" s="3" t="s">
        <v>112</v>
      </c>
      <c r="H3995" s="3">
        <v>10.0</v>
      </c>
      <c r="I3995" s="3" t="s">
        <v>16079</v>
      </c>
      <c r="J3995" s="3" t="s">
        <v>22</v>
      </c>
      <c r="K3995" s="3" t="s">
        <v>45</v>
      </c>
      <c r="L3995" s="3" t="s">
        <v>45</v>
      </c>
      <c r="M3995" s="3" t="s">
        <v>46</v>
      </c>
      <c r="N3995" s="3" t="s">
        <v>47</v>
      </c>
      <c r="O3995" s="5">
        <v>599.725799</v>
      </c>
      <c r="P3995" s="6" t="str">
        <f t="shared" si="2"/>
        <v>Pharmaceuticals</v>
      </c>
    </row>
    <row r="3996" hidden="1">
      <c r="A3996" s="3" t="s">
        <v>16083</v>
      </c>
      <c r="B3996" s="4">
        <v>544000.0</v>
      </c>
      <c r="C3996" s="3" t="s">
        <v>16084</v>
      </c>
      <c r="D3996" s="3" t="s">
        <v>16085</v>
      </c>
      <c r="E3996" s="3" t="s">
        <v>16086</v>
      </c>
      <c r="F3996" s="3" t="s">
        <v>19</v>
      </c>
      <c r="G3996" s="3" t="s">
        <v>2428</v>
      </c>
      <c r="H3996" s="3">
        <v>10.0</v>
      </c>
      <c r="I3996" s="3" t="s">
        <v>16083</v>
      </c>
      <c r="J3996" s="3" t="s">
        <v>22</v>
      </c>
      <c r="K3996" s="3" t="s">
        <v>145</v>
      </c>
      <c r="L3996" s="3" t="s">
        <v>145</v>
      </c>
      <c r="M3996" s="3" t="s">
        <v>146</v>
      </c>
      <c r="N3996" s="3" t="s">
        <v>2645</v>
      </c>
      <c r="O3996" s="5">
        <v>42.0069717</v>
      </c>
      <c r="P3996" s="6" t="str">
        <f t="shared" si="2"/>
        <v>Agricultural Food &amp; other Products</v>
      </c>
    </row>
    <row r="3997" hidden="1">
      <c r="A3997" s="3" t="s">
        <v>16087</v>
      </c>
      <c r="B3997" s="4">
        <v>544001.0</v>
      </c>
      <c r="C3997" s="3" t="s">
        <v>16088</v>
      </c>
      <c r="D3997" s="3" t="s">
        <v>16089</v>
      </c>
      <c r="E3997" s="3" t="s">
        <v>16090</v>
      </c>
      <c r="F3997" s="3" t="s">
        <v>19</v>
      </c>
      <c r="G3997" s="3" t="s">
        <v>2428</v>
      </c>
      <c r="H3997" s="3">
        <v>10.0</v>
      </c>
      <c r="I3997" s="3" t="s">
        <v>16087</v>
      </c>
      <c r="J3997" s="3" t="s">
        <v>22</v>
      </c>
      <c r="K3997" s="3" t="s">
        <v>97</v>
      </c>
      <c r="L3997" s="3" t="s">
        <v>98</v>
      </c>
      <c r="M3997" s="3" t="s">
        <v>99</v>
      </c>
      <c r="N3997" s="3" t="s">
        <v>100</v>
      </c>
      <c r="O3997" s="5">
        <v>390.337896</v>
      </c>
      <c r="P3997" s="6" t="str">
        <f t="shared" si="2"/>
        <v>Industrial Products</v>
      </c>
    </row>
    <row r="3998" hidden="1">
      <c r="A3998" s="3" t="s">
        <v>16091</v>
      </c>
      <c r="B3998" s="4">
        <v>544002.0</v>
      </c>
      <c r="C3998" s="3" t="s">
        <v>16092</v>
      </c>
      <c r="D3998" s="3" t="s">
        <v>16093</v>
      </c>
      <c r="E3998" s="3" t="s">
        <v>16094</v>
      </c>
      <c r="F3998" s="3" t="s">
        <v>19</v>
      </c>
      <c r="G3998" s="3" t="s">
        <v>2428</v>
      </c>
      <c r="H3998" s="3">
        <v>10.0</v>
      </c>
      <c r="I3998" s="3" t="s">
        <v>16091</v>
      </c>
      <c r="J3998" s="3" t="s">
        <v>22</v>
      </c>
      <c r="K3998" s="3" t="s">
        <v>58</v>
      </c>
      <c r="L3998" s="3" t="s">
        <v>80</v>
      </c>
      <c r="M3998" s="3" t="s">
        <v>81</v>
      </c>
      <c r="N3998" s="3" t="s">
        <v>2471</v>
      </c>
      <c r="O3998" s="5">
        <v>15.35625</v>
      </c>
      <c r="P3998" s="6" t="str">
        <f t="shared" si="2"/>
        <v>Textiles &amp; Apparels</v>
      </c>
    </row>
    <row r="3999" hidden="1">
      <c r="A3999" s="3" t="s">
        <v>16095</v>
      </c>
      <c r="B3999" s="4">
        <v>544003.0</v>
      </c>
      <c r="C3999" s="3" t="s">
        <v>16096</v>
      </c>
      <c r="D3999" s="3" t="s">
        <v>16097</v>
      </c>
      <c r="E3999" s="3" t="s">
        <v>16098</v>
      </c>
      <c r="F3999" s="3" t="s">
        <v>19</v>
      </c>
      <c r="G3999" s="3" t="s">
        <v>112</v>
      </c>
      <c r="H3999" s="3">
        <v>10.0</v>
      </c>
      <c r="I3999" s="3" t="s">
        <v>16095</v>
      </c>
      <c r="J3999" s="3" t="s">
        <v>22</v>
      </c>
      <c r="K3999" s="3" t="s">
        <v>97</v>
      </c>
      <c r="L3999" s="3" t="s">
        <v>98</v>
      </c>
      <c r="M3999" s="3" t="s">
        <v>100</v>
      </c>
      <c r="N3999" s="3" t="s">
        <v>1804</v>
      </c>
      <c r="O3999" s="5">
        <v>381.8249862</v>
      </c>
      <c r="P3999" s="6" t="str">
        <f t="shared" si="2"/>
        <v>Industrial Products</v>
      </c>
    </row>
    <row r="4000" hidden="1">
      <c r="A4000" s="3" t="s">
        <v>16099</v>
      </c>
      <c r="B4000" s="4">
        <v>544004.0</v>
      </c>
      <c r="C4000" s="3" t="s">
        <v>16100</v>
      </c>
      <c r="D4000" s="3" t="s">
        <v>16101</v>
      </c>
      <c r="E4000" s="3" t="s">
        <v>16102</v>
      </c>
      <c r="F4000" s="3" t="s">
        <v>19</v>
      </c>
      <c r="G4000" s="3" t="s">
        <v>112</v>
      </c>
      <c r="H4000" s="3">
        <v>10.0</v>
      </c>
      <c r="I4000" s="3" t="s">
        <v>16099</v>
      </c>
      <c r="J4000" s="3" t="s">
        <v>22</v>
      </c>
      <c r="K4000" s="3" t="s">
        <v>410</v>
      </c>
      <c r="L4000" s="3" t="s">
        <v>411</v>
      </c>
      <c r="M4000" s="3" t="s">
        <v>5841</v>
      </c>
      <c r="N4000" s="3" t="s">
        <v>6191</v>
      </c>
      <c r="O4000" s="5">
        <v>1816.2402412</v>
      </c>
      <c r="P4000" s="6" t="str">
        <f t="shared" si="2"/>
        <v>Gas</v>
      </c>
    </row>
    <row r="4001">
      <c r="A4001" s="3" t="s">
        <v>5297</v>
      </c>
      <c r="B4001" s="4">
        <v>540595.0</v>
      </c>
      <c r="C4001" s="3" t="s">
        <v>16103</v>
      </c>
      <c r="D4001" s="3" t="s">
        <v>16104</v>
      </c>
      <c r="E4001" s="3" t="s">
        <v>16105</v>
      </c>
      <c r="F4001" s="3" t="s">
        <v>19</v>
      </c>
      <c r="G4001" s="3" t="s">
        <v>20</v>
      </c>
      <c r="H4001" s="3">
        <v>10.0</v>
      </c>
      <c r="I4001" s="3" t="s">
        <v>13636</v>
      </c>
      <c r="J4001" s="3" t="s">
        <v>22</v>
      </c>
      <c r="K4001" s="3" t="s">
        <v>189</v>
      </c>
      <c r="L4001" s="3" t="s">
        <v>189</v>
      </c>
      <c r="M4001" s="3" t="s">
        <v>190</v>
      </c>
      <c r="N4001" s="3" t="s">
        <v>190</v>
      </c>
      <c r="O4001" s="5">
        <v>24711.5675336</v>
      </c>
      <c r="P4001" s="6" t="str">
        <f t="shared" si="2"/>
        <v>Telecom - Equipment &amp; Accessories</v>
      </c>
    </row>
    <row r="4002">
      <c r="A4002" s="3" t="s">
        <v>12416</v>
      </c>
      <c r="B4002" s="4">
        <v>543228.0</v>
      </c>
      <c r="C4002" s="3" t="s">
        <v>16106</v>
      </c>
      <c r="D4002" s="3" t="s">
        <v>16107</v>
      </c>
      <c r="E4002" s="3" t="s">
        <v>16108</v>
      </c>
      <c r="F4002" s="3" t="s">
        <v>19</v>
      </c>
      <c r="G4002" s="3" t="s">
        <v>20</v>
      </c>
      <c r="H4002" s="3">
        <v>10.0</v>
      </c>
      <c r="I4002" s="3" t="s">
        <v>14745</v>
      </c>
      <c r="J4002" s="3" t="s">
        <v>22</v>
      </c>
      <c r="K4002" s="3" t="s">
        <v>189</v>
      </c>
      <c r="L4002" s="3" t="s">
        <v>189</v>
      </c>
      <c r="M4002" s="3" t="s">
        <v>291</v>
      </c>
      <c r="N4002" s="3" t="s">
        <v>423</v>
      </c>
      <c r="O4002" s="5">
        <v>11241.826413</v>
      </c>
      <c r="P4002" s="6" t="str">
        <f t="shared" si="2"/>
        <v>Telecom - Services</v>
      </c>
    </row>
    <row r="4003" hidden="1">
      <c r="A4003" s="3" t="s">
        <v>8654</v>
      </c>
      <c r="B4003" s="4">
        <v>542627.0</v>
      </c>
      <c r="C4003" s="3" t="s">
        <v>16109</v>
      </c>
      <c r="D4003" s="3" t="s">
        <v>16110</v>
      </c>
      <c r="E4003" s="3" t="s">
        <v>16111</v>
      </c>
      <c r="F4003" s="3" t="s">
        <v>19</v>
      </c>
      <c r="G4003" s="3" t="s">
        <v>72</v>
      </c>
      <c r="H4003" s="3">
        <v>10.0</v>
      </c>
      <c r="I4003" s="3" t="s">
        <v>14437</v>
      </c>
      <c r="J4003" s="3" t="s">
        <v>22</v>
      </c>
      <c r="K4003" s="3" t="s">
        <v>1673</v>
      </c>
      <c r="L4003" s="3" t="s">
        <v>1673</v>
      </c>
      <c r="M4003" s="3" t="s">
        <v>1674</v>
      </c>
      <c r="N4003" s="3" t="s">
        <v>1915</v>
      </c>
      <c r="O4003" s="5">
        <v>1.0</v>
      </c>
      <c r="P4003" s="6" t="str">
        <f t="shared" si="2"/>
        <v>Commercial Services &amp; Supplies</v>
      </c>
    </row>
    <row r="4004">
      <c r="A4004" s="3" t="s">
        <v>5324</v>
      </c>
      <c r="B4004" s="4">
        <v>543265.0</v>
      </c>
      <c r="C4004" s="3" t="s">
        <v>16112</v>
      </c>
      <c r="D4004" s="3" t="s">
        <v>16113</v>
      </c>
      <c r="E4004" s="3" t="s">
        <v>16114</v>
      </c>
      <c r="F4004" s="3" t="s">
        <v>19</v>
      </c>
      <c r="G4004" s="3" t="s">
        <v>20</v>
      </c>
      <c r="H4004" s="3">
        <v>10.0</v>
      </c>
      <c r="I4004" s="3" t="s">
        <v>14862</v>
      </c>
      <c r="J4004" s="3" t="s">
        <v>22</v>
      </c>
      <c r="K4004" s="3" t="s">
        <v>189</v>
      </c>
      <c r="L4004" s="3" t="s">
        <v>189</v>
      </c>
      <c r="M4004" s="3" t="s">
        <v>291</v>
      </c>
      <c r="N4004" s="3" t="s">
        <v>423</v>
      </c>
      <c r="O4004" s="5">
        <v>15199.1388231</v>
      </c>
      <c r="P4004" s="6" t="str">
        <f t="shared" si="2"/>
        <v>Telecom - Services</v>
      </c>
    </row>
    <row r="4005" hidden="1">
      <c r="A4005" s="3" t="s">
        <v>16115</v>
      </c>
      <c r="B4005" s="4">
        <v>544013.0</v>
      </c>
      <c r="C4005" s="3" t="s">
        <v>16116</v>
      </c>
      <c r="D4005" s="3" t="s">
        <v>16117</v>
      </c>
      <c r="E4005" s="3" t="s">
        <v>16118</v>
      </c>
      <c r="F4005" s="3" t="s">
        <v>19</v>
      </c>
      <c r="G4005" s="3" t="s">
        <v>2428</v>
      </c>
      <c r="H4005" s="3">
        <v>10.0</v>
      </c>
      <c r="I4005" s="3" t="s">
        <v>16115</v>
      </c>
      <c r="J4005" s="3" t="s">
        <v>22</v>
      </c>
      <c r="K4005" s="3" t="s">
        <v>45</v>
      </c>
      <c r="L4005" s="3" t="s">
        <v>45</v>
      </c>
      <c r="M4005" s="3" t="s">
        <v>4488</v>
      </c>
      <c r="N4005" s="3" t="s">
        <v>5801</v>
      </c>
      <c r="O4005" s="5">
        <v>31.2580176</v>
      </c>
      <c r="P4005" s="6" t="str">
        <f t="shared" si="2"/>
        <v>Healthcare Services</v>
      </c>
    </row>
    <row r="4006">
      <c r="A4006" s="3" t="s">
        <v>9442</v>
      </c>
      <c r="B4006" s="4">
        <v>543971.0</v>
      </c>
      <c r="C4006" s="3" t="s">
        <v>16119</v>
      </c>
      <c r="D4006" s="3" t="s">
        <v>16120</v>
      </c>
      <c r="E4006" s="3" t="s">
        <v>16121</v>
      </c>
      <c r="F4006" s="3" t="s">
        <v>19</v>
      </c>
      <c r="G4006" s="3" t="s">
        <v>6293</v>
      </c>
      <c r="H4006" s="3">
        <v>10.0</v>
      </c>
      <c r="I4006" s="3" t="s">
        <v>15991</v>
      </c>
      <c r="J4006" s="3" t="s">
        <v>22</v>
      </c>
      <c r="K4006" s="3" t="s">
        <v>189</v>
      </c>
      <c r="L4006" s="3" t="s">
        <v>189</v>
      </c>
      <c r="M4006" s="3" t="s">
        <v>291</v>
      </c>
      <c r="N4006" s="3" t="s">
        <v>4689</v>
      </c>
      <c r="O4006" s="5">
        <v>5675.913073</v>
      </c>
      <c r="P4006" s="6" t="str">
        <f t="shared" si="2"/>
        <v>Telecom - Services</v>
      </c>
    </row>
    <row r="4007" hidden="1">
      <c r="A4007" s="3" t="s">
        <v>16122</v>
      </c>
      <c r="B4007" s="4">
        <v>544015.0</v>
      </c>
      <c r="C4007" s="3" t="s">
        <v>16123</v>
      </c>
      <c r="D4007" s="3" t="s">
        <v>16124</v>
      </c>
      <c r="E4007" s="3" t="s">
        <v>16125</v>
      </c>
      <c r="F4007" s="3" t="s">
        <v>19</v>
      </c>
      <c r="G4007" s="3" t="s">
        <v>6293</v>
      </c>
      <c r="H4007" s="3">
        <v>10.0</v>
      </c>
      <c r="I4007" s="3" t="s">
        <v>16122</v>
      </c>
      <c r="J4007" s="3" t="s">
        <v>22</v>
      </c>
      <c r="K4007" s="3" t="s">
        <v>58</v>
      </c>
      <c r="L4007" s="3" t="s">
        <v>80</v>
      </c>
      <c r="M4007" s="3" t="s">
        <v>81</v>
      </c>
      <c r="N4007" s="3" t="s">
        <v>944</v>
      </c>
      <c r="O4007" s="5">
        <v>74.2</v>
      </c>
      <c r="P4007" s="6" t="str">
        <f t="shared" si="2"/>
        <v>Textiles &amp; Apparels</v>
      </c>
    </row>
    <row r="4008" hidden="1">
      <c r="A4008" s="3" t="s">
        <v>16126</v>
      </c>
      <c r="B4008" s="4">
        <v>544020.0</v>
      </c>
      <c r="C4008" s="3" t="s">
        <v>16127</v>
      </c>
      <c r="D4008" s="3" t="s">
        <v>16128</v>
      </c>
      <c r="E4008" s="3" t="s">
        <v>16127</v>
      </c>
      <c r="F4008" s="3" t="s">
        <v>19</v>
      </c>
      <c r="G4008" s="3" t="s">
        <v>112</v>
      </c>
      <c r="H4008" s="3">
        <v>10.0</v>
      </c>
      <c r="I4008" s="3" t="s">
        <v>16126</v>
      </c>
      <c r="J4008" s="3" t="s">
        <v>22</v>
      </c>
      <c r="K4008" s="3" t="s">
        <v>204</v>
      </c>
      <c r="L4008" s="3" t="s">
        <v>204</v>
      </c>
      <c r="M4008" s="3" t="s">
        <v>9428</v>
      </c>
      <c r="N4008" s="6" t="s">
        <v>9429</v>
      </c>
      <c r="O4008" s="5">
        <v>2754.8639445</v>
      </c>
      <c r="P4008" s="6" t="str">
        <f t="shared" si="2"/>
        <v>Private Sector Bank</v>
      </c>
    </row>
    <row r="4009" hidden="1">
      <c r="A4009" s="3" t="s">
        <v>16129</v>
      </c>
      <c r="B4009" s="4">
        <v>544021.0</v>
      </c>
      <c r="C4009" s="3" t="s">
        <v>16130</v>
      </c>
      <c r="D4009" s="3" t="s">
        <v>16131</v>
      </c>
      <c r="E4009" s="3" t="s">
        <v>16132</v>
      </c>
      <c r="F4009" s="3" t="s">
        <v>19</v>
      </c>
      <c r="G4009" s="3" t="s">
        <v>112</v>
      </c>
      <c r="H4009" s="3">
        <v>10.0</v>
      </c>
      <c r="I4009" s="3" t="s">
        <v>16129</v>
      </c>
      <c r="J4009" s="3" t="s">
        <v>22</v>
      </c>
      <c r="K4009" s="3" t="s">
        <v>473</v>
      </c>
      <c r="L4009" s="3" t="s">
        <v>473</v>
      </c>
      <c r="M4009" s="3" t="s">
        <v>1538</v>
      </c>
      <c r="N4009" s="3" t="s">
        <v>1539</v>
      </c>
      <c r="O4009" s="5">
        <v>4900.35472</v>
      </c>
      <c r="P4009" s="6" t="str">
        <f t="shared" si="2"/>
        <v>IT - Services</v>
      </c>
    </row>
    <row r="4010">
      <c r="A4010" s="3" t="s">
        <v>5332</v>
      </c>
      <c r="B4010" s="4">
        <v>544162.0</v>
      </c>
      <c r="C4010" s="3" t="s">
        <v>16133</v>
      </c>
      <c r="D4010" s="3" t="s">
        <v>16134</v>
      </c>
      <c r="E4010" s="3" t="s">
        <v>16135</v>
      </c>
      <c r="F4010" s="3" t="s">
        <v>19</v>
      </c>
      <c r="G4010" s="3" t="s">
        <v>112</v>
      </c>
      <c r="H4010" s="3">
        <v>5.0</v>
      </c>
      <c r="I4010" s="3" t="s">
        <v>16136</v>
      </c>
      <c r="J4010" s="3" t="s">
        <v>22</v>
      </c>
      <c r="K4010" s="3" t="s">
        <v>189</v>
      </c>
      <c r="L4010" s="3" t="s">
        <v>189</v>
      </c>
      <c r="M4010" s="3" t="s">
        <v>291</v>
      </c>
      <c r="N4010" s="3" t="s">
        <v>292</v>
      </c>
      <c r="O4010" s="5">
        <v>55362.6950715</v>
      </c>
      <c r="P4010" s="6" t="str">
        <f t="shared" si="2"/>
        <v>Telecom - Services</v>
      </c>
    </row>
    <row r="4011" hidden="1">
      <c r="A4011" s="3" t="s">
        <v>16137</v>
      </c>
      <c r="B4011" s="4">
        <v>544023.0</v>
      </c>
      <c r="C4011" s="3" t="s">
        <v>16138</v>
      </c>
      <c r="D4011" s="3" t="s">
        <v>16139</v>
      </c>
      <c r="E4011" s="3" t="s">
        <v>16140</v>
      </c>
      <c r="F4011" s="3" t="s">
        <v>19</v>
      </c>
      <c r="G4011" s="3" t="s">
        <v>2428</v>
      </c>
      <c r="H4011" s="3">
        <v>10.0</v>
      </c>
      <c r="I4011" s="3" t="s">
        <v>16137</v>
      </c>
      <c r="J4011" s="3" t="s">
        <v>22</v>
      </c>
      <c r="K4011" s="3" t="s">
        <v>97</v>
      </c>
      <c r="L4011" s="3" t="s">
        <v>98</v>
      </c>
      <c r="M4011" s="3" t="s">
        <v>99</v>
      </c>
      <c r="N4011" s="3" t="s">
        <v>100</v>
      </c>
      <c r="O4011" s="5">
        <v>346.0932021</v>
      </c>
      <c r="P4011" s="6" t="str">
        <f t="shared" si="2"/>
        <v>Industrial Products</v>
      </c>
    </row>
    <row r="4012" hidden="1">
      <c r="A4012" s="3" t="s">
        <v>16141</v>
      </c>
      <c r="B4012" s="4">
        <v>544025.0</v>
      </c>
      <c r="C4012" s="3" t="s">
        <v>16142</v>
      </c>
      <c r="D4012" s="3" t="s">
        <v>16143</v>
      </c>
      <c r="E4012" s="3" t="s">
        <v>16144</v>
      </c>
      <c r="F4012" s="3" t="s">
        <v>19</v>
      </c>
      <c r="G4012" s="3" t="s">
        <v>2428</v>
      </c>
      <c r="H4012" s="3">
        <v>10.0</v>
      </c>
      <c r="I4012" s="3" t="s">
        <v>16141</v>
      </c>
      <c r="J4012" s="3" t="s">
        <v>22</v>
      </c>
      <c r="K4012" s="3" t="s">
        <v>97</v>
      </c>
      <c r="L4012" s="3" t="s">
        <v>98</v>
      </c>
      <c r="M4012" s="3" t="s">
        <v>99</v>
      </c>
      <c r="N4012" s="3" t="s">
        <v>100</v>
      </c>
      <c r="O4012" s="5">
        <v>29.5556877</v>
      </c>
      <c r="P4012" s="6" t="str">
        <f t="shared" si="2"/>
        <v>Industrial Products</v>
      </c>
    </row>
    <row r="4013">
      <c r="A4013" s="3" t="s">
        <v>10788</v>
      </c>
      <c r="B4013" s="4">
        <v>500084.0</v>
      </c>
      <c r="C4013" s="3" t="s">
        <v>16145</v>
      </c>
      <c r="D4013" s="3" t="s">
        <v>16146</v>
      </c>
      <c r="E4013" s="3" t="s">
        <v>16147</v>
      </c>
      <c r="F4013" s="3" t="s">
        <v>19</v>
      </c>
      <c r="G4013" s="3" t="s">
        <v>20</v>
      </c>
      <c r="H4013" s="3">
        <v>1.0</v>
      </c>
      <c r="I4013" s="3" t="s">
        <v>222</v>
      </c>
      <c r="J4013" s="3" t="s">
        <v>22</v>
      </c>
      <c r="K4013" s="3" t="s">
        <v>1647</v>
      </c>
      <c r="L4013" s="3" t="s">
        <v>1648</v>
      </c>
      <c r="M4013" s="3" t="s">
        <v>1648</v>
      </c>
      <c r="N4013" s="3" t="s">
        <v>16148</v>
      </c>
      <c r="O4013" s="5">
        <v>21288.0893675</v>
      </c>
      <c r="P4013" s="6" t="str">
        <f t="shared" si="2"/>
        <v>Power</v>
      </c>
    </row>
    <row r="4014" hidden="1">
      <c r="A4014" s="3" t="s">
        <v>16149</v>
      </c>
      <c r="B4014" s="4">
        <v>544027.0</v>
      </c>
      <c r="C4014" s="3" t="s">
        <v>16150</v>
      </c>
      <c r="D4014" s="3" t="s">
        <v>16151</v>
      </c>
      <c r="E4014" s="3" t="s">
        <v>16152</v>
      </c>
      <c r="F4014" s="3" t="s">
        <v>19</v>
      </c>
      <c r="G4014" s="3" t="s">
        <v>112</v>
      </c>
      <c r="H4014" s="3">
        <v>10.0</v>
      </c>
      <c r="I4014" s="3" t="s">
        <v>16149</v>
      </c>
      <c r="J4014" s="3" t="s">
        <v>22</v>
      </c>
      <c r="K4014" s="3" t="s">
        <v>204</v>
      </c>
      <c r="L4014" s="3" t="s">
        <v>204</v>
      </c>
      <c r="M4014" s="3" t="s">
        <v>378</v>
      </c>
      <c r="N4014" s="3" t="s">
        <v>379</v>
      </c>
      <c r="O4014" s="5">
        <v>4540.9516923</v>
      </c>
      <c r="P4014" s="6" t="str">
        <f t="shared" si="2"/>
        <v>Non Banking Financial Company (NBFC)</v>
      </c>
    </row>
    <row r="4015">
      <c r="A4015" s="3" t="s">
        <v>15351</v>
      </c>
      <c r="B4015" s="4">
        <v>500214.0</v>
      </c>
      <c r="C4015" s="3" t="s">
        <v>16153</v>
      </c>
      <c r="D4015" s="3" t="s">
        <v>16154</v>
      </c>
      <c r="E4015" s="3" t="s">
        <v>16155</v>
      </c>
      <c r="F4015" s="3" t="s">
        <v>19</v>
      </c>
      <c r="G4015" s="3" t="s">
        <v>20</v>
      </c>
      <c r="H4015" s="3">
        <v>1.0</v>
      </c>
      <c r="I4015" s="3" t="s">
        <v>566</v>
      </c>
      <c r="J4015" s="3" t="s">
        <v>22</v>
      </c>
      <c r="K4015" s="3" t="s">
        <v>1647</v>
      </c>
      <c r="L4015" s="3" t="s">
        <v>1647</v>
      </c>
      <c r="M4015" s="3" t="s">
        <v>7778</v>
      </c>
      <c r="N4015" s="3" t="s">
        <v>13506</v>
      </c>
      <c r="O4015" s="5">
        <v>6764.827595</v>
      </c>
      <c r="P4015" s="6" t="str">
        <f t="shared" si="2"/>
        <v>Other Utilities</v>
      </c>
    </row>
    <row r="4016" hidden="1">
      <c r="A4016" s="3" t="s">
        <v>16156</v>
      </c>
      <c r="B4016" s="4">
        <v>544029.0</v>
      </c>
      <c r="C4016" s="3" t="s">
        <v>16157</v>
      </c>
      <c r="D4016" s="3" t="s">
        <v>16158</v>
      </c>
      <c r="E4016" s="3" t="s">
        <v>16159</v>
      </c>
      <c r="F4016" s="3" t="s">
        <v>19</v>
      </c>
      <c r="G4016" s="3" t="s">
        <v>112</v>
      </c>
      <c r="H4016" s="3">
        <v>2.0</v>
      </c>
      <c r="I4016" s="3" t="s">
        <v>16156</v>
      </c>
      <c r="J4016" s="3" t="s">
        <v>22</v>
      </c>
      <c r="K4016" s="3" t="s">
        <v>410</v>
      </c>
      <c r="L4016" s="3" t="s">
        <v>411</v>
      </c>
      <c r="M4016" s="3" t="s">
        <v>5748</v>
      </c>
      <c r="N4016" s="3" t="s">
        <v>5997</v>
      </c>
      <c r="O4016" s="5">
        <v>2102.0455167</v>
      </c>
      <c r="P4016" s="6" t="str">
        <f t="shared" si="2"/>
        <v>Petroleum Products</v>
      </c>
    </row>
    <row r="4017" hidden="1">
      <c r="A4017" s="3" t="s">
        <v>16160</v>
      </c>
      <c r="B4017" s="4">
        <v>544030.0</v>
      </c>
      <c r="C4017" s="3" t="s">
        <v>16161</v>
      </c>
      <c r="D4017" s="3" t="s">
        <v>16162</v>
      </c>
      <c r="E4017" s="3" t="s">
        <v>16163</v>
      </c>
      <c r="F4017" s="3" t="s">
        <v>19</v>
      </c>
      <c r="G4017" s="3" t="s">
        <v>112</v>
      </c>
      <c r="H4017" s="3">
        <v>5.0</v>
      </c>
      <c r="I4017" s="3" t="s">
        <v>16160</v>
      </c>
      <c r="J4017" s="3" t="s">
        <v>22</v>
      </c>
      <c r="K4017" s="3" t="s">
        <v>145</v>
      </c>
      <c r="L4017" s="3" t="s">
        <v>145</v>
      </c>
      <c r="M4017" s="3" t="s">
        <v>1757</v>
      </c>
      <c r="N4017" s="3" t="s">
        <v>5735</v>
      </c>
      <c r="O4017" s="5">
        <v>3243.130636</v>
      </c>
      <c r="P4017" s="6" t="str">
        <f t="shared" si="2"/>
        <v>Household Products</v>
      </c>
    </row>
    <row r="4018" hidden="1">
      <c r="A4018" s="3" t="s">
        <v>16164</v>
      </c>
      <c r="B4018" s="4">
        <v>544035.0</v>
      </c>
      <c r="C4018" s="3" t="s">
        <v>16165</v>
      </c>
      <c r="D4018" s="3" t="s">
        <v>16166</v>
      </c>
      <c r="E4018" s="3" t="s">
        <v>16167</v>
      </c>
      <c r="F4018" s="3" t="s">
        <v>19</v>
      </c>
      <c r="G4018" s="3" t="s">
        <v>2428</v>
      </c>
      <c r="H4018" s="3">
        <v>10.0</v>
      </c>
      <c r="I4018" s="3" t="s">
        <v>16164</v>
      </c>
      <c r="J4018" s="3" t="s">
        <v>22</v>
      </c>
      <c r="K4018" s="3" t="s">
        <v>97</v>
      </c>
      <c r="L4018" s="3" t="s">
        <v>98</v>
      </c>
      <c r="M4018" s="3" t="s">
        <v>100</v>
      </c>
      <c r="N4018" s="3" t="s">
        <v>580</v>
      </c>
      <c r="O4018" s="5">
        <v>120.7305036</v>
      </c>
      <c r="P4018" s="6" t="str">
        <f t="shared" si="2"/>
        <v>Industrial Products</v>
      </c>
    </row>
    <row r="4019" hidden="1">
      <c r="A4019" s="3" t="s">
        <v>16168</v>
      </c>
      <c r="B4019" s="4">
        <v>544036.0</v>
      </c>
      <c r="C4019" s="3" t="s">
        <v>16169</v>
      </c>
      <c r="D4019" s="3" t="s">
        <v>16170</v>
      </c>
      <c r="E4019" s="3" t="s">
        <v>16171</v>
      </c>
      <c r="F4019" s="3" t="s">
        <v>19</v>
      </c>
      <c r="G4019" s="3" t="s">
        <v>2428</v>
      </c>
      <c r="H4019" s="3">
        <v>10.0</v>
      </c>
      <c r="I4019" s="3" t="s">
        <v>16168</v>
      </c>
      <c r="J4019" s="3" t="s">
        <v>22</v>
      </c>
      <c r="K4019" s="3" t="s">
        <v>23</v>
      </c>
      <c r="L4019" s="3" t="s">
        <v>24</v>
      </c>
      <c r="M4019" s="3" t="s">
        <v>25</v>
      </c>
      <c r="N4019" s="3" t="s">
        <v>26</v>
      </c>
      <c r="O4019" s="5">
        <v>102.582425</v>
      </c>
      <c r="P4019" s="6" t="str">
        <f t="shared" si="2"/>
        <v>Specialty Chemicals</v>
      </c>
    </row>
    <row r="4020" hidden="1">
      <c r="A4020" s="3" t="s">
        <v>16172</v>
      </c>
      <c r="B4020" s="4">
        <v>544037.0</v>
      </c>
      <c r="C4020" s="3" t="s">
        <v>16173</v>
      </c>
      <c r="D4020" s="3" t="s">
        <v>16174</v>
      </c>
      <c r="E4020" s="3" t="s">
        <v>16175</v>
      </c>
      <c r="F4020" s="3" t="s">
        <v>19</v>
      </c>
      <c r="G4020" s="3" t="s">
        <v>2428</v>
      </c>
      <c r="H4020" s="3">
        <v>10.0</v>
      </c>
      <c r="I4020" s="3" t="s">
        <v>16172</v>
      </c>
      <c r="J4020" s="3" t="s">
        <v>22</v>
      </c>
      <c r="K4020" s="3" t="s">
        <v>97</v>
      </c>
      <c r="L4020" s="3" t="s">
        <v>98</v>
      </c>
      <c r="M4020" s="3" t="s">
        <v>100</v>
      </c>
      <c r="N4020" s="3" t="s">
        <v>1909</v>
      </c>
      <c r="O4020" s="5">
        <v>1361.3923542</v>
      </c>
      <c r="P4020" s="6" t="str">
        <f t="shared" si="2"/>
        <v>Industrial Products</v>
      </c>
    </row>
    <row r="4021" hidden="1">
      <c r="A4021" s="3" t="s">
        <v>16176</v>
      </c>
      <c r="B4021" s="4">
        <v>544042.0</v>
      </c>
      <c r="C4021" s="3" t="s">
        <v>16177</v>
      </c>
      <c r="D4021" s="3" t="s">
        <v>16178</v>
      </c>
      <c r="E4021" s="3" t="s">
        <v>16179</v>
      </c>
      <c r="F4021" s="3" t="s">
        <v>19</v>
      </c>
      <c r="G4021" s="3" t="s">
        <v>112</v>
      </c>
      <c r="H4021" s="3">
        <v>2.0</v>
      </c>
      <c r="I4021" s="3" t="s">
        <v>16176</v>
      </c>
      <c r="J4021" s="3" t="s">
        <v>22</v>
      </c>
      <c r="K4021" s="3" t="s">
        <v>1647</v>
      </c>
      <c r="L4021" s="3" t="s">
        <v>1648</v>
      </c>
      <c r="M4021" s="3" t="s">
        <v>1648</v>
      </c>
      <c r="N4021" s="3" t="s">
        <v>16148</v>
      </c>
      <c r="O4021" s="5">
        <v>3464.7615892</v>
      </c>
      <c r="P4021" s="6" t="str">
        <f t="shared" si="2"/>
        <v>Power</v>
      </c>
    </row>
    <row r="4022">
      <c r="A4022" s="3" t="s">
        <v>10797</v>
      </c>
      <c r="B4022" s="4">
        <v>500390.0</v>
      </c>
      <c r="C4022" s="3" t="s">
        <v>16180</v>
      </c>
      <c r="D4022" s="3" t="s">
        <v>16181</v>
      </c>
      <c r="E4022" s="3" t="s">
        <v>16182</v>
      </c>
      <c r="F4022" s="3" t="s">
        <v>19</v>
      </c>
      <c r="G4022" s="3" t="s">
        <v>20</v>
      </c>
      <c r="H4022" s="3">
        <v>10.0</v>
      </c>
      <c r="I4022" s="3" t="s">
        <v>952</v>
      </c>
      <c r="J4022" s="3" t="s">
        <v>22</v>
      </c>
      <c r="K4022" s="3" t="s">
        <v>1647</v>
      </c>
      <c r="L4022" s="3" t="s">
        <v>1648</v>
      </c>
      <c r="M4022" s="3" t="s">
        <v>1648</v>
      </c>
      <c r="N4022" s="3" t="s">
        <v>16148</v>
      </c>
      <c r="O4022" s="5">
        <v>7772.8363997</v>
      </c>
      <c r="P4022" s="6" t="str">
        <f t="shared" si="2"/>
        <v>Power</v>
      </c>
    </row>
    <row r="4023">
      <c r="A4023" s="3" t="s">
        <v>9446</v>
      </c>
      <c r="B4023" s="4">
        <v>500400.0</v>
      </c>
      <c r="C4023" s="3" t="s">
        <v>16183</v>
      </c>
      <c r="D4023" s="3" t="s">
        <v>16184</v>
      </c>
      <c r="E4023" s="3" t="s">
        <v>16185</v>
      </c>
      <c r="F4023" s="3" t="s">
        <v>19</v>
      </c>
      <c r="G4023" s="3" t="s">
        <v>20</v>
      </c>
      <c r="H4023" s="3">
        <v>1.0</v>
      </c>
      <c r="I4023" s="3" t="s">
        <v>957</v>
      </c>
      <c r="J4023" s="3" t="s">
        <v>22</v>
      </c>
      <c r="K4023" s="3" t="s">
        <v>1647</v>
      </c>
      <c r="L4023" s="3" t="s">
        <v>1648</v>
      </c>
      <c r="M4023" s="3" t="s">
        <v>1648</v>
      </c>
      <c r="N4023" s="3" t="s">
        <v>16148</v>
      </c>
      <c r="O4023" s="5">
        <v>139784.2875128</v>
      </c>
      <c r="P4023" s="6" t="str">
        <f t="shared" si="2"/>
        <v>Power</v>
      </c>
    </row>
    <row r="4024">
      <c r="A4024" s="3" t="s">
        <v>14970</v>
      </c>
      <c r="B4024" s="4">
        <v>513023.0</v>
      </c>
      <c r="C4024" s="3" t="s">
        <v>16186</v>
      </c>
      <c r="D4024" s="3" t="s">
        <v>16187</v>
      </c>
      <c r="E4024" s="3" t="s">
        <v>16188</v>
      </c>
      <c r="F4024" s="3" t="s">
        <v>19</v>
      </c>
      <c r="G4024" s="3" t="s">
        <v>20</v>
      </c>
      <c r="H4024" s="3">
        <v>2.0</v>
      </c>
      <c r="I4024" s="3" t="s">
        <v>4045</v>
      </c>
      <c r="J4024" s="3" t="s">
        <v>22</v>
      </c>
      <c r="K4024" s="3" t="s">
        <v>1647</v>
      </c>
      <c r="L4024" s="3" t="s">
        <v>1648</v>
      </c>
      <c r="M4024" s="3" t="s">
        <v>1648</v>
      </c>
      <c r="N4024" s="3" t="s">
        <v>1649</v>
      </c>
      <c r="O4024" s="5">
        <v>10796.5424322</v>
      </c>
      <c r="P4024" s="6" t="str">
        <f t="shared" si="2"/>
        <v>Power</v>
      </c>
    </row>
    <row r="4025" hidden="1">
      <c r="A4025" s="3" t="s">
        <v>16189</v>
      </c>
      <c r="B4025" s="4">
        <v>544047.0</v>
      </c>
      <c r="C4025" s="3" t="s">
        <v>16190</v>
      </c>
      <c r="D4025" s="3" t="s">
        <v>16191</v>
      </c>
      <c r="E4025" s="3" t="s">
        <v>16192</v>
      </c>
      <c r="F4025" s="3" t="s">
        <v>19</v>
      </c>
      <c r="G4025" s="3" t="s">
        <v>2428</v>
      </c>
      <c r="H4025" s="3">
        <v>10.0</v>
      </c>
      <c r="I4025" s="3" t="s">
        <v>16189</v>
      </c>
      <c r="J4025" s="3" t="s">
        <v>22</v>
      </c>
      <c r="K4025" s="3" t="s">
        <v>97</v>
      </c>
      <c r="L4025" s="3" t="s">
        <v>98</v>
      </c>
      <c r="M4025" s="3" t="s">
        <v>100</v>
      </c>
      <c r="N4025" s="3" t="s">
        <v>1386</v>
      </c>
      <c r="O4025" s="5">
        <v>133.647773</v>
      </c>
      <c r="P4025" s="6" t="str">
        <f t="shared" si="2"/>
        <v>Industrial Products</v>
      </c>
    </row>
    <row r="4026" hidden="1">
      <c r="A4026" s="3" t="s">
        <v>16193</v>
      </c>
      <c r="B4026" s="4">
        <v>544052.0</v>
      </c>
      <c r="C4026" s="3" t="s">
        <v>16194</v>
      </c>
      <c r="D4026" s="3" t="s">
        <v>16195</v>
      </c>
      <c r="E4026" s="3" t="s">
        <v>16196</v>
      </c>
      <c r="F4026" s="3" t="s">
        <v>19</v>
      </c>
      <c r="G4026" s="3" t="s">
        <v>2428</v>
      </c>
      <c r="H4026" s="3">
        <v>10.0</v>
      </c>
      <c r="I4026" s="3" t="s">
        <v>16193</v>
      </c>
      <c r="J4026" s="3" t="s">
        <v>22</v>
      </c>
      <c r="K4026" s="3" t="s">
        <v>473</v>
      </c>
      <c r="L4026" s="3" t="s">
        <v>473</v>
      </c>
      <c r="M4026" s="3" t="s">
        <v>1538</v>
      </c>
      <c r="N4026" s="3" t="s">
        <v>1539</v>
      </c>
      <c r="O4026" s="5">
        <v>36.3792</v>
      </c>
      <c r="P4026" s="6" t="str">
        <f t="shared" si="2"/>
        <v>IT - Services</v>
      </c>
    </row>
    <row r="4027" hidden="1">
      <c r="A4027" s="3" t="s">
        <v>16197</v>
      </c>
      <c r="B4027" s="4">
        <v>544053.0</v>
      </c>
      <c r="C4027" s="3" t="s">
        <v>16198</v>
      </c>
      <c r="D4027" s="3" t="s">
        <v>16199</v>
      </c>
      <c r="E4027" s="3" t="s">
        <v>16200</v>
      </c>
      <c r="F4027" s="3" t="s">
        <v>19</v>
      </c>
      <c r="G4027" s="3" t="s">
        <v>112</v>
      </c>
      <c r="H4027" s="3">
        <v>10.0</v>
      </c>
      <c r="I4027" s="3" t="s">
        <v>16197</v>
      </c>
      <c r="J4027" s="3" t="s">
        <v>22</v>
      </c>
      <c r="K4027" s="3" t="s">
        <v>58</v>
      </c>
      <c r="L4027" s="3" t="s">
        <v>211</v>
      </c>
      <c r="M4027" s="3" t="s">
        <v>211</v>
      </c>
      <c r="N4027" s="3" t="s">
        <v>947</v>
      </c>
      <c r="O4027" s="5">
        <v>1621.79486</v>
      </c>
      <c r="P4027" s="6" t="str">
        <f t="shared" si="2"/>
        <v>Consumer Durables</v>
      </c>
    </row>
    <row r="4028" hidden="1">
      <c r="A4028" s="3" t="s">
        <v>16201</v>
      </c>
      <c r="B4028" s="4">
        <v>544054.0</v>
      </c>
      <c r="C4028" s="3" t="s">
        <v>16202</v>
      </c>
      <c r="D4028" s="3" t="s">
        <v>16203</v>
      </c>
      <c r="E4028" s="3" t="s">
        <v>16204</v>
      </c>
      <c r="F4028" s="3" t="s">
        <v>19</v>
      </c>
      <c r="G4028" s="3" t="s">
        <v>112</v>
      </c>
      <c r="H4028" s="3">
        <v>5.0</v>
      </c>
      <c r="I4028" s="3" t="s">
        <v>16201</v>
      </c>
      <c r="J4028" s="3" t="s">
        <v>22</v>
      </c>
      <c r="K4028" s="3" t="s">
        <v>58</v>
      </c>
      <c r="L4028" s="3" t="s">
        <v>59</v>
      </c>
      <c r="M4028" s="3" t="s">
        <v>59</v>
      </c>
      <c r="N4028" s="3" t="s">
        <v>60</v>
      </c>
      <c r="O4028" s="5">
        <v>2320.4006672</v>
      </c>
      <c r="P4028" s="6" t="str">
        <f t="shared" si="2"/>
        <v>Residential, Commercial Projects</v>
      </c>
    </row>
    <row r="4029" hidden="1">
      <c r="A4029" s="3" t="s">
        <v>16205</v>
      </c>
      <c r="B4029" s="4">
        <v>544055.0</v>
      </c>
      <c r="C4029" s="3" t="s">
        <v>16206</v>
      </c>
      <c r="D4029" s="3" t="s">
        <v>16207</v>
      </c>
      <c r="E4029" s="3" t="s">
        <v>16208</v>
      </c>
      <c r="F4029" s="3" t="s">
        <v>19</v>
      </c>
      <c r="G4029" s="3" t="s">
        <v>112</v>
      </c>
      <c r="H4029" s="3">
        <v>10.0</v>
      </c>
      <c r="I4029" s="3" t="s">
        <v>16205</v>
      </c>
      <c r="J4029" s="3" t="s">
        <v>22</v>
      </c>
      <c r="K4029" s="3" t="s">
        <v>204</v>
      </c>
      <c r="L4029" s="3" t="s">
        <v>204</v>
      </c>
      <c r="M4029" s="3" t="s">
        <v>378</v>
      </c>
      <c r="N4029" s="3" t="s">
        <v>10426</v>
      </c>
      <c r="O4029" s="5">
        <v>4045.1894942</v>
      </c>
      <c r="P4029" s="6" t="str">
        <f t="shared" si="2"/>
        <v>Finance</v>
      </c>
    </row>
    <row r="4030" hidden="1">
      <c r="A4030" s="3" t="s">
        <v>9629</v>
      </c>
      <c r="B4030" s="4">
        <v>543305.0</v>
      </c>
      <c r="C4030" s="3" t="s">
        <v>16209</v>
      </c>
      <c r="D4030" s="3" t="s">
        <v>16210</v>
      </c>
      <c r="E4030" s="3" t="s">
        <v>16211</v>
      </c>
      <c r="F4030" s="3" t="s">
        <v>19</v>
      </c>
      <c r="G4030" s="3" t="s">
        <v>2428</v>
      </c>
      <c r="H4030" s="3">
        <v>10.0</v>
      </c>
      <c r="I4030" s="3" t="s">
        <v>14963</v>
      </c>
      <c r="J4030" s="3" t="s">
        <v>22</v>
      </c>
      <c r="K4030" s="3" t="s">
        <v>1673</v>
      </c>
      <c r="L4030" s="3" t="s">
        <v>1673</v>
      </c>
      <c r="M4030" s="3" t="s">
        <v>1674</v>
      </c>
      <c r="N4030" s="3" t="s">
        <v>3189</v>
      </c>
      <c r="O4030" s="5">
        <v>1.0</v>
      </c>
      <c r="P4030" s="6" t="str">
        <f t="shared" si="2"/>
        <v>Commercial Services &amp; Supplies</v>
      </c>
    </row>
    <row r="4031">
      <c r="A4031" s="3" t="s">
        <v>14974</v>
      </c>
      <c r="B4031" s="4">
        <v>513683.0</v>
      </c>
      <c r="C4031" s="3" t="s">
        <v>16212</v>
      </c>
      <c r="D4031" s="3" t="s">
        <v>16213</v>
      </c>
      <c r="E4031" s="3" t="s">
        <v>16214</v>
      </c>
      <c r="F4031" s="3" t="s">
        <v>19</v>
      </c>
      <c r="G4031" s="3" t="s">
        <v>20</v>
      </c>
      <c r="H4031" s="3">
        <v>10.0</v>
      </c>
      <c r="I4031" s="3" t="s">
        <v>4284</v>
      </c>
      <c r="J4031" s="3" t="s">
        <v>22</v>
      </c>
      <c r="K4031" s="3" t="s">
        <v>1647</v>
      </c>
      <c r="L4031" s="3" t="s">
        <v>1648</v>
      </c>
      <c r="M4031" s="3" t="s">
        <v>1648</v>
      </c>
      <c r="N4031" s="3" t="s">
        <v>1649</v>
      </c>
      <c r="O4031" s="5">
        <v>35564.6435252</v>
      </c>
      <c r="P4031" s="6" t="str">
        <f t="shared" si="2"/>
        <v>Power</v>
      </c>
    </row>
    <row r="4032" hidden="1">
      <c r="A4032" s="3" t="s">
        <v>16215</v>
      </c>
      <c r="B4032" s="4">
        <v>544058.0</v>
      </c>
      <c r="C4032" s="3" t="s">
        <v>16216</v>
      </c>
      <c r="D4032" s="3" t="s">
        <v>16217</v>
      </c>
      <c r="E4032" s="3" t="s">
        <v>16218</v>
      </c>
      <c r="F4032" s="3" t="s">
        <v>19</v>
      </c>
      <c r="G4032" s="3" t="s">
        <v>112</v>
      </c>
      <c r="H4032" s="3">
        <v>2.0</v>
      </c>
      <c r="I4032" s="3" t="s">
        <v>16215</v>
      </c>
      <c r="J4032" s="3" t="s">
        <v>22</v>
      </c>
      <c r="K4032" s="3" t="s">
        <v>58</v>
      </c>
      <c r="L4032" s="3" t="s">
        <v>73</v>
      </c>
      <c r="M4032" s="3" t="s">
        <v>988</v>
      </c>
      <c r="N4032" s="3" t="s">
        <v>989</v>
      </c>
      <c r="O4032" s="5">
        <v>1051.7733861</v>
      </c>
      <c r="P4032" s="6" t="str">
        <f t="shared" si="2"/>
        <v>Retailing</v>
      </c>
    </row>
    <row r="4033" hidden="1">
      <c r="A4033" s="3" t="s">
        <v>16219</v>
      </c>
      <c r="B4033" s="4">
        <v>544059.0</v>
      </c>
      <c r="C4033" s="3" t="s">
        <v>16220</v>
      </c>
      <c r="D4033" s="3" t="s">
        <v>16221</v>
      </c>
      <c r="E4033" s="3" t="s">
        <v>16222</v>
      </c>
      <c r="F4033" s="3" t="s">
        <v>19</v>
      </c>
      <c r="G4033" s="3" t="s">
        <v>2428</v>
      </c>
      <c r="H4033" s="3">
        <v>10.0</v>
      </c>
      <c r="I4033" s="3" t="s">
        <v>16219</v>
      </c>
      <c r="J4033" s="3" t="s">
        <v>22</v>
      </c>
      <c r="K4033" s="3" t="s">
        <v>58</v>
      </c>
      <c r="L4033" s="3" t="s">
        <v>80</v>
      </c>
      <c r="M4033" s="3" t="s">
        <v>81</v>
      </c>
      <c r="N4033" s="3" t="s">
        <v>82</v>
      </c>
      <c r="O4033" s="5">
        <v>107.256072</v>
      </c>
      <c r="P4033" s="6" t="str">
        <f t="shared" si="2"/>
        <v>Textiles &amp; Apparels</v>
      </c>
    </row>
    <row r="4034" hidden="1">
      <c r="A4034" s="3" t="s">
        <v>16223</v>
      </c>
      <c r="B4034" s="4">
        <v>544060.0</v>
      </c>
      <c r="C4034" s="3" t="s">
        <v>16224</v>
      </c>
      <c r="D4034" s="3" t="s">
        <v>16225</v>
      </c>
      <c r="E4034" s="3" t="s">
        <v>16226</v>
      </c>
      <c r="F4034" s="3" t="s">
        <v>19</v>
      </c>
      <c r="G4034" s="3" t="s">
        <v>86</v>
      </c>
      <c r="H4034" s="3">
        <v>10.0</v>
      </c>
      <c r="I4034" s="3" t="s">
        <v>16223</v>
      </c>
      <c r="J4034" s="3" t="s">
        <v>22</v>
      </c>
      <c r="K4034" s="3" t="s">
        <v>58</v>
      </c>
      <c r="L4034" s="3" t="s">
        <v>211</v>
      </c>
      <c r="M4034" s="3" t="s">
        <v>211</v>
      </c>
      <c r="N4034" s="3" t="s">
        <v>947</v>
      </c>
      <c r="O4034" s="5">
        <v>511.6526659</v>
      </c>
      <c r="P4034" s="6" t="str">
        <f t="shared" si="2"/>
        <v>Consumer Durables</v>
      </c>
    </row>
    <row r="4035">
      <c r="A4035" s="3" t="s">
        <v>14994</v>
      </c>
      <c r="B4035" s="4">
        <v>532524.0</v>
      </c>
      <c r="C4035" s="3" t="s">
        <v>16227</v>
      </c>
      <c r="D4035" s="3" t="s">
        <v>16228</v>
      </c>
      <c r="E4035" s="3" t="s">
        <v>16229</v>
      </c>
      <c r="F4035" s="3" t="s">
        <v>19</v>
      </c>
      <c r="G4035" s="3" t="s">
        <v>20</v>
      </c>
      <c r="H4035" s="3">
        <v>10.0</v>
      </c>
      <c r="I4035" s="3" t="s">
        <v>9952</v>
      </c>
      <c r="J4035" s="3" t="s">
        <v>22</v>
      </c>
      <c r="K4035" s="3" t="s">
        <v>1647</v>
      </c>
      <c r="L4035" s="3" t="s">
        <v>1648</v>
      </c>
      <c r="M4035" s="3" t="s">
        <v>1648</v>
      </c>
      <c r="N4035" s="3" t="s">
        <v>16230</v>
      </c>
      <c r="O4035" s="5">
        <v>6224.8381198</v>
      </c>
      <c r="P4035" s="6" t="str">
        <f t="shared" si="2"/>
        <v>Power</v>
      </c>
    </row>
    <row r="4036" hidden="1">
      <c r="A4036" s="3" t="s">
        <v>16231</v>
      </c>
      <c r="B4036" s="4">
        <v>544066.0</v>
      </c>
      <c r="C4036" s="3" t="s">
        <v>16232</v>
      </c>
      <c r="D4036" s="3" t="s">
        <v>16233</v>
      </c>
      <c r="E4036" s="3" t="s">
        <v>16234</v>
      </c>
      <c r="F4036" s="3" t="s">
        <v>19</v>
      </c>
      <c r="G4036" s="3" t="s">
        <v>112</v>
      </c>
      <c r="H4036" s="3">
        <v>5.0</v>
      </c>
      <c r="I4036" s="3" t="s">
        <v>16231</v>
      </c>
      <c r="J4036" s="3" t="s">
        <v>22</v>
      </c>
      <c r="K4036" s="3" t="s">
        <v>58</v>
      </c>
      <c r="L4036" s="3" t="s">
        <v>133</v>
      </c>
      <c r="M4036" s="3" t="s">
        <v>134</v>
      </c>
      <c r="N4036" s="3" t="s">
        <v>135</v>
      </c>
      <c r="O4036" s="5">
        <v>1.0</v>
      </c>
      <c r="P4036" s="6" t="str">
        <f t="shared" si="2"/>
        <v>Auto Components &amp; Equipments</v>
      </c>
    </row>
    <row r="4037" hidden="1">
      <c r="A4037" s="3" t="s">
        <v>16235</v>
      </c>
      <c r="B4037" s="4">
        <v>544067.0</v>
      </c>
      <c r="C4037" s="3" t="s">
        <v>16236</v>
      </c>
      <c r="D4037" s="3" t="s">
        <v>16237</v>
      </c>
      <c r="E4037" s="3" t="s">
        <v>16238</v>
      </c>
      <c r="F4037" s="3" t="s">
        <v>19</v>
      </c>
      <c r="G4037" s="3" t="s">
        <v>112</v>
      </c>
      <c r="H4037" s="3">
        <v>10.0</v>
      </c>
      <c r="I4037" s="3" t="s">
        <v>16235</v>
      </c>
      <c r="J4037" s="3" t="s">
        <v>22</v>
      </c>
      <c r="K4037" s="3" t="s">
        <v>45</v>
      </c>
      <c r="L4037" s="3" t="s">
        <v>45</v>
      </c>
      <c r="M4037" s="3" t="s">
        <v>46</v>
      </c>
      <c r="N4037" s="3" t="s">
        <v>47</v>
      </c>
      <c r="O4037" s="5">
        <v>2965.3302832</v>
      </c>
      <c r="P4037" s="6" t="str">
        <f t="shared" si="2"/>
        <v>Pharmaceuticals</v>
      </c>
    </row>
    <row r="4038" hidden="1">
      <c r="A4038" s="3" t="s">
        <v>16239</v>
      </c>
      <c r="B4038" s="4">
        <v>544072.0</v>
      </c>
      <c r="C4038" s="3" t="s">
        <v>16240</v>
      </c>
      <c r="D4038" s="3" t="s">
        <v>16241</v>
      </c>
      <c r="E4038" s="3" t="s">
        <v>16242</v>
      </c>
      <c r="F4038" s="3" t="s">
        <v>19</v>
      </c>
      <c r="G4038" s="3" t="s">
        <v>6293</v>
      </c>
      <c r="H4038" s="3">
        <v>10.0</v>
      </c>
      <c r="I4038" s="3" t="s">
        <v>16239</v>
      </c>
      <c r="J4038" s="3" t="s">
        <v>22</v>
      </c>
      <c r="K4038" s="3" t="s">
        <v>97</v>
      </c>
      <c r="L4038" s="3" t="s">
        <v>98</v>
      </c>
      <c r="M4038" s="3" t="s">
        <v>100</v>
      </c>
      <c r="N4038" s="3" t="s">
        <v>580</v>
      </c>
      <c r="O4038" s="5">
        <v>80.8499612</v>
      </c>
      <c r="P4038" s="6" t="str">
        <f t="shared" si="2"/>
        <v>Industrial Products</v>
      </c>
    </row>
    <row r="4039" hidden="1">
      <c r="A4039" s="3" t="s">
        <v>16243</v>
      </c>
      <c r="B4039" s="4">
        <v>544073.0</v>
      </c>
      <c r="C4039" s="3" t="s">
        <v>16244</v>
      </c>
      <c r="D4039" s="3" t="s">
        <v>16245</v>
      </c>
      <c r="E4039" s="3" t="s">
        <v>16246</v>
      </c>
      <c r="F4039" s="3" t="s">
        <v>19</v>
      </c>
      <c r="G4039" s="3" t="s">
        <v>2428</v>
      </c>
      <c r="H4039" s="3">
        <v>10.0</v>
      </c>
      <c r="I4039" s="3" t="s">
        <v>16243</v>
      </c>
      <c r="J4039" s="3" t="s">
        <v>22</v>
      </c>
      <c r="K4039" s="3" t="s">
        <v>58</v>
      </c>
      <c r="L4039" s="3" t="s">
        <v>211</v>
      </c>
      <c r="M4039" s="3" t="s">
        <v>211</v>
      </c>
      <c r="N4039" s="3" t="s">
        <v>971</v>
      </c>
      <c r="O4039" s="5">
        <v>1.0</v>
      </c>
      <c r="P4039" s="6" t="str">
        <f t="shared" si="2"/>
        <v>Consumer Durables</v>
      </c>
    </row>
    <row r="4040" hidden="1">
      <c r="A4040" s="3" t="s">
        <v>16247</v>
      </c>
      <c r="B4040" s="4">
        <v>544074.0</v>
      </c>
      <c r="C4040" s="3" t="s">
        <v>16248</v>
      </c>
      <c r="D4040" s="3" t="s">
        <v>16249</v>
      </c>
      <c r="E4040" s="3" t="s">
        <v>16250</v>
      </c>
      <c r="F4040" s="3" t="s">
        <v>19</v>
      </c>
      <c r="G4040" s="3" t="s">
        <v>2428</v>
      </c>
      <c r="H4040" s="3">
        <v>10.0</v>
      </c>
      <c r="I4040" s="3" t="s">
        <v>16247</v>
      </c>
      <c r="J4040" s="3" t="s">
        <v>22</v>
      </c>
      <c r="K4040" s="3" t="s">
        <v>97</v>
      </c>
      <c r="L4040" s="3" t="s">
        <v>98</v>
      </c>
      <c r="M4040" s="3" t="s">
        <v>99</v>
      </c>
      <c r="N4040" s="3" t="s">
        <v>100</v>
      </c>
      <c r="O4040" s="5">
        <v>198.9692309</v>
      </c>
      <c r="P4040" s="6" t="str">
        <f t="shared" si="2"/>
        <v>Industrial Products</v>
      </c>
    </row>
    <row r="4041" hidden="1">
      <c r="A4041" s="3" t="s">
        <v>16251</v>
      </c>
      <c r="B4041" s="4">
        <v>544079.0</v>
      </c>
      <c r="C4041" s="3" t="s">
        <v>16252</v>
      </c>
      <c r="D4041" s="3" t="s">
        <v>16253</v>
      </c>
      <c r="E4041" s="3" t="s">
        <v>16254</v>
      </c>
      <c r="F4041" s="3" t="s">
        <v>19</v>
      </c>
      <c r="G4041" s="3" t="s">
        <v>86</v>
      </c>
      <c r="H4041" s="3">
        <v>10.0</v>
      </c>
      <c r="I4041" s="3" t="s">
        <v>16251</v>
      </c>
      <c r="J4041" s="3" t="s">
        <v>22</v>
      </c>
      <c r="K4041" s="3" t="s">
        <v>58</v>
      </c>
      <c r="L4041" s="3" t="s">
        <v>73</v>
      </c>
      <c r="M4041" s="3" t="s">
        <v>988</v>
      </c>
      <c r="N4041" s="3" t="s">
        <v>2246</v>
      </c>
      <c r="O4041" s="5">
        <v>137.0263401</v>
      </c>
      <c r="P4041" s="6" t="str">
        <f t="shared" si="2"/>
        <v>Retailing</v>
      </c>
    </row>
    <row r="4042" hidden="1">
      <c r="A4042" s="3" t="s">
        <v>16255</v>
      </c>
      <c r="B4042" s="4">
        <v>544080.0</v>
      </c>
      <c r="C4042" s="3" t="s">
        <v>16256</v>
      </c>
      <c r="D4042" s="3" t="s">
        <v>16257</v>
      </c>
      <c r="E4042" s="3" t="s">
        <v>16258</v>
      </c>
      <c r="F4042" s="3" t="s">
        <v>19</v>
      </c>
      <c r="G4042" s="3" t="s">
        <v>86</v>
      </c>
      <c r="H4042" s="3">
        <v>10.0</v>
      </c>
      <c r="I4042" s="3" t="s">
        <v>16255</v>
      </c>
      <c r="J4042" s="3" t="s">
        <v>22</v>
      </c>
      <c r="K4042" s="3" t="s">
        <v>58</v>
      </c>
      <c r="L4042" s="3" t="s">
        <v>73</v>
      </c>
      <c r="M4042" s="3" t="s">
        <v>74</v>
      </c>
      <c r="N4042" s="3" t="s">
        <v>75</v>
      </c>
      <c r="O4042" s="5">
        <v>1.0</v>
      </c>
      <c r="P4042" s="6" t="str">
        <f t="shared" si="2"/>
        <v>Leisure Services</v>
      </c>
    </row>
    <row r="4043">
      <c r="A4043" s="3" t="s">
        <v>14998</v>
      </c>
      <c r="B4043" s="4">
        <v>532555.0</v>
      </c>
      <c r="C4043" s="3" t="s">
        <v>16259</v>
      </c>
      <c r="D4043" s="3" t="s">
        <v>16260</v>
      </c>
      <c r="E4043" s="3" t="s">
        <v>16261</v>
      </c>
      <c r="F4043" s="3" t="s">
        <v>19</v>
      </c>
      <c r="G4043" s="3" t="s">
        <v>20</v>
      </c>
      <c r="H4043" s="3">
        <v>10.0</v>
      </c>
      <c r="I4043" s="3" t="s">
        <v>10012</v>
      </c>
      <c r="J4043" s="3" t="s">
        <v>22</v>
      </c>
      <c r="K4043" s="3" t="s">
        <v>1647</v>
      </c>
      <c r="L4043" s="3" t="s">
        <v>1648</v>
      </c>
      <c r="M4043" s="3" t="s">
        <v>1648</v>
      </c>
      <c r="N4043" s="3" t="s">
        <v>1649</v>
      </c>
      <c r="O4043" s="5">
        <v>369155.4760929</v>
      </c>
      <c r="P4043" s="6" t="str">
        <f t="shared" si="2"/>
        <v>Power</v>
      </c>
    </row>
    <row r="4044" hidden="1">
      <c r="A4044" s="3" t="s">
        <v>16262</v>
      </c>
      <c r="B4044" s="4">
        <v>544082.0</v>
      </c>
      <c r="C4044" s="3" t="s">
        <v>16263</v>
      </c>
      <c r="D4044" s="3" t="s">
        <v>16264</v>
      </c>
      <c r="E4044" s="3" t="s">
        <v>16265</v>
      </c>
      <c r="F4044" s="3" t="s">
        <v>19</v>
      </c>
      <c r="G4044" s="3" t="s">
        <v>2428</v>
      </c>
      <c r="H4044" s="3">
        <v>10.0</v>
      </c>
      <c r="I4044" s="3" t="s">
        <v>16262</v>
      </c>
      <c r="J4044" s="3" t="s">
        <v>22</v>
      </c>
      <c r="K4044" s="3" t="s">
        <v>58</v>
      </c>
      <c r="L4044" s="3" t="s">
        <v>133</v>
      </c>
      <c r="M4044" s="3" t="s">
        <v>134</v>
      </c>
      <c r="N4044" s="3" t="s">
        <v>135</v>
      </c>
      <c r="O4044" s="5">
        <v>182.0776833</v>
      </c>
      <c r="P4044" s="6" t="str">
        <f t="shared" si="2"/>
        <v>Auto Components &amp; Equipments</v>
      </c>
    </row>
    <row r="4045" hidden="1">
      <c r="A4045" s="3" t="s">
        <v>16266</v>
      </c>
      <c r="B4045" s="4">
        <v>544083.0</v>
      </c>
      <c r="C4045" s="3" t="s">
        <v>16267</v>
      </c>
      <c r="D4045" s="3" t="s">
        <v>16268</v>
      </c>
      <c r="E4045" s="3" t="s">
        <v>16269</v>
      </c>
      <c r="F4045" s="3" t="s">
        <v>19</v>
      </c>
      <c r="G4045" s="3" t="s">
        <v>2428</v>
      </c>
      <c r="H4045" s="3">
        <v>10.0</v>
      </c>
      <c r="I4045" s="3" t="s">
        <v>16266</v>
      </c>
      <c r="J4045" s="3" t="s">
        <v>22</v>
      </c>
      <c r="K4045" s="3" t="s">
        <v>97</v>
      </c>
      <c r="L4045" s="3" t="s">
        <v>98</v>
      </c>
      <c r="M4045" s="3" t="s">
        <v>100</v>
      </c>
      <c r="N4045" s="3" t="s">
        <v>612</v>
      </c>
      <c r="O4045" s="5">
        <v>77.1675996</v>
      </c>
      <c r="P4045" s="6" t="str">
        <f t="shared" si="2"/>
        <v>Industrial Products</v>
      </c>
    </row>
    <row r="4046" hidden="1">
      <c r="A4046" s="3" t="s">
        <v>16270</v>
      </c>
      <c r="B4046" s="4">
        <v>544088.0</v>
      </c>
      <c r="C4046" s="3" t="s">
        <v>16271</v>
      </c>
      <c r="D4046" s="3" t="s">
        <v>16272</v>
      </c>
      <c r="E4046" s="3" t="s">
        <v>16273</v>
      </c>
      <c r="F4046" s="3" t="s">
        <v>19</v>
      </c>
      <c r="G4046" s="3" t="s">
        <v>112</v>
      </c>
      <c r="H4046" s="3">
        <v>5.0</v>
      </c>
      <c r="I4046" s="3" t="s">
        <v>16270</v>
      </c>
      <c r="J4046" s="3" t="s">
        <v>22</v>
      </c>
      <c r="K4046" s="3" t="s">
        <v>204</v>
      </c>
      <c r="L4046" s="3" t="s">
        <v>204</v>
      </c>
      <c r="M4046" s="3" t="s">
        <v>9536</v>
      </c>
      <c r="N4046" s="3" t="s">
        <v>16274</v>
      </c>
      <c r="O4046" s="5">
        <v>3840.625899</v>
      </c>
      <c r="P4046" s="6" t="str">
        <f t="shared" si="2"/>
        <v>Insurance</v>
      </c>
    </row>
    <row r="4047" hidden="1">
      <c r="A4047" s="3" t="s">
        <v>16275</v>
      </c>
      <c r="B4047" s="4">
        <v>544090.0</v>
      </c>
      <c r="C4047" s="3" t="s">
        <v>16276</v>
      </c>
      <c r="D4047" s="3" t="s">
        <v>16277</v>
      </c>
      <c r="E4047" s="3" t="s">
        <v>16278</v>
      </c>
      <c r="F4047" s="3" t="s">
        <v>19</v>
      </c>
      <c r="G4047" s="3" t="s">
        <v>86</v>
      </c>
      <c r="H4047" s="3">
        <v>10.0</v>
      </c>
      <c r="I4047" s="3" t="s">
        <v>16275</v>
      </c>
      <c r="J4047" s="3" t="s">
        <v>22</v>
      </c>
      <c r="K4047" s="3" t="s">
        <v>58</v>
      </c>
      <c r="L4047" s="3" t="s">
        <v>73</v>
      </c>
      <c r="M4047" s="3" t="s">
        <v>74</v>
      </c>
      <c r="N4047" s="3" t="s">
        <v>75</v>
      </c>
      <c r="O4047" s="5">
        <v>265.359478</v>
      </c>
      <c r="P4047" s="6" t="str">
        <f t="shared" si="2"/>
        <v>Leisure Services</v>
      </c>
    </row>
    <row r="4048" hidden="1">
      <c r="A4048" s="3" t="s">
        <v>16279</v>
      </c>
      <c r="B4048" s="4">
        <v>543319.0</v>
      </c>
      <c r="C4048" s="3" t="s">
        <v>16280</v>
      </c>
      <c r="D4048" s="3" t="s">
        <v>16281</v>
      </c>
      <c r="E4048" s="3" t="s">
        <v>16282</v>
      </c>
      <c r="F4048" s="3" t="s">
        <v>19</v>
      </c>
      <c r="G4048" s="3" t="s">
        <v>6293</v>
      </c>
      <c r="H4048" s="3">
        <v>10.0</v>
      </c>
      <c r="I4048" s="3" t="s">
        <v>14999</v>
      </c>
      <c r="J4048" s="3" t="s">
        <v>22</v>
      </c>
      <c r="K4048" s="3" t="s">
        <v>1673</v>
      </c>
      <c r="L4048" s="3" t="s">
        <v>1673</v>
      </c>
      <c r="M4048" s="3" t="s">
        <v>1674</v>
      </c>
      <c r="N4048" s="3" t="s">
        <v>1915</v>
      </c>
      <c r="O4048" s="5">
        <v>1.0</v>
      </c>
      <c r="P4048" s="6" t="str">
        <f t="shared" si="2"/>
        <v>Commercial Services &amp; Supplies</v>
      </c>
    </row>
    <row r="4049" hidden="1">
      <c r="A4049" s="3" t="s">
        <v>16283</v>
      </c>
      <c r="B4049" s="4">
        <v>544094.0</v>
      </c>
      <c r="C4049" s="3" t="s">
        <v>16284</v>
      </c>
      <c r="D4049" s="3" t="s">
        <v>16285</v>
      </c>
      <c r="E4049" s="3" t="s">
        <v>16286</v>
      </c>
      <c r="F4049" s="3" t="s">
        <v>19</v>
      </c>
      <c r="G4049" s="3" t="s">
        <v>2428</v>
      </c>
      <c r="H4049" s="3">
        <v>10.0</v>
      </c>
      <c r="I4049" s="3" t="s">
        <v>16283</v>
      </c>
      <c r="J4049" s="3" t="s">
        <v>22</v>
      </c>
      <c r="K4049" s="3" t="s">
        <v>473</v>
      </c>
      <c r="L4049" s="3" t="s">
        <v>473</v>
      </c>
      <c r="M4049" s="3" t="s">
        <v>1538</v>
      </c>
      <c r="N4049" s="3" t="s">
        <v>1539</v>
      </c>
      <c r="O4049" s="5">
        <v>18.4392415</v>
      </c>
      <c r="P4049" s="6" t="str">
        <f t="shared" si="2"/>
        <v>IT - Services</v>
      </c>
    </row>
    <row r="4050" hidden="1">
      <c r="A4050" s="3" t="s">
        <v>16287</v>
      </c>
      <c r="B4050" s="4">
        <v>544095.0</v>
      </c>
      <c r="C4050" s="3" t="s">
        <v>16288</v>
      </c>
      <c r="D4050" s="3" t="s">
        <v>16289</v>
      </c>
      <c r="E4050" s="3" t="s">
        <v>16290</v>
      </c>
      <c r="F4050" s="3" t="s">
        <v>19</v>
      </c>
      <c r="G4050" s="3" t="s">
        <v>112</v>
      </c>
      <c r="H4050" s="3">
        <v>10.0</v>
      </c>
      <c r="I4050" s="3" t="s">
        <v>16287</v>
      </c>
      <c r="J4050" s="3" t="s">
        <v>22</v>
      </c>
      <c r="K4050" s="3" t="s">
        <v>58</v>
      </c>
      <c r="L4050" s="3" t="s">
        <v>211</v>
      </c>
      <c r="M4050" s="3" t="s">
        <v>211</v>
      </c>
      <c r="N4050" s="3" t="s">
        <v>882</v>
      </c>
      <c r="O4050" s="5">
        <v>2322.7141716</v>
      </c>
      <c r="P4050" s="6" t="str">
        <f t="shared" si="2"/>
        <v>Consumer Durables</v>
      </c>
    </row>
    <row r="4051" hidden="1">
      <c r="A4051" s="3" t="s">
        <v>16291</v>
      </c>
      <c r="B4051" s="4">
        <v>544100.0</v>
      </c>
      <c r="C4051" s="3" t="s">
        <v>16292</v>
      </c>
      <c r="D4051" s="3" t="s">
        <v>16293</v>
      </c>
      <c r="E4051" s="3" t="s">
        <v>16294</v>
      </c>
      <c r="F4051" s="3" t="s">
        <v>19</v>
      </c>
      <c r="G4051" s="3" t="s">
        <v>112</v>
      </c>
      <c r="H4051" s="3">
        <v>2.0</v>
      </c>
      <c r="I4051" s="3" t="s">
        <v>16291</v>
      </c>
      <c r="J4051" s="3" t="s">
        <v>22</v>
      </c>
      <c r="K4051" s="3" t="s">
        <v>23</v>
      </c>
      <c r="L4051" s="3" t="s">
        <v>24</v>
      </c>
      <c r="M4051" s="3" t="s">
        <v>91</v>
      </c>
      <c r="N4051" s="3" t="s">
        <v>92</v>
      </c>
      <c r="O4051" s="5">
        <v>582.765226</v>
      </c>
      <c r="P4051" s="6" t="str">
        <f t="shared" si="2"/>
        <v>Fertilizers &amp; Agrochemicals</v>
      </c>
    </row>
    <row r="4052" hidden="1">
      <c r="A4052" s="3" t="s">
        <v>16295</v>
      </c>
      <c r="B4052" s="4">
        <v>544101.0</v>
      </c>
      <c r="C4052" s="3" t="s">
        <v>16296</v>
      </c>
      <c r="D4052" s="3" t="s">
        <v>16297</v>
      </c>
      <c r="E4052" s="3" t="s">
        <v>16298</v>
      </c>
      <c r="F4052" s="3" t="s">
        <v>19</v>
      </c>
      <c r="G4052" s="3" t="s">
        <v>2428</v>
      </c>
      <c r="H4052" s="3">
        <v>10.0</v>
      </c>
      <c r="I4052" s="3" t="s">
        <v>16295</v>
      </c>
      <c r="J4052" s="3" t="s">
        <v>22</v>
      </c>
      <c r="K4052" s="3" t="s">
        <v>473</v>
      </c>
      <c r="L4052" s="3" t="s">
        <v>473</v>
      </c>
      <c r="M4052" s="3" t="s">
        <v>474</v>
      </c>
      <c r="N4052" s="3" t="s">
        <v>475</v>
      </c>
      <c r="O4052" s="5">
        <v>30.3899993</v>
      </c>
      <c r="P4052" s="6" t="str">
        <f t="shared" si="2"/>
        <v>IT - Hardware</v>
      </c>
    </row>
    <row r="4053" hidden="1">
      <c r="A4053" s="3" t="s">
        <v>16299</v>
      </c>
      <c r="B4053" s="4">
        <v>544105.0</v>
      </c>
      <c r="C4053" s="3" t="s">
        <v>16300</v>
      </c>
      <c r="D4053" s="3" t="s">
        <v>16301</v>
      </c>
      <c r="E4053" s="3" t="s">
        <v>16302</v>
      </c>
      <c r="F4053" s="3" t="s">
        <v>19</v>
      </c>
      <c r="G4053" s="3" t="s">
        <v>2428</v>
      </c>
      <c r="H4053" s="3">
        <v>10.0</v>
      </c>
      <c r="I4053" s="3" t="s">
        <v>16299</v>
      </c>
      <c r="J4053" s="3" t="s">
        <v>22</v>
      </c>
      <c r="K4053" s="3" t="s">
        <v>145</v>
      </c>
      <c r="L4053" s="3" t="s">
        <v>145</v>
      </c>
      <c r="M4053" s="3" t="s">
        <v>146</v>
      </c>
      <c r="N4053" s="3" t="s">
        <v>2645</v>
      </c>
      <c r="O4053" s="5">
        <v>107.5721687</v>
      </c>
      <c r="P4053" s="6" t="str">
        <f t="shared" si="2"/>
        <v>Agricultural Food &amp; other Products</v>
      </c>
    </row>
    <row r="4054" hidden="1">
      <c r="A4054" s="3" t="s">
        <v>16303</v>
      </c>
      <c r="B4054" s="4">
        <v>544106.0</v>
      </c>
      <c r="C4054" s="3" t="s">
        <v>16304</v>
      </c>
      <c r="D4054" s="3" t="s">
        <v>16305</v>
      </c>
      <c r="E4054" s="3" t="s">
        <v>16306</v>
      </c>
      <c r="F4054" s="3" t="s">
        <v>19</v>
      </c>
      <c r="G4054" s="3" t="s">
        <v>2428</v>
      </c>
      <c r="H4054" s="3">
        <v>10.0</v>
      </c>
      <c r="I4054" s="3" t="s">
        <v>16303</v>
      </c>
      <c r="J4054" s="3" t="s">
        <v>22</v>
      </c>
      <c r="K4054" s="3" t="s">
        <v>145</v>
      </c>
      <c r="L4054" s="3" t="s">
        <v>145</v>
      </c>
      <c r="M4054" s="3" t="s">
        <v>597</v>
      </c>
      <c r="N4054" s="3" t="s">
        <v>5098</v>
      </c>
      <c r="O4054" s="5">
        <v>106.5829891</v>
      </c>
      <c r="P4054" s="6" t="str">
        <f t="shared" si="2"/>
        <v>Food Products</v>
      </c>
    </row>
    <row r="4055" hidden="1">
      <c r="A4055" s="3" t="s">
        <v>16307</v>
      </c>
      <c r="B4055" s="4">
        <v>544107.0</v>
      </c>
      <c r="C4055" s="3" t="s">
        <v>16308</v>
      </c>
      <c r="D4055" s="3" t="s">
        <v>16309</v>
      </c>
      <c r="E4055" s="3" t="s">
        <v>16310</v>
      </c>
      <c r="F4055" s="3" t="s">
        <v>19</v>
      </c>
      <c r="G4055" s="3" t="s">
        <v>112</v>
      </c>
      <c r="H4055" s="3">
        <v>10.0</v>
      </c>
      <c r="I4055" s="3" t="s">
        <v>16307</v>
      </c>
      <c r="J4055" s="3" t="s">
        <v>22</v>
      </c>
      <c r="K4055" s="3" t="s">
        <v>473</v>
      </c>
      <c r="L4055" s="3" t="s">
        <v>473</v>
      </c>
      <c r="M4055" s="3" t="s">
        <v>1538</v>
      </c>
      <c r="N4055" s="3" t="s">
        <v>1539</v>
      </c>
      <c r="O4055" s="5">
        <v>2257.470429</v>
      </c>
      <c r="P4055" s="6" t="str">
        <f t="shared" si="2"/>
        <v>IT - Services</v>
      </c>
    </row>
    <row r="4056" hidden="1">
      <c r="A4056" s="3" t="s">
        <v>16311</v>
      </c>
      <c r="B4056" s="4">
        <v>544108.0</v>
      </c>
      <c r="C4056" s="3" t="s">
        <v>16312</v>
      </c>
      <c r="D4056" s="3" t="s">
        <v>16313</v>
      </c>
      <c r="E4056" s="3" t="s">
        <v>16314</v>
      </c>
      <c r="F4056" s="3" t="s">
        <v>19</v>
      </c>
      <c r="G4056" s="3" t="s">
        <v>2428</v>
      </c>
      <c r="H4056" s="3">
        <v>10.0</v>
      </c>
      <c r="I4056" s="3" t="s">
        <v>16311</v>
      </c>
      <c r="J4056" s="3" t="s">
        <v>22</v>
      </c>
      <c r="K4056" s="3" t="s">
        <v>97</v>
      </c>
      <c r="L4056" s="3" t="s">
        <v>98</v>
      </c>
      <c r="M4056" s="3" t="s">
        <v>100</v>
      </c>
      <c r="N4056" s="3" t="s">
        <v>1386</v>
      </c>
      <c r="O4056" s="5">
        <v>1.0</v>
      </c>
      <c r="P4056" s="6" t="str">
        <f t="shared" si="2"/>
        <v>Industrial Products</v>
      </c>
    </row>
    <row r="4057" hidden="1">
      <c r="A4057" s="3" t="s">
        <v>16315</v>
      </c>
      <c r="B4057" s="4">
        <v>544111.0</v>
      </c>
      <c r="C4057" s="3" t="s">
        <v>16316</v>
      </c>
      <c r="D4057" s="3" t="s">
        <v>16317</v>
      </c>
      <c r="E4057" s="3" t="s">
        <v>16318</v>
      </c>
      <c r="F4057" s="3" t="s">
        <v>19</v>
      </c>
      <c r="G4057" s="3" t="s">
        <v>112</v>
      </c>
      <c r="H4057" s="3">
        <v>1.0</v>
      </c>
      <c r="I4057" s="3" t="s">
        <v>16315</v>
      </c>
      <c r="J4057" s="3" t="s">
        <v>22</v>
      </c>
      <c r="K4057" s="3" t="s">
        <v>58</v>
      </c>
      <c r="L4057" s="3" t="s">
        <v>73</v>
      </c>
      <c r="M4057" s="3" t="s">
        <v>74</v>
      </c>
      <c r="N4057" s="3" t="s">
        <v>75</v>
      </c>
      <c r="O4057" s="5">
        <v>3876.1905411</v>
      </c>
      <c r="P4057" s="6" t="str">
        <f t="shared" si="2"/>
        <v>Leisure Services</v>
      </c>
    </row>
    <row r="4058" hidden="1">
      <c r="A4058" s="3" t="s">
        <v>16319</v>
      </c>
      <c r="B4058" s="4">
        <v>544112.0</v>
      </c>
      <c r="C4058" s="3" t="s">
        <v>16320</v>
      </c>
      <c r="D4058" s="3" t="s">
        <v>16321</v>
      </c>
      <c r="E4058" s="3" t="s">
        <v>16322</v>
      </c>
      <c r="F4058" s="3" t="s">
        <v>19</v>
      </c>
      <c r="G4058" s="3" t="s">
        <v>112</v>
      </c>
      <c r="H4058" s="3">
        <v>10.0</v>
      </c>
      <c r="I4058" s="3" t="s">
        <v>16319</v>
      </c>
      <c r="J4058" s="3" t="s">
        <v>22</v>
      </c>
      <c r="K4058" s="3" t="s">
        <v>97</v>
      </c>
      <c r="L4058" s="3" t="s">
        <v>98</v>
      </c>
      <c r="M4058" s="3" t="s">
        <v>99</v>
      </c>
      <c r="N4058" s="3" t="s">
        <v>100</v>
      </c>
      <c r="O4058" s="5">
        <v>353.2135496</v>
      </c>
      <c r="P4058" s="6" t="str">
        <f t="shared" si="2"/>
        <v>Industrial Products</v>
      </c>
    </row>
    <row r="4059" hidden="1">
      <c r="A4059" s="3" t="s">
        <v>16323</v>
      </c>
      <c r="B4059" s="4">
        <v>544117.0</v>
      </c>
      <c r="C4059" s="3" t="s">
        <v>16324</v>
      </c>
      <c r="D4059" s="3" t="s">
        <v>16325</v>
      </c>
      <c r="E4059" s="3" t="s">
        <v>16326</v>
      </c>
      <c r="F4059" s="3" t="s">
        <v>19</v>
      </c>
      <c r="G4059" s="3" t="s">
        <v>112</v>
      </c>
      <c r="H4059" s="3">
        <v>2.0</v>
      </c>
      <c r="I4059" s="3" t="s">
        <v>16323</v>
      </c>
      <c r="J4059" s="3" t="s">
        <v>22</v>
      </c>
      <c r="K4059" s="3" t="s">
        <v>58</v>
      </c>
      <c r="L4059" s="3" t="s">
        <v>182</v>
      </c>
      <c r="M4059" s="3" t="s">
        <v>183</v>
      </c>
      <c r="N4059" s="3" t="s">
        <v>6800</v>
      </c>
      <c r="O4059" s="5">
        <v>1501.801627</v>
      </c>
      <c r="P4059" s="6" t="str">
        <f t="shared" si="2"/>
        <v>Media</v>
      </c>
    </row>
    <row r="4060">
      <c r="A4060" s="3" t="s">
        <v>10801</v>
      </c>
      <c r="B4060" s="4">
        <v>532627.0</v>
      </c>
      <c r="C4060" s="3" t="s">
        <v>16327</v>
      </c>
      <c r="D4060" s="3" t="s">
        <v>16328</v>
      </c>
      <c r="E4060" s="3" t="s">
        <v>16327</v>
      </c>
      <c r="F4060" s="3" t="s">
        <v>19</v>
      </c>
      <c r="G4060" s="3" t="s">
        <v>20</v>
      </c>
      <c r="H4060" s="3">
        <v>10.0</v>
      </c>
      <c r="I4060" s="3" t="s">
        <v>10056</v>
      </c>
      <c r="J4060" s="3" t="s">
        <v>22</v>
      </c>
      <c r="K4060" s="3" t="s">
        <v>1647</v>
      </c>
      <c r="L4060" s="3" t="s">
        <v>1648</v>
      </c>
      <c r="M4060" s="3" t="s">
        <v>1648</v>
      </c>
      <c r="N4060" s="3" t="s">
        <v>1649</v>
      </c>
      <c r="O4060" s="5">
        <v>13317.9103823</v>
      </c>
      <c r="P4060" s="6" t="str">
        <f t="shared" si="2"/>
        <v>Power</v>
      </c>
    </row>
    <row r="4061" hidden="1">
      <c r="A4061" s="3" t="s">
        <v>16329</v>
      </c>
      <c r="B4061" s="4">
        <v>544119.0</v>
      </c>
      <c r="C4061" s="3" t="s">
        <v>16330</v>
      </c>
      <c r="D4061" s="3" t="s">
        <v>16331</v>
      </c>
      <c r="E4061" s="3" t="s">
        <v>16332</v>
      </c>
      <c r="F4061" s="3" t="s">
        <v>19</v>
      </c>
      <c r="G4061" s="3" t="s">
        <v>112</v>
      </c>
      <c r="H4061" s="3">
        <v>5.0</v>
      </c>
      <c r="I4061" s="3" t="s">
        <v>16329</v>
      </c>
      <c r="J4061" s="3" t="s">
        <v>22</v>
      </c>
      <c r="K4061" s="3" t="s">
        <v>473</v>
      </c>
      <c r="L4061" s="3" t="s">
        <v>473</v>
      </c>
      <c r="M4061" s="3" t="s">
        <v>474</v>
      </c>
      <c r="N4061" s="3" t="s">
        <v>475</v>
      </c>
      <c r="O4061" s="5">
        <v>2251.7814172</v>
      </c>
      <c r="P4061" s="6" t="str">
        <f t="shared" si="2"/>
        <v>IT - Hardware</v>
      </c>
    </row>
    <row r="4062" hidden="1">
      <c r="A4062" s="3" t="s">
        <v>16333</v>
      </c>
      <c r="B4062" s="4">
        <v>544120.0</v>
      </c>
      <c r="C4062" s="3" t="s">
        <v>16334</v>
      </c>
      <c r="D4062" s="3" t="s">
        <v>16335</v>
      </c>
      <c r="E4062" s="3" t="s">
        <v>16334</v>
      </c>
      <c r="F4062" s="3" t="s">
        <v>19</v>
      </c>
      <c r="G4062" s="3" t="s">
        <v>112</v>
      </c>
      <c r="H4062" s="3">
        <v>10.0</v>
      </c>
      <c r="I4062" s="3" t="s">
        <v>16333</v>
      </c>
      <c r="J4062" s="3" t="s">
        <v>22</v>
      </c>
      <c r="K4062" s="3" t="s">
        <v>204</v>
      </c>
      <c r="L4062" s="3" t="s">
        <v>204</v>
      </c>
      <c r="M4062" s="3" t="s">
        <v>9428</v>
      </c>
      <c r="N4062" s="7" t="s">
        <v>9429</v>
      </c>
      <c r="O4062" s="5">
        <v>1571.5086201</v>
      </c>
      <c r="P4062" s="6" t="str">
        <f t="shared" si="2"/>
        <v>Private Sector Bank</v>
      </c>
    </row>
    <row r="4063" hidden="1">
      <c r="A4063" s="3" t="s">
        <v>16336</v>
      </c>
      <c r="B4063" s="4">
        <v>544121.0</v>
      </c>
      <c r="C4063" s="3" t="s">
        <v>16337</v>
      </c>
      <c r="D4063" s="3" t="s">
        <v>16338</v>
      </c>
      <c r="E4063" s="3" t="s">
        <v>16339</v>
      </c>
      <c r="F4063" s="3" t="s">
        <v>19</v>
      </c>
      <c r="G4063" s="3" t="s">
        <v>2428</v>
      </c>
      <c r="H4063" s="3">
        <v>10.0</v>
      </c>
      <c r="I4063" s="3" t="s">
        <v>16336</v>
      </c>
      <c r="J4063" s="3" t="s">
        <v>22</v>
      </c>
      <c r="K4063" s="3" t="s">
        <v>97</v>
      </c>
      <c r="L4063" s="3" t="s">
        <v>965</v>
      </c>
      <c r="M4063" s="3" t="s">
        <v>965</v>
      </c>
      <c r="N4063" s="3" t="s">
        <v>966</v>
      </c>
      <c r="O4063" s="5">
        <v>149.6652152</v>
      </c>
      <c r="P4063" s="6" t="str">
        <f t="shared" si="2"/>
        <v>Civil Construction</v>
      </c>
    </row>
    <row r="4064" hidden="1">
      <c r="A4064" s="3" t="s">
        <v>16340</v>
      </c>
      <c r="B4064" s="4">
        <v>544122.0</v>
      </c>
      <c r="C4064" s="3" t="s">
        <v>16341</v>
      </c>
      <c r="D4064" s="3" t="s">
        <v>16342</v>
      </c>
      <c r="E4064" s="3" t="s">
        <v>16343</v>
      </c>
      <c r="F4064" s="3" t="s">
        <v>19</v>
      </c>
      <c r="G4064" s="3" t="s">
        <v>112</v>
      </c>
      <c r="H4064" s="3">
        <v>10.0</v>
      </c>
      <c r="I4064" s="3" t="s">
        <v>16340</v>
      </c>
      <c r="J4064" s="3" t="s">
        <v>22</v>
      </c>
      <c r="K4064" s="3" t="s">
        <v>58</v>
      </c>
      <c r="L4064" s="3" t="s">
        <v>73</v>
      </c>
      <c r="M4064" s="3" t="s">
        <v>988</v>
      </c>
      <c r="N4064" s="3" t="s">
        <v>4798</v>
      </c>
      <c r="O4064" s="5">
        <v>4701.5156922</v>
      </c>
      <c r="P4064" s="6" t="str">
        <f t="shared" si="2"/>
        <v>Retailing</v>
      </c>
    </row>
    <row r="4065" hidden="1">
      <c r="A4065" s="3" t="s">
        <v>16344</v>
      </c>
      <c r="B4065" s="4">
        <v>544124.0</v>
      </c>
      <c r="C4065" s="3" t="s">
        <v>16345</v>
      </c>
      <c r="D4065" s="3" t="s">
        <v>16346</v>
      </c>
      <c r="E4065" s="3" t="s">
        <v>16347</v>
      </c>
      <c r="F4065" s="3" t="s">
        <v>19</v>
      </c>
      <c r="G4065" s="3" t="s">
        <v>86</v>
      </c>
      <c r="H4065" s="3">
        <v>10.0</v>
      </c>
      <c r="I4065" s="3" t="s">
        <v>16344</v>
      </c>
      <c r="J4065" s="3" t="s">
        <v>22</v>
      </c>
      <c r="K4065" s="3" t="s">
        <v>97</v>
      </c>
      <c r="L4065" s="3" t="s">
        <v>98</v>
      </c>
      <c r="M4065" s="3" t="s">
        <v>100</v>
      </c>
      <c r="N4065" s="3" t="s">
        <v>612</v>
      </c>
      <c r="O4065" s="5">
        <v>488.9905439</v>
      </c>
      <c r="P4065" s="6" t="str">
        <f t="shared" si="2"/>
        <v>Industrial Products</v>
      </c>
    </row>
    <row r="4066">
      <c r="A4066" s="3" t="s">
        <v>5506</v>
      </c>
      <c r="B4066" s="4">
        <v>532779.0</v>
      </c>
      <c r="C4066" s="3" t="s">
        <v>16348</v>
      </c>
      <c r="D4066" s="3" t="s">
        <v>16349</v>
      </c>
      <c r="E4066" s="3" t="s">
        <v>16350</v>
      </c>
      <c r="F4066" s="3" t="s">
        <v>19</v>
      </c>
      <c r="G4066" s="3" t="s">
        <v>20</v>
      </c>
      <c r="H4066" s="3">
        <v>10.0</v>
      </c>
      <c r="I4066" s="3" t="s">
        <v>10427</v>
      </c>
      <c r="J4066" s="3" t="s">
        <v>22</v>
      </c>
      <c r="K4066" s="3" t="s">
        <v>1647</v>
      </c>
      <c r="L4066" s="3" t="s">
        <v>1648</v>
      </c>
      <c r="M4066" s="3" t="s">
        <v>1648</v>
      </c>
      <c r="N4066" s="3" t="s">
        <v>16148</v>
      </c>
      <c r="O4066" s="5">
        <v>73774.74368</v>
      </c>
      <c r="P4066" s="6" t="str">
        <f t="shared" si="2"/>
        <v>Power</v>
      </c>
    </row>
    <row r="4067" hidden="1">
      <c r="A4067" s="3" t="s">
        <v>16351</v>
      </c>
      <c r="B4067" s="4">
        <v>544131.0</v>
      </c>
      <c r="C4067" s="3" t="s">
        <v>16352</v>
      </c>
      <c r="D4067" s="3" t="s">
        <v>16353</v>
      </c>
      <c r="E4067" s="3" t="s">
        <v>16354</v>
      </c>
      <c r="F4067" s="3" t="s">
        <v>19</v>
      </c>
      <c r="G4067" s="3" t="s">
        <v>112</v>
      </c>
      <c r="H4067" s="3">
        <v>10.0</v>
      </c>
      <c r="I4067" s="3" t="s">
        <v>16351</v>
      </c>
      <c r="J4067" s="3" t="s">
        <v>22</v>
      </c>
      <c r="K4067" s="3" t="s">
        <v>45</v>
      </c>
      <c r="L4067" s="3" t="s">
        <v>45</v>
      </c>
      <c r="M4067" s="3" t="s">
        <v>4488</v>
      </c>
      <c r="N4067" s="3" t="s">
        <v>5801</v>
      </c>
      <c r="O4067" s="5">
        <v>1263.9606417</v>
      </c>
      <c r="P4067" s="6" t="str">
        <f t="shared" si="2"/>
        <v>Healthcare Services</v>
      </c>
    </row>
    <row r="4068">
      <c r="A4068" s="3" t="s">
        <v>15006</v>
      </c>
      <c r="B4068" s="4">
        <v>532898.0</v>
      </c>
      <c r="C4068" s="3" t="s">
        <v>16355</v>
      </c>
      <c r="D4068" s="3" t="s">
        <v>16356</v>
      </c>
      <c r="E4068" s="3" t="s">
        <v>16357</v>
      </c>
      <c r="F4068" s="3" t="s">
        <v>19</v>
      </c>
      <c r="G4068" s="3" t="s">
        <v>20</v>
      </c>
      <c r="H4068" s="3">
        <v>10.0</v>
      </c>
      <c r="I4068" s="3" t="s">
        <v>10724</v>
      </c>
      <c r="J4068" s="3" t="s">
        <v>22</v>
      </c>
      <c r="K4068" s="3" t="s">
        <v>1647</v>
      </c>
      <c r="L4068" s="3" t="s">
        <v>1648</v>
      </c>
      <c r="M4068" s="3" t="s">
        <v>1648</v>
      </c>
      <c r="N4068" s="3" t="s">
        <v>16358</v>
      </c>
      <c r="O4068" s="5">
        <v>311025.3254902</v>
      </c>
      <c r="P4068" s="6" t="str">
        <f t="shared" si="2"/>
        <v>Power</v>
      </c>
    </row>
    <row r="4069" hidden="1">
      <c r="A4069" s="3" t="s">
        <v>16359</v>
      </c>
      <c r="B4069" s="4">
        <v>544134.0</v>
      </c>
      <c r="C4069" s="3" t="s">
        <v>16360</v>
      </c>
      <c r="D4069" s="3" t="s">
        <v>16361</v>
      </c>
      <c r="E4069" s="3" t="s">
        <v>16362</v>
      </c>
      <c r="F4069" s="3" t="s">
        <v>19</v>
      </c>
      <c r="G4069" s="3" t="s">
        <v>112</v>
      </c>
      <c r="H4069" s="3">
        <v>10.0</v>
      </c>
      <c r="I4069" s="3" t="s">
        <v>16359</v>
      </c>
      <c r="J4069" s="3" t="s">
        <v>22</v>
      </c>
      <c r="K4069" s="3" t="s">
        <v>23</v>
      </c>
      <c r="L4069" s="3" t="s">
        <v>24</v>
      </c>
      <c r="M4069" s="3" t="s">
        <v>25</v>
      </c>
      <c r="N4069" s="3" t="s">
        <v>26</v>
      </c>
      <c r="O4069" s="5">
        <v>1128.2285347</v>
      </c>
      <c r="P4069" s="6" t="str">
        <f t="shared" si="2"/>
        <v>Specialty Chemicals</v>
      </c>
    </row>
    <row r="4070" hidden="1">
      <c r="A4070" s="3" t="s">
        <v>16363</v>
      </c>
      <c r="B4070" s="4">
        <v>544135.0</v>
      </c>
      <c r="C4070" s="3" t="s">
        <v>16364</v>
      </c>
      <c r="D4070" s="3" t="s">
        <v>16365</v>
      </c>
      <c r="E4070" s="3" t="s">
        <v>16366</v>
      </c>
      <c r="F4070" s="3" t="s">
        <v>19</v>
      </c>
      <c r="G4070" s="3" t="s">
        <v>112</v>
      </c>
      <c r="H4070" s="3">
        <v>1.0</v>
      </c>
      <c r="I4070" s="3" t="s">
        <v>16363</v>
      </c>
      <c r="J4070" s="3" t="s">
        <v>22</v>
      </c>
      <c r="K4070" s="3" t="s">
        <v>145</v>
      </c>
      <c r="L4070" s="3" t="s">
        <v>145</v>
      </c>
      <c r="M4070" s="3" t="s">
        <v>597</v>
      </c>
      <c r="N4070" s="3" t="s">
        <v>5098</v>
      </c>
      <c r="O4070" s="5">
        <v>1060.5029936</v>
      </c>
      <c r="P4070" s="6" t="str">
        <f t="shared" si="2"/>
        <v>Food Products</v>
      </c>
    </row>
    <row r="4071" hidden="1">
      <c r="A4071" s="3" t="s">
        <v>16367</v>
      </c>
      <c r="B4071" s="4">
        <v>544136.0</v>
      </c>
      <c r="C4071" s="3" t="s">
        <v>16368</v>
      </c>
      <c r="D4071" s="3" t="s">
        <v>16369</v>
      </c>
      <c r="E4071" s="3" t="s">
        <v>16370</v>
      </c>
      <c r="F4071" s="3" t="s">
        <v>19</v>
      </c>
      <c r="G4071" s="3" t="s">
        <v>112</v>
      </c>
      <c r="H4071" s="3">
        <v>5.0</v>
      </c>
      <c r="I4071" s="3" t="s">
        <v>16367</v>
      </c>
      <c r="J4071" s="3" t="s">
        <v>22</v>
      </c>
      <c r="K4071" s="3" t="s">
        <v>58</v>
      </c>
      <c r="L4071" s="3" t="s">
        <v>182</v>
      </c>
      <c r="M4071" s="3" t="s">
        <v>183</v>
      </c>
      <c r="N4071" s="3" t="s">
        <v>6800</v>
      </c>
      <c r="O4071" s="5">
        <v>1337.2492265</v>
      </c>
      <c r="P4071" s="6" t="str">
        <f t="shared" si="2"/>
        <v>Media</v>
      </c>
    </row>
    <row r="4072" hidden="1">
      <c r="A4072" s="3" t="s">
        <v>16371</v>
      </c>
      <c r="B4072" s="4">
        <v>544138.0</v>
      </c>
      <c r="C4072" s="3" t="s">
        <v>16372</v>
      </c>
      <c r="D4072" s="3" t="s">
        <v>16373</v>
      </c>
      <c r="E4072" s="3" t="s">
        <v>16374</v>
      </c>
      <c r="F4072" s="3" t="s">
        <v>19</v>
      </c>
      <c r="G4072" s="3" t="s">
        <v>112</v>
      </c>
      <c r="H4072" s="3">
        <v>10.0</v>
      </c>
      <c r="I4072" s="3" t="s">
        <v>16371</v>
      </c>
      <c r="J4072" s="3" t="s">
        <v>22</v>
      </c>
      <c r="K4072" s="3" t="s">
        <v>23</v>
      </c>
      <c r="L4072" s="3" t="s">
        <v>24</v>
      </c>
      <c r="M4072" s="3" t="s">
        <v>25</v>
      </c>
      <c r="N4072" s="3" t="s">
        <v>52</v>
      </c>
      <c r="O4072" s="5">
        <v>1010.391116</v>
      </c>
      <c r="P4072" s="6" t="str">
        <f t="shared" si="2"/>
        <v>Chemicals &amp; Petrochemicals</v>
      </c>
    </row>
    <row r="4073" hidden="1">
      <c r="A4073" s="3" t="s">
        <v>16375</v>
      </c>
      <c r="B4073" s="4">
        <v>544139.0</v>
      </c>
      <c r="C4073" s="3" t="s">
        <v>16376</v>
      </c>
      <c r="D4073" s="3" t="s">
        <v>16377</v>
      </c>
      <c r="E4073" s="3" t="s">
        <v>16378</v>
      </c>
      <c r="F4073" s="3" t="s">
        <v>19</v>
      </c>
      <c r="G4073" s="3" t="s">
        <v>2428</v>
      </c>
      <c r="H4073" s="3">
        <v>10.0</v>
      </c>
      <c r="I4073" s="3" t="s">
        <v>16375</v>
      </c>
      <c r="J4073" s="3" t="s">
        <v>22</v>
      </c>
      <c r="K4073" s="3" t="s">
        <v>58</v>
      </c>
      <c r="L4073" s="3" t="s">
        <v>211</v>
      </c>
      <c r="M4073" s="3" t="s">
        <v>211</v>
      </c>
      <c r="N4073" s="3" t="s">
        <v>947</v>
      </c>
      <c r="O4073" s="5">
        <v>1.0</v>
      </c>
      <c r="P4073" s="6" t="str">
        <f t="shared" si="2"/>
        <v>Consumer Durables</v>
      </c>
    </row>
    <row r="4074" hidden="1">
      <c r="A4074" s="3" t="s">
        <v>16379</v>
      </c>
      <c r="B4074" s="4">
        <v>544140.0</v>
      </c>
      <c r="C4074" s="3" t="s">
        <v>16380</v>
      </c>
      <c r="D4074" s="3" t="s">
        <v>16381</v>
      </c>
      <c r="E4074" s="3" t="s">
        <v>16382</v>
      </c>
      <c r="F4074" s="3" t="s">
        <v>19</v>
      </c>
      <c r="G4074" s="3" t="s">
        <v>112</v>
      </c>
      <c r="H4074" s="3">
        <v>1.0</v>
      </c>
      <c r="I4074" s="3" t="s">
        <v>16379</v>
      </c>
      <c r="J4074" s="3" t="s">
        <v>22</v>
      </c>
      <c r="K4074" s="3" t="s">
        <v>145</v>
      </c>
      <c r="L4074" s="3" t="s">
        <v>145</v>
      </c>
      <c r="M4074" s="3" t="s">
        <v>597</v>
      </c>
      <c r="N4074" s="3" t="s">
        <v>2344</v>
      </c>
      <c r="O4074" s="5">
        <v>4029.5820388</v>
      </c>
      <c r="P4074" s="6" t="str">
        <f t="shared" si="2"/>
        <v>Food Products</v>
      </c>
    </row>
    <row r="4075" hidden="1">
      <c r="A4075" s="3" t="s">
        <v>16383</v>
      </c>
      <c r="B4075" s="4">
        <v>544141.0</v>
      </c>
      <c r="C4075" s="3" t="s">
        <v>16384</v>
      </c>
      <c r="D4075" s="3" t="s">
        <v>16385</v>
      </c>
      <c r="E4075" s="3" t="s">
        <v>16386</v>
      </c>
      <c r="F4075" s="3" t="s">
        <v>19</v>
      </c>
      <c r="G4075" s="3" t="s">
        <v>2428</v>
      </c>
      <c r="H4075" s="3">
        <v>10.0</v>
      </c>
      <c r="I4075" s="3" t="s">
        <v>16383</v>
      </c>
      <c r="J4075" s="3" t="s">
        <v>22</v>
      </c>
      <c r="K4075" s="3" t="s">
        <v>204</v>
      </c>
      <c r="L4075" s="3" t="s">
        <v>204</v>
      </c>
      <c r="M4075" s="3" t="s">
        <v>205</v>
      </c>
      <c r="N4075" s="3" t="s">
        <v>2109</v>
      </c>
      <c r="O4075" s="5">
        <v>1.0</v>
      </c>
      <c r="P4075" s="6" t="str">
        <f t="shared" si="2"/>
        <v>Capital Markets</v>
      </c>
    </row>
    <row r="4076" hidden="1">
      <c r="A4076" s="3" t="s">
        <v>16387</v>
      </c>
      <c r="B4076" s="4">
        <v>544142.0</v>
      </c>
      <c r="C4076" s="3" t="s">
        <v>16388</v>
      </c>
      <c r="D4076" s="3" t="s">
        <v>16389</v>
      </c>
      <c r="E4076" s="3" t="s">
        <v>16390</v>
      </c>
      <c r="F4076" s="3" t="s">
        <v>19</v>
      </c>
      <c r="G4076" s="3" t="s">
        <v>112</v>
      </c>
      <c r="H4076" s="3">
        <v>10.0</v>
      </c>
      <c r="I4076" s="3" t="s">
        <v>16387</v>
      </c>
      <c r="J4076" s="3" t="s">
        <v>22</v>
      </c>
      <c r="K4076" s="3" t="s">
        <v>204</v>
      </c>
      <c r="L4076" s="3" t="s">
        <v>204</v>
      </c>
      <c r="M4076" s="3" t="s">
        <v>378</v>
      </c>
      <c r="N4076" s="3" t="s">
        <v>384</v>
      </c>
      <c r="O4076" s="5">
        <v>3872.4376344</v>
      </c>
      <c r="P4076" s="6" t="str">
        <f t="shared" si="2"/>
        <v>Finance</v>
      </c>
    </row>
    <row r="4077" hidden="1">
      <c r="A4077" s="3" t="s">
        <v>16391</v>
      </c>
      <c r="B4077" s="4">
        <v>544143.0</v>
      </c>
      <c r="C4077" s="3" t="s">
        <v>16392</v>
      </c>
      <c r="D4077" s="3" t="s">
        <v>16393</v>
      </c>
      <c r="E4077" s="3" t="s">
        <v>16394</v>
      </c>
      <c r="F4077" s="3" t="s">
        <v>19</v>
      </c>
      <c r="G4077" s="3" t="s">
        <v>2428</v>
      </c>
      <c r="H4077" s="3">
        <v>10.0</v>
      </c>
      <c r="I4077" s="3" t="s">
        <v>16391</v>
      </c>
      <c r="J4077" s="3" t="s">
        <v>22</v>
      </c>
      <c r="K4077" s="3" t="s">
        <v>45</v>
      </c>
      <c r="L4077" s="3" t="s">
        <v>45</v>
      </c>
      <c r="M4077" s="3" t="s">
        <v>7249</v>
      </c>
      <c r="N4077" s="3" t="s">
        <v>7250</v>
      </c>
      <c r="O4077" s="5">
        <v>64.1300255</v>
      </c>
      <c r="P4077" s="6" t="str">
        <f t="shared" si="2"/>
        <v>Healthcare Equipment &amp; Supplies</v>
      </c>
    </row>
    <row r="4078" hidden="1">
      <c r="A4078" s="3" t="s">
        <v>16395</v>
      </c>
      <c r="B4078" s="4">
        <v>544144.0</v>
      </c>
      <c r="C4078" s="3" t="s">
        <v>16396</v>
      </c>
      <c r="D4078" s="3" t="s">
        <v>16397</v>
      </c>
      <c r="E4078" s="3" t="s">
        <v>16398</v>
      </c>
      <c r="F4078" s="3" t="s">
        <v>19</v>
      </c>
      <c r="G4078" s="3" t="s">
        <v>112</v>
      </c>
      <c r="H4078" s="3">
        <v>2.0</v>
      </c>
      <c r="I4078" s="3" t="s">
        <v>16395</v>
      </c>
      <c r="J4078" s="3" t="s">
        <v>22</v>
      </c>
      <c r="K4078" s="3" t="s">
        <v>58</v>
      </c>
      <c r="L4078" s="3" t="s">
        <v>133</v>
      </c>
      <c r="M4078" s="3" t="s">
        <v>906</v>
      </c>
      <c r="N4078" s="3" t="s">
        <v>8067</v>
      </c>
      <c r="O4078" s="5">
        <v>1691.689698</v>
      </c>
      <c r="P4078" s="6" t="str">
        <f t="shared" si="2"/>
        <v>Automobiles</v>
      </c>
    </row>
    <row r="4079" hidden="1">
      <c r="A4079" s="3" t="s">
        <v>2941</v>
      </c>
      <c r="B4079" s="4">
        <v>543352.0</v>
      </c>
      <c r="C4079" s="3" t="s">
        <v>16399</v>
      </c>
      <c r="D4079" s="3" t="s">
        <v>16400</v>
      </c>
      <c r="E4079" s="3" t="s">
        <v>16401</v>
      </c>
      <c r="F4079" s="3" t="s">
        <v>19</v>
      </c>
      <c r="G4079" s="3" t="s">
        <v>2428</v>
      </c>
      <c r="H4079" s="3">
        <v>10.0</v>
      </c>
      <c r="I4079" s="3" t="s">
        <v>15068</v>
      </c>
      <c r="J4079" s="3" t="s">
        <v>22</v>
      </c>
      <c r="K4079" s="3" t="s">
        <v>1673</v>
      </c>
      <c r="L4079" s="3" t="s">
        <v>1673</v>
      </c>
      <c r="M4079" s="3" t="s">
        <v>1674</v>
      </c>
      <c r="N4079" s="3" t="s">
        <v>1705</v>
      </c>
      <c r="O4079" s="5">
        <v>1.0</v>
      </c>
      <c r="P4079" s="6" t="str">
        <f t="shared" si="2"/>
        <v>Commercial Services &amp; Supplies</v>
      </c>
    </row>
    <row r="4080" hidden="1">
      <c r="A4080" s="3" t="s">
        <v>16402</v>
      </c>
      <c r="B4080" s="4">
        <v>544150.0</v>
      </c>
      <c r="C4080" s="3" t="s">
        <v>16403</v>
      </c>
      <c r="D4080" s="3" t="s">
        <v>16404</v>
      </c>
      <c r="E4080" s="3" t="s">
        <v>16405</v>
      </c>
      <c r="F4080" s="3" t="s">
        <v>19</v>
      </c>
      <c r="G4080" s="3" t="s">
        <v>2428</v>
      </c>
      <c r="H4080" s="3">
        <v>5.0</v>
      </c>
      <c r="I4080" s="3" t="s">
        <v>16402</v>
      </c>
      <c r="J4080" s="3" t="s">
        <v>22</v>
      </c>
      <c r="K4080" s="3" t="s">
        <v>97</v>
      </c>
      <c r="L4080" s="3" t="s">
        <v>98</v>
      </c>
      <c r="M4080" s="3" t="s">
        <v>1747</v>
      </c>
      <c r="N4080" s="3" t="s">
        <v>1767</v>
      </c>
      <c r="O4080" s="5">
        <v>1.0</v>
      </c>
      <c r="P4080" s="6" t="str">
        <f t="shared" si="2"/>
        <v>Heavy Electrical Equipment</v>
      </c>
    </row>
    <row r="4081" hidden="1">
      <c r="A4081" s="3" t="s">
        <v>16406</v>
      </c>
      <c r="B4081" s="4">
        <v>544151.0</v>
      </c>
      <c r="C4081" s="3" t="s">
        <v>16407</v>
      </c>
      <c r="D4081" s="3" t="s">
        <v>16408</v>
      </c>
      <c r="E4081" s="3" t="s">
        <v>16409</v>
      </c>
      <c r="F4081" s="3" t="s">
        <v>19</v>
      </c>
      <c r="G4081" s="3" t="s">
        <v>2428</v>
      </c>
      <c r="H4081" s="3">
        <v>10.0</v>
      </c>
      <c r="I4081" s="3" t="s">
        <v>16406</v>
      </c>
      <c r="J4081" s="3" t="s">
        <v>22</v>
      </c>
      <c r="K4081" s="3" t="s">
        <v>145</v>
      </c>
      <c r="L4081" s="3" t="s">
        <v>145</v>
      </c>
      <c r="M4081" s="3" t="s">
        <v>597</v>
      </c>
      <c r="N4081" s="3" t="s">
        <v>2344</v>
      </c>
      <c r="O4081" s="5">
        <v>249.393098</v>
      </c>
      <c r="P4081" s="6" t="str">
        <f t="shared" si="2"/>
        <v>Food Products</v>
      </c>
    </row>
    <row r="4082" hidden="1">
      <c r="A4082" s="3" t="s">
        <v>8229</v>
      </c>
      <c r="B4082" s="4">
        <v>543500.0</v>
      </c>
      <c r="C4082" s="3" t="s">
        <v>16410</v>
      </c>
      <c r="D4082" s="3" t="s">
        <v>16411</v>
      </c>
      <c r="E4082" s="3" t="s">
        <v>16412</v>
      </c>
      <c r="F4082" s="3" t="s">
        <v>19</v>
      </c>
      <c r="G4082" s="3" t="s">
        <v>2428</v>
      </c>
      <c r="H4082" s="3">
        <v>10.0</v>
      </c>
      <c r="I4082" s="3" t="s">
        <v>15288</v>
      </c>
      <c r="J4082" s="3" t="s">
        <v>22</v>
      </c>
      <c r="K4082" s="3" t="s">
        <v>1673</v>
      </c>
      <c r="L4082" s="3" t="s">
        <v>1673</v>
      </c>
      <c r="M4082" s="3" t="s">
        <v>1674</v>
      </c>
      <c r="N4082" s="3" t="s">
        <v>1915</v>
      </c>
      <c r="O4082" s="5">
        <v>1.0</v>
      </c>
      <c r="P4082" s="6" t="str">
        <f t="shared" si="2"/>
        <v>Commercial Services &amp; Supplies</v>
      </c>
    </row>
    <row r="4083" hidden="1">
      <c r="A4083" s="3" t="s">
        <v>16413</v>
      </c>
      <c r="B4083" s="4">
        <v>544157.0</v>
      </c>
      <c r="C4083" s="3" t="s">
        <v>16414</v>
      </c>
      <c r="D4083" s="3" t="s">
        <v>16415</v>
      </c>
      <c r="E4083" s="3" t="s">
        <v>16416</v>
      </c>
      <c r="F4083" s="3" t="s">
        <v>19</v>
      </c>
      <c r="G4083" s="3" t="s">
        <v>2428</v>
      </c>
      <c r="H4083" s="3">
        <v>10.0</v>
      </c>
      <c r="I4083" s="3" t="s">
        <v>16413</v>
      </c>
      <c r="J4083" s="3" t="s">
        <v>22</v>
      </c>
      <c r="K4083" s="3" t="s">
        <v>97</v>
      </c>
      <c r="L4083" s="3" t="s">
        <v>98</v>
      </c>
      <c r="M4083" s="3" t="s">
        <v>99</v>
      </c>
      <c r="N4083" s="3" t="s">
        <v>100</v>
      </c>
      <c r="O4083" s="5">
        <v>83.278272</v>
      </c>
      <c r="P4083" s="6" t="str">
        <f t="shared" si="2"/>
        <v>Industrial Products</v>
      </c>
    </row>
    <row r="4084" hidden="1">
      <c r="A4084" s="3" t="s">
        <v>16417</v>
      </c>
      <c r="B4084" s="4">
        <v>544158.0</v>
      </c>
      <c r="C4084" s="3" t="s">
        <v>16418</v>
      </c>
      <c r="D4084" s="3" t="s">
        <v>16419</v>
      </c>
      <c r="E4084" s="3" t="s">
        <v>16420</v>
      </c>
      <c r="F4084" s="3" t="s">
        <v>19</v>
      </c>
      <c r="G4084" s="3" t="s">
        <v>112</v>
      </c>
      <c r="H4084" s="3">
        <v>10.0</v>
      </c>
      <c r="I4084" s="3" t="s">
        <v>16417</v>
      </c>
      <c r="J4084" s="3" t="s">
        <v>22</v>
      </c>
      <c r="K4084" s="3" t="s">
        <v>97</v>
      </c>
      <c r="L4084" s="3" t="s">
        <v>965</v>
      </c>
      <c r="M4084" s="3" t="s">
        <v>965</v>
      </c>
      <c r="N4084" s="3" t="s">
        <v>966</v>
      </c>
      <c r="O4084" s="5">
        <v>402.49155</v>
      </c>
      <c r="P4084" s="6" t="str">
        <f t="shared" si="2"/>
        <v>Civil Construction</v>
      </c>
    </row>
    <row r="4085" hidden="1">
      <c r="A4085" s="3" t="s">
        <v>16421</v>
      </c>
      <c r="B4085" s="4">
        <v>544160.0</v>
      </c>
      <c r="C4085" s="3" t="s">
        <v>16422</v>
      </c>
      <c r="D4085" s="3" t="s">
        <v>16423</v>
      </c>
      <c r="E4085" s="3" t="s">
        <v>16424</v>
      </c>
      <c r="F4085" s="3" t="s">
        <v>19</v>
      </c>
      <c r="G4085" s="3" t="s">
        <v>2428</v>
      </c>
      <c r="H4085" s="3">
        <v>10.0</v>
      </c>
      <c r="I4085" s="3" t="s">
        <v>16421</v>
      </c>
      <c r="J4085" s="3" t="s">
        <v>22</v>
      </c>
      <c r="K4085" s="3" t="s">
        <v>145</v>
      </c>
      <c r="L4085" s="3" t="s">
        <v>145</v>
      </c>
      <c r="M4085" s="3" t="s">
        <v>597</v>
      </c>
      <c r="N4085" s="3" t="s">
        <v>2344</v>
      </c>
      <c r="O4085" s="5">
        <v>33.1932288</v>
      </c>
      <c r="P4085" s="6" t="str">
        <f t="shared" si="2"/>
        <v>Food Products</v>
      </c>
    </row>
    <row r="4086" hidden="1">
      <c r="A4086" s="3" t="s">
        <v>16425</v>
      </c>
      <c r="B4086" s="4">
        <v>544161.0</v>
      </c>
      <c r="C4086" s="3" t="s">
        <v>16426</v>
      </c>
      <c r="D4086" s="3" t="s">
        <v>16427</v>
      </c>
      <c r="E4086" s="3" t="s">
        <v>16428</v>
      </c>
      <c r="F4086" s="3" t="s">
        <v>19</v>
      </c>
      <c r="G4086" s="3" t="s">
        <v>112</v>
      </c>
      <c r="H4086" s="3">
        <v>10.0</v>
      </c>
      <c r="I4086" s="3" t="s">
        <v>16425</v>
      </c>
      <c r="J4086" s="3" t="s">
        <v>22</v>
      </c>
      <c r="K4086" s="3" t="s">
        <v>58</v>
      </c>
      <c r="L4086" s="3" t="s">
        <v>211</v>
      </c>
      <c r="M4086" s="3" t="s">
        <v>211</v>
      </c>
      <c r="N4086" s="3" t="s">
        <v>947</v>
      </c>
      <c r="O4086" s="5">
        <v>3116.9977818</v>
      </c>
      <c r="P4086" s="6" t="str">
        <f t="shared" si="2"/>
        <v>Consumer Durables</v>
      </c>
    </row>
    <row r="4087">
      <c r="A4087" s="3" t="s">
        <v>16136</v>
      </c>
      <c r="B4087" s="4">
        <v>532939.0</v>
      </c>
      <c r="C4087" s="3" t="s">
        <v>16429</v>
      </c>
      <c r="D4087" s="3" t="s">
        <v>16430</v>
      </c>
      <c r="E4087" s="3" t="s">
        <v>16431</v>
      </c>
      <c r="F4087" s="3" t="s">
        <v>19</v>
      </c>
      <c r="G4087" s="3" t="s">
        <v>20</v>
      </c>
      <c r="H4087" s="3">
        <v>10.0</v>
      </c>
      <c r="I4087" s="3" t="s">
        <v>10829</v>
      </c>
      <c r="J4087" s="3" t="s">
        <v>22</v>
      </c>
      <c r="K4087" s="3" t="s">
        <v>1647</v>
      </c>
      <c r="L4087" s="3" t="s">
        <v>1648</v>
      </c>
      <c r="M4087" s="3" t="s">
        <v>1648</v>
      </c>
      <c r="N4087" s="3" t="s">
        <v>1649</v>
      </c>
      <c r="O4087" s="5">
        <v>11500.7977103</v>
      </c>
      <c r="P4087" s="6" t="str">
        <f t="shared" si="2"/>
        <v>Power</v>
      </c>
    </row>
    <row r="4088" hidden="1">
      <c r="A4088" s="3" t="s">
        <v>16432</v>
      </c>
      <c r="B4088" s="4">
        <v>544163.0</v>
      </c>
      <c r="C4088" s="3" t="s">
        <v>16433</v>
      </c>
      <c r="D4088" s="3" t="s">
        <v>16434</v>
      </c>
      <c r="E4088" s="3" t="s">
        <v>16435</v>
      </c>
      <c r="F4088" s="3" t="s">
        <v>19</v>
      </c>
      <c r="G4088" s="3" t="s">
        <v>6293</v>
      </c>
      <c r="H4088" s="3">
        <v>10.0</v>
      </c>
      <c r="I4088" s="3" t="s">
        <v>16432</v>
      </c>
      <c r="J4088" s="3" t="s">
        <v>22</v>
      </c>
      <c r="K4088" s="3" t="s">
        <v>410</v>
      </c>
      <c r="L4088" s="3" t="s">
        <v>411</v>
      </c>
      <c r="M4088" s="3" t="s">
        <v>5748</v>
      </c>
      <c r="N4088" s="3" t="s">
        <v>5997</v>
      </c>
      <c r="O4088" s="5">
        <v>54.099174</v>
      </c>
      <c r="P4088" s="6" t="str">
        <f t="shared" si="2"/>
        <v>Petroleum Products</v>
      </c>
    </row>
    <row r="4089" hidden="1">
      <c r="A4089" s="3" t="s">
        <v>16436</v>
      </c>
      <c r="B4089" s="4">
        <v>544164.0</v>
      </c>
      <c r="C4089" s="3" t="s">
        <v>16437</v>
      </c>
      <c r="D4089" s="3" t="s">
        <v>16438</v>
      </c>
      <c r="E4089" s="3" t="s">
        <v>16439</v>
      </c>
      <c r="F4089" s="3" t="s">
        <v>19</v>
      </c>
      <c r="G4089" s="3" t="s">
        <v>2428</v>
      </c>
      <c r="H4089" s="3">
        <v>10.0</v>
      </c>
      <c r="I4089" s="3" t="s">
        <v>16436</v>
      </c>
      <c r="J4089" s="3" t="s">
        <v>22</v>
      </c>
      <c r="K4089" s="3" t="s">
        <v>97</v>
      </c>
      <c r="L4089" s="3" t="s">
        <v>98</v>
      </c>
      <c r="M4089" s="3" t="s">
        <v>99</v>
      </c>
      <c r="N4089" s="3" t="s">
        <v>100</v>
      </c>
      <c r="O4089" s="5">
        <v>45.8321181</v>
      </c>
      <c r="P4089" s="6" t="str">
        <f t="shared" si="2"/>
        <v>Industrial Products</v>
      </c>
    </row>
    <row r="4090" hidden="1">
      <c r="A4090" s="3" t="s">
        <v>16440</v>
      </c>
      <c r="B4090" s="4">
        <v>544165.0</v>
      </c>
      <c r="C4090" s="3" t="s">
        <v>16441</v>
      </c>
      <c r="D4090" s="3" t="s">
        <v>16442</v>
      </c>
      <c r="E4090" s="3" t="s">
        <v>16443</v>
      </c>
      <c r="F4090" s="3" t="s">
        <v>19</v>
      </c>
      <c r="G4090" s="3" t="s">
        <v>2428</v>
      </c>
      <c r="H4090" s="3">
        <v>10.0</v>
      </c>
      <c r="I4090" s="3" t="s">
        <v>16440</v>
      </c>
      <c r="J4090" s="3" t="s">
        <v>22</v>
      </c>
      <c r="K4090" s="3" t="s">
        <v>145</v>
      </c>
      <c r="L4090" s="3" t="s">
        <v>145</v>
      </c>
      <c r="M4090" s="3" t="s">
        <v>597</v>
      </c>
      <c r="N4090" s="3" t="s">
        <v>5098</v>
      </c>
      <c r="O4090" s="5">
        <v>84.8571215</v>
      </c>
      <c r="P4090" s="6" t="str">
        <f t="shared" si="2"/>
        <v>Food Products</v>
      </c>
    </row>
    <row r="4091" hidden="1">
      <c r="A4091" s="3" t="s">
        <v>16444</v>
      </c>
      <c r="B4091" s="4">
        <v>544166.0</v>
      </c>
      <c r="C4091" s="3" t="s">
        <v>16445</v>
      </c>
      <c r="D4091" s="3" t="s">
        <v>16446</v>
      </c>
      <c r="E4091" s="3" t="s">
        <v>16447</v>
      </c>
      <c r="F4091" s="3" t="s">
        <v>19</v>
      </c>
      <c r="G4091" s="3" t="s">
        <v>2428</v>
      </c>
      <c r="H4091" s="3">
        <v>10.0</v>
      </c>
      <c r="I4091" s="3" t="s">
        <v>16444</v>
      </c>
      <c r="J4091" s="3" t="s">
        <v>22</v>
      </c>
      <c r="K4091" s="3" t="s">
        <v>58</v>
      </c>
      <c r="L4091" s="3" t="s">
        <v>133</v>
      </c>
      <c r="M4091" s="3" t="s">
        <v>134</v>
      </c>
      <c r="N4091" s="3" t="s">
        <v>135</v>
      </c>
      <c r="O4091" s="5">
        <v>361.486569</v>
      </c>
      <c r="P4091" s="6" t="str">
        <f t="shared" si="2"/>
        <v>Auto Components &amp; Equipments</v>
      </c>
    </row>
    <row r="4092" hidden="1">
      <c r="A4092" s="3" t="s">
        <v>16448</v>
      </c>
      <c r="B4092" s="4">
        <v>544167.0</v>
      </c>
      <c r="C4092" s="3" t="s">
        <v>16449</v>
      </c>
      <c r="D4092" s="3" t="s">
        <v>16450</v>
      </c>
      <c r="E4092" s="3" t="s">
        <v>16451</v>
      </c>
      <c r="F4092" s="3" t="s">
        <v>19</v>
      </c>
      <c r="G4092" s="3" t="s">
        <v>112</v>
      </c>
      <c r="H4092" s="3">
        <v>2.0</v>
      </c>
      <c r="I4092" s="3" t="s">
        <v>16448</v>
      </c>
      <c r="J4092" s="3" t="s">
        <v>22</v>
      </c>
      <c r="K4092" s="3" t="s">
        <v>97</v>
      </c>
      <c r="L4092" s="3" t="s">
        <v>98</v>
      </c>
      <c r="M4092" s="3" t="s">
        <v>99</v>
      </c>
      <c r="N4092" s="3" t="s">
        <v>100</v>
      </c>
      <c r="O4092" s="5">
        <v>4579.0857063</v>
      </c>
      <c r="P4092" s="6" t="str">
        <f t="shared" si="2"/>
        <v>Industrial Products</v>
      </c>
    </row>
    <row r="4093" hidden="1">
      <c r="A4093" s="3" t="s">
        <v>16452</v>
      </c>
      <c r="B4093" s="4">
        <v>544168.0</v>
      </c>
      <c r="C4093" s="3" t="s">
        <v>16453</v>
      </c>
      <c r="D4093" s="3" t="s">
        <v>16454</v>
      </c>
      <c r="E4093" s="3" t="s">
        <v>16455</v>
      </c>
      <c r="F4093" s="3" t="s">
        <v>19</v>
      </c>
      <c r="G4093" s="3" t="s">
        <v>2428</v>
      </c>
      <c r="H4093" s="3">
        <v>10.0</v>
      </c>
      <c r="I4093" s="3" t="s">
        <v>16452</v>
      </c>
      <c r="J4093" s="3" t="s">
        <v>22</v>
      </c>
      <c r="K4093" s="3" t="s">
        <v>58</v>
      </c>
      <c r="L4093" s="3" t="s">
        <v>211</v>
      </c>
      <c r="M4093" s="3" t="s">
        <v>211</v>
      </c>
      <c r="N4093" s="3" t="s">
        <v>947</v>
      </c>
      <c r="O4093" s="5">
        <v>38.154327</v>
      </c>
      <c r="P4093" s="6" t="str">
        <f t="shared" si="2"/>
        <v>Consumer Durables</v>
      </c>
    </row>
    <row r="4094" hidden="1">
      <c r="A4094" s="3" t="s">
        <v>16456</v>
      </c>
      <c r="B4094" s="4">
        <v>544169.0</v>
      </c>
      <c r="C4094" s="3" t="s">
        <v>16457</v>
      </c>
      <c r="D4094" s="3" t="s">
        <v>16458</v>
      </c>
      <c r="E4094" s="3" t="s">
        <v>16459</v>
      </c>
      <c r="F4094" s="3" t="s">
        <v>19</v>
      </c>
      <c r="G4094" s="3" t="s">
        <v>2428</v>
      </c>
      <c r="H4094" s="3">
        <v>10.0</v>
      </c>
      <c r="I4094" s="3" t="s">
        <v>16456</v>
      </c>
      <c r="J4094" s="3" t="s">
        <v>22</v>
      </c>
      <c r="K4094" s="3" t="s">
        <v>45</v>
      </c>
      <c r="L4094" s="3" t="s">
        <v>45</v>
      </c>
      <c r="M4094" s="3" t="s">
        <v>7249</v>
      </c>
      <c r="N4094" s="3" t="s">
        <v>7250</v>
      </c>
      <c r="O4094" s="5">
        <v>64.6406327</v>
      </c>
      <c r="P4094" s="6" t="str">
        <f t="shared" si="2"/>
        <v>Healthcare Equipment &amp; Supplies</v>
      </c>
    </row>
    <row r="4095" hidden="1">
      <c r="A4095" s="3" t="s">
        <v>16460</v>
      </c>
      <c r="B4095" s="4">
        <v>544170.0</v>
      </c>
      <c r="C4095" s="3" t="s">
        <v>16461</v>
      </c>
      <c r="D4095" s="3" t="s">
        <v>16462</v>
      </c>
      <c r="E4095" s="3" t="s">
        <v>16463</v>
      </c>
      <c r="F4095" s="3" t="s">
        <v>19</v>
      </c>
      <c r="G4095" s="3" t="s">
        <v>2428</v>
      </c>
      <c r="H4095" s="3">
        <v>10.0</v>
      </c>
      <c r="I4095" s="3" t="s">
        <v>16460</v>
      </c>
      <c r="J4095" s="3" t="s">
        <v>22</v>
      </c>
      <c r="K4095" s="3" t="s">
        <v>58</v>
      </c>
      <c r="L4095" s="3" t="s">
        <v>211</v>
      </c>
      <c r="M4095" s="3" t="s">
        <v>211</v>
      </c>
      <c r="N4095" s="3" t="s">
        <v>882</v>
      </c>
      <c r="O4095" s="5">
        <v>34.0394184</v>
      </c>
      <c r="P4095" s="6" t="str">
        <f t="shared" si="2"/>
        <v>Consumer Durables</v>
      </c>
    </row>
    <row r="4096" hidden="1">
      <c r="A4096" s="3" t="s">
        <v>16464</v>
      </c>
      <c r="B4096" s="4">
        <v>544171.0</v>
      </c>
      <c r="C4096" s="3" t="s">
        <v>16465</v>
      </c>
      <c r="D4096" s="3" t="s">
        <v>16466</v>
      </c>
      <c r="E4096" s="3" t="s">
        <v>16467</v>
      </c>
      <c r="F4096" s="3" t="s">
        <v>19</v>
      </c>
      <c r="G4096" s="3" t="s">
        <v>2428</v>
      </c>
      <c r="H4096" s="3">
        <v>10.0</v>
      </c>
      <c r="I4096" s="3" t="s">
        <v>16464</v>
      </c>
      <c r="J4096" s="3" t="s">
        <v>22</v>
      </c>
      <c r="K4096" s="3" t="s">
        <v>97</v>
      </c>
      <c r="L4096" s="3" t="s">
        <v>98</v>
      </c>
      <c r="M4096" s="3" t="s">
        <v>100</v>
      </c>
      <c r="N4096" s="3" t="s">
        <v>1386</v>
      </c>
      <c r="O4096" s="5">
        <v>264.0570855</v>
      </c>
      <c r="P4096" s="6" t="str">
        <f t="shared" si="2"/>
        <v>Industrial Products</v>
      </c>
    </row>
    <row r="4097">
      <c r="A4097" s="3" t="s">
        <v>12518</v>
      </c>
      <c r="B4097" s="4">
        <v>533096.0</v>
      </c>
      <c r="C4097" s="3" t="s">
        <v>16468</v>
      </c>
      <c r="D4097" s="3" t="s">
        <v>16469</v>
      </c>
      <c r="E4097" s="3" t="s">
        <v>16470</v>
      </c>
      <c r="F4097" s="3" t="s">
        <v>19</v>
      </c>
      <c r="G4097" s="3" t="s">
        <v>20</v>
      </c>
      <c r="H4097" s="3">
        <v>10.0</v>
      </c>
      <c r="I4097" s="3" t="s">
        <v>11020</v>
      </c>
      <c r="J4097" s="3" t="s">
        <v>22</v>
      </c>
      <c r="K4097" s="3" t="s">
        <v>1647</v>
      </c>
      <c r="L4097" s="3" t="s">
        <v>1648</v>
      </c>
      <c r="M4097" s="3" t="s">
        <v>1648</v>
      </c>
      <c r="N4097" s="3" t="s">
        <v>16148</v>
      </c>
      <c r="O4097" s="5">
        <v>276020.5175181</v>
      </c>
      <c r="P4097" s="6" t="str">
        <f t="shared" si="2"/>
        <v>Power</v>
      </c>
    </row>
    <row r="4098" hidden="1">
      <c r="A4098" s="3" t="s">
        <v>16471</v>
      </c>
      <c r="B4098" s="4">
        <v>544173.0</v>
      </c>
      <c r="C4098" s="3" t="s">
        <v>16472</v>
      </c>
      <c r="D4098" s="3" t="s">
        <v>16473</v>
      </c>
      <c r="E4098" s="3" t="s">
        <v>16474</v>
      </c>
      <c r="F4098" s="3" t="s">
        <v>19</v>
      </c>
      <c r="G4098" s="3" t="s">
        <v>2428</v>
      </c>
      <c r="H4098" s="3">
        <v>10.0</v>
      </c>
      <c r="I4098" s="3" t="s">
        <v>16471</v>
      </c>
      <c r="J4098" s="3" t="s">
        <v>22</v>
      </c>
      <c r="K4098" s="3" t="s">
        <v>58</v>
      </c>
      <c r="L4098" s="3" t="s">
        <v>73</v>
      </c>
      <c r="M4098" s="3" t="s">
        <v>988</v>
      </c>
      <c r="N4098" s="3" t="s">
        <v>2246</v>
      </c>
      <c r="O4098" s="5">
        <v>20.3946913</v>
      </c>
      <c r="P4098" s="6" t="str">
        <f t="shared" si="2"/>
        <v>Retailing</v>
      </c>
    </row>
    <row r="4099">
      <c r="A4099" s="3" t="s">
        <v>5527</v>
      </c>
      <c r="B4099" s="4">
        <v>533098.0</v>
      </c>
      <c r="C4099" s="3" t="s">
        <v>16475</v>
      </c>
      <c r="D4099" s="3" t="s">
        <v>16476</v>
      </c>
      <c r="E4099" s="3" t="s">
        <v>16477</v>
      </c>
      <c r="F4099" s="3" t="s">
        <v>19</v>
      </c>
      <c r="G4099" s="3" t="s">
        <v>20</v>
      </c>
      <c r="H4099" s="3">
        <v>10.0</v>
      </c>
      <c r="I4099" s="3" t="s">
        <v>11024</v>
      </c>
      <c r="J4099" s="3" t="s">
        <v>22</v>
      </c>
      <c r="K4099" s="3" t="s">
        <v>1647</v>
      </c>
      <c r="L4099" s="3" t="s">
        <v>1648</v>
      </c>
      <c r="M4099" s="3" t="s">
        <v>1648</v>
      </c>
      <c r="N4099" s="3" t="s">
        <v>1649</v>
      </c>
      <c r="O4099" s="5">
        <v>100476.4016283</v>
      </c>
      <c r="P4099" s="6" t="str">
        <f t="shared" si="2"/>
        <v>Power</v>
      </c>
    </row>
    <row r="4100" hidden="1">
      <c r="A4100" s="3" t="s">
        <v>16478</v>
      </c>
      <c r="B4100" s="4">
        <v>544175.0</v>
      </c>
      <c r="C4100" s="3" t="s">
        <v>16479</v>
      </c>
      <c r="D4100" s="3" t="s">
        <v>16480</v>
      </c>
      <c r="E4100" s="3" t="s">
        <v>16481</v>
      </c>
      <c r="F4100" s="3" t="s">
        <v>19</v>
      </c>
      <c r="G4100" s="3" t="s">
        <v>2428</v>
      </c>
      <c r="H4100" s="3">
        <v>10.0</v>
      </c>
      <c r="I4100" s="3" t="s">
        <v>16478</v>
      </c>
      <c r="J4100" s="3" t="s">
        <v>22</v>
      </c>
      <c r="K4100" s="3" t="s">
        <v>145</v>
      </c>
      <c r="L4100" s="3" t="s">
        <v>145</v>
      </c>
      <c r="M4100" s="3" t="s">
        <v>146</v>
      </c>
      <c r="N4100" s="3" t="s">
        <v>2645</v>
      </c>
      <c r="O4100" s="5">
        <v>24.9703303</v>
      </c>
      <c r="P4100" s="6" t="str">
        <f t="shared" si="2"/>
        <v>Agricultural Food &amp; other Products</v>
      </c>
    </row>
    <row r="4101">
      <c r="A4101" s="3" t="s">
        <v>10833</v>
      </c>
      <c r="B4101" s="4">
        <v>533122.0</v>
      </c>
      <c r="C4101" s="3" t="s">
        <v>16482</v>
      </c>
      <c r="D4101" s="3" t="s">
        <v>16483</v>
      </c>
      <c r="E4101" s="3" t="s">
        <v>16482</v>
      </c>
      <c r="F4101" s="3" t="s">
        <v>19</v>
      </c>
      <c r="G4101" s="3" t="s">
        <v>20</v>
      </c>
      <c r="H4101" s="3">
        <v>10.0</v>
      </c>
      <c r="I4101" s="3" t="s">
        <v>11050</v>
      </c>
      <c r="J4101" s="3" t="s">
        <v>22</v>
      </c>
      <c r="K4101" s="3" t="s">
        <v>1647</v>
      </c>
      <c r="L4101" s="3" t="s">
        <v>1648</v>
      </c>
      <c r="M4101" s="3" t="s">
        <v>1648</v>
      </c>
      <c r="N4101" s="3" t="s">
        <v>16148</v>
      </c>
      <c r="O4101" s="5">
        <v>9405.947175</v>
      </c>
      <c r="P4101" s="6" t="str">
        <f t="shared" si="2"/>
        <v>Power</v>
      </c>
    </row>
    <row r="4102" hidden="1">
      <c r="A4102" s="3" t="s">
        <v>16484</v>
      </c>
      <c r="B4102" s="4">
        <v>544177.0</v>
      </c>
      <c r="C4102" s="3" t="s">
        <v>16485</v>
      </c>
      <c r="D4102" s="3" t="s">
        <v>16486</v>
      </c>
      <c r="E4102" s="3" t="s">
        <v>16487</v>
      </c>
      <c r="F4102" s="3" t="s">
        <v>19</v>
      </c>
      <c r="G4102" s="3" t="s">
        <v>2428</v>
      </c>
      <c r="H4102" s="3">
        <v>10.0</v>
      </c>
      <c r="I4102" s="3" t="s">
        <v>16484</v>
      </c>
      <c r="J4102" s="3" t="s">
        <v>22</v>
      </c>
      <c r="K4102" s="3" t="s">
        <v>473</v>
      </c>
      <c r="L4102" s="3" t="s">
        <v>473</v>
      </c>
      <c r="M4102" s="3" t="s">
        <v>474</v>
      </c>
      <c r="N4102" s="3" t="s">
        <v>475</v>
      </c>
      <c r="O4102" s="5">
        <v>97.9478786</v>
      </c>
      <c r="P4102" s="6" t="str">
        <f t="shared" si="2"/>
        <v>IT - Hardware</v>
      </c>
    </row>
    <row r="4103" hidden="1">
      <c r="A4103" s="3" t="s">
        <v>16488</v>
      </c>
      <c r="B4103" s="4">
        <v>544178.0</v>
      </c>
      <c r="C4103" s="3" t="s">
        <v>16489</v>
      </c>
      <c r="D4103" s="3" t="s">
        <v>16490</v>
      </c>
      <c r="E4103" s="3" t="s">
        <v>16491</v>
      </c>
      <c r="F4103" s="3" t="s">
        <v>19</v>
      </c>
      <c r="G4103" s="3" t="s">
        <v>2428</v>
      </c>
      <c r="H4103" s="3">
        <v>10.0</v>
      </c>
      <c r="I4103" s="3" t="s">
        <v>16488</v>
      </c>
      <c r="J4103" s="3" t="s">
        <v>22</v>
      </c>
      <c r="K4103" s="3" t="s">
        <v>58</v>
      </c>
      <c r="L4103" s="3" t="s">
        <v>80</v>
      </c>
      <c r="M4103" s="3" t="s">
        <v>81</v>
      </c>
      <c r="N4103" s="3" t="s">
        <v>82</v>
      </c>
      <c r="O4103" s="5">
        <v>38.834355</v>
      </c>
      <c r="P4103" s="6" t="str">
        <f t="shared" si="2"/>
        <v>Textiles &amp; Apparels</v>
      </c>
    </row>
    <row r="4104">
      <c r="A4104" s="3" t="s">
        <v>10838</v>
      </c>
      <c r="B4104" s="4">
        <v>533148.0</v>
      </c>
      <c r="C4104" s="3" t="s">
        <v>16492</v>
      </c>
      <c r="D4104" s="3" t="s">
        <v>16493</v>
      </c>
      <c r="E4104" s="3" t="s">
        <v>16494</v>
      </c>
      <c r="F4104" s="3" t="s">
        <v>19</v>
      </c>
      <c r="G4104" s="3" t="s">
        <v>20</v>
      </c>
      <c r="H4104" s="3">
        <v>10.0</v>
      </c>
      <c r="I4104" s="3" t="s">
        <v>11064</v>
      </c>
      <c r="J4104" s="3" t="s">
        <v>22</v>
      </c>
      <c r="K4104" s="3" t="s">
        <v>1647</v>
      </c>
      <c r="L4104" s="3" t="s">
        <v>1648</v>
      </c>
      <c r="M4104" s="3" t="s">
        <v>1648</v>
      </c>
      <c r="N4104" s="3" t="s">
        <v>1649</v>
      </c>
      <c r="O4104" s="5">
        <v>123926.5111694</v>
      </c>
      <c r="P4104" s="6" t="str">
        <f t="shared" si="2"/>
        <v>Power</v>
      </c>
    </row>
    <row r="4105" hidden="1">
      <c r="A4105" s="3" t="s">
        <v>1863</v>
      </c>
      <c r="B4105" s="4">
        <v>544091.0</v>
      </c>
      <c r="C4105" s="3" t="s">
        <v>16495</v>
      </c>
      <c r="D4105" s="3" t="s">
        <v>16496</v>
      </c>
      <c r="E4105" s="3" t="s">
        <v>16497</v>
      </c>
      <c r="F4105" s="3" t="s">
        <v>19</v>
      </c>
      <c r="G4105" s="3" t="s">
        <v>2428</v>
      </c>
      <c r="H4105" s="3">
        <v>10.0</v>
      </c>
      <c r="I4105" s="3" t="s">
        <v>16279</v>
      </c>
      <c r="J4105" s="3" t="s">
        <v>22</v>
      </c>
      <c r="K4105" s="3" t="s">
        <v>1673</v>
      </c>
      <c r="L4105" s="3" t="s">
        <v>1673</v>
      </c>
      <c r="M4105" s="3" t="s">
        <v>1674</v>
      </c>
      <c r="N4105" s="3" t="s">
        <v>3189</v>
      </c>
      <c r="O4105" s="5">
        <v>1.0</v>
      </c>
      <c r="P4105" s="6" t="str">
        <f t="shared" si="2"/>
        <v>Commercial Services &amp; Supplies</v>
      </c>
    </row>
    <row r="4106" hidden="1">
      <c r="A4106" s="3" t="s">
        <v>16498</v>
      </c>
      <c r="B4106" s="4">
        <v>544183.0</v>
      </c>
      <c r="C4106" s="3" t="s">
        <v>16499</v>
      </c>
      <c r="D4106" s="3" t="s">
        <v>16500</v>
      </c>
      <c r="E4106" s="3" t="s">
        <v>16501</v>
      </c>
      <c r="F4106" s="3" t="s">
        <v>19</v>
      </c>
      <c r="G4106" s="3" t="s">
        <v>2428</v>
      </c>
      <c r="H4106" s="3">
        <v>10.0</v>
      </c>
      <c r="I4106" s="3" t="s">
        <v>16498</v>
      </c>
      <c r="J4106" s="3" t="s">
        <v>22</v>
      </c>
      <c r="K4106" s="3" t="s">
        <v>97</v>
      </c>
      <c r="L4106" s="3" t="s">
        <v>98</v>
      </c>
      <c r="M4106" s="3" t="s">
        <v>100</v>
      </c>
      <c r="N4106" s="3" t="s">
        <v>1386</v>
      </c>
      <c r="O4106" s="5">
        <v>1.0</v>
      </c>
      <c r="P4106" s="6" t="str">
        <f t="shared" si="2"/>
        <v>Industrial Products</v>
      </c>
    </row>
    <row r="4107" hidden="1">
      <c r="A4107" s="3" t="s">
        <v>16502</v>
      </c>
      <c r="B4107" s="4">
        <v>544184.0</v>
      </c>
      <c r="C4107" s="3" t="s">
        <v>16503</v>
      </c>
      <c r="D4107" s="3" t="s">
        <v>16504</v>
      </c>
      <c r="E4107" s="3" t="s">
        <v>16505</v>
      </c>
      <c r="F4107" s="3" t="s">
        <v>19</v>
      </c>
      <c r="G4107" s="3" t="s">
        <v>112</v>
      </c>
      <c r="H4107" s="3">
        <v>1.0</v>
      </c>
      <c r="I4107" s="3" t="s">
        <v>16502</v>
      </c>
      <c r="J4107" s="3" t="s">
        <v>22</v>
      </c>
      <c r="K4107" s="3" t="s">
        <v>97</v>
      </c>
      <c r="L4107" s="3" t="s">
        <v>98</v>
      </c>
      <c r="M4107" s="3" t="s">
        <v>100</v>
      </c>
      <c r="N4107" s="3" t="s">
        <v>7867</v>
      </c>
      <c r="O4107" s="5">
        <v>1839.3502154</v>
      </c>
      <c r="P4107" s="6" t="str">
        <f t="shared" si="2"/>
        <v>Industrial Products</v>
      </c>
    </row>
    <row r="4108" hidden="1">
      <c r="A4108" s="3" t="s">
        <v>16506</v>
      </c>
      <c r="B4108" s="4">
        <v>544185.0</v>
      </c>
      <c r="C4108" s="3" t="s">
        <v>16507</v>
      </c>
      <c r="D4108" s="3" t="s">
        <v>16508</v>
      </c>
      <c r="E4108" s="3" t="s">
        <v>16509</v>
      </c>
      <c r="F4108" s="3" t="s">
        <v>19</v>
      </c>
      <c r="G4108" s="3" t="s">
        <v>72</v>
      </c>
      <c r="H4108" s="3">
        <v>10.0</v>
      </c>
      <c r="I4108" s="3" t="s">
        <v>16506</v>
      </c>
      <c r="J4108" s="3" t="s">
        <v>22</v>
      </c>
      <c r="K4108" s="3" t="s">
        <v>97</v>
      </c>
      <c r="L4108" s="3" t="s">
        <v>98</v>
      </c>
      <c r="M4108" s="3" t="s">
        <v>99</v>
      </c>
      <c r="N4108" s="3" t="s">
        <v>100</v>
      </c>
      <c r="O4108" s="5">
        <v>1.0</v>
      </c>
      <c r="P4108" s="6" t="str">
        <f t="shared" si="2"/>
        <v>Industrial Products</v>
      </c>
    </row>
    <row r="4109" hidden="1">
      <c r="A4109" s="3" t="s">
        <v>16510</v>
      </c>
      <c r="B4109" s="4">
        <v>544186.0</v>
      </c>
      <c r="C4109" s="3" t="s">
        <v>16511</v>
      </c>
      <c r="D4109" s="3" t="s">
        <v>16512</v>
      </c>
      <c r="E4109" s="3" t="s">
        <v>16513</v>
      </c>
      <c r="F4109" s="3" t="s">
        <v>19</v>
      </c>
      <c r="G4109" s="3" t="s">
        <v>112</v>
      </c>
      <c r="H4109" s="3">
        <v>10.0</v>
      </c>
      <c r="I4109" s="3" t="s">
        <v>16510</v>
      </c>
      <c r="J4109" s="3" t="s">
        <v>22</v>
      </c>
      <c r="K4109" s="3" t="s">
        <v>97</v>
      </c>
      <c r="L4109" s="3" t="s">
        <v>98</v>
      </c>
      <c r="M4109" s="3" t="s">
        <v>99</v>
      </c>
      <c r="N4109" s="3" t="s">
        <v>100</v>
      </c>
      <c r="O4109" s="5">
        <v>1.0</v>
      </c>
      <c r="P4109" s="6" t="str">
        <f t="shared" si="2"/>
        <v>Industrial Products</v>
      </c>
    </row>
    <row r="4110" hidden="1">
      <c r="A4110" s="3" t="s">
        <v>16514</v>
      </c>
      <c r="B4110" s="4">
        <v>544187.0</v>
      </c>
      <c r="C4110" s="3" t="s">
        <v>16515</v>
      </c>
      <c r="D4110" s="3" t="s">
        <v>16516</v>
      </c>
      <c r="E4110" s="3" t="s">
        <v>16517</v>
      </c>
      <c r="F4110" s="3" t="s">
        <v>19</v>
      </c>
      <c r="G4110" s="3" t="s">
        <v>112</v>
      </c>
      <c r="H4110" s="3">
        <v>10.0</v>
      </c>
      <c r="I4110" s="3" t="s">
        <v>16514</v>
      </c>
      <c r="J4110" s="3" t="s">
        <v>22</v>
      </c>
      <c r="K4110" s="3" t="s">
        <v>23</v>
      </c>
      <c r="L4110" s="3" t="s">
        <v>24</v>
      </c>
      <c r="M4110" s="3" t="s">
        <v>25</v>
      </c>
      <c r="N4110" s="3" t="s">
        <v>26</v>
      </c>
      <c r="O4110" s="5">
        <v>560.1193206</v>
      </c>
      <c r="P4110" s="6" t="str">
        <f t="shared" si="2"/>
        <v>Specialty Chemicals</v>
      </c>
    </row>
    <row r="4111" hidden="1">
      <c r="A4111" s="3" t="s">
        <v>16518</v>
      </c>
      <c r="B4111" s="4">
        <v>544188.0</v>
      </c>
      <c r="C4111" s="3" t="s">
        <v>16519</v>
      </c>
      <c r="D4111" s="3" t="s">
        <v>16520</v>
      </c>
      <c r="E4111" s="3" t="s">
        <v>16521</v>
      </c>
      <c r="F4111" s="3" t="s">
        <v>19</v>
      </c>
      <c r="G4111" s="3" t="s">
        <v>2428</v>
      </c>
      <c r="H4111" s="3">
        <v>10.0</v>
      </c>
      <c r="I4111" s="3" t="s">
        <v>16518</v>
      </c>
      <c r="J4111" s="3" t="s">
        <v>22</v>
      </c>
      <c r="K4111" s="3" t="s">
        <v>58</v>
      </c>
      <c r="L4111" s="3" t="s">
        <v>211</v>
      </c>
      <c r="M4111" s="3" t="s">
        <v>211</v>
      </c>
      <c r="N4111" s="3" t="s">
        <v>1152</v>
      </c>
      <c r="O4111" s="5">
        <v>31.2776702</v>
      </c>
      <c r="P4111" s="6" t="str">
        <f t="shared" si="2"/>
        <v>Consumer Durables</v>
      </c>
    </row>
    <row r="4112" hidden="1">
      <c r="A4112" s="3" t="s">
        <v>16522</v>
      </c>
      <c r="B4112" s="4">
        <v>544189.0</v>
      </c>
      <c r="C4112" s="3" t="s">
        <v>16523</v>
      </c>
      <c r="D4112" s="3" t="s">
        <v>16524</v>
      </c>
      <c r="E4112" s="3" t="s">
        <v>16525</v>
      </c>
      <c r="F4112" s="3" t="s">
        <v>19</v>
      </c>
      <c r="G4112" s="3" t="s">
        <v>2428</v>
      </c>
      <c r="H4112" s="3">
        <v>10.0</v>
      </c>
      <c r="I4112" s="3" t="s">
        <v>16522</v>
      </c>
      <c r="J4112" s="3" t="s">
        <v>22</v>
      </c>
      <c r="K4112" s="3" t="s">
        <v>473</v>
      </c>
      <c r="L4112" s="3" t="s">
        <v>473</v>
      </c>
      <c r="M4112" s="3" t="s">
        <v>1538</v>
      </c>
      <c r="N4112" s="3" t="s">
        <v>1539</v>
      </c>
      <c r="O4112" s="5">
        <v>132.4854884</v>
      </c>
      <c r="P4112" s="6" t="str">
        <f t="shared" si="2"/>
        <v>IT - Services</v>
      </c>
    </row>
    <row r="4113" hidden="1">
      <c r="A4113" s="3" t="s">
        <v>16526</v>
      </c>
      <c r="B4113" s="4">
        <v>544190.0</v>
      </c>
      <c r="C4113" s="3" t="s">
        <v>16527</v>
      </c>
      <c r="D4113" s="3" t="s">
        <v>16528</v>
      </c>
      <c r="E4113" s="3" t="s">
        <v>16529</v>
      </c>
      <c r="F4113" s="3" t="s">
        <v>19</v>
      </c>
      <c r="G4113" s="3" t="s">
        <v>2428</v>
      </c>
      <c r="H4113" s="3">
        <v>5.0</v>
      </c>
      <c r="I4113" s="3" t="s">
        <v>16526</v>
      </c>
      <c r="J4113" s="3" t="s">
        <v>22</v>
      </c>
      <c r="K4113" s="3" t="s">
        <v>473</v>
      </c>
      <c r="L4113" s="3" t="s">
        <v>473</v>
      </c>
      <c r="M4113" s="3" t="s">
        <v>1538</v>
      </c>
      <c r="N4113" s="3" t="s">
        <v>1539</v>
      </c>
      <c r="O4113" s="5">
        <v>27.2628177</v>
      </c>
      <c r="P4113" s="6" t="str">
        <f t="shared" si="2"/>
        <v>IT - Services</v>
      </c>
    </row>
    <row r="4114" hidden="1">
      <c r="A4114" s="3" t="s">
        <v>16530</v>
      </c>
      <c r="B4114" s="4">
        <v>544191.0</v>
      </c>
      <c r="C4114" s="3" t="s">
        <v>16531</v>
      </c>
      <c r="D4114" s="3" t="s">
        <v>16532</v>
      </c>
      <c r="E4114" s="3" t="s">
        <v>16533</v>
      </c>
      <c r="F4114" s="3" t="s">
        <v>19</v>
      </c>
      <c r="G4114" s="3" t="s">
        <v>86</v>
      </c>
      <c r="H4114" s="3">
        <v>10.0</v>
      </c>
      <c r="I4114" s="3" t="s">
        <v>16530</v>
      </c>
      <c r="J4114" s="3" t="s">
        <v>22</v>
      </c>
      <c r="K4114" s="3" t="s">
        <v>204</v>
      </c>
      <c r="L4114" s="3" t="s">
        <v>204</v>
      </c>
      <c r="M4114" s="3" t="s">
        <v>378</v>
      </c>
      <c r="N4114" s="3" t="s">
        <v>379</v>
      </c>
      <c r="O4114" s="5">
        <v>332.2205715</v>
      </c>
      <c r="P4114" s="6" t="str">
        <f t="shared" si="2"/>
        <v>Non Banking Financial Company (NBFC)</v>
      </c>
    </row>
    <row r="4115" hidden="1">
      <c r="A4115" s="3" t="s">
        <v>16534</v>
      </c>
      <c r="B4115" s="4">
        <v>544192.0</v>
      </c>
      <c r="C4115" s="3" t="s">
        <v>16535</v>
      </c>
      <c r="D4115" s="3" t="s">
        <v>16536</v>
      </c>
      <c r="E4115" s="3" t="s">
        <v>16537</v>
      </c>
      <c r="F4115" s="3" t="s">
        <v>19</v>
      </c>
      <c r="G4115" s="3" t="s">
        <v>112</v>
      </c>
      <c r="H4115" s="3">
        <v>1.0</v>
      </c>
      <c r="I4115" s="3" t="s">
        <v>16534</v>
      </c>
      <c r="J4115" s="3" t="s">
        <v>22</v>
      </c>
      <c r="K4115" s="3" t="s">
        <v>58</v>
      </c>
      <c r="L4115" s="3" t="s">
        <v>73</v>
      </c>
      <c r="M4115" s="3" t="s">
        <v>74</v>
      </c>
      <c r="N4115" s="3" t="s">
        <v>565</v>
      </c>
      <c r="O4115" s="5">
        <v>1.0</v>
      </c>
      <c r="P4115" s="6" t="str">
        <f t="shared" si="2"/>
        <v>Leisure Services</v>
      </c>
    </row>
    <row r="4116" hidden="1">
      <c r="A4116" s="3" t="s">
        <v>16538</v>
      </c>
      <c r="B4116" s="4">
        <v>544195.0</v>
      </c>
      <c r="C4116" s="3" t="s">
        <v>16539</v>
      </c>
      <c r="D4116" s="3" t="s">
        <v>16540</v>
      </c>
      <c r="E4116" s="3" t="s">
        <v>16541</v>
      </c>
      <c r="F4116" s="3" t="s">
        <v>19</v>
      </c>
      <c r="G4116" s="3" t="s">
        <v>6293</v>
      </c>
      <c r="H4116" s="3">
        <v>10.0</v>
      </c>
      <c r="I4116" s="3" t="s">
        <v>16538</v>
      </c>
      <c r="J4116" s="3" t="s">
        <v>22</v>
      </c>
      <c r="K4116" s="3" t="s">
        <v>58</v>
      </c>
      <c r="L4116" s="3" t="s">
        <v>80</v>
      </c>
      <c r="M4116" s="3" t="s">
        <v>81</v>
      </c>
      <c r="N4116" s="3" t="s">
        <v>82</v>
      </c>
      <c r="O4116" s="5">
        <v>1.0</v>
      </c>
      <c r="P4116" s="6" t="str">
        <f t="shared" si="2"/>
        <v>Textiles &amp; Apparels</v>
      </c>
    </row>
    <row r="4117" hidden="1">
      <c r="A4117" s="3" t="s">
        <v>16542</v>
      </c>
      <c r="B4117" s="4">
        <v>544197.0</v>
      </c>
      <c r="C4117" s="3" t="s">
        <v>16543</v>
      </c>
      <c r="D4117" s="3" t="s">
        <v>16544</v>
      </c>
      <c r="E4117" s="3" t="s">
        <v>16545</v>
      </c>
      <c r="F4117" s="3" t="s">
        <v>19</v>
      </c>
      <c r="G4117" s="3" t="s">
        <v>86</v>
      </c>
      <c r="H4117" s="3">
        <v>10.0</v>
      </c>
      <c r="I4117" s="3" t="s">
        <v>16542</v>
      </c>
      <c r="J4117" s="3" t="s">
        <v>22</v>
      </c>
      <c r="K4117" s="3" t="s">
        <v>58</v>
      </c>
      <c r="L4117" s="3" t="s">
        <v>73</v>
      </c>
      <c r="M4117" s="3" t="s">
        <v>988</v>
      </c>
      <c r="N4117" s="3" t="s">
        <v>1509</v>
      </c>
      <c r="O4117" s="5">
        <v>1.0</v>
      </c>
      <c r="P4117" s="6" t="str">
        <f t="shared" si="2"/>
        <v>Retailing</v>
      </c>
    </row>
    <row r="4118" hidden="1">
      <c r="A4118" s="3" t="s">
        <v>16546</v>
      </c>
      <c r="B4118" s="4">
        <v>544198.0</v>
      </c>
      <c r="C4118" s="3" t="s">
        <v>16547</v>
      </c>
      <c r="D4118" s="3" t="s">
        <v>16548</v>
      </c>
      <c r="E4118" s="3" t="s">
        <v>16549</v>
      </c>
      <c r="F4118" s="3" t="s">
        <v>19</v>
      </c>
      <c r="G4118" s="3" t="s">
        <v>112</v>
      </c>
      <c r="H4118" s="3">
        <v>10.0</v>
      </c>
      <c r="I4118" s="3" t="s">
        <v>16546</v>
      </c>
      <c r="J4118" s="3" t="s">
        <v>22</v>
      </c>
      <c r="K4118" s="3" t="s">
        <v>97</v>
      </c>
      <c r="L4118" s="3" t="s">
        <v>98</v>
      </c>
      <c r="M4118" s="3" t="s">
        <v>99</v>
      </c>
      <c r="N4118" s="3" t="s">
        <v>100</v>
      </c>
      <c r="O4118" s="5">
        <v>1.0</v>
      </c>
      <c r="P4118" s="6" t="str">
        <f t="shared" si="2"/>
        <v>Industrial Products</v>
      </c>
    </row>
    <row r="4119" hidden="1">
      <c r="A4119" s="3" t="s">
        <v>16550</v>
      </c>
      <c r="B4119" s="4">
        <v>544199.0</v>
      </c>
      <c r="C4119" s="3" t="s">
        <v>16551</v>
      </c>
      <c r="D4119" s="3" t="s">
        <v>16552</v>
      </c>
      <c r="E4119" s="3" t="s">
        <v>16553</v>
      </c>
      <c r="F4119" s="3" t="s">
        <v>19</v>
      </c>
      <c r="G4119" s="3" t="s">
        <v>6293</v>
      </c>
      <c r="H4119" s="3">
        <v>5.0</v>
      </c>
      <c r="I4119" s="3" t="s">
        <v>16550</v>
      </c>
      <c r="J4119" s="3" t="s">
        <v>22</v>
      </c>
      <c r="K4119" s="3" t="s">
        <v>1647</v>
      </c>
      <c r="L4119" s="3" t="s">
        <v>1647</v>
      </c>
      <c r="M4119" s="3" t="s">
        <v>7778</v>
      </c>
      <c r="N4119" s="3" t="s">
        <v>7779</v>
      </c>
      <c r="O4119" s="5">
        <v>1.0</v>
      </c>
      <c r="P4119" s="6" t="str">
        <f t="shared" si="2"/>
        <v>Other Utilities</v>
      </c>
    </row>
    <row r="4120" hidden="1">
      <c r="A4120" s="3" t="s">
        <v>16554</v>
      </c>
      <c r="B4120" s="4">
        <v>544200.0</v>
      </c>
      <c r="C4120" s="3" t="s">
        <v>16555</v>
      </c>
      <c r="D4120" s="3" t="s">
        <v>16556</v>
      </c>
      <c r="E4120" s="3" t="s">
        <v>16557</v>
      </c>
      <c r="F4120" s="3" t="s">
        <v>19</v>
      </c>
      <c r="G4120" s="3" t="s">
        <v>86</v>
      </c>
      <c r="H4120" s="3">
        <v>10.0</v>
      </c>
      <c r="I4120" s="3" t="s">
        <v>16554</v>
      </c>
      <c r="J4120" s="3" t="s">
        <v>22</v>
      </c>
      <c r="K4120" s="3" t="s">
        <v>204</v>
      </c>
      <c r="L4120" s="3" t="s">
        <v>204</v>
      </c>
      <c r="M4120" s="3" t="s">
        <v>378</v>
      </c>
      <c r="N4120" s="3" t="s">
        <v>379</v>
      </c>
      <c r="O4120" s="5">
        <v>1.0</v>
      </c>
      <c r="P4120" s="6" t="str">
        <f t="shared" si="2"/>
        <v>Non Banking Financial Company (NBFC)</v>
      </c>
    </row>
    <row r="4121" hidden="1">
      <c r="A4121" s="3" t="s">
        <v>16558</v>
      </c>
      <c r="B4121" s="4">
        <v>544201.0</v>
      </c>
      <c r="C4121" s="3" t="s">
        <v>16559</v>
      </c>
      <c r="D4121" s="3" t="s">
        <v>16560</v>
      </c>
      <c r="E4121" s="3" t="s">
        <v>16561</v>
      </c>
      <c r="F4121" s="3" t="s">
        <v>19</v>
      </c>
      <c r="G4121" s="3" t="s">
        <v>6293</v>
      </c>
      <c r="H4121" s="3">
        <v>10.0</v>
      </c>
      <c r="I4121" s="3" t="s">
        <v>16558</v>
      </c>
      <c r="J4121" s="3" t="s">
        <v>22</v>
      </c>
      <c r="K4121" s="3" t="s">
        <v>145</v>
      </c>
      <c r="L4121" s="3" t="s">
        <v>145</v>
      </c>
      <c r="M4121" s="3" t="s">
        <v>597</v>
      </c>
      <c r="N4121" s="3" t="s">
        <v>598</v>
      </c>
      <c r="O4121" s="5">
        <v>1.0</v>
      </c>
      <c r="P4121" s="6" t="str">
        <f t="shared" si="2"/>
        <v>Food Products</v>
      </c>
    </row>
    <row r="4122" hidden="1">
      <c r="A4122" s="3" t="s">
        <v>16562</v>
      </c>
      <c r="B4122" s="4">
        <v>555555.0</v>
      </c>
      <c r="C4122" s="3" t="s">
        <v>16563</v>
      </c>
      <c r="D4122" s="3" t="s">
        <v>16564</v>
      </c>
      <c r="E4122" s="3" t="s">
        <v>16565</v>
      </c>
      <c r="F4122" s="3" t="s">
        <v>19</v>
      </c>
      <c r="G4122" s="3" t="s">
        <v>20</v>
      </c>
      <c r="H4122" s="3">
        <v>10.0</v>
      </c>
      <c r="I4122" s="3" t="s">
        <v>16562</v>
      </c>
      <c r="J4122" s="3" t="s">
        <v>22</v>
      </c>
      <c r="K4122" s="3" t="s">
        <v>204</v>
      </c>
      <c r="L4122" s="3" t="s">
        <v>204</v>
      </c>
      <c r="M4122" s="3" t="s">
        <v>205</v>
      </c>
      <c r="N4122" s="3" t="s">
        <v>10921</v>
      </c>
      <c r="O4122" s="5">
        <v>1.0</v>
      </c>
      <c r="P4122" s="6" t="str">
        <f t="shared" si="2"/>
        <v>Capital Markets</v>
      </c>
    </row>
    <row r="4123">
      <c r="A4123" s="3" t="s">
        <v>5539</v>
      </c>
      <c r="B4123" s="4">
        <v>533206.0</v>
      </c>
      <c r="C4123" s="3" t="s">
        <v>16566</v>
      </c>
      <c r="D4123" s="3" t="s">
        <v>16567</v>
      </c>
      <c r="E4123" s="3" t="s">
        <v>16568</v>
      </c>
      <c r="F4123" s="3" t="s">
        <v>19</v>
      </c>
      <c r="G4123" s="3" t="s">
        <v>20</v>
      </c>
      <c r="H4123" s="3">
        <v>10.0</v>
      </c>
      <c r="I4123" s="3" t="s">
        <v>11155</v>
      </c>
      <c r="J4123" s="3" t="s">
        <v>22</v>
      </c>
      <c r="K4123" s="3" t="s">
        <v>1647</v>
      </c>
      <c r="L4123" s="3" t="s">
        <v>1648</v>
      </c>
      <c r="M4123" s="3" t="s">
        <v>1648</v>
      </c>
      <c r="N4123" s="3" t="s">
        <v>1649</v>
      </c>
      <c r="O4123" s="5">
        <v>51935.9211926</v>
      </c>
      <c r="P4123" s="6" t="str">
        <f t="shared" si="2"/>
        <v>Power</v>
      </c>
    </row>
    <row r="4124" hidden="1">
      <c r="A4124" s="3" t="s">
        <v>16569</v>
      </c>
      <c r="B4124" s="4">
        <v>570002.0</v>
      </c>
      <c r="C4124" s="3" t="s">
        <v>5916</v>
      </c>
      <c r="D4124" s="3" t="s">
        <v>16570</v>
      </c>
      <c r="E4124" s="3" t="s">
        <v>16571</v>
      </c>
      <c r="F4124" s="3" t="s">
        <v>19</v>
      </c>
      <c r="G4124" s="3" t="s">
        <v>86</v>
      </c>
      <c r="H4124" s="3">
        <v>2.0</v>
      </c>
      <c r="I4124" s="3" t="s">
        <v>16569</v>
      </c>
      <c r="J4124" s="3" t="s">
        <v>22</v>
      </c>
      <c r="K4124" s="3" t="s">
        <v>58</v>
      </c>
      <c r="L4124" s="3" t="s">
        <v>73</v>
      </c>
      <c r="M4124" s="3" t="s">
        <v>988</v>
      </c>
      <c r="N4124" s="3" t="s">
        <v>1509</v>
      </c>
      <c r="O4124" s="5">
        <v>59.660623</v>
      </c>
      <c r="P4124" s="6" t="str">
        <f t="shared" si="2"/>
        <v>Retailing</v>
      </c>
    </row>
    <row r="4125">
      <c r="A4125" s="3" t="s">
        <v>15012</v>
      </c>
      <c r="B4125" s="4">
        <v>533269.0</v>
      </c>
      <c r="C4125" s="3" t="s">
        <v>16572</v>
      </c>
      <c r="D4125" s="3" t="s">
        <v>16573</v>
      </c>
      <c r="E4125" s="3" t="s">
        <v>16574</v>
      </c>
      <c r="F4125" s="3" t="s">
        <v>19</v>
      </c>
      <c r="G4125" s="3" t="s">
        <v>20</v>
      </c>
      <c r="H4125" s="3">
        <v>2.0</v>
      </c>
      <c r="I4125" s="3" t="s">
        <v>11227</v>
      </c>
      <c r="J4125" s="3" t="s">
        <v>22</v>
      </c>
      <c r="K4125" s="3" t="s">
        <v>1647</v>
      </c>
      <c r="L4125" s="3" t="s">
        <v>1647</v>
      </c>
      <c r="M4125" s="3" t="s">
        <v>7778</v>
      </c>
      <c r="N4125" s="3" t="s">
        <v>13506</v>
      </c>
      <c r="O4125" s="5">
        <v>7921.1916233</v>
      </c>
      <c r="P4125" s="6" t="str">
        <f t="shared" si="2"/>
        <v>Other Utilities</v>
      </c>
    </row>
    <row r="4126" hidden="1">
      <c r="A4126" s="3" t="s">
        <v>16575</v>
      </c>
      <c r="B4126" s="4">
        <v>570005.0</v>
      </c>
      <c r="C4126" s="3" t="s">
        <v>8899</v>
      </c>
      <c r="D4126" s="3" t="s">
        <v>16576</v>
      </c>
      <c r="E4126" s="3" t="s">
        <v>8901</v>
      </c>
      <c r="F4126" s="3" t="s">
        <v>19</v>
      </c>
      <c r="G4126" s="3" t="s">
        <v>86</v>
      </c>
      <c r="H4126" s="3">
        <v>1.0</v>
      </c>
      <c r="I4126" s="3" t="s">
        <v>16575</v>
      </c>
      <c r="J4126" s="3" t="s">
        <v>22</v>
      </c>
      <c r="K4126" s="3" t="s">
        <v>204</v>
      </c>
      <c r="L4126" s="3" t="s">
        <v>204</v>
      </c>
      <c r="M4126" s="3" t="s">
        <v>378</v>
      </c>
      <c r="N4126" s="3" t="s">
        <v>468</v>
      </c>
      <c r="O4126" s="5">
        <v>41.8380095</v>
      </c>
      <c r="P4126" s="6" t="str">
        <f t="shared" si="2"/>
        <v>Finance</v>
      </c>
    </row>
    <row r="4127">
      <c r="A4127" s="3" t="s">
        <v>10847</v>
      </c>
      <c r="B4127" s="4">
        <v>534618.0</v>
      </c>
      <c r="C4127" s="3" t="s">
        <v>16577</v>
      </c>
      <c r="D4127" s="3" t="s">
        <v>16578</v>
      </c>
      <c r="E4127" s="3" t="s">
        <v>16579</v>
      </c>
      <c r="F4127" s="3" t="s">
        <v>19</v>
      </c>
      <c r="G4127" s="3" t="s">
        <v>86</v>
      </c>
      <c r="H4127" s="3">
        <v>2.0</v>
      </c>
      <c r="I4127" s="3" t="s">
        <v>11562</v>
      </c>
      <c r="J4127" s="3" t="s">
        <v>22</v>
      </c>
      <c r="K4127" s="3" t="s">
        <v>1647</v>
      </c>
      <c r="L4127" s="3" t="s">
        <v>1648</v>
      </c>
      <c r="M4127" s="3" t="s">
        <v>1648</v>
      </c>
      <c r="N4127" s="3" t="s">
        <v>1649</v>
      </c>
      <c r="O4127" s="5">
        <v>21538.07</v>
      </c>
      <c r="P4127" s="6" t="str">
        <f t="shared" si="2"/>
        <v>Power</v>
      </c>
    </row>
    <row r="4128" hidden="1">
      <c r="A4128" s="3" t="s">
        <v>16580</v>
      </c>
      <c r="B4128" s="4">
        <v>590005.0</v>
      </c>
      <c r="C4128" s="3" t="s">
        <v>16581</v>
      </c>
      <c r="D4128" s="3" t="s">
        <v>16582</v>
      </c>
      <c r="E4128" s="3" t="s">
        <v>16583</v>
      </c>
      <c r="F4128" s="3" t="s">
        <v>19</v>
      </c>
      <c r="G4128" s="3" t="s">
        <v>112</v>
      </c>
      <c r="H4128" s="3">
        <v>2.0</v>
      </c>
      <c r="I4128" s="3" t="s">
        <v>16580</v>
      </c>
      <c r="J4128" s="3" t="s">
        <v>22</v>
      </c>
      <c r="K4128" s="3" t="s">
        <v>410</v>
      </c>
      <c r="L4128" s="3" t="s">
        <v>411</v>
      </c>
      <c r="M4128" s="3" t="s">
        <v>5748</v>
      </c>
      <c r="N4128" s="3" t="s">
        <v>5997</v>
      </c>
      <c r="O4128" s="5">
        <v>3910.675461</v>
      </c>
      <c r="P4128" s="6" t="str">
        <f t="shared" si="2"/>
        <v>Petroleum Products</v>
      </c>
    </row>
    <row r="4129" hidden="1">
      <c r="A4129" s="3" t="s">
        <v>16584</v>
      </c>
      <c r="B4129" s="4">
        <v>590006.0</v>
      </c>
      <c r="C4129" s="3" t="s">
        <v>16585</v>
      </c>
      <c r="D4129" s="3" t="s">
        <v>16586</v>
      </c>
      <c r="E4129" s="3" t="s">
        <v>16587</v>
      </c>
      <c r="F4129" s="3" t="s">
        <v>19</v>
      </c>
      <c r="G4129" s="3" t="s">
        <v>112</v>
      </c>
      <c r="H4129" s="3">
        <v>1.0</v>
      </c>
      <c r="I4129" s="3" t="s">
        <v>16584</v>
      </c>
      <c r="J4129" s="3" t="s">
        <v>22</v>
      </c>
      <c r="K4129" s="3" t="s">
        <v>45</v>
      </c>
      <c r="L4129" s="3" t="s">
        <v>45</v>
      </c>
      <c r="M4129" s="3" t="s">
        <v>46</v>
      </c>
      <c r="N4129" s="3" t="s">
        <v>47</v>
      </c>
      <c r="O4129" s="5">
        <v>2143.0716945</v>
      </c>
      <c r="P4129" s="6" t="str">
        <f t="shared" si="2"/>
        <v>Pharmaceuticals</v>
      </c>
    </row>
    <row r="4130" hidden="1">
      <c r="A4130" s="3" t="s">
        <v>16588</v>
      </c>
      <c r="B4130" s="4">
        <v>590013.0</v>
      </c>
      <c r="C4130" s="3" t="s">
        <v>16589</v>
      </c>
      <c r="D4130" s="3" t="s">
        <v>16590</v>
      </c>
      <c r="E4130" s="3" t="s">
        <v>16591</v>
      </c>
      <c r="F4130" s="3" t="s">
        <v>19</v>
      </c>
      <c r="G4130" s="3" t="s">
        <v>112</v>
      </c>
      <c r="H4130" s="3">
        <v>10.0</v>
      </c>
      <c r="I4130" s="3" t="s">
        <v>16588</v>
      </c>
      <c r="J4130" s="3" t="s">
        <v>22</v>
      </c>
      <c r="K4130" s="3" t="s">
        <v>97</v>
      </c>
      <c r="L4130" s="3" t="s">
        <v>98</v>
      </c>
      <c r="M4130" s="3" t="s">
        <v>100</v>
      </c>
      <c r="N4130" s="3" t="s">
        <v>373</v>
      </c>
      <c r="O4130" s="5">
        <v>2206.832581</v>
      </c>
      <c r="P4130" s="6" t="str">
        <f t="shared" si="2"/>
        <v>Industrial Products</v>
      </c>
    </row>
    <row r="4131" hidden="1">
      <c r="A4131" s="3" t="s">
        <v>16592</v>
      </c>
      <c r="B4131" s="4">
        <v>590018.0</v>
      </c>
      <c r="C4131" s="3" t="s">
        <v>16593</v>
      </c>
      <c r="D4131" s="3" t="s">
        <v>16594</v>
      </c>
      <c r="E4131" s="3" t="s">
        <v>16595</v>
      </c>
      <c r="F4131" s="3" t="s">
        <v>19</v>
      </c>
      <c r="G4131" s="3" t="s">
        <v>112</v>
      </c>
      <c r="H4131" s="3">
        <v>10.0</v>
      </c>
      <c r="I4131" s="3" t="s">
        <v>16592</v>
      </c>
      <c r="J4131" s="3" t="s">
        <v>22</v>
      </c>
      <c r="K4131" s="3" t="s">
        <v>97</v>
      </c>
      <c r="L4131" s="3" t="s">
        <v>98</v>
      </c>
      <c r="M4131" s="3" t="s">
        <v>100</v>
      </c>
      <c r="N4131" s="3" t="s">
        <v>612</v>
      </c>
      <c r="O4131" s="5">
        <v>105.284274</v>
      </c>
      <c r="P4131" s="6" t="str">
        <f t="shared" si="2"/>
        <v>Industrial Products</v>
      </c>
    </row>
    <row r="4132" hidden="1">
      <c r="A4132" s="3" t="s">
        <v>16596</v>
      </c>
      <c r="B4132" s="4">
        <v>590021.0</v>
      </c>
      <c r="C4132" s="3" t="s">
        <v>16597</v>
      </c>
      <c r="D4132" s="3" t="s">
        <v>16598</v>
      </c>
      <c r="E4132" s="3" t="s">
        <v>16599</v>
      </c>
      <c r="F4132" s="3" t="s">
        <v>19</v>
      </c>
      <c r="G4132" s="3" t="s">
        <v>112</v>
      </c>
      <c r="H4132" s="3">
        <v>10.0</v>
      </c>
      <c r="I4132" s="3" t="s">
        <v>16596</v>
      </c>
      <c r="J4132" s="3" t="s">
        <v>22</v>
      </c>
      <c r="K4132" s="3" t="s">
        <v>23</v>
      </c>
      <c r="L4132" s="3" t="s">
        <v>24</v>
      </c>
      <c r="M4132" s="3" t="s">
        <v>91</v>
      </c>
      <c r="N4132" s="3" t="s">
        <v>252</v>
      </c>
      <c r="O4132" s="5">
        <v>4917.5338784</v>
      </c>
      <c r="P4132" s="6" t="str">
        <f t="shared" si="2"/>
        <v>Fertilizers &amp; Agrochemicals</v>
      </c>
    </row>
    <row r="4133">
      <c r="A4133" s="3" t="s">
        <v>871</v>
      </c>
      <c r="B4133" s="4">
        <v>539254.0</v>
      </c>
      <c r="C4133" s="3" t="s">
        <v>16600</v>
      </c>
      <c r="D4133" s="3" t="s">
        <v>16601</v>
      </c>
      <c r="E4133" s="3" t="s">
        <v>16602</v>
      </c>
      <c r="F4133" s="3" t="s">
        <v>19</v>
      </c>
      <c r="G4133" s="3" t="s">
        <v>20</v>
      </c>
      <c r="H4133" s="3">
        <v>10.0</v>
      </c>
      <c r="I4133" s="3" t="s">
        <v>12631</v>
      </c>
      <c r="J4133" s="3" t="s">
        <v>22</v>
      </c>
      <c r="K4133" s="3" t="s">
        <v>1647</v>
      </c>
      <c r="L4133" s="3" t="s">
        <v>1648</v>
      </c>
      <c r="M4133" s="3" t="s">
        <v>1648</v>
      </c>
      <c r="N4133" s="3" t="s">
        <v>16603</v>
      </c>
      <c r="O4133" s="5">
        <v>114048.3330466</v>
      </c>
      <c r="P4133" s="6" t="str">
        <f t="shared" si="2"/>
        <v>Power</v>
      </c>
    </row>
    <row r="4134" hidden="1">
      <c r="A4134" s="3" t="s">
        <v>16604</v>
      </c>
      <c r="B4134" s="4">
        <v>590025.0</v>
      </c>
      <c r="C4134" s="3" t="s">
        <v>16605</v>
      </c>
      <c r="D4134" s="3" t="s">
        <v>16606</v>
      </c>
      <c r="E4134" s="3" t="s">
        <v>16607</v>
      </c>
      <c r="F4134" s="3" t="s">
        <v>19</v>
      </c>
      <c r="G4134" s="3" t="s">
        <v>112</v>
      </c>
      <c r="H4134" s="3">
        <v>10.0</v>
      </c>
      <c r="I4134" s="3" t="s">
        <v>16604</v>
      </c>
      <c r="J4134" s="3" t="s">
        <v>22</v>
      </c>
      <c r="K4134" s="3" t="s">
        <v>58</v>
      </c>
      <c r="L4134" s="3" t="s">
        <v>80</v>
      </c>
      <c r="M4134" s="3" t="s">
        <v>81</v>
      </c>
      <c r="N4134" s="3" t="s">
        <v>82</v>
      </c>
      <c r="O4134" s="5">
        <v>278.5092469</v>
      </c>
      <c r="P4134" s="6" t="str">
        <f t="shared" si="2"/>
        <v>Textiles &amp; Apparels</v>
      </c>
    </row>
    <row r="4135" hidden="1">
      <c r="A4135" s="3" t="s">
        <v>16608</v>
      </c>
      <c r="B4135" s="4">
        <v>590030.0</v>
      </c>
      <c r="C4135" s="3" t="s">
        <v>16609</v>
      </c>
      <c r="D4135" s="3" t="s">
        <v>16610</v>
      </c>
      <c r="E4135" s="3" t="s">
        <v>16611</v>
      </c>
      <c r="F4135" s="3" t="s">
        <v>19</v>
      </c>
      <c r="G4135" s="3" t="s">
        <v>112</v>
      </c>
      <c r="H4135" s="3">
        <v>10.0</v>
      </c>
      <c r="I4135" s="3" t="s">
        <v>16608</v>
      </c>
      <c r="J4135" s="3" t="s">
        <v>22</v>
      </c>
      <c r="K4135" s="3" t="s">
        <v>23</v>
      </c>
      <c r="L4135" s="3" t="s">
        <v>24</v>
      </c>
      <c r="M4135" s="3" t="s">
        <v>91</v>
      </c>
      <c r="N4135" s="3" t="s">
        <v>92</v>
      </c>
      <c r="O4135" s="5">
        <v>1705.2699889</v>
      </c>
      <c r="P4135" s="6" t="str">
        <f t="shared" si="2"/>
        <v>Fertilizers &amp; Agrochemicals</v>
      </c>
    </row>
    <row r="4136" hidden="1">
      <c r="A4136" s="3" t="s">
        <v>16612</v>
      </c>
      <c r="B4136" s="4">
        <v>590031.0</v>
      </c>
      <c r="C4136" s="3" t="s">
        <v>16613</v>
      </c>
      <c r="D4136" s="3" t="s">
        <v>16614</v>
      </c>
      <c r="E4136" s="3" t="s">
        <v>16615</v>
      </c>
      <c r="F4136" s="3" t="s">
        <v>19</v>
      </c>
      <c r="G4136" s="3" t="s">
        <v>112</v>
      </c>
      <c r="H4136" s="3">
        <v>10.0</v>
      </c>
      <c r="I4136" s="3" t="s">
        <v>16612</v>
      </c>
      <c r="J4136" s="3" t="s">
        <v>22</v>
      </c>
      <c r="K4136" s="3" t="s">
        <v>97</v>
      </c>
      <c r="L4136" s="3" t="s">
        <v>98</v>
      </c>
      <c r="M4136" s="3" t="s">
        <v>100</v>
      </c>
      <c r="N4136" s="3" t="s">
        <v>1500</v>
      </c>
      <c r="O4136" s="5">
        <v>1007.4378274</v>
      </c>
      <c r="P4136" s="6" t="str">
        <f t="shared" si="2"/>
        <v>Industrial Products</v>
      </c>
    </row>
    <row r="4137" hidden="1">
      <c r="A4137" s="3" t="s">
        <v>16616</v>
      </c>
      <c r="B4137" s="4">
        <v>590041.0</v>
      </c>
      <c r="C4137" s="3" t="s">
        <v>16617</v>
      </c>
      <c r="D4137" s="3" t="s">
        <v>16618</v>
      </c>
      <c r="E4137" s="3" t="s">
        <v>16619</v>
      </c>
      <c r="F4137" s="3" t="s">
        <v>19</v>
      </c>
      <c r="G4137" s="3" t="s">
        <v>86</v>
      </c>
      <c r="H4137" s="3">
        <v>10.0</v>
      </c>
      <c r="I4137" s="3" t="s">
        <v>16616</v>
      </c>
      <c r="J4137" s="3" t="s">
        <v>22</v>
      </c>
      <c r="K4137" s="3" t="s">
        <v>189</v>
      </c>
      <c r="L4137" s="3" t="s">
        <v>189</v>
      </c>
      <c r="M4137" s="3" t="s">
        <v>190</v>
      </c>
      <c r="N4137" s="3" t="s">
        <v>190</v>
      </c>
      <c r="O4137" s="5">
        <v>45.1079579</v>
      </c>
      <c r="P4137" s="6" t="str">
        <f t="shared" si="2"/>
        <v>Telecom - Equipment &amp; Accessories</v>
      </c>
    </row>
    <row r="4138" hidden="1">
      <c r="A4138" s="3" t="s">
        <v>16620</v>
      </c>
      <c r="B4138" s="4">
        <v>590051.0</v>
      </c>
      <c r="C4138" s="3" t="s">
        <v>16621</v>
      </c>
      <c r="D4138" s="3" t="s">
        <v>16622</v>
      </c>
      <c r="E4138" s="3" t="s">
        <v>16623</v>
      </c>
      <c r="F4138" s="3" t="s">
        <v>19</v>
      </c>
      <c r="G4138" s="3" t="s">
        <v>112</v>
      </c>
      <c r="H4138" s="3">
        <v>1.0</v>
      </c>
      <c r="I4138" s="3" t="s">
        <v>16620</v>
      </c>
      <c r="J4138" s="3" t="s">
        <v>22</v>
      </c>
      <c r="K4138" s="3" t="s">
        <v>473</v>
      </c>
      <c r="L4138" s="3" t="s">
        <v>473</v>
      </c>
      <c r="M4138" s="3" t="s">
        <v>1391</v>
      </c>
      <c r="N4138" s="3" t="s">
        <v>1840</v>
      </c>
      <c r="O4138" s="5">
        <v>2845.4017515</v>
      </c>
      <c r="P4138" s="6" t="str">
        <f t="shared" si="2"/>
        <v>Computers - Software &amp; Consulting</v>
      </c>
    </row>
    <row r="4139" hidden="1">
      <c r="A4139" s="3" t="s">
        <v>16624</v>
      </c>
      <c r="B4139" s="4">
        <v>590056.0</v>
      </c>
      <c r="C4139" s="3" t="s">
        <v>16625</v>
      </c>
      <c r="D4139" s="3" t="s">
        <v>16626</v>
      </c>
      <c r="E4139" s="3" t="s">
        <v>16627</v>
      </c>
      <c r="F4139" s="3" t="s">
        <v>19</v>
      </c>
      <c r="G4139" s="3" t="s">
        <v>112</v>
      </c>
      <c r="H4139" s="3">
        <v>10.0</v>
      </c>
      <c r="I4139" s="3" t="s">
        <v>16624</v>
      </c>
      <c r="J4139" s="3" t="s">
        <v>22</v>
      </c>
      <c r="K4139" s="3" t="s">
        <v>58</v>
      </c>
      <c r="L4139" s="3" t="s">
        <v>80</v>
      </c>
      <c r="M4139" s="3" t="s">
        <v>81</v>
      </c>
      <c r="N4139" s="3" t="s">
        <v>82</v>
      </c>
      <c r="O4139" s="5">
        <v>160.2856517</v>
      </c>
      <c r="P4139" s="6" t="str">
        <f t="shared" si="2"/>
        <v>Textiles &amp; Apparels</v>
      </c>
    </row>
    <row r="4140" hidden="1">
      <c r="A4140" s="3" t="s">
        <v>16628</v>
      </c>
      <c r="B4140" s="4">
        <v>590057.0</v>
      </c>
      <c r="C4140" s="3" t="s">
        <v>16629</v>
      </c>
      <c r="D4140" s="3" t="s">
        <v>16630</v>
      </c>
      <c r="E4140" s="3" t="s">
        <v>16631</v>
      </c>
      <c r="F4140" s="3" t="s">
        <v>19</v>
      </c>
      <c r="G4140" s="3" t="s">
        <v>86</v>
      </c>
      <c r="H4140" s="3">
        <v>1.0</v>
      </c>
      <c r="I4140" s="3" t="s">
        <v>16628</v>
      </c>
      <c r="J4140" s="3" t="s">
        <v>22</v>
      </c>
      <c r="K4140" s="3" t="s">
        <v>473</v>
      </c>
      <c r="L4140" s="3" t="s">
        <v>473</v>
      </c>
      <c r="M4140" s="3" t="s">
        <v>1391</v>
      </c>
      <c r="N4140" s="3" t="s">
        <v>1840</v>
      </c>
      <c r="O4140" s="5">
        <v>278.8407541</v>
      </c>
      <c r="P4140" s="6" t="str">
        <f t="shared" si="2"/>
        <v>Computers - Software &amp; Consulting</v>
      </c>
    </row>
    <row r="4141" hidden="1">
      <c r="A4141" s="3" t="s">
        <v>16632</v>
      </c>
      <c r="B4141" s="4">
        <v>590062.0</v>
      </c>
      <c r="C4141" s="3" t="s">
        <v>16633</v>
      </c>
      <c r="D4141" s="3" t="s">
        <v>16634</v>
      </c>
      <c r="E4141" s="3" t="s">
        <v>16635</v>
      </c>
      <c r="F4141" s="3" t="s">
        <v>19</v>
      </c>
      <c r="G4141" s="3" t="s">
        <v>112</v>
      </c>
      <c r="H4141" s="3">
        <v>2.0</v>
      </c>
      <c r="I4141" s="3" t="s">
        <v>16632</v>
      </c>
      <c r="J4141" s="3" t="s">
        <v>22</v>
      </c>
      <c r="K4141" s="3" t="s">
        <v>23</v>
      </c>
      <c r="L4141" s="3" t="s">
        <v>24</v>
      </c>
      <c r="M4141" s="3" t="s">
        <v>25</v>
      </c>
      <c r="N4141" s="3" t="s">
        <v>52</v>
      </c>
      <c r="O4141" s="5">
        <v>1648.2748211</v>
      </c>
      <c r="P4141" s="6" t="str">
        <f t="shared" si="2"/>
        <v>Chemicals &amp; Petrochemicals</v>
      </c>
    </row>
    <row r="4142" hidden="1">
      <c r="A4142" s="3" t="s">
        <v>16636</v>
      </c>
      <c r="B4142" s="4">
        <v>590065.0</v>
      </c>
      <c r="C4142" s="3" t="s">
        <v>16637</v>
      </c>
      <c r="D4142" s="3" t="s">
        <v>16638</v>
      </c>
      <c r="E4142" s="3" t="s">
        <v>16639</v>
      </c>
      <c r="F4142" s="3" t="s">
        <v>19</v>
      </c>
      <c r="G4142" s="3" t="s">
        <v>112</v>
      </c>
      <c r="H4142" s="3">
        <v>10.0</v>
      </c>
      <c r="I4142" s="3" t="s">
        <v>16636</v>
      </c>
      <c r="J4142" s="3" t="s">
        <v>22</v>
      </c>
      <c r="K4142" s="3" t="s">
        <v>58</v>
      </c>
      <c r="L4142" s="3" t="s">
        <v>133</v>
      </c>
      <c r="M4142" s="3" t="s">
        <v>134</v>
      </c>
      <c r="N4142" s="3" t="s">
        <v>16640</v>
      </c>
      <c r="O4142" s="5">
        <v>1409.1582591</v>
      </c>
      <c r="P4142" s="6" t="str">
        <f t="shared" si="2"/>
        <v>Auto Components</v>
      </c>
    </row>
    <row r="4143" hidden="1">
      <c r="A4143" s="3" t="s">
        <v>16641</v>
      </c>
      <c r="B4143" s="4">
        <v>590066.0</v>
      </c>
      <c r="C4143" s="3" t="s">
        <v>16642</v>
      </c>
      <c r="D4143" s="3" t="s">
        <v>16643</v>
      </c>
      <c r="E4143" s="3" t="s">
        <v>16644</v>
      </c>
      <c r="F4143" s="3" t="s">
        <v>19</v>
      </c>
      <c r="G4143" s="3" t="s">
        <v>112</v>
      </c>
      <c r="H4143" s="3">
        <v>1.0</v>
      </c>
      <c r="I4143" s="3" t="s">
        <v>16641</v>
      </c>
      <c r="J4143" s="3" t="s">
        <v>22</v>
      </c>
      <c r="K4143" s="3" t="s">
        <v>23</v>
      </c>
      <c r="L4143" s="3" t="s">
        <v>162</v>
      </c>
      <c r="M4143" s="3" t="s">
        <v>163</v>
      </c>
      <c r="N4143" s="3" t="s">
        <v>163</v>
      </c>
      <c r="O4143" s="5">
        <v>3228.2466</v>
      </c>
      <c r="P4143" s="6" t="str">
        <f t="shared" si="2"/>
        <v>Cement &amp; Cement Products</v>
      </c>
    </row>
    <row r="4144" hidden="1">
      <c r="A4144" s="3" t="s">
        <v>16645</v>
      </c>
      <c r="B4144" s="4">
        <v>590068.0</v>
      </c>
      <c r="C4144" s="3" t="s">
        <v>16646</v>
      </c>
      <c r="D4144" s="3" t="s">
        <v>16647</v>
      </c>
      <c r="E4144" s="3" t="s">
        <v>16648</v>
      </c>
      <c r="F4144" s="3" t="s">
        <v>19</v>
      </c>
      <c r="G4144" s="3" t="s">
        <v>112</v>
      </c>
      <c r="H4144" s="3">
        <v>10.0</v>
      </c>
      <c r="I4144" s="3" t="s">
        <v>16645</v>
      </c>
      <c r="J4144" s="3" t="s">
        <v>22</v>
      </c>
      <c r="K4144" s="3" t="s">
        <v>58</v>
      </c>
      <c r="L4144" s="3" t="s">
        <v>211</v>
      </c>
      <c r="M4144" s="3" t="s">
        <v>211</v>
      </c>
      <c r="N4144" s="3" t="s">
        <v>212</v>
      </c>
      <c r="O4144" s="5">
        <v>37.4857184</v>
      </c>
      <c r="P4144" s="6" t="str">
        <f t="shared" si="2"/>
        <v>Consumer Durables</v>
      </c>
    </row>
    <row r="4145" hidden="1">
      <c r="A4145" s="3" t="s">
        <v>16649</v>
      </c>
      <c r="B4145" s="4">
        <v>590070.0</v>
      </c>
      <c r="C4145" s="3" t="s">
        <v>16650</v>
      </c>
      <c r="D4145" s="3" t="s">
        <v>16651</v>
      </c>
      <c r="E4145" s="3" t="s">
        <v>16652</v>
      </c>
      <c r="F4145" s="3" t="s">
        <v>19</v>
      </c>
      <c r="G4145" s="3" t="s">
        <v>86</v>
      </c>
      <c r="H4145" s="3">
        <v>2.0</v>
      </c>
      <c r="I4145" s="3" t="s">
        <v>16649</v>
      </c>
      <c r="J4145" s="3" t="s">
        <v>22</v>
      </c>
      <c r="K4145" s="3" t="s">
        <v>58</v>
      </c>
      <c r="L4145" s="3" t="s">
        <v>182</v>
      </c>
      <c r="M4145" s="3" t="s">
        <v>1168</v>
      </c>
      <c r="N4145" s="3" t="s">
        <v>1336</v>
      </c>
      <c r="O4145" s="5">
        <v>11.2330431</v>
      </c>
      <c r="P4145" s="6" t="str">
        <f t="shared" si="2"/>
        <v>Entertainment</v>
      </c>
    </row>
    <row r="4146">
      <c r="A4146" s="3" t="s">
        <v>10874</v>
      </c>
      <c r="B4146" s="4">
        <v>541450.0</v>
      </c>
      <c r="C4146" s="3" t="s">
        <v>16653</v>
      </c>
      <c r="D4146" s="3" t="s">
        <v>16654</v>
      </c>
      <c r="E4146" s="3" t="s">
        <v>16655</v>
      </c>
      <c r="F4146" s="3" t="s">
        <v>19</v>
      </c>
      <c r="G4146" s="3" t="s">
        <v>20</v>
      </c>
      <c r="H4146" s="3">
        <v>10.0</v>
      </c>
      <c r="I4146" s="3" t="s">
        <v>14155</v>
      </c>
      <c r="J4146" s="3" t="s">
        <v>22</v>
      </c>
      <c r="K4146" s="3" t="s">
        <v>1647</v>
      </c>
      <c r="L4146" s="3" t="s">
        <v>1648</v>
      </c>
      <c r="M4146" s="3" t="s">
        <v>1648</v>
      </c>
      <c r="N4146" s="3" t="s">
        <v>1649</v>
      </c>
      <c r="O4146" s="5">
        <v>282873.1948317</v>
      </c>
      <c r="P4146" s="6" t="str">
        <f t="shared" si="2"/>
        <v>Power</v>
      </c>
    </row>
    <row r="4147" hidden="1">
      <c r="A4147" s="3" t="s">
        <v>16656</v>
      </c>
      <c r="B4147" s="4">
        <v>590072.0</v>
      </c>
      <c r="C4147" s="3" t="s">
        <v>16657</v>
      </c>
      <c r="D4147" s="3" t="s">
        <v>16658</v>
      </c>
      <c r="E4147" s="3" t="s">
        <v>16659</v>
      </c>
      <c r="F4147" s="3" t="s">
        <v>19</v>
      </c>
      <c r="G4147" s="3" t="s">
        <v>112</v>
      </c>
      <c r="H4147" s="3">
        <v>10.0</v>
      </c>
      <c r="I4147" s="3" t="s">
        <v>16656</v>
      </c>
      <c r="J4147" s="3" t="s">
        <v>22</v>
      </c>
      <c r="K4147" s="3" t="s">
        <v>58</v>
      </c>
      <c r="L4147" s="3" t="s">
        <v>133</v>
      </c>
      <c r="M4147" s="3" t="s">
        <v>134</v>
      </c>
      <c r="N4147" s="3" t="s">
        <v>135</v>
      </c>
      <c r="O4147" s="5">
        <v>314.597434</v>
      </c>
      <c r="P4147" s="6" t="str">
        <f t="shared" si="2"/>
        <v>Auto Components &amp; Equipments</v>
      </c>
    </row>
    <row r="4148" hidden="1">
      <c r="A4148" s="3" t="s">
        <v>16660</v>
      </c>
      <c r="B4148" s="4">
        <v>590073.0</v>
      </c>
      <c r="C4148" s="3" t="s">
        <v>16661</v>
      </c>
      <c r="D4148" s="3" t="s">
        <v>16662</v>
      </c>
      <c r="E4148" s="3" t="s">
        <v>16663</v>
      </c>
      <c r="F4148" s="3" t="s">
        <v>19</v>
      </c>
      <c r="G4148" s="3" t="s">
        <v>112</v>
      </c>
      <c r="H4148" s="3">
        <v>10.0</v>
      </c>
      <c r="I4148" s="3" t="s">
        <v>16660</v>
      </c>
      <c r="J4148" s="3" t="s">
        <v>22</v>
      </c>
      <c r="K4148" s="3" t="s">
        <v>58</v>
      </c>
      <c r="L4148" s="3" t="s">
        <v>133</v>
      </c>
      <c r="M4148" s="3" t="s">
        <v>134</v>
      </c>
      <c r="N4148" s="3" t="s">
        <v>135</v>
      </c>
      <c r="O4148" s="5">
        <v>2031.2059277</v>
      </c>
      <c r="P4148" s="6" t="str">
        <f t="shared" si="2"/>
        <v>Auto Components &amp; Equipments</v>
      </c>
    </row>
    <row r="4149" hidden="1">
      <c r="A4149" s="3" t="s">
        <v>16664</v>
      </c>
      <c r="B4149" s="4">
        <v>590075.0</v>
      </c>
      <c r="C4149" s="3" t="s">
        <v>16665</v>
      </c>
      <c r="D4149" s="3" t="s">
        <v>16666</v>
      </c>
      <c r="E4149" s="3" t="s">
        <v>16667</v>
      </c>
      <c r="F4149" s="3" t="s">
        <v>19</v>
      </c>
      <c r="G4149" s="3" t="s">
        <v>112</v>
      </c>
      <c r="H4149" s="3">
        <v>5.0</v>
      </c>
      <c r="I4149" s="3" t="s">
        <v>16664</v>
      </c>
      <c r="J4149" s="3" t="s">
        <v>22</v>
      </c>
      <c r="K4149" s="3" t="s">
        <v>58</v>
      </c>
      <c r="L4149" s="3" t="s">
        <v>80</v>
      </c>
      <c r="M4149" s="3" t="s">
        <v>81</v>
      </c>
      <c r="N4149" s="3" t="s">
        <v>82</v>
      </c>
      <c r="O4149" s="5">
        <v>156.525</v>
      </c>
      <c r="P4149" s="6" t="str">
        <f t="shared" si="2"/>
        <v>Textiles &amp; Apparels</v>
      </c>
    </row>
    <row r="4150" hidden="1">
      <c r="A4150" s="3" t="s">
        <v>16668</v>
      </c>
      <c r="B4150" s="4">
        <v>590078.0</v>
      </c>
      <c r="C4150" s="3" t="s">
        <v>16669</v>
      </c>
      <c r="D4150" s="3" t="s">
        <v>16670</v>
      </c>
      <c r="E4150" s="3" t="s">
        <v>16671</v>
      </c>
      <c r="F4150" s="3" t="s">
        <v>19</v>
      </c>
      <c r="G4150" s="3" t="s">
        <v>112</v>
      </c>
      <c r="H4150" s="3">
        <v>10.0</v>
      </c>
      <c r="I4150" s="3" t="s">
        <v>16668</v>
      </c>
      <c r="J4150" s="3" t="s">
        <v>22</v>
      </c>
      <c r="K4150" s="3" t="s">
        <v>23</v>
      </c>
      <c r="L4150" s="3" t="s">
        <v>65</v>
      </c>
      <c r="M4150" s="3" t="s">
        <v>106</v>
      </c>
      <c r="N4150" s="3" t="s">
        <v>4039</v>
      </c>
      <c r="O4150" s="5">
        <v>3567.1945979</v>
      </c>
      <c r="P4150" s="6" t="str">
        <f t="shared" si="2"/>
        <v>Ferrous Metals</v>
      </c>
    </row>
    <row r="4151" hidden="1">
      <c r="A4151" s="3" t="s">
        <v>16672</v>
      </c>
      <c r="B4151" s="4">
        <v>590086.0</v>
      </c>
      <c r="C4151" s="3" t="s">
        <v>16673</v>
      </c>
      <c r="D4151" s="3" t="s">
        <v>16674</v>
      </c>
      <c r="E4151" s="3" t="s">
        <v>16675</v>
      </c>
      <c r="F4151" s="3" t="s">
        <v>19</v>
      </c>
      <c r="G4151" s="3" t="s">
        <v>112</v>
      </c>
      <c r="H4151" s="3">
        <v>1.0</v>
      </c>
      <c r="I4151" s="3" t="s">
        <v>16672</v>
      </c>
      <c r="J4151" s="3" t="s">
        <v>22</v>
      </c>
      <c r="K4151" s="3" t="s">
        <v>23</v>
      </c>
      <c r="L4151" s="3" t="s">
        <v>65</v>
      </c>
      <c r="M4151" s="3" t="s">
        <v>522</v>
      </c>
      <c r="N4151" s="3" t="s">
        <v>523</v>
      </c>
      <c r="O4151" s="5">
        <v>4255.7850685</v>
      </c>
      <c r="P4151" s="6" t="str">
        <f t="shared" si="2"/>
        <v>Minerals &amp; Mining</v>
      </c>
    </row>
    <row r="4152" hidden="1">
      <c r="A4152" s="3" t="s">
        <v>16676</v>
      </c>
      <c r="B4152" s="4">
        <v>590103.0</v>
      </c>
      <c r="C4152" s="3" t="s">
        <v>16677</v>
      </c>
      <c r="D4152" s="3" t="s">
        <v>16678</v>
      </c>
      <c r="E4152" s="3" t="s">
        <v>16679</v>
      </c>
      <c r="F4152" s="3" t="s">
        <v>19</v>
      </c>
      <c r="G4152" s="3" t="s">
        <v>112</v>
      </c>
      <c r="H4152" s="3">
        <v>1.0</v>
      </c>
      <c r="I4152" s="3" t="s">
        <v>16676</v>
      </c>
      <c r="J4152" s="3" t="s">
        <v>22</v>
      </c>
      <c r="K4152" s="3" t="s">
        <v>204</v>
      </c>
      <c r="L4152" s="3" t="s">
        <v>204</v>
      </c>
      <c r="M4152" s="3" t="s">
        <v>205</v>
      </c>
      <c r="N4152" s="3" t="s">
        <v>10921</v>
      </c>
      <c r="O4152" s="5">
        <v>1.0</v>
      </c>
      <c r="P4152" s="6" t="str">
        <f t="shared" si="2"/>
        <v>Capital Markets</v>
      </c>
    </row>
    <row r="4153" hidden="1">
      <c r="A4153" s="3" t="s">
        <v>16680</v>
      </c>
      <c r="B4153" s="4">
        <v>590104.0</v>
      </c>
      <c r="C4153" s="3" t="s">
        <v>16677</v>
      </c>
      <c r="D4153" s="3" t="s">
        <v>16681</v>
      </c>
      <c r="E4153" s="3" t="s">
        <v>16682</v>
      </c>
      <c r="F4153" s="3" t="s">
        <v>19</v>
      </c>
      <c r="G4153" s="3" t="s">
        <v>112</v>
      </c>
      <c r="H4153" s="3">
        <v>1.25</v>
      </c>
      <c r="I4153" s="3" t="s">
        <v>16680</v>
      </c>
      <c r="J4153" s="3" t="s">
        <v>22</v>
      </c>
      <c r="K4153" s="3" t="s">
        <v>204</v>
      </c>
      <c r="L4153" s="3" t="s">
        <v>204</v>
      </c>
      <c r="M4153" s="3" t="s">
        <v>205</v>
      </c>
      <c r="N4153" s="3" t="s">
        <v>10921</v>
      </c>
      <c r="O4153" s="5">
        <v>1.0</v>
      </c>
      <c r="P4153" s="6" t="str">
        <f t="shared" si="2"/>
        <v>Capital Markets</v>
      </c>
    </row>
    <row r="4154" hidden="1">
      <c r="A4154" s="3" t="s">
        <v>16683</v>
      </c>
      <c r="B4154" s="4">
        <v>590106.0</v>
      </c>
      <c r="C4154" s="3" t="s">
        <v>16677</v>
      </c>
      <c r="D4154" s="3" t="s">
        <v>16684</v>
      </c>
      <c r="E4154" s="3" t="s">
        <v>16685</v>
      </c>
      <c r="F4154" s="3" t="s">
        <v>19</v>
      </c>
      <c r="G4154" s="3" t="s">
        <v>112</v>
      </c>
      <c r="H4154" s="3">
        <v>1.0</v>
      </c>
      <c r="I4154" s="3" t="s">
        <v>16683</v>
      </c>
      <c r="J4154" s="3" t="s">
        <v>22</v>
      </c>
      <c r="K4154" s="3" t="s">
        <v>204</v>
      </c>
      <c r="L4154" s="3" t="s">
        <v>204</v>
      </c>
      <c r="M4154" s="3" t="s">
        <v>205</v>
      </c>
      <c r="N4154" s="3" t="s">
        <v>10921</v>
      </c>
      <c r="O4154" s="5">
        <v>1.0</v>
      </c>
      <c r="P4154" s="6" t="str">
        <f t="shared" si="2"/>
        <v>Capital Markets</v>
      </c>
    </row>
    <row r="4155" hidden="1">
      <c r="A4155" s="3" t="s">
        <v>16686</v>
      </c>
      <c r="B4155" s="4">
        <v>590107.0</v>
      </c>
      <c r="C4155" s="3" t="s">
        <v>16687</v>
      </c>
      <c r="D4155" s="3" t="s">
        <v>16688</v>
      </c>
      <c r="E4155" s="3" t="s">
        <v>16689</v>
      </c>
      <c r="F4155" s="3" t="s">
        <v>19</v>
      </c>
      <c r="G4155" s="3" t="s">
        <v>112</v>
      </c>
      <c r="H4155" s="3">
        <v>10.0</v>
      </c>
      <c r="I4155" s="3" t="s">
        <v>16686</v>
      </c>
      <c r="J4155" s="3" t="s">
        <v>22</v>
      </c>
      <c r="K4155" s="3" t="s">
        <v>204</v>
      </c>
      <c r="L4155" s="3" t="s">
        <v>204</v>
      </c>
      <c r="M4155" s="3" t="s">
        <v>205</v>
      </c>
      <c r="N4155" s="3" t="s">
        <v>10921</v>
      </c>
      <c r="O4155" s="5">
        <v>1.0</v>
      </c>
      <c r="P4155" s="6" t="str">
        <f t="shared" si="2"/>
        <v>Capital Markets</v>
      </c>
    </row>
    <row r="4156" hidden="1">
      <c r="A4156" s="3" t="s">
        <v>16690</v>
      </c>
      <c r="B4156" s="4">
        <v>590108.0</v>
      </c>
      <c r="C4156" s="3" t="s">
        <v>16677</v>
      </c>
      <c r="D4156" s="3" t="s">
        <v>16691</v>
      </c>
      <c r="E4156" s="3" t="s">
        <v>16692</v>
      </c>
      <c r="F4156" s="3" t="s">
        <v>19</v>
      </c>
      <c r="G4156" s="3" t="s">
        <v>112</v>
      </c>
      <c r="H4156" s="3">
        <v>1.0</v>
      </c>
      <c r="I4156" s="3" t="s">
        <v>16690</v>
      </c>
      <c r="J4156" s="3" t="s">
        <v>22</v>
      </c>
      <c r="K4156" s="3" t="s">
        <v>204</v>
      </c>
      <c r="L4156" s="3" t="s">
        <v>204</v>
      </c>
      <c r="M4156" s="3" t="s">
        <v>205</v>
      </c>
      <c r="N4156" s="3" t="s">
        <v>10921</v>
      </c>
      <c r="O4156" s="5">
        <v>1.0</v>
      </c>
      <c r="P4156" s="6" t="str">
        <f t="shared" si="2"/>
        <v>Capital Markets</v>
      </c>
    </row>
    <row r="4157" hidden="1">
      <c r="A4157" s="3" t="s">
        <v>16693</v>
      </c>
      <c r="B4157" s="4">
        <v>590109.0</v>
      </c>
      <c r="C4157" s="3" t="s">
        <v>16677</v>
      </c>
      <c r="D4157" s="3" t="s">
        <v>16694</v>
      </c>
      <c r="E4157" s="3" t="s">
        <v>16695</v>
      </c>
      <c r="F4157" s="3" t="s">
        <v>19</v>
      </c>
      <c r="G4157" s="3" t="s">
        <v>112</v>
      </c>
      <c r="H4157" s="3">
        <v>10.0</v>
      </c>
      <c r="I4157" s="3" t="s">
        <v>16693</v>
      </c>
      <c r="J4157" s="3" t="s">
        <v>22</v>
      </c>
      <c r="K4157" s="3" t="s">
        <v>204</v>
      </c>
      <c r="L4157" s="3" t="s">
        <v>204</v>
      </c>
      <c r="M4157" s="3" t="s">
        <v>205</v>
      </c>
      <c r="N4157" s="3" t="s">
        <v>10921</v>
      </c>
      <c r="O4157" s="5">
        <v>1.0</v>
      </c>
      <c r="P4157" s="6" t="str">
        <f t="shared" si="2"/>
        <v>Capital Markets</v>
      </c>
    </row>
    <row r="4158" hidden="1">
      <c r="A4158" s="3" t="s">
        <v>16696</v>
      </c>
      <c r="B4158" s="4">
        <v>590110.0</v>
      </c>
      <c r="C4158" s="3" t="s">
        <v>16697</v>
      </c>
      <c r="D4158" s="3" t="s">
        <v>16698</v>
      </c>
      <c r="E4158" s="3" t="s">
        <v>16699</v>
      </c>
      <c r="F4158" s="3" t="s">
        <v>19</v>
      </c>
      <c r="G4158" s="3" t="s">
        <v>112</v>
      </c>
      <c r="H4158" s="3">
        <v>10.0</v>
      </c>
      <c r="I4158" s="3" t="s">
        <v>16696</v>
      </c>
      <c r="J4158" s="3" t="s">
        <v>22</v>
      </c>
      <c r="K4158" s="3" t="s">
        <v>204</v>
      </c>
      <c r="L4158" s="3" t="s">
        <v>204</v>
      </c>
      <c r="M4158" s="3" t="s">
        <v>205</v>
      </c>
      <c r="N4158" s="3" t="s">
        <v>10921</v>
      </c>
      <c r="O4158" s="5">
        <v>1.0</v>
      </c>
      <c r="P4158" s="6" t="str">
        <f t="shared" si="2"/>
        <v>Capital Markets</v>
      </c>
    </row>
    <row r="4159" hidden="1">
      <c r="A4159" s="3" t="s">
        <v>16700</v>
      </c>
      <c r="B4159" s="4">
        <v>590115.0</v>
      </c>
      <c r="C4159" s="3" t="s">
        <v>16701</v>
      </c>
      <c r="D4159" s="3" t="s">
        <v>16702</v>
      </c>
      <c r="E4159" s="3" t="s">
        <v>16703</v>
      </c>
      <c r="F4159" s="3" t="s">
        <v>19</v>
      </c>
      <c r="G4159" s="3" t="s">
        <v>112</v>
      </c>
      <c r="H4159" s="3">
        <v>7.0</v>
      </c>
      <c r="I4159" s="3" t="s">
        <v>16700</v>
      </c>
      <c r="J4159" s="3" t="s">
        <v>22</v>
      </c>
      <c r="K4159" s="3" t="s">
        <v>204</v>
      </c>
      <c r="L4159" s="3" t="s">
        <v>204</v>
      </c>
      <c r="M4159" s="3" t="s">
        <v>205</v>
      </c>
      <c r="N4159" s="3" t="s">
        <v>10921</v>
      </c>
      <c r="O4159" s="5">
        <v>1.0</v>
      </c>
      <c r="P4159" s="6" t="str">
        <f t="shared" si="2"/>
        <v>Capital Markets</v>
      </c>
    </row>
    <row r="4160" hidden="1">
      <c r="A4160" s="3" t="s">
        <v>16704</v>
      </c>
      <c r="B4160" s="4">
        <v>590134.0</v>
      </c>
      <c r="C4160" s="3" t="s">
        <v>16705</v>
      </c>
      <c r="D4160" s="3" t="s">
        <v>16706</v>
      </c>
      <c r="E4160" s="3" t="s">
        <v>16705</v>
      </c>
      <c r="F4160" s="3" t="s">
        <v>19</v>
      </c>
      <c r="G4160" s="3" t="s">
        <v>112</v>
      </c>
      <c r="H4160" s="3">
        <v>10.0</v>
      </c>
      <c r="I4160" s="3" t="s">
        <v>16704</v>
      </c>
      <c r="J4160" s="3" t="s">
        <v>22</v>
      </c>
      <c r="K4160" s="3" t="s">
        <v>23</v>
      </c>
      <c r="L4160" s="3" t="s">
        <v>24</v>
      </c>
      <c r="M4160" s="3" t="s">
        <v>91</v>
      </c>
      <c r="N4160" s="3" t="s">
        <v>92</v>
      </c>
      <c r="O4160" s="5">
        <v>1762.9290557</v>
      </c>
      <c r="P4160" s="6" t="str">
        <f t="shared" si="2"/>
        <v>Fertilizers &amp; Agrochemicals</v>
      </c>
    </row>
    <row r="4161">
      <c r="A4161" s="3" t="s">
        <v>10876</v>
      </c>
      <c r="B4161" s="4">
        <v>542323.0</v>
      </c>
      <c r="C4161" s="3" t="s">
        <v>16707</v>
      </c>
      <c r="D4161" s="3" t="s">
        <v>16708</v>
      </c>
      <c r="E4161" s="3" t="s">
        <v>16709</v>
      </c>
      <c r="F4161" s="3" t="s">
        <v>19</v>
      </c>
      <c r="G4161" s="3" t="s">
        <v>20</v>
      </c>
      <c r="H4161" s="3">
        <v>10.0</v>
      </c>
      <c r="I4161" s="3" t="s">
        <v>14351</v>
      </c>
      <c r="J4161" s="3" t="s">
        <v>22</v>
      </c>
      <c r="K4161" s="3" t="s">
        <v>1647</v>
      </c>
      <c r="L4161" s="3" t="s">
        <v>1648</v>
      </c>
      <c r="M4161" s="3" t="s">
        <v>1648</v>
      </c>
      <c r="N4161" s="3" t="s">
        <v>1649</v>
      </c>
      <c r="O4161" s="5">
        <v>10924.04959</v>
      </c>
      <c r="P4161" s="6" t="str">
        <f t="shared" si="2"/>
        <v>Power</v>
      </c>
    </row>
    <row r="4162" hidden="1">
      <c r="A4162" s="3" t="s">
        <v>16710</v>
      </c>
      <c r="B4162" s="4" t="s">
        <v>16711</v>
      </c>
      <c r="C4162" s="3" t="s">
        <v>16712</v>
      </c>
      <c r="D4162" s="3" t="s">
        <v>16711</v>
      </c>
      <c r="E4162" s="3" t="s">
        <v>16712</v>
      </c>
      <c r="F4162" s="3" t="s">
        <v>19</v>
      </c>
      <c r="I4162" s="3" t="s">
        <v>16710</v>
      </c>
      <c r="J4162" s="3" t="s">
        <v>22</v>
      </c>
      <c r="K4162" s="3" t="s">
        <v>145</v>
      </c>
      <c r="L4162" s="3" t="s">
        <v>145</v>
      </c>
      <c r="M4162" s="3" t="s">
        <v>146</v>
      </c>
      <c r="N4162" s="3" t="s">
        <v>2645</v>
      </c>
      <c r="O4162" s="5">
        <v>2035.0853977</v>
      </c>
      <c r="P4162" s="6" t="str">
        <f t="shared" si="2"/>
        <v>Agricultural Food &amp; other Products</v>
      </c>
    </row>
    <row r="4163">
      <c r="A4163" s="3" t="s">
        <v>10887</v>
      </c>
      <c r="B4163" s="4">
        <v>543490.0</v>
      </c>
      <c r="C4163" s="3" t="s">
        <v>16713</v>
      </c>
      <c r="D4163" s="3" t="s">
        <v>16714</v>
      </c>
      <c r="E4163" s="3" t="s">
        <v>16715</v>
      </c>
      <c r="F4163" s="3" t="s">
        <v>19</v>
      </c>
      <c r="G4163" s="3" t="s">
        <v>112</v>
      </c>
      <c r="H4163" s="3">
        <v>5.0</v>
      </c>
      <c r="I4163" s="3" t="s">
        <v>15273</v>
      </c>
      <c r="J4163" s="3" t="s">
        <v>22</v>
      </c>
      <c r="K4163" s="3" t="s">
        <v>1647</v>
      </c>
      <c r="L4163" s="3" t="s">
        <v>1648</v>
      </c>
      <c r="M4163" s="3" t="s">
        <v>1648</v>
      </c>
      <c r="N4163" s="3" t="s">
        <v>1649</v>
      </c>
      <c r="O4163" s="5">
        <v>5173.6191596</v>
      </c>
      <c r="P4163" s="6" t="str">
        <f t="shared" si="2"/>
        <v>Power</v>
      </c>
    </row>
    <row r="4164" hidden="1">
      <c r="A4164" s="3" t="s">
        <v>16716</v>
      </c>
      <c r="B4164" s="4" t="s">
        <v>16717</v>
      </c>
      <c r="C4164" s="3" t="s">
        <v>16718</v>
      </c>
      <c r="D4164" s="3" t="s">
        <v>16717</v>
      </c>
      <c r="E4164" s="3" t="s">
        <v>16718</v>
      </c>
      <c r="F4164" s="3" t="s">
        <v>19</v>
      </c>
      <c r="I4164" s="3" t="s">
        <v>16716</v>
      </c>
      <c r="J4164" s="3" t="s">
        <v>22</v>
      </c>
      <c r="K4164" s="3" t="s">
        <v>204</v>
      </c>
      <c r="L4164" s="3" t="s">
        <v>204</v>
      </c>
      <c r="M4164" s="3" t="s">
        <v>378</v>
      </c>
      <c r="N4164" s="3" t="s">
        <v>379</v>
      </c>
      <c r="O4164" s="5">
        <v>1.0</v>
      </c>
      <c r="P4164" s="6" t="str">
        <f t="shared" si="2"/>
        <v>Non Banking Financial Company (NBFC)</v>
      </c>
    </row>
    <row r="4165" hidden="1">
      <c r="A4165" s="3" t="s">
        <v>16719</v>
      </c>
      <c r="B4165" s="4" t="s">
        <v>16720</v>
      </c>
      <c r="C4165" s="3" t="s">
        <v>16721</v>
      </c>
      <c r="D4165" s="3" t="s">
        <v>16720</v>
      </c>
      <c r="E4165" s="3" t="s">
        <v>16721</v>
      </c>
      <c r="F4165" s="3" t="s">
        <v>19</v>
      </c>
      <c r="I4165" s="3" t="s">
        <v>16719</v>
      </c>
      <c r="J4165" s="3" t="s">
        <v>22</v>
      </c>
      <c r="K4165" s="3" t="s">
        <v>97</v>
      </c>
      <c r="L4165" s="3" t="s">
        <v>98</v>
      </c>
      <c r="M4165" s="3" t="s">
        <v>99</v>
      </c>
      <c r="N4165" s="3" t="s">
        <v>100</v>
      </c>
      <c r="O4165" s="5">
        <v>2726.7285783</v>
      </c>
      <c r="P4165" s="6" t="str">
        <f t="shared" si="2"/>
        <v>Industrial Products</v>
      </c>
    </row>
    <row r="4166" hidden="1">
      <c r="A4166" s="3" t="s">
        <v>16722</v>
      </c>
      <c r="B4166" s="4" t="s">
        <v>16723</v>
      </c>
      <c r="C4166" s="3" t="s">
        <v>16724</v>
      </c>
      <c r="D4166" s="3" t="s">
        <v>16723</v>
      </c>
      <c r="E4166" s="3" t="s">
        <v>16724</v>
      </c>
      <c r="F4166" s="3" t="s">
        <v>19</v>
      </c>
      <c r="I4166" s="3" t="s">
        <v>16722</v>
      </c>
      <c r="J4166" s="3" t="s">
        <v>22</v>
      </c>
      <c r="K4166" s="3" t="s">
        <v>23</v>
      </c>
      <c r="L4166" s="3" t="s">
        <v>24</v>
      </c>
      <c r="M4166" s="3" t="s">
        <v>91</v>
      </c>
      <c r="N4166" s="3" t="s">
        <v>92</v>
      </c>
      <c r="O4166" s="5">
        <v>2017.2307181</v>
      </c>
      <c r="P4166" s="6" t="str">
        <f t="shared" si="2"/>
        <v>Fertilizers &amp; Agrochemicals</v>
      </c>
    </row>
    <row r="4167" hidden="1">
      <c r="A4167" s="3" t="s">
        <v>16725</v>
      </c>
      <c r="B4167" s="4" t="s">
        <v>16726</v>
      </c>
      <c r="C4167" s="3" t="s">
        <v>16727</v>
      </c>
      <c r="D4167" s="3" t="s">
        <v>16726</v>
      </c>
      <c r="E4167" s="3" t="s">
        <v>16727</v>
      </c>
      <c r="F4167" s="3" t="s">
        <v>19</v>
      </c>
      <c r="I4167" s="3" t="s">
        <v>16725</v>
      </c>
      <c r="J4167" s="3" t="s">
        <v>22</v>
      </c>
      <c r="K4167" s="3" t="s">
        <v>204</v>
      </c>
      <c r="L4167" s="3" t="s">
        <v>204</v>
      </c>
      <c r="M4167" s="3" t="s">
        <v>378</v>
      </c>
      <c r="N4167" s="3" t="s">
        <v>379</v>
      </c>
      <c r="O4167" s="5">
        <v>1.0</v>
      </c>
      <c r="P4167" s="6" t="str">
        <f t="shared" si="2"/>
        <v>Non Banking Financial Company (NBFC)</v>
      </c>
    </row>
    <row r="4168" hidden="1">
      <c r="A4168" s="3" t="s">
        <v>16728</v>
      </c>
      <c r="B4168" s="4" t="s">
        <v>16729</v>
      </c>
      <c r="C4168" s="3" t="s">
        <v>16730</v>
      </c>
      <c r="D4168" s="3" t="s">
        <v>16729</v>
      </c>
      <c r="E4168" s="3" t="s">
        <v>16730</v>
      </c>
      <c r="F4168" s="3" t="s">
        <v>19</v>
      </c>
      <c r="I4168" s="3" t="s">
        <v>16728</v>
      </c>
      <c r="J4168" s="3" t="s">
        <v>22</v>
      </c>
      <c r="K4168" s="3" t="s">
        <v>1647</v>
      </c>
      <c r="L4168" s="3" t="s">
        <v>1648</v>
      </c>
      <c r="M4168" s="3" t="s">
        <v>1648</v>
      </c>
      <c r="N4168" s="3" t="s">
        <v>16148</v>
      </c>
      <c r="O4168" s="5">
        <v>1.0</v>
      </c>
      <c r="P4168" s="6" t="str">
        <f t="shared" si="2"/>
        <v>Power</v>
      </c>
    </row>
    <row r="4169">
      <c r="A4169" s="3" t="s">
        <v>5559</v>
      </c>
      <c r="B4169" s="4">
        <v>543620.0</v>
      </c>
      <c r="C4169" s="3" t="s">
        <v>16731</v>
      </c>
      <c r="D4169" s="3" t="s">
        <v>16732</v>
      </c>
      <c r="E4169" s="3" t="s">
        <v>16733</v>
      </c>
      <c r="F4169" s="3" t="s">
        <v>19</v>
      </c>
      <c r="G4169" s="3" t="s">
        <v>2428</v>
      </c>
      <c r="H4169" s="3">
        <v>10.0</v>
      </c>
      <c r="I4169" s="3" t="s">
        <v>15506</v>
      </c>
      <c r="J4169" s="3" t="s">
        <v>22</v>
      </c>
      <c r="K4169" s="3" t="s">
        <v>1647</v>
      </c>
      <c r="L4169" s="3" t="s">
        <v>1648</v>
      </c>
      <c r="M4169" s="3" t="s">
        <v>1648</v>
      </c>
      <c r="N4169" s="3" t="s">
        <v>1649</v>
      </c>
      <c r="O4169" s="5">
        <v>6255.8354533</v>
      </c>
      <c r="P4169" s="6" t="str">
        <f t="shared" si="2"/>
        <v>Power</v>
      </c>
    </row>
    <row r="4170" hidden="1">
      <c r="A4170" s="3" t="s">
        <v>16734</v>
      </c>
      <c r="B4170" s="4" t="s">
        <v>16735</v>
      </c>
      <c r="C4170" s="3" t="s">
        <v>16736</v>
      </c>
      <c r="D4170" s="3" t="s">
        <v>16735</v>
      </c>
      <c r="E4170" s="3" t="s">
        <v>16736</v>
      </c>
      <c r="F4170" s="3" t="s">
        <v>19</v>
      </c>
      <c r="I4170" s="3" t="s">
        <v>16734</v>
      </c>
      <c r="J4170" s="3" t="s">
        <v>22</v>
      </c>
      <c r="K4170" s="3" t="s">
        <v>97</v>
      </c>
      <c r="L4170" s="3" t="s">
        <v>98</v>
      </c>
      <c r="M4170" s="3" t="s">
        <v>1747</v>
      </c>
      <c r="N4170" s="3" t="s">
        <v>1767</v>
      </c>
      <c r="O4170" s="5">
        <v>1.0</v>
      </c>
      <c r="P4170" s="6" t="str">
        <f t="shared" si="2"/>
        <v>Heavy Electrical Equipment</v>
      </c>
    </row>
    <row r="4171">
      <c r="A4171" s="3" t="s">
        <v>10902</v>
      </c>
      <c r="B4171" s="4">
        <v>543667.0</v>
      </c>
      <c r="C4171" s="3" t="s">
        <v>16737</v>
      </c>
      <c r="D4171" s="3" t="s">
        <v>16738</v>
      </c>
      <c r="E4171" s="3" t="s">
        <v>16739</v>
      </c>
      <c r="F4171" s="3" t="s">
        <v>19</v>
      </c>
      <c r="G4171" s="3" t="s">
        <v>112</v>
      </c>
      <c r="H4171" s="3">
        <v>10.0</v>
      </c>
      <c r="I4171" s="3" t="s">
        <v>15588</v>
      </c>
      <c r="J4171" s="3" t="s">
        <v>22</v>
      </c>
      <c r="K4171" s="3" t="s">
        <v>1647</v>
      </c>
      <c r="L4171" s="3" t="s">
        <v>1647</v>
      </c>
      <c r="M4171" s="3" t="s">
        <v>7778</v>
      </c>
      <c r="N4171" s="3" t="s">
        <v>7778</v>
      </c>
      <c r="O4171" s="5">
        <v>5304.5612242</v>
      </c>
      <c r="P4171" s="6" t="str">
        <f t="shared" si="2"/>
        <v>Other Utilities</v>
      </c>
    </row>
    <row r="4172" hidden="1">
      <c r="A4172" s="3" t="s">
        <v>16740</v>
      </c>
      <c r="B4172" s="4" t="s">
        <v>16741</v>
      </c>
      <c r="C4172" s="3" t="s">
        <v>16742</v>
      </c>
      <c r="D4172" s="3" t="s">
        <v>16741</v>
      </c>
      <c r="E4172" s="3" t="s">
        <v>16742</v>
      </c>
      <c r="F4172" s="3" t="s">
        <v>19</v>
      </c>
      <c r="I4172" s="3" t="s">
        <v>16740</v>
      </c>
      <c r="J4172" s="3" t="s">
        <v>22</v>
      </c>
      <c r="K4172" s="3" t="s">
        <v>97</v>
      </c>
      <c r="L4172" s="3" t="s">
        <v>98</v>
      </c>
      <c r="M4172" s="3" t="s">
        <v>99</v>
      </c>
      <c r="N4172" s="3" t="s">
        <v>100</v>
      </c>
      <c r="O4172" s="5">
        <v>3616.3943671</v>
      </c>
      <c r="P4172" s="6" t="str">
        <f t="shared" si="2"/>
        <v>Industrial Products</v>
      </c>
    </row>
    <row r="4173" hidden="1">
      <c r="A4173" s="3" t="s">
        <v>16743</v>
      </c>
      <c r="B4173" s="4" t="s">
        <v>16744</v>
      </c>
      <c r="C4173" s="3" t="s">
        <v>16745</v>
      </c>
      <c r="D4173" s="3" t="s">
        <v>16744</v>
      </c>
      <c r="E4173" s="3" t="s">
        <v>16745</v>
      </c>
      <c r="F4173" s="3" t="s">
        <v>19</v>
      </c>
      <c r="I4173" s="3" t="s">
        <v>16743</v>
      </c>
      <c r="J4173" s="3" t="s">
        <v>22</v>
      </c>
      <c r="K4173" s="3" t="s">
        <v>58</v>
      </c>
      <c r="L4173" s="3" t="s">
        <v>73</v>
      </c>
      <c r="M4173" s="3" t="s">
        <v>988</v>
      </c>
      <c r="N4173" s="3" t="s">
        <v>1509</v>
      </c>
      <c r="O4173" s="5">
        <v>2985.608</v>
      </c>
      <c r="P4173" s="6" t="str">
        <f t="shared" si="2"/>
        <v>Retailing</v>
      </c>
    </row>
    <row r="4174" hidden="1">
      <c r="B4174" s="8"/>
    </row>
    <row r="4175" hidden="1">
      <c r="B4175" s="8"/>
    </row>
  </sheetData>
  <autoFilter ref="$B$1:$P$4175">
    <filterColumn colId="13">
      <customFilters>
        <customFilter operator="greaterThanOrEqual" val="5000"/>
      </customFilters>
    </filterColumn>
    <sortState ref="B1:P4175">
      <sortCondition ref="K1:K4175"/>
      <sortCondition descending="1" ref="O1:O4175"/>
      <sortCondition ref="B1:B4175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30.13"/>
    <col customWidth="1" min="2" max="2" width="31.0"/>
    <col customWidth="1" min="3" max="3" width="37.25"/>
    <col customWidth="1" min="4" max="4" width="59.0"/>
  </cols>
  <sheetData>
    <row r="1"/>
    <row r="2">
      <c r="I2" s="3" t="s">
        <v>16748</v>
      </c>
    </row>
    <row r="3">
      <c r="I3" s="3" t="s">
        <v>16749</v>
      </c>
    </row>
    <row r="4">
      <c r="I4" s="3" t="s">
        <v>16750</v>
      </c>
    </row>
    <row r="5">
      <c r="I5" s="3" t="s">
        <v>16752</v>
      </c>
    </row>
    <row r="6">
      <c r="I6" s="3" t="s">
        <v>16749</v>
      </c>
    </row>
    <row r="7">
      <c r="I7" s="3" t="s">
        <v>16750</v>
      </c>
    </row>
    <row r="8">
      <c r="I8" s="3" t="s">
        <v>16748</v>
      </c>
    </row>
    <row r="9">
      <c r="I9" s="3" t="s">
        <v>16752</v>
      </c>
    </row>
    <row r="10">
      <c r="I10" s="3" t="s">
        <v>16748</v>
      </c>
    </row>
    <row r="11">
      <c r="F11" s="6" t="s">
        <v>45</v>
      </c>
      <c r="I11" s="3" t="s">
        <v>16749</v>
      </c>
    </row>
    <row r="12">
      <c r="F12" s="9" t="s">
        <v>145</v>
      </c>
      <c r="I12" s="3" t="s">
        <v>16749</v>
      </c>
    </row>
    <row r="13">
      <c r="F13" s="6" t="s">
        <v>473</v>
      </c>
      <c r="I13" s="3" t="s">
        <v>16752</v>
      </c>
    </row>
    <row r="14">
      <c r="I14" s="3" t="s">
        <v>16762</v>
      </c>
    </row>
    <row r="15">
      <c r="F15" s="6" t="s">
        <v>2675</v>
      </c>
    </row>
    <row r="16">
      <c r="F16" s="9" t="s">
        <v>58</v>
      </c>
    </row>
    <row r="17">
      <c r="F17" s="6" t="s">
        <v>1673</v>
      </c>
    </row>
    <row r="18">
      <c r="F18" s="6" t="s">
        <v>189</v>
      </c>
    </row>
    <row r="19"/>
    <row r="20">
      <c r="F20" s="9" t="s">
        <v>97</v>
      </c>
    </row>
    <row r="21">
      <c r="F21" s="9" t="s">
        <v>1647</v>
      </c>
    </row>
    <row r="22">
      <c r="F22" s="6" t="s">
        <v>23</v>
      </c>
    </row>
    <row r="23">
      <c r="F23" s="6" t="s">
        <v>410</v>
      </c>
    </row>
    <row r="24"/>
    <row r="25"/>
    <row r="26"/>
    <row r="27"/>
    <row r="28"/>
    <row r="29"/>
    <row r="30"/>
    <row r="31"/>
    <row r="37">
      <c r="E37" s="6">
        <f>SUM(E2:E34)</f>
        <v>1724</v>
      </c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40.88"/>
  </cols>
  <sheetData>
    <row r="1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0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2" t="s">
        <v>14</v>
      </c>
    </row>
    <row r="2">
      <c r="A2" s="13" t="s">
        <v>235</v>
      </c>
      <c r="B2" s="14">
        <v>500008.0</v>
      </c>
      <c r="C2" s="14" t="s">
        <v>876</v>
      </c>
      <c r="D2" s="14" t="s">
        <v>877</v>
      </c>
      <c r="E2" s="14" t="s">
        <v>878</v>
      </c>
      <c r="F2" s="14" t="s">
        <v>19</v>
      </c>
      <c r="G2" s="14" t="s">
        <v>20</v>
      </c>
      <c r="H2" s="14">
        <v>1.0</v>
      </c>
      <c r="I2" s="14" t="s">
        <v>35</v>
      </c>
      <c r="J2" s="14" t="s">
        <v>22</v>
      </c>
      <c r="K2" s="14" t="s">
        <v>58</v>
      </c>
      <c r="L2" s="14" t="s">
        <v>133</v>
      </c>
      <c r="M2" s="14" t="s">
        <v>134</v>
      </c>
      <c r="N2" s="14" t="s">
        <v>135</v>
      </c>
      <c r="O2" s="15">
        <v>30439.86</v>
      </c>
      <c r="P2" s="16" t="s">
        <v>135</v>
      </c>
    </row>
    <row r="3">
      <c r="A3" s="13" t="s">
        <v>937</v>
      </c>
      <c r="B3" s="14">
        <v>500086.0</v>
      </c>
      <c r="C3" s="14" t="s">
        <v>938</v>
      </c>
      <c r="D3" s="14" t="s">
        <v>939</v>
      </c>
      <c r="E3" s="14" t="s">
        <v>940</v>
      </c>
      <c r="F3" s="14" t="s">
        <v>19</v>
      </c>
      <c r="G3" s="14" t="s">
        <v>20</v>
      </c>
      <c r="H3" s="14">
        <v>1.0</v>
      </c>
      <c r="I3" s="14" t="s">
        <v>231</v>
      </c>
      <c r="J3" s="14" t="s">
        <v>22</v>
      </c>
      <c r="K3" s="14" t="s">
        <v>58</v>
      </c>
      <c r="L3" s="14" t="s">
        <v>133</v>
      </c>
      <c r="M3" s="14" t="s">
        <v>134</v>
      </c>
      <c r="N3" s="14" t="s">
        <v>135</v>
      </c>
      <c r="O3" s="15">
        <v>47358.90824</v>
      </c>
      <c r="P3" s="16" t="s">
        <v>135</v>
      </c>
    </row>
    <row r="4">
      <c r="A4" s="13" t="s">
        <v>1001</v>
      </c>
      <c r="B4" s="14">
        <v>500403.0</v>
      </c>
      <c r="C4" s="14" t="s">
        <v>1002</v>
      </c>
      <c r="D4" s="14" t="s">
        <v>1003</v>
      </c>
      <c r="E4" s="14" t="s">
        <v>1004</v>
      </c>
      <c r="F4" s="14" t="s">
        <v>19</v>
      </c>
      <c r="G4" s="14" t="s">
        <v>20</v>
      </c>
      <c r="H4" s="14">
        <v>1.0</v>
      </c>
      <c r="I4" s="14" t="s">
        <v>967</v>
      </c>
      <c r="J4" s="14" t="s">
        <v>22</v>
      </c>
      <c r="K4" s="14" t="s">
        <v>58</v>
      </c>
      <c r="L4" s="14" t="s">
        <v>133</v>
      </c>
      <c r="M4" s="14" t="s">
        <v>134</v>
      </c>
      <c r="N4" s="14" t="s">
        <v>135</v>
      </c>
      <c r="O4" s="15">
        <v>29497.6949865</v>
      </c>
      <c r="P4" s="16" t="s">
        <v>135</v>
      </c>
    </row>
    <row r="5">
      <c r="A5" s="13" t="s">
        <v>280</v>
      </c>
      <c r="B5" s="14">
        <v>500493.0</v>
      </c>
      <c r="C5" s="14" t="s">
        <v>1025</v>
      </c>
      <c r="D5" s="14" t="s">
        <v>1026</v>
      </c>
      <c r="E5" s="14" t="s">
        <v>1027</v>
      </c>
      <c r="F5" s="14" t="s">
        <v>19</v>
      </c>
      <c r="G5" s="14" t="s">
        <v>20</v>
      </c>
      <c r="H5" s="14">
        <v>2.0</v>
      </c>
      <c r="I5" s="14" t="s">
        <v>1028</v>
      </c>
      <c r="J5" s="14" t="s">
        <v>22</v>
      </c>
      <c r="K5" s="14" t="s">
        <v>58</v>
      </c>
      <c r="L5" s="14" t="s">
        <v>133</v>
      </c>
      <c r="M5" s="14" t="s">
        <v>134</v>
      </c>
      <c r="N5" s="14" t="s">
        <v>135</v>
      </c>
      <c r="O5" s="15">
        <v>77237.4241058</v>
      </c>
      <c r="P5" s="16" t="s">
        <v>135</v>
      </c>
    </row>
    <row r="6">
      <c r="A6" s="13" t="s">
        <v>1066</v>
      </c>
      <c r="B6" s="14">
        <v>500530.0</v>
      </c>
      <c r="C6" s="14" t="s">
        <v>1067</v>
      </c>
      <c r="D6" s="14" t="s">
        <v>1068</v>
      </c>
      <c r="E6" s="14" t="s">
        <v>1069</v>
      </c>
      <c r="F6" s="14" t="s">
        <v>19</v>
      </c>
      <c r="G6" s="14" t="s">
        <v>20</v>
      </c>
      <c r="H6" s="14">
        <v>10.0</v>
      </c>
      <c r="I6" s="14" t="s">
        <v>1070</v>
      </c>
      <c r="J6" s="14" t="s">
        <v>22</v>
      </c>
      <c r="K6" s="14" t="s">
        <v>58</v>
      </c>
      <c r="L6" s="14" t="s">
        <v>133</v>
      </c>
      <c r="M6" s="14" t="s">
        <v>134</v>
      </c>
      <c r="N6" s="14" t="s">
        <v>135</v>
      </c>
      <c r="O6" s="15">
        <v>102678.412501</v>
      </c>
      <c r="P6" s="16" t="s">
        <v>135</v>
      </c>
    </row>
    <row r="7">
      <c r="A7" s="13" t="s">
        <v>1079</v>
      </c>
      <c r="B7" s="14">
        <v>505714.0</v>
      </c>
      <c r="C7" s="14" t="s">
        <v>1170</v>
      </c>
      <c r="D7" s="14" t="s">
        <v>1171</v>
      </c>
      <c r="E7" s="14" t="s">
        <v>1172</v>
      </c>
      <c r="F7" s="14" t="s">
        <v>19</v>
      </c>
      <c r="G7" s="14" t="s">
        <v>20</v>
      </c>
      <c r="H7" s="14">
        <v>1.0</v>
      </c>
      <c r="I7" s="14" t="s">
        <v>1173</v>
      </c>
      <c r="J7" s="14" t="s">
        <v>22</v>
      </c>
      <c r="K7" s="14" t="s">
        <v>58</v>
      </c>
      <c r="L7" s="14" t="s">
        <v>133</v>
      </c>
      <c r="M7" s="14" t="s">
        <v>134</v>
      </c>
      <c r="N7" s="14" t="s">
        <v>135</v>
      </c>
      <c r="O7" s="15">
        <v>6924.1467525</v>
      </c>
      <c r="P7" s="16" t="s">
        <v>135</v>
      </c>
    </row>
    <row r="8">
      <c r="A8" s="13" t="s">
        <v>1178</v>
      </c>
      <c r="B8" s="14">
        <v>505790.0</v>
      </c>
      <c r="C8" s="14" t="s">
        <v>1179</v>
      </c>
      <c r="D8" s="14" t="s">
        <v>1180</v>
      </c>
      <c r="E8" s="14" t="s">
        <v>1181</v>
      </c>
      <c r="F8" s="14" t="s">
        <v>19</v>
      </c>
      <c r="G8" s="14" t="s">
        <v>20</v>
      </c>
      <c r="H8" s="14">
        <v>2.0</v>
      </c>
      <c r="I8" s="14" t="s">
        <v>1182</v>
      </c>
      <c r="J8" s="14" t="s">
        <v>22</v>
      </c>
      <c r="K8" s="14" t="s">
        <v>58</v>
      </c>
      <c r="L8" s="14" t="s">
        <v>133</v>
      </c>
      <c r="M8" s="14" t="s">
        <v>134</v>
      </c>
      <c r="N8" s="14" t="s">
        <v>135</v>
      </c>
      <c r="O8" s="15">
        <v>74585.147911</v>
      </c>
      <c r="P8" s="16" t="s">
        <v>135</v>
      </c>
    </row>
    <row r="9">
      <c r="A9" s="13" t="s">
        <v>1214</v>
      </c>
      <c r="B9" s="14">
        <v>515030.0</v>
      </c>
      <c r="C9" s="14" t="s">
        <v>1215</v>
      </c>
      <c r="D9" s="14" t="s">
        <v>1216</v>
      </c>
      <c r="E9" s="14" t="s">
        <v>1217</v>
      </c>
      <c r="F9" s="14" t="s">
        <v>19</v>
      </c>
      <c r="G9" s="14" t="s">
        <v>20</v>
      </c>
      <c r="H9" s="14">
        <v>1.0</v>
      </c>
      <c r="I9" s="14" t="s">
        <v>1218</v>
      </c>
      <c r="J9" s="14" t="s">
        <v>22</v>
      </c>
      <c r="K9" s="14" t="s">
        <v>58</v>
      </c>
      <c r="L9" s="14" t="s">
        <v>133</v>
      </c>
      <c r="M9" s="14" t="s">
        <v>134</v>
      </c>
      <c r="N9" s="14" t="s">
        <v>135</v>
      </c>
      <c r="O9" s="15">
        <v>16402.6722402</v>
      </c>
      <c r="P9" s="16" t="s">
        <v>135</v>
      </c>
    </row>
    <row r="10">
      <c r="A10" s="13" t="s">
        <v>1223</v>
      </c>
      <c r="B10" s="14">
        <v>517271.0</v>
      </c>
      <c r="C10" s="14" t="s">
        <v>1224</v>
      </c>
      <c r="D10" s="14" t="s">
        <v>1225</v>
      </c>
      <c r="E10" s="14" t="s">
        <v>1226</v>
      </c>
      <c r="F10" s="14" t="s">
        <v>19</v>
      </c>
      <c r="G10" s="14" t="s">
        <v>20</v>
      </c>
      <c r="H10" s="14">
        <v>1.0</v>
      </c>
      <c r="I10" s="14" t="s">
        <v>1227</v>
      </c>
      <c r="J10" s="14" t="s">
        <v>22</v>
      </c>
      <c r="K10" s="14" t="s">
        <v>58</v>
      </c>
      <c r="L10" s="14" t="s">
        <v>133</v>
      </c>
      <c r="M10" s="14" t="s">
        <v>134</v>
      </c>
      <c r="N10" s="14" t="s">
        <v>135</v>
      </c>
      <c r="O10" s="15">
        <v>14406.1707887</v>
      </c>
      <c r="P10" s="16" t="s">
        <v>135</v>
      </c>
    </row>
    <row r="11">
      <c r="A11" s="13" t="s">
        <v>1095</v>
      </c>
      <c r="B11" s="14">
        <v>517334.0</v>
      </c>
      <c r="C11" s="14" t="s">
        <v>1228</v>
      </c>
      <c r="D11" s="14" t="s">
        <v>1229</v>
      </c>
      <c r="E11" s="14" t="s">
        <v>1230</v>
      </c>
      <c r="F11" s="14" t="s">
        <v>19</v>
      </c>
      <c r="G11" s="14" t="s">
        <v>20</v>
      </c>
      <c r="H11" s="14">
        <v>1.0</v>
      </c>
      <c r="I11" s="14" t="s">
        <v>1231</v>
      </c>
      <c r="J11" s="14" t="s">
        <v>22</v>
      </c>
      <c r="K11" s="14" t="s">
        <v>58</v>
      </c>
      <c r="L11" s="14" t="s">
        <v>133</v>
      </c>
      <c r="M11" s="14" t="s">
        <v>134</v>
      </c>
      <c r="N11" s="14" t="s">
        <v>135</v>
      </c>
      <c r="O11" s="15">
        <v>139721.6862877</v>
      </c>
      <c r="P11" s="16" t="s">
        <v>135</v>
      </c>
    </row>
    <row r="12">
      <c r="A12" s="13" t="s">
        <v>1100</v>
      </c>
      <c r="B12" s="14">
        <v>520057.0</v>
      </c>
      <c r="C12" s="14" t="s">
        <v>1257</v>
      </c>
      <c r="D12" s="14" t="s">
        <v>1258</v>
      </c>
      <c r="E12" s="14" t="s">
        <v>1259</v>
      </c>
      <c r="F12" s="14" t="s">
        <v>19</v>
      </c>
      <c r="G12" s="14" t="s">
        <v>112</v>
      </c>
      <c r="H12" s="14">
        <v>1.0</v>
      </c>
      <c r="I12" s="14" t="s">
        <v>1260</v>
      </c>
      <c r="J12" s="14" t="s">
        <v>22</v>
      </c>
      <c r="K12" s="14" t="s">
        <v>58</v>
      </c>
      <c r="L12" s="14" t="s">
        <v>133</v>
      </c>
      <c r="M12" s="14" t="s">
        <v>134</v>
      </c>
      <c r="N12" s="14" t="s">
        <v>135</v>
      </c>
      <c r="O12" s="15">
        <v>5342.2217485</v>
      </c>
      <c r="P12" s="16" t="s">
        <v>135</v>
      </c>
    </row>
    <row r="13">
      <c r="A13" s="13" t="s">
        <v>1412</v>
      </c>
      <c r="B13" s="14">
        <v>532509.0</v>
      </c>
      <c r="C13" s="14" t="s">
        <v>1413</v>
      </c>
      <c r="D13" s="14" t="s">
        <v>1414</v>
      </c>
      <c r="E13" s="14" t="s">
        <v>1415</v>
      </c>
      <c r="F13" s="14" t="s">
        <v>19</v>
      </c>
      <c r="G13" s="14" t="s">
        <v>20</v>
      </c>
      <c r="H13" s="14">
        <v>1.0</v>
      </c>
      <c r="I13" s="14" t="s">
        <v>1416</v>
      </c>
      <c r="J13" s="14" t="s">
        <v>22</v>
      </c>
      <c r="K13" s="14" t="s">
        <v>58</v>
      </c>
      <c r="L13" s="14" t="s">
        <v>133</v>
      </c>
      <c r="M13" s="14" t="s">
        <v>134</v>
      </c>
      <c r="N13" s="14" t="s">
        <v>135</v>
      </c>
      <c r="O13" s="15">
        <v>7142.308525</v>
      </c>
      <c r="P13" s="16" t="s">
        <v>135</v>
      </c>
    </row>
    <row r="14">
      <c r="A14" s="13" t="s">
        <v>1417</v>
      </c>
      <c r="B14" s="14">
        <v>532527.0</v>
      </c>
      <c r="C14" s="14" t="s">
        <v>1418</v>
      </c>
      <c r="D14" s="14" t="s">
        <v>1419</v>
      </c>
      <c r="E14" s="14" t="s">
        <v>1420</v>
      </c>
      <c r="F14" s="14" t="s">
        <v>19</v>
      </c>
      <c r="G14" s="14" t="s">
        <v>20</v>
      </c>
      <c r="H14" s="14">
        <v>2.0</v>
      </c>
      <c r="I14" s="14" t="s">
        <v>1421</v>
      </c>
      <c r="J14" s="14" t="s">
        <v>22</v>
      </c>
      <c r="K14" s="14" t="s">
        <v>58</v>
      </c>
      <c r="L14" s="14" t="s">
        <v>133</v>
      </c>
      <c r="M14" s="14" t="s">
        <v>134</v>
      </c>
      <c r="N14" s="14" t="s">
        <v>135</v>
      </c>
      <c r="O14" s="15">
        <v>16325.7593948</v>
      </c>
      <c r="P14" s="16" t="s">
        <v>135</v>
      </c>
    </row>
    <row r="15">
      <c r="A15" s="13" t="s">
        <v>1422</v>
      </c>
      <c r="B15" s="14">
        <v>532539.0</v>
      </c>
      <c r="C15" s="14" t="s">
        <v>1423</v>
      </c>
      <c r="D15" s="14" t="s">
        <v>1424</v>
      </c>
      <c r="E15" s="14" t="s">
        <v>1425</v>
      </c>
      <c r="F15" s="14" t="s">
        <v>19</v>
      </c>
      <c r="G15" s="14" t="s">
        <v>20</v>
      </c>
      <c r="H15" s="14">
        <v>2.0</v>
      </c>
      <c r="I15" s="14" t="s">
        <v>1426</v>
      </c>
      <c r="J15" s="14" t="s">
        <v>22</v>
      </c>
      <c r="K15" s="14" t="s">
        <v>58</v>
      </c>
      <c r="L15" s="14" t="s">
        <v>133</v>
      </c>
      <c r="M15" s="14" t="s">
        <v>134</v>
      </c>
      <c r="N15" s="14" t="s">
        <v>135</v>
      </c>
      <c r="O15" s="15">
        <v>62701.56</v>
      </c>
      <c r="P15" s="16" t="s">
        <v>135</v>
      </c>
    </row>
    <row r="16">
      <c r="A16" s="13" t="s">
        <v>1445</v>
      </c>
      <c r="B16" s="14">
        <v>532605.0</v>
      </c>
      <c r="C16" s="14" t="s">
        <v>1446</v>
      </c>
      <c r="D16" s="14" t="s">
        <v>1447</v>
      </c>
      <c r="E16" s="14" t="s">
        <v>1448</v>
      </c>
      <c r="F16" s="14" t="s">
        <v>19</v>
      </c>
      <c r="G16" s="14" t="s">
        <v>20</v>
      </c>
      <c r="H16" s="14">
        <v>2.0</v>
      </c>
      <c r="I16" s="14" t="s">
        <v>1449</v>
      </c>
      <c r="J16" s="14" t="s">
        <v>22</v>
      </c>
      <c r="K16" s="14" t="s">
        <v>58</v>
      </c>
      <c r="L16" s="14" t="s">
        <v>133</v>
      </c>
      <c r="M16" s="14" t="s">
        <v>134</v>
      </c>
      <c r="N16" s="14" t="s">
        <v>135</v>
      </c>
      <c r="O16" s="15">
        <v>23589.2593909</v>
      </c>
      <c r="P16" s="16" t="s">
        <v>135</v>
      </c>
    </row>
    <row r="17">
      <c r="A17" s="13" t="s">
        <v>1134</v>
      </c>
      <c r="B17" s="14">
        <v>532756.0</v>
      </c>
      <c r="C17" s="14" t="s">
        <v>1585</v>
      </c>
      <c r="D17" s="14" t="s">
        <v>1586</v>
      </c>
      <c r="E17" s="14" t="s">
        <v>1587</v>
      </c>
      <c r="F17" s="14" t="s">
        <v>19</v>
      </c>
      <c r="G17" s="14" t="s">
        <v>20</v>
      </c>
      <c r="H17" s="14">
        <v>10.0</v>
      </c>
      <c r="I17" s="14" t="s">
        <v>1588</v>
      </c>
      <c r="J17" s="14" t="s">
        <v>22</v>
      </c>
      <c r="K17" s="14" t="s">
        <v>58</v>
      </c>
      <c r="L17" s="14" t="s">
        <v>133</v>
      </c>
      <c r="M17" s="14" t="s">
        <v>134</v>
      </c>
      <c r="N17" s="14" t="s">
        <v>135</v>
      </c>
      <c r="O17" s="15">
        <v>22092.4520683</v>
      </c>
      <c r="P17" s="16" t="s">
        <v>135</v>
      </c>
    </row>
    <row r="18">
      <c r="A18" s="13" t="s">
        <v>1147</v>
      </c>
      <c r="B18" s="14">
        <v>533023.0</v>
      </c>
      <c r="C18" s="14" t="s">
        <v>2000</v>
      </c>
      <c r="D18" s="14" t="s">
        <v>2001</v>
      </c>
      <c r="E18" s="14" t="s">
        <v>2002</v>
      </c>
      <c r="F18" s="14" t="s">
        <v>19</v>
      </c>
      <c r="G18" s="14" t="s">
        <v>20</v>
      </c>
      <c r="H18" s="14">
        <v>5.0</v>
      </c>
      <c r="I18" s="14" t="s">
        <v>2003</v>
      </c>
      <c r="J18" s="14" t="s">
        <v>22</v>
      </c>
      <c r="K18" s="14" t="s">
        <v>58</v>
      </c>
      <c r="L18" s="14" t="s">
        <v>133</v>
      </c>
      <c r="M18" s="14" t="s">
        <v>134</v>
      </c>
      <c r="N18" s="14" t="s">
        <v>135</v>
      </c>
      <c r="O18" s="15">
        <v>29525.886496</v>
      </c>
      <c r="P18" s="16" t="s">
        <v>135</v>
      </c>
    </row>
    <row r="19">
      <c r="A19" s="13" t="s">
        <v>346</v>
      </c>
      <c r="B19" s="14">
        <v>535602.0</v>
      </c>
      <c r="C19" s="14" t="s">
        <v>2381</v>
      </c>
      <c r="D19" s="14" t="s">
        <v>2382</v>
      </c>
      <c r="E19" s="14" t="s">
        <v>2381</v>
      </c>
      <c r="F19" s="14" t="s">
        <v>19</v>
      </c>
      <c r="G19" s="14" t="s">
        <v>112</v>
      </c>
      <c r="H19" s="14">
        <v>2.0</v>
      </c>
      <c r="I19" s="14" t="s">
        <v>2383</v>
      </c>
      <c r="J19" s="14" t="s">
        <v>22</v>
      </c>
      <c r="K19" s="14" t="s">
        <v>58</v>
      </c>
      <c r="L19" s="14" t="s">
        <v>133</v>
      </c>
      <c r="M19" s="14" t="s">
        <v>134</v>
      </c>
      <c r="N19" s="14" t="s">
        <v>135</v>
      </c>
      <c r="O19" s="15">
        <v>6185.6551504</v>
      </c>
      <c r="P19" s="16" t="s">
        <v>135</v>
      </c>
    </row>
    <row r="20">
      <c r="A20" s="13" t="s">
        <v>389</v>
      </c>
      <c r="B20" s="14">
        <v>538962.0</v>
      </c>
      <c r="C20" s="14" t="s">
        <v>2492</v>
      </c>
      <c r="D20" s="14" t="s">
        <v>2493</v>
      </c>
      <c r="E20" s="14" t="s">
        <v>2494</v>
      </c>
      <c r="F20" s="14" t="s">
        <v>19</v>
      </c>
      <c r="G20" s="14" t="s">
        <v>20</v>
      </c>
      <c r="H20" s="14">
        <v>2.0</v>
      </c>
      <c r="I20" s="14" t="s">
        <v>2495</v>
      </c>
      <c r="J20" s="14" t="s">
        <v>22</v>
      </c>
      <c r="K20" s="14" t="s">
        <v>58</v>
      </c>
      <c r="L20" s="14" t="s">
        <v>133</v>
      </c>
      <c r="M20" s="14" t="s">
        <v>134</v>
      </c>
      <c r="N20" s="14" t="s">
        <v>135</v>
      </c>
      <c r="O20" s="15">
        <v>11271.6615424</v>
      </c>
      <c r="P20" s="16" t="s">
        <v>135</v>
      </c>
    </row>
    <row r="21">
      <c r="A21" s="13" t="s">
        <v>418</v>
      </c>
      <c r="B21" s="14">
        <v>540153.0</v>
      </c>
      <c r="C21" s="14" t="s">
        <v>2667</v>
      </c>
      <c r="D21" s="14" t="s">
        <v>2668</v>
      </c>
      <c r="E21" s="14" t="s">
        <v>2669</v>
      </c>
      <c r="F21" s="14" t="s">
        <v>19</v>
      </c>
      <c r="G21" s="14" t="s">
        <v>20</v>
      </c>
      <c r="H21" s="14">
        <v>10.0</v>
      </c>
      <c r="I21" s="14" t="s">
        <v>2670</v>
      </c>
      <c r="J21" s="14" t="s">
        <v>22</v>
      </c>
      <c r="K21" s="14" t="s">
        <v>58</v>
      </c>
      <c r="L21" s="14" t="s">
        <v>133</v>
      </c>
      <c r="M21" s="14" t="s">
        <v>134</v>
      </c>
      <c r="N21" s="14" t="s">
        <v>135</v>
      </c>
      <c r="O21" s="15">
        <v>38257.891128</v>
      </c>
      <c r="P21" s="16" t="s">
        <v>135</v>
      </c>
    </row>
    <row r="22">
      <c r="A22" s="13" t="s">
        <v>2837</v>
      </c>
      <c r="B22" s="14">
        <v>540293.0</v>
      </c>
      <c r="C22" s="14" t="s">
        <v>2838</v>
      </c>
      <c r="D22" s="14" t="s">
        <v>2839</v>
      </c>
      <c r="E22" s="14" t="s">
        <v>2840</v>
      </c>
      <c r="F22" s="14" t="s">
        <v>19</v>
      </c>
      <c r="G22" s="14" t="s">
        <v>20</v>
      </c>
      <c r="H22" s="14">
        <v>1.0</v>
      </c>
      <c r="I22" s="14" t="s">
        <v>2841</v>
      </c>
      <c r="J22" s="14" t="s">
        <v>22</v>
      </c>
      <c r="K22" s="14" t="s">
        <v>58</v>
      </c>
      <c r="L22" s="14" t="s">
        <v>133</v>
      </c>
      <c r="M22" s="14" t="s">
        <v>134</v>
      </c>
      <c r="N22" s="14" t="s">
        <v>135</v>
      </c>
      <c r="O22" s="15">
        <v>5951.1884618</v>
      </c>
      <c r="P22" s="16" t="s">
        <v>135</v>
      </c>
    </row>
    <row r="23">
      <c r="A23" s="13" t="s">
        <v>3025</v>
      </c>
      <c r="B23" s="14">
        <v>540762.0</v>
      </c>
      <c r="C23" s="14" t="s">
        <v>3026</v>
      </c>
      <c r="D23" s="14" t="s">
        <v>3027</v>
      </c>
      <c r="E23" s="14" t="s">
        <v>3026</v>
      </c>
      <c r="F23" s="14" t="s">
        <v>19</v>
      </c>
      <c r="G23" s="14" t="s">
        <v>20</v>
      </c>
      <c r="H23" s="14">
        <v>1.0</v>
      </c>
      <c r="I23" s="14" t="s">
        <v>3028</v>
      </c>
      <c r="J23" s="14" t="s">
        <v>22</v>
      </c>
      <c r="K23" s="14" t="s">
        <v>58</v>
      </c>
      <c r="L23" s="14" t="s">
        <v>133</v>
      </c>
      <c r="M23" s="14" t="s">
        <v>134</v>
      </c>
      <c r="N23" s="14" t="s">
        <v>135</v>
      </c>
      <c r="O23" s="15">
        <v>80725.302</v>
      </c>
      <c r="P23" s="16" t="s">
        <v>135</v>
      </c>
    </row>
    <row r="24">
      <c r="A24" s="13" t="s">
        <v>3147</v>
      </c>
      <c r="B24" s="14">
        <v>541578.0</v>
      </c>
      <c r="C24" s="14" t="s">
        <v>3148</v>
      </c>
      <c r="D24" s="14" t="s">
        <v>3149</v>
      </c>
      <c r="E24" s="14" t="s">
        <v>3150</v>
      </c>
      <c r="F24" s="14" t="s">
        <v>19</v>
      </c>
      <c r="G24" s="14" t="s">
        <v>20</v>
      </c>
      <c r="H24" s="14">
        <v>1.0</v>
      </c>
      <c r="I24" s="14" t="s">
        <v>3151</v>
      </c>
      <c r="J24" s="14" t="s">
        <v>22</v>
      </c>
      <c r="K24" s="14" t="s">
        <v>58</v>
      </c>
      <c r="L24" s="14" t="s">
        <v>133</v>
      </c>
      <c r="M24" s="14" t="s">
        <v>134</v>
      </c>
      <c r="N24" s="14" t="s">
        <v>135</v>
      </c>
      <c r="O24" s="15">
        <v>9884.8670181</v>
      </c>
      <c r="P24" s="16" t="s">
        <v>135</v>
      </c>
    </row>
    <row r="25">
      <c r="A25" s="13" t="s">
        <v>432</v>
      </c>
      <c r="B25" s="14">
        <v>543276.0</v>
      </c>
      <c r="C25" s="14" t="s">
        <v>3893</v>
      </c>
      <c r="D25" s="14" t="s">
        <v>3894</v>
      </c>
      <c r="E25" s="14" t="s">
        <v>3895</v>
      </c>
      <c r="F25" s="14" t="s">
        <v>19</v>
      </c>
      <c r="G25" s="14" t="s">
        <v>20</v>
      </c>
      <c r="H25" s="14">
        <v>5.0</v>
      </c>
      <c r="I25" s="14" t="s">
        <v>3896</v>
      </c>
      <c r="J25" s="14" t="s">
        <v>22</v>
      </c>
      <c r="K25" s="14" t="s">
        <v>58</v>
      </c>
      <c r="L25" s="14" t="s">
        <v>133</v>
      </c>
      <c r="M25" s="14" t="s">
        <v>134</v>
      </c>
      <c r="N25" s="14" t="s">
        <v>135</v>
      </c>
      <c r="O25" s="15">
        <v>13525.522395</v>
      </c>
      <c r="P25" s="16" t="s">
        <v>135</v>
      </c>
    </row>
    <row r="26">
      <c r="A26" s="13" t="s">
        <v>4141</v>
      </c>
      <c r="B26" s="14">
        <v>543300.0</v>
      </c>
      <c r="C26" s="14" t="s">
        <v>4142</v>
      </c>
      <c r="D26" s="14" t="s">
        <v>4143</v>
      </c>
      <c r="E26" s="14" t="s">
        <v>4144</v>
      </c>
      <c r="F26" s="14" t="s">
        <v>19</v>
      </c>
      <c r="G26" s="14" t="s">
        <v>20</v>
      </c>
      <c r="H26" s="14">
        <v>10.0</v>
      </c>
      <c r="I26" s="14" t="s">
        <v>4145</v>
      </c>
      <c r="J26" s="14" t="s">
        <v>22</v>
      </c>
      <c r="K26" s="14" t="s">
        <v>58</v>
      </c>
      <c r="L26" s="14" t="s">
        <v>133</v>
      </c>
      <c r="M26" s="14" t="s">
        <v>134</v>
      </c>
      <c r="N26" s="14" t="s">
        <v>135</v>
      </c>
      <c r="O26" s="15">
        <v>37190.7055028</v>
      </c>
      <c r="P26" s="16" t="s">
        <v>135</v>
      </c>
    </row>
    <row r="27">
      <c r="A27" s="13" t="s">
        <v>4284</v>
      </c>
      <c r="B27" s="14">
        <v>543325.0</v>
      </c>
      <c r="C27" s="14" t="s">
        <v>4285</v>
      </c>
      <c r="D27" s="14" t="s">
        <v>4286</v>
      </c>
      <c r="E27" s="14" t="s">
        <v>4287</v>
      </c>
      <c r="F27" s="14" t="s">
        <v>19</v>
      </c>
      <c r="G27" s="14" t="s">
        <v>20</v>
      </c>
      <c r="H27" s="14">
        <v>10.0</v>
      </c>
      <c r="I27" s="14" t="s">
        <v>4288</v>
      </c>
      <c r="J27" s="14" t="s">
        <v>22</v>
      </c>
      <c r="K27" s="14" t="s">
        <v>58</v>
      </c>
      <c r="L27" s="14" t="s">
        <v>133</v>
      </c>
      <c r="M27" s="14" t="s">
        <v>134</v>
      </c>
      <c r="N27" s="14" t="s">
        <v>135</v>
      </c>
      <c r="O27" s="15">
        <v>6846.970732</v>
      </c>
      <c r="P27" s="16" t="s">
        <v>135</v>
      </c>
    </row>
    <row r="28">
      <c r="A28" s="13" t="s">
        <v>1218</v>
      </c>
      <c r="B28" s="14">
        <v>543358.0</v>
      </c>
      <c r="C28" s="14" t="s">
        <v>4576</v>
      </c>
      <c r="D28" s="14" t="s">
        <v>4577</v>
      </c>
      <c r="E28" s="14" t="s">
        <v>4578</v>
      </c>
      <c r="F28" s="14" t="s">
        <v>19</v>
      </c>
      <c r="G28" s="14" t="s">
        <v>20</v>
      </c>
      <c r="H28" s="14">
        <v>2.0</v>
      </c>
      <c r="I28" s="14" t="s">
        <v>4579</v>
      </c>
      <c r="J28" s="14" t="s">
        <v>22</v>
      </c>
      <c r="K28" s="14" t="s">
        <v>58</v>
      </c>
      <c r="L28" s="14" t="s">
        <v>133</v>
      </c>
      <c r="M28" s="14" t="s">
        <v>134</v>
      </c>
      <c r="N28" s="14" t="s">
        <v>135</v>
      </c>
      <c r="O28" s="15">
        <v>7185.0438</v>
      </c>
      <c r="P28" s="16" t="s">
        <v>135</v>
      </c>
    </row>
    <row r="29">
      <c r="A29" s="13" t="s">
        <v>1256</v>
      </c>
      <c r="B29" s="14">
        <v>543498.0</v>
      </c>
      <c r="C29" s="14" t="s">
        <v>4903</v>
      </c>
      <c r="D29" s="14" t="s">
        <v>4904</v>
      </c>
      <c r="E29" s="14" t="s">
        <v>4905</v>
      </c>
      <c r="F29" s="14" t="s">
        <v>19</v>
      </c>
      <c r="G29" s="14" t="s">
        <v>20</v>
      </c>
      <c r="H29" s="14">
        <v>1.0</v>
      </c>
      <c r="I29" s="14" t="s">
        <v>4906</v>
      </c>
      <c r="J29" s="14" t="s">
        <v>22</v>
      </c>
      <c r="K29" s="14" t="s">
        <v>58</v>
      </c>
      <c r="L29" s="14" t="s">
        <v>133</v>
      </c>
      <c r="M29" s="14" t="s">
        <v>134</v>
      </c>
      <c r="N29" s="14" t="s">
        <v>135</v>
      </c>
      <c r="O29" s="15">
        <v>32747.9844015</v>
      </c>
      <c r="P29" s="16" t="s">
        <v>135</v>
      </c>
    </row>
    <row r="30">
      <c r="A30" s="13" t="s">
        <v>1274</v>
      </c>
      <c r="B30" s="14">
        <v>544022.0</v>
      </c>
      <c r="C30" s="14" t="s">
        <v>5329</v>
      </c>
      <c r="D30" s="14" t="s">
        <v>5330</v>
      </c>
      <c r="E30" s="14" t="s">
        <v>5331</v>
      </c>
      <c r="F30" s="14" t="s">
        <v>19</v>
      </c>
      <c r="G30" s="14" t="s">
        <v>112</v>
      </c>
      <c r="H30" s="14">
        <v>2.0</v>
      </c>
      <c r="I30" s="14" t="s">
        <v>5332</v>
      </c>
      <c r="J30" s="14" t="s">
        <v>22</v>
      </c>
      <c r="K30" s="14" t="s">
        <v>58</v>
      </c>
      <c r="L30" s="14" t="s">
        <v>133</v>
      </c>
      <c r="M30" s="14" t="s">
        <v>134</v>
      </c>
      <c r="N30" s="14" t="s">
        <v>135</v>
      </c>
      <c r="O30" s="15">
        <v>7445.6485949</v>
      </c>
      <c r="P30" s="16" t="s">
        <v>135</v>
      </c>
    </row>
    <row r="31">
      <c r="A31" s="13" t="s">
        <v>5556</v>
      </c>
      <c r="B31" s="14" t="s">
        <v>5557</v>
      </c>
      <c r="C31" s="14" t="s">
        <v>5558</v>
      </c>
      <c r="D31" s="14" t="s">
        <v>5557</v>
      </c>
      <c r="E31" s="14" t="s">
        <v>5558</v>
      </c>
      <c r="F31" s="14" t="s">
        <v>19</v>
      </c>
      <c r="G31" s="17"/>
      <c r="H31" s="17"/>
      <c r="I31" s="14" t="s">
        <v>5559</v>
      </c>
      <c r="J31" s="14" t="s">
        <v>22</v>
      </c>
      <c r="K31" s="14" t="s">
        <v>58</v>
      </c>
      <c r="L31" s="14" t="s">
        <v>133</v>
      </c>
      <c r="M31" s="14" t="s">
        <v>134</v>
      </c>
      <c r="N31" s="14" t="s">
        <v>135</v>
      </c>
      <c r="O31" s="15">
        <v>8368.5733482</v>
      </c>
      <c r="P31" s="16" t="s">
        <v>135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7.25"/>
    <col customWidth="1" min="2" max="2" width="19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16775</v>
      </c>
      <c r="B1" s="19" t="s">
        <v>16776</v>
      </c>
      <c r="C1" s="18" t="s">
        <v>16775</v>
      </c>
    </row>
    <row r="2">
      <c r="A2" s="20" t="str">
        <f t="shared" ref="A2:A692" si="1">iferror(VLOOKUP(C2,Sheet12!A:C,3,0),iferror(VLOOKUP(C2,Sheet12!A:C,3,0),C2))</f>
        <v>COROMANDEL</v>
      </c>
      <c r="B2" s="9" t="s">
        <v>16777</v>
      </c>
      <c r="C2" s="9" t="s">
        <v>349</v>
      </c>
    </row>
    <row r="3">
      <c r="A3" s="20" t="str">
        <f t="shared" si="1"/>
        <v>ESCORTS</v>
      </c>
      <c r="B3" s="9" t="s">
        <v>16777</v>
      </c>
      <c r="C3" s="9" t="s">
        <v>13441</v>
      </c>
    </row>
    <row r="4">
      <c r="A4" s="20" t="str">
        <f t="shared" si="1"/>
        <v>EIDPARRY</v>
      </c>
      <c r="B4" s="9" t="s">
        <v>16777</v>
      </c>
      <c r="C4" s="9" t="s">
        <v>116</v>
      </c>
    </row>
    <row r="5">
      <c r="A5" s="20" t="str">
        <f t="shared" si="1"/>
        <v>FACT</v>
      </c>
      <c r="B5" s="9" t="s">
        <v>16777</v>
      </c>
      <c r="C5" s="9" t="s">
        <v>869</v>
      </c>
    </row>
    <row r="6">
      <c r="A6" s="20" t="str">
        <f t="shared" si="1"/>
        <v>GNFC</v>
      </c>
      <c r="B6" s="9" t="s">
        <v>16777</v>
      </c>
      <c r="C6" s="9" t="s">
        <v>305</v>
      </c>
    </row>
    <row r="7">
      <c r="A7" s="20" t="str">
        <f t="shared" si="1"/>
        <v>GSFC</v>
      </c>
      <c r="B7" s="9" t="s">
        <v>16777</v>
      </c>
      <c r="C7" s="9" t="s">
        <v>309</v>
      </c>
    </row>
    <row r="8">
      <c r="A8" s="20" t="str">
        <f t="shared" si="1"/>
        <v>BAYERCROP</v>
      </c>
      <c r="B8" s="9" t="s">
        <v>16777</v>
      </c>
      <c r="C8" s="9" t="s">
        <v>344</v>
      </c>
    </row>
    <row r="9">
      <c r="A9" s="20" t="str">
        <f t="shared" si="1"/>
        <v>CHAMBLFERT</v>
      </c>
      <c r="B9" s="9" t="s">
        <v>16777</v>
      </c>
      <c r="C9" s="9" t="s">
        <v>88</v>
      </c>
    </row>
    <row r="10">
      <c r="A10" s="20" t="str">
        <f t="shared" si="1"/>
        <v>DEEPAKFERT</v>
      </c>
      <c r="B10" s="9" t="s">
        <v>16777</v>
      </c>
      <c r="C10" s="9" t="s">
        <v>300</v>
      </c>
    </row>
    <row r="11">
      <c r="A11" s="20" t="str">
        <f t="shared" si="1"/>
        <v>SUMICHEM</v>
      </c>
      <c r="B11" s="9" t="s">
        <v>16777</v>
      </c>
      <c r="C11" s="9" t="s">
        <v>772</v>
      </c>
    </row>
    <row r="12">
      <c r="A12" s="20" t="str">
        <f t="shared" si="1"/>
        <v>PIIND</v>
      </c>
      <c r="B12" s="9" t="s">
        <v>16777</v>
      </c>
      <c r="C12" s="9" t="s">
        <v>488</v>
      </c>
    </row>
    <row r="13">
      <c r="A13" s="20" t="str">
        <f t="shared" si="1"/>
        <v>UPL</v>
      </c>
      <c r="B13" s="9" t="s">
        <v>16777</v>
      </c>
      <c r="C13" s="9" t="s">
        <v>426</v>
      </c>
    </row>
    <row r="14">
      <c r="A14" s="20" t="str">
        <f t="shared" si="1"/>
        <v>AARTIIND</v>
      </c>
      <c r="B14" s="9" t="s">
        <v>16777</v>
      </c>
      <c r="C14" s="9" t="s">
        <v>497</v>
      </c>
    </row>
    <row r="15">
      <c r="A15" s="20" t="str">
        <f t="shared" si="1"/>
        <v>NFL</v>
      </c>
      <c r="B15" s="9" t="s">
        <v>16777</v>
      </c>
      <c r="C15" s="9" t="s">
        <v>483</v>
      </c>
    </row>
    <row r="16">
      <c r="A16" s="20" t="str">
        <f t="shared" si="1"/>
        <v>ALKYLAMINE</v>
      </c>
      <c r="B16" s="9" t="s">
        <v>16777</v>
      </c>
      <c r="C16" s="9" t="s">
        <v>387</v>
      </c>
    </row>
    <row r="17">
      <c r="A17" s="20" t="str">
        <f t="shared" si="1"/>
        <v>KSCL</v>
      </c>
      <c r="B17" s="9" t="s">
        <v>16777</v>
      </c>
      <c r="C17" s="9" t="s">
        <v>10731</v>
      </c>
    </row>
    <row r="18">
      <c r="A18" s="20" t="str">
        <f t="shared" si="1"/>
        <v>ANURAS</v>
      </c>
      <c r="B18" s="9" t="s">
        <v>16777</v>
      </c>
      <c r="C18" s="9" t="s">
        <v>788</v>
      </c>
    </row>
    <row r="19">
      <c r="A19" s="20" t="str">
        <f t="shared" si="1"/>
        <v>APLAPOLLO</v>
      </c>
      <c r="B19" s="9" t="s">
        <v>16777</v>
      </c>
      <c r="C19" s="9" t="s">
        <v>14583</v>
      </c>
    </row>
    <row r="20">
      <c r="A20" s="20" t="str">
        <f t="shared" si="1"/>
        <v>ATUL</v>
      </c>
      <c r="B20" s="9" t="s">
        <v>16777</v>
      </c>
      <c r="C20" s="9" t="s">
        <v>17</v>
      </c>
    </row>
    <row r="21">
      <c r="A21" s="20" t="str">
        <f t="shared" si="1"/>
        <v>BALAMINES</v>
      </c>
      <c r="B21" s="9" t="s">
        <v>16777</v>
      </c>
      <c r="C21" s="9" t="s">
        <v>590</v>
      </c>
    </row>
    <row r="22">
      <c r="A22" s="20" t="str">
        <f t="shared" si="1"/>
        <v>BALRAMCHIN</v>
      </c>
      <c r="B22" s="9" t="s">
        <v>16777</v>
      </c>
      <c r="C22" s="9" t="s">
        <v>6716</v>
      </c>
    </row>
    <row r="23">
      <c r="A23" s="20" t="str">
        <f t="shared" si="1"/>
        <v>CHEMPLASTS</v>
      </c>
      <c r="B23" s="9" t="s">
        <v>16777</v>
      </c>
      <c r="C23" s="9" t="s">
        <v>841</v>
      </c>
    </row>
    <row r="24">
      <c r="A24" s="20" t="str">
        <f t="shared" si="1"/>
        <v>DCMSHRIRAM</v>
      </c>
      <c r="B24" s="9" t="s">
        <v>16777</v>
      </c>
      <c r="C24" s="9" t="s">
        <v>5679</v>
      </c>
    </row>
    <row r="25">
      <c r="A25" s="20" t="str">
        <f t="shared" si="1"/>
        <v>ELGIEQUIP</v>
      </c>
      <c r="B25" s="9" t="s">
        <v>16777</v>
      </c>
      <c r="C25" s="9" t="s">
        <v>13848</v>
      </c>
    </row>
    <row r="26">
      <c r="A26" s="20" t="str">
        <f t="shared" si="1"/>
        <v>FINPIPE</v>
      </c>
      <c r="B26" s="9" t="s">
        <v>16777</v>
      </c>
      <c r="C26" s="9" t="s">
        <v>13535</v>
      </c>
    </row>
    <row r="27">
      <c r="A27" s="20" t="str">
        <f t="shared" si="1"/>
        <v>KSB</v>
      </c>
      <c r="B27" s="9" t="s">
        <v>16777</v>
      </c>
      <c r="C27" s="9" t="s">
        <v>13253</v>
      </c>
    </row>
    <row r="28">
      <c r="A28" s="20" t="str">
        <f t="shared" si="1"/>
        <v>PRAJIND</v>
      </c>
      <c r="B28" s="9" t="s">
        <v>16777</v>
      </c>
      <c r="C28" s="9" t="s">
        <v>13937</v>
      </c>
    </row>
    <row r="29">
      <c r="A29" s="20" t="str">
        <f t="shared" si="1"/>
        <v>RCF</v>
      </c>
      <c r="B29" s="9" t="s">
        <v>16777</v>
      </c>
      <c r="C29" s="9" t="s">
        <v>510</v>
      </c>
    </row>
    <row r="30">
      <c r="A30" s="20" t="str">
        <f t="shared" si="1"/>
        <v>TIINDIA</v>
      </c>
      <c r="B30" s="9" t="s">
        <v>16777</v>
      </c>
      <c r="C30" s="9" t="s">
        <v>3027</v>
      </c>
    </row>
    <row r="31">
      <c r="A31" s="20" t="str">
        <f t="shared" si="1"/>
        <v>ACC</v>
      </c>
      <c r="B31" s="9" t="s">
        <v>23</v>
      </c>
      <c r="C31" s="21" t="s">
        <v>273</v>
      </c>
    </row>
    <row r="32">
      <c r="A32" s="20" t="str">
        <f t="shared" si="1"/>
        <v>ADANIENSOL</v>
      </c>
      <c r="B32" s="9" t="s">
        <v>23</v>
      </c>
      <c r="C32" s="21" t="s">
        <v>16601</v>
      </c>
    </row>
    <row r="33">
      <c r="A33" s="20" t="str">
        <f t="shared" si="1"/>
        <v>ADANIPOWER</v>
      </c>
      <c r="B33" s="9" t="s">
        <v>23</v>
      </c>
      <c r="C33" s="21" t="s">
        <v>16469</v>
      </c>
    </row>
    <row r="34">
      <c r="A34" s="20" t="str">
        <f t="shared" si="1"/>
        <v>AMBUJACEM</v>
      </c>
      <c r="B34" s="9" t="s">
        <v>23</v>
      </c>
      <c r="C34" s="21" t="s">
        <v>278</v>
      </c>
    </row>
    <row r="35">
      <c r="A35" s="20" t="str">
        <f t="shared" si="1"/>
        <v>APLAPOLLO</v>
      </c>
      <c r="B35" s="9" t="s">
        <v>23</v>
      </c>
      <c r="C35" s="21" t="s">
        <v>14583</v>
      </c>
    </row>
    <row r="36">
      <c r="A36" s="20" t="str">
        <f t="shared" si="1"/>
        <v>BPCL</v>
      </c>
      <c r="B36" s="9" t="s">
        <v>23</v>
      </c>
      <c r="C36" s="21" t="s">
        <v>5960</v>
      </c>
    </row>
    <row r="37">
      <c r="A37" s="20" t="str">
        <f t="shared" si="1"/>
        <v>DALBHARAT</v>
      </c>
      <c r="B37" s="9" t="s">
        <v>23</v>
      </c>
      <c r="C37" s="21" t="s">
        <v>754</v>
      </c>
    </row>
    <row r="38">
      <c r="A38" s="20" t="str">
        <f t="shared" si="1"/>
        <v>DEEPAKNTR</v>
      </c>
      <c r="B38" s="9" t="s">
        <v>23</v>
      </c>
      <c r="C38" s="21" t="s">
        <v>354</v>
      </c>
    </row>
    <row r="39">
      <c r="A39" s="20" t="str">
        <f t="shared" si="1"/>
        <v>GRASIM</v>
      </c>
      <c r="B39" s="9" t="s">
        <v>23</v>
      </c>
      <c r="C39" s="21" t="s">
        <v>193</v>
      </c>
    </row>
    <row r="40">
      <c r="A40" s="20" t="str">
        <f t="shared" si="1"/>
        <v>ADANIGREEN</v>
      </c>
      <c r="B40" s="9" t="s">
        <v>23</v>
      </c>
      <c r="C40" s="21" t="s">
        <v>16654</v>
      </c>
    </row>
    <row r="41">
      <c r="A41" s="20" t="str">
        <f t="shared" si="1"/>
        <v>HINDPETRO</v>
      </c>
      <c r="B41" s="9" t="s">
        <v>23</v>
      </c>
      <c r="C41" s="21" t="s">
        <v>5844</v>
      </c>
    </row>
    <row r="42">
      <c r="A42" s="20" t="str">
        <f t="shared" si="1"/>
        <v>IOC</v>
      </c>
      <c r="B42" s="9" t="s">
        <v>23</v>
      </c>
      <c r="C42" s="21" t="s">
        <v>6158</v>
      </c>
    </row>
    <row r="43">
      <c r="A43" s="20" t="str">
        <f t="shared" si="1"/>
        <v>COALINDIA</v>
      </c>
      <c r="B43" s="9" t="s">
        <v>23</v>
      </c>
      <c r="C43" s="21" t="s">
        <v>6302</v>
      </c>
    </row>
    <row r="44">
      <c r="A44" s="20" t="str">
        <f t="shared" si="1"/>
        <v>JSWSTEEL</v>
      </c>
      <c r="B44" s="9" t="s">
        <v>23</v>
      </c>
      <c r="C44" s="21" t="s">
        <v>149</v>
      </c>
    </row>
    <row r="45">
      <c r="A45" s="20" t="str">
        <f t="shared" si="1"/>
        <v>HINDALCO</v>
      </c>
      <c r="B45" s="9" t="s">
        <v>23</v>
      </c>
      <c r="C45" s="21" t="s">
        <v>283</v>
      </c>
    </row>
    <row r="46">
      <c r="A46" s="20" t="str">
        <f t="shared" si="1"/>
        <v>ONGC</v>
      </c>
      <c r="B46" s="9" t="s">
        <v>23</v>
      </c>
      <c r="C46" s="21" t="s">
        <v>5938</v>
      </c>
    </row>
    <row r="47">
      <c r="A47" s="20" t="str">
        <f t="shared" si="1"/>
        <v>JINDALSTEL</v>
      </c>
      <c r="B47" s="9" t="s">
        <v>23</v>
      </c>
      <c r="C47" s="21" t="s">
        <v>633</v>
      </c>
    </row>
    <row r="48">
      <c r="A48" s="20" t="str">
        <f t="shared" si="1"/>
        <v>PIIND</v>
      </c>
      <c r="B48" s="9" t="s">
        <v>23</v>
      </c>
      <c r="C48" s="21" t="s">
        <v>488</v>
      </c>
    </row>
    <row r="49">
      <c r="A49" s="20" t="str">
        <f t="shared" si="1"/>
        <v>RELIANCE</v>
      </c>
      <c r="B49" s="9" t="s">
        <v>23</v>
      </c>
      <c r="C49" s="21" t="s">
        <v>5953</v>
      </c>
    </row>
    <row r="50">
      <c r="A50" s="20" t="str">
        <f t="shared" si="1"/>
        <v>SAIL</v>
      </c>
      <c r="B50" s="9" t="s">
        <v>23</v>
      </c>
      <c r="C50" s="21" t="s">
        <v>103</v>
      </c>
    </row>
    <row r="51">
      <c r="A51" s="20" t="str">
        <f t="shared" si="1"/>
        <v>SHREECEM</v>
      </c>
      <c r="B51" s="9" t="s">
        <v>23</v>
      </c>
      <c r="C51" s="21" t="s">
        <v>260</v>
      </c>
    </row>
    <row r="52">
      <c r="A52" s="20" t="str">
        <f t="shared" si="1"/>
        <v>SRF</v>
      </c>
      <c r="B52" s="9" t="s">
        <v>23</v>
      </c>
      <c r="C52" s="21" t="s">
        <v>335</v>
      </c>
    </row>
    <row r="53">
      <c r="A53" s="20" t="str">
        <f t="shared" si="1"/>
        <v>TATACHEM</v>
      </c>
      <c r="B53" s="9" t="s">
        <v>23</v>
      </c>
      <c r="C53" s="21" t="s">
        <v>314</v>
      </c>
    </row>
    <row r="54">
      <c r="A54" s="20" t="str">
        <f t="shared" si="1"/>
        <v>NTPC</v>
      </c>
      <c r="B54" s="9" t="s">
        <v>23</v>
      </c>
      <c r="C54" s="21" t="s">
        <v>16260</v>
      </c>
    </row>
    <row r="55">
      <c r="A55" s="20" t="str">
        <f t="shared" si="1"/>
        <v>PIDILITIND</v>
      </c>
      <c r="B55" s="9" t="s">
        <v>23</v>
      </c>
      <c r="C55" s="21" t="s">
        <v>224</v>
      </c>
    </row>
    <row r="56">
      <c r="A56" s="20" t="str">
        <f t="shared" si="1"/>
        <v>ULTRACEMCO</v>
      </c>
      <c r="B56" s="9" t="s">
        <v>23</v>
      </c>
      <c r="C56" s="21" t="s">
        <v>651</v>
      </c>
    </row>
    <row r="57">
      <c r="A57" s="20" t="str">
        <f t="shared" si="1"/>
        <v>UPL</v>
      </c>
      <c r="B57" s="9" t="s">
        <v>23</v>
      </c>
      <c r="C57" s="21" t="s">
        <v>426</v>
      </c>
    </row>
    <row r="58">
      <c r="A58" s="20" t="str">
        <f t="shared" si="1"/>
        <v>TATAPOWER</v>
      </c>
      <c r="B58" s="9" t="s">
        <v>23</v>
      </c>
      <c r="C58" s="21" t="s">
        <v>16184</v>
      </c>
    </row>
    <row r="59">
      <c r="A59" s="20" t="str">
        <f t="shared" si="1"/>
        <v>TATASTEEL</v>
      </c>
      <c r="B59" s="9" t="s">
        <v>23</v>
      </c>
      <c r="C59" s="21" t="s">
        <v>295</v>
      </c>
    </row>
    <row r="60">
      <c r="A60" s="20" t="str">
        <f t="shared" si="1"/>
        <v>VEDL</v>
      </c>
      <c r="B60" s="9" t="s">
        <v>23</v>
      </c>
      <c r="C60" s="21" t="s">
        <v>166</v>
      </c>
    </row>
    <row r="61">
      <c r="A61" s="20" t="str">
        <f t="shared" si="1"/>
        <v>ARE&amp;M</v>
      </c>
      <c r="B61" s="9" t="s">
        <v>16778</v>
      </c>
      <c r="C61" s="21" t="s">
        <v>877</v>
      </c>
    </row>
    <row r="62">
      <c r="A62" s="20" t="str">
        <f t="shared" si="1"/>
        <v>ASHOKLEY</v>
      </c>
      <c r="B62" s="9" t="s">
        <v>16778</v>
      </c>
      <c r="C62" s="21" t="s">
        <v>13407</v>
      </c>
    </row>
    <row r="63">
      <c r="A63" s="20" t="str">
        <f t="shared" si="1"/>
        <v>BAJAJ-AUTO</v>
      </c>
      <c r="B63" s="9" t="s">
        <v>16778</v>
      </c>
      <c r="C63" s="21" t="s">
        <v>1951</v>
      </c>
    </row>
    <row r="64">
      <c r="A64" s="20" t="str">
        <f t="shared" si="1"/>
        <v>BHARATFORG</v>
      </c>
      <c r="B64" s="9" t="s">
        <v>16778</v>
      </c>
      <c r="C64" s="21" t="s">
        <v>1026</v>
      </c>
    </row>
    <row r="65">
      <c r="A65" s="20" t="str">
        <f t="shared" si="1"/>
        <v>EICHERMOT</v>
      </c>
      <c r="B65" s="9" t="s">
        <v>16778</v>
      </c>
      <c r="C65" s="21" t="s">
        <v>1145</v>
      </c>
    </row>
    <row r="66">
      <c r="A66" s="20" t="str">
        <f t="shared" si="1"/>
        <v>BOSCHLTD</v>
      </c>
      <c r="B66" s="9" t="s">
        <v>16778</v>
      </c>
      <c r="C66" s="21" t="s">
        <v>1068</v>
      </c>
    </row>
    <row r="67">
      <c r="A67" s="20" t="str">
        <f t="shared" si="1"/>
        <v>FLUOROCHEM</v>
      </c>
      <c r="B67" s="9" t="s">
        <v>16778</v>
      </c>
      <c r="C67" s="21" t="s">
        <v>763</v>
      </c>
    </row>
    <row r="68">
      <c r="A68" s="20" t="str">
        <f t="shared" si="1"/>
        <v>CGPOWER</v>
      </c>
      <c r="B68" s="9" t="s">
        <v>16778</v>
      </c>
      <c r="C68" s="21" t="s">
        <v>12701</v>
      </c>
    </row>
    <row r="69">
      <c r="A69" s="20" t="str">
        <f t="shared" si="1"/>
        <v>HSCL</v>
      </c>
      <c r="B69" s="9" t="s">
        <v>16778</v>
      </c>
      <c r="C69" s="21" t="s">
        <v>126</v>
      </c>
    </row>
    <row r="70">
      <c r="A70" s="20" t="str">
        <f t="shared" si="1"/>
        <v>JBMA</v>
      </c>
      <c r="B70" s="9" t="s">
        <v>16778</v>
      </c>
      <c r="C70" s="21" t="s">
        <v>1447</v>
      </c>
    </row>
    <row r="71">
      <c r="A71" s="20" t="str">
        <f t="shared" si="1"/>
        <v>JWL</v>
      </c>
      <c r="B71" s="9" t="s">
        <v>16778</v>
      </c>
      <c r="C71" s="21" t="s">
        <v>14457</v>
      </c>
    </row>
    <row r="72">
      <c r="A72" s="20" t="str">
        <f t="shared" si="1"/>
        <v>KPITTECH</v>
      </c>
      <c r="B72" s="9" t="s">
        <v>16778</v>
      </c>
      <c r="C72" s="21" t="s">
        <v>15239</v>
      </c>
    </row>
    <row r="73">
      <c r="A73" s="20" t="str">
        <f t="shared" si="1"/>
        <v>LTTS</v>
      </c>
      <c r="B73" s="9" t="s">
        <v>16778</v>
      </c>
      <c r="C73" s="21" t="s">
        <v>15193</v>
      </c>
    </row>
    <row r="74">
      <c r="A74" s="20" t="str">
        <f t="shared" si="1"/>
        <v>EXIDEIND</v>
      </c>
      <c r="B74" s="9" t="s">
        <v>16778</v>
      </c>
      <c r="C74" s="21" t="s">
        <v>939</v>
      </c>
    </row>
    <row r="75">
      <c r="A75" s="20" t="str">
        <f t="shared" si="1"/>
        <v>MARUTI</v>
      </c>
      <c r="B75" s="9" t="s">
        <v>16778</v>
      </c>
      <c r="C75" s="21" t="s">
        <v>1405</v>
      </c>
    </row>
    <row r="76">
      <c r="A76" s="20" t="str">
        <f t="shared" si="1"/>
        <v>MINDACORP</v>
      </c>
      <c r="B76" s="9" t="s">
        <v>16778</v>
      </c>
      <c r="C76" s="21" t="s">
        <v>2493</v>
      </c>
    </row>
    <row r="77">
      <c r="A77" s="20" t="str">
        <f t="shared" si="1"/>
        <v>MOTHERSON</v>
      </c>
      <c r="B77" s="9" t="s">
        <v>16778</v>
      </c>
      <c r="C77" s="21" t="s">
        <v>1229</v>
      </c>
    </row>
    <row r="78">
      <c r="A78" s="20" t="str">
        <f t="shared" si="1"/>
        <v>MSUMI</v>
      </c>
      <c r="B78" s="9" t="s">
        <v>16778</v>
      </c>
      <c r="C78" s="21" t="s">
        <v>4904</v>
      </c>
    </row>
    <row r="79">
      <c r="A79" s="20" t="str">
        <f t="shared" si="1"/>
        <v>OLECTRA</v>
      </c>
      <c r="B79" s="9" t="s">
        <v>16778</v>
      </c>
      <c r="C79" s="21" t="s">
        <v>1375</v>
      </c>
    </row>
    <row r="80">
      <c r="A80" s="20" t="str">
        <f t="shared" si="1"/>
        <v>RTNINDIA</v>
      </c>
      <c r="B80" s="9" t="s">
        <v>16778</v>
      </c>
      <c r="C80" s="21" t="s">
        <v>2243</v>
      </c>
    </row>
    <row r="81">
      <c r="A81" s="20" t="str">
        <f t="shared" si="1"/>
        <v>HEROMOTOCO</v>
      </c>
      <c r="B81" s="9" t="s">
        <v>16778</v>
      </c>
      <c r="C81" s="21" t="s">
        <v>959</v>
      </c>
    </row>
    <row r="82">
      <c r="A82" s="20" t="str">
        <f t="shared" si="1"/>
        <v>M&amp;M</v>
      </c>
      <c r="B82" s="9" t="s">
        <v>16778</v>
      </c>
      <c r="C82" s="21" t="s">
        <v>1042</v>
      </c>
    </row>
    <row r="83">
      <c r="A83" s="20" t="str">
        <f t="shared" si="1"/>
        <v>TATACHEM</v>
      </c>
      <c r="B83" s="9" t="s">
        <v>16778</v>
      </c>
      <c r="C83" s="21" t="s">
        <v>314</v>
      </c>
    </row>
    <row r="84">
      <c r="A84" s="20" t="str">
        <f t="shared" si="1"/>
        <v>TATAELXSI</v>
      </c>
      <c r="B84" s="9" t="s">
        <v>16778</v>
      </c>
      <c r="C84" s="21" t="s">
        <v>15033</v>
      </c>
    </row>
    <row r="85">
      <c r="A85" s="20" t="str">
        <f t="shared" si="1"/>
        <v>TATAMOTORS</v>
      </c>
      <c r="B85" s="9" t="s">
        <v>16778</v>
      </c>
      <c r="C85" s="21" t="s">
        <v>1077</v>
      </c>
    </row>
    <row r="86">
      <c r="A86" s="20" t="str">
        <f t="shared" si="1"/>
        <v>TATATECH</v>
      </c>
      <c r="B86" s="9" t="s">
        <v>16778</v>
      </c>
      <c r="C86" s="21" t="s">
        <v>15349</v>
      </c>
    </row>
    <row r="87">
      <c r="A87" s="20" t="str">
        <f t="shared" si="1"/>
        <v>TIINDIA</v>
      </c>
      <c r="B87" s="9" t="s">
        <v>16778</v>
      </c>
      <c r="C87" s="21" t="s">
        <v>3027</v>
      </c>
    </row>
    <row r="88">
      <c r="A88" s="20" t="str">
        <f t="shared" si="1"/>
        <v>SCHAEFFLER</v>
      </c>
      <c r="B88" s="9" t="s">
        <v>16778</v>
      </c>
      <c r="C88" s="21" t="s">
        <v>1180</v>
      </c>
    </row>
    <row r="89">
      <c r="A89" s="20" t="str">
        <f t="shared" si="1"/>
        <v>SONACOMS</v>
      </c>
      <c r="B89" s="9" t="s">
        <v>16778</v>
      </c>
      <c r="C89" s="21" t="s">
        <v>4143</v>
      </c>
    </row>
    <row r="90">
      <c r="A90" s="20" t="str">
        <f t="shared" si="1"/>
        <v>VARROC</v>
      </c>
      <c r="B90" s="9" t="s">
        <v>16778</v>
      </c>
      <c r="C90" s="21" t="s">
        <v>3149</v>
      </c>
    </row>
    <row r="91">
      <c r="A91" s="20" t="str">
        <f t="shared" si="1"/>
        <v>TVSMOTOR</v>
      </c>
      <c r="B91" s="9" t="s">
        <v>16778</v>
      </c>
      <c r="C91" s="21" t="s">
        <v>1365</v>
      </c>
    </row>
    <row r="92">
      <c r="A92" s="20" t="str">
        <f t="shared" si="1"/>
        <v>UNOMINDA</v>
      </c>
      <c r="B92" s="9" t="s">
        <v>16778</v>
      </c>
      <c r="C92" s="21" t="s">
        <v>1424</v>
      </c>
    </row>
    <row r="93">
      <c r="A93" s="20" t="str">
        <f t="shared" si="1"/>
        <v>GABRIEL</v>
      </c>
      <c r="B93" s="9" t="s">
        <v>16778</v>
      </c>
      <c r="C93" s="21" t="s">
        <v>1171</v>
      </c>
    </row>
    <row r="94">
      <c r="A94" s="20" t="str">
        <f t="shared" si="1"/>
        <v>APOLLOHOSP</v>
      </c>
      <c r="B94" s="22" t="s">
        <v>45</v>
      </c>
      <c r="C94" s="21" t="s">
        <v>11073</v>
      </c>
    </row>
    <row r="95">
      <c r="A95" s="20" t="str">
        <f t="shared" si="1"/>
        <v>FORTIS</v>
      </c>
      <c r="B95" s="22" t="s">
        <v>45</v>
      </c>
      <c r="C95" s="21" t="s">
        <v>11409</v>
      </c>
    </row>
    <row r="96">
      <c r="A96" s="20" t="str">
        <f t="shared" si="1"/>
        <v>KIMS</v>
      </c>
      <c r="B96" s="22" t="s">
        <v>45</v>
      </c>
      <c r="C96" s="21" t="s">
        <v>11730</v>
      </c>
    </row>
    <row r="97">
      <c r="A97" s="20" t="str">
        <f t="shared" si="1"/>
        <v>LALPATHLAB</v>
      </c>
      <c r="B97" s="22" t="s">
        <v>45</v>
      </c>
      <c r="C97" s="21" t="s">
        <v>11487</v>
      </c>
    </row>
    <row r="98">
      <c r="A98" s="20" t="str">
        <f t="shared" si="1"/>
        <v>MAXHEALTH</v>
      </c>
      <c r="B98" s="22" t="s">
        <v>45</v>
      </c>
      <c r="C98" s="21" t="s">
        <v>11694</v>
      </c>
    </row>
    <row r="99">
      <c r="A99" s="20" t="str">
        <f t="shared" si="1"/>
        <v>MEDPLUS</v>
      </c>
      <c r="B99" s="22" t="s">
        <v>45</v>
      </c>
      <c r="C99" s="21" t="s">
        <v>4795</v>
      </c>
    </row>
    <row r="100">
      <c r="A100" s="20" t="str">
        <f t="shared" si="1"/>
        <v>METROPOLIS</v>
      </c>
      <c r="B100" s="22" t="s">
        <v>45</v>
      </c>
      <c r="C100" s="21" t="s">
        <v>11640</v>
      </c>
    </row>
    <row r="101">
      <c r="A101" s="20" t="str">
        <f t="shared" si="1"/>
        <v>NH</v>
      </c>
      <c r="B101" s="22" t="s">
        <v>45</v>
      </c>
      <c r="C101" s="21" t="s">
        <v>11491</v>
      </c>
    </row>
    <row r="102">
      <c r="A102" s="20" t="str">
        <f t="shared" si="1"/>
        <v>PGHL</v>
      </c>
      <c r="B102" s="22" t="s">
        <v>45</v>
      </c>
      <c r="C102" s="21" t="s">
        <v>10979</v>
      </c>
    </row>
    <row r="103">
      <c r="A103" s="20" t="str">
        <f t="shared" si="1"/>
        <v>POLYMED</v>
      </c>
      <c r="B103" s="22" t="s">
        <v>45</v>
      </c>
      <c r="C103" s="21" t="s">
        <v>11254</v>
      </c>
    </row>
    <row r="104">
      <c r="A104" s="20" t="str">
        <f t="shared" si="1"/>
        <v>ASIANPAINT</v>
      </c>
      <c r="B104" s="9" t="s">
        <v>16779</v>
      </c>
      <c r="C104" s="21" t="s">
        <v>1098</v>
      </c>
    </row>
    <row r="105">
      <c r="A105" s="20" t="str">
        <f t="shared" si="1"/>
        <v>BERGEPAINT</v>
      </c>
      <c r="B105" s="9" t="s">
        <v>16779</v>
      </c>
      <c r="C105" s="21" t="s">
        <v>1193</v>
      </c>
    </row>
    <row r="106">
      <c r="A106" s="20" t="str">
        <f t="shared" si="1"/>
        <v>BLUESTARCO</v>
      </c>
      <c r="B106" s="9" t="s">
        <v>16779</v>
      </c>
      <c r="C106" s="21" t="s">
        <v>935</v>
      </c>
    </row>
    <row r="107">
      <c r="A107" s="20" t="str">
        <f t="shared" si="1"/>
        <v>CROMPTON</v>
      </c>
      <c r="B107" s="9" t="s">
        <v>16779</v>
      </c>
      <c r="C107" s="21" t="s">
        <v>2535</v>
      </c>
    </row>
    <row r="108">
      <c r="A108" s="20" t="str">
        <f t="shared" si="1"/>
        <v>KAJARIACER</v>
      </c>
      <c r="B108" s="9" t="s">
        <v>16779</v>
      </c>
      <c r="C108" s="21" t="s">
        <v>969</v>
      </c>
    </row>
    <row r="109">
      <c r="A109" s="20" t="str">
        <f t="shared" si="1"/>
        <v>KANSAINER</v>
      </c>
      <c r="B109" s="9" t="s">
        <v>16779</v>
      </c>
      <c r="C109" s="21" t="s">
        <v>954</v>
      </c>
    </row>
    <row r="110">
      <c r="A110" s="20" t="str">
        <f t="shared" si="1"/>
        <v>HAVELLS</v>
      </c>
      <c r="B110" s="9" t="s">
        <v>16779</v>
      </c>
      <c r="C110" s="21" t="s">
        <v>1237</v>
      </c>
    </row>
    <row r="111">
      <c r="A111" s="20" t="str">
        <f t="shared" si="1"/>
        <v>KEI</v>
      </c>
      <c r="B111" s="9" t="s">
        <v>16779</v>
      </c>
      <c r="C111" s="21" t="s">
        <v>13829</v>
      </c>
    </row>
    <row r="112">
      <c r="A112" s="20" t="str">
        <f t="shared" si="1"/>
        <v>WHIRLPOOL</v>
      </c>
      <c r="B112" s="9" t="s">
        <v>16779</v>
      </c>
      <c r="C112" s="21" t="s">
        <v>977</v>
      </c>
    </row>
    <row r="113">
      <c r="A113" s="20" t="str">
        <f t="shared" si="1"/>
        <v>POLYCAB</v>
      </c>
      <c r="B113" s="9" t="s">
        <v>16779</v>
      </c>
      <c r="C113" s="21" t="s">
        <v>14838</v>
      </c>
    </row>
    <row r="114">
      <c r="A114" s="20" t="str">
        <f t="shared" si="1"/>
        <v>VOLTAS</v>
      </c>
      <c r="B114" s="9" t="s">
        <v>16779</v>
      </c>
      <c r="C114" s="21" t="s">
        <v>1090</v>
      </c>
    </row>
    <row r="115">
      <c r="A115" s="20" t="str">
        <f t="shared" si="1"/>
        <v>AAVAS</v>
      </c>
      <c r="B115" s="9" t="s">
        <v>16780</v>
      </c>
      <c r="C115" s="21" t="s">
        <v>10429</v>
      </c>
    </row>
    <row r="116">
      <c r="A116" s="20" t="str">
        <f t="shared" si="1"/>
        <v>ACC</v>
      </c>
      <c r="B116" s="9" t="s">
        <v>16780</v>
      </c>
      <c r="C116" s="21" t="s">
        <v>273</v>
      </c>
    </row>
    <row r="117">
      <c r="A117" s="20" t="str">
        <f t="shared" si="1"/>
        <v>AMBUJACEM</v>
      </c>
      <c r="B117" s="9" t="s">
        <v>16780</v>
      </c>
      <c r="C117" s="21" t="s">
        <v>278</v>
      </c>
    </row>
    <row r="118">
      <c r="A118" s="20" t="str">
        <f t="shared" si="1"/>
        <v>DALBHARAT</v>
      </c>
      <c r="B118" s="9" t="s">
        <v>16780</v>
      </c>
      <c r="C118" s="21" t="s">
        <v>754</v>
      </c>
    </row>
    <row r="119">
      <c r="A119" s="20" t="str">
        <f t="shared" si="1"/>
        <v>GRASIM</v>
      </c>
      <c r="B119" s="9" t="s">
        <v>16780</v>
      </c>
      <c r="C119" s="21" t="s">
        <v>193</v>
      </c>
    </row>
    <row r="120">
      <c r="A120" s="20" t="str">
        <f t="shared" si="1"/>
        <v>IBULHSGFIN</v>
      </c>
      <c r="B120" s="9" t="s">
        <v>16780</v>
      </c>
      <c r="C120" s="21" t="s">
        <v>10086</v>
      </c>
    </row>
    <row r="121">
      <c r="A121" s="20" t="str">
        <f t="shared" si="1"/>
        <v>JKCEMENT</v>
      </c>
      <c r="B121" s="9" t="s">
        <v>16780</v>
      </c>
      <c r="C121" s="21" t="s">
        <v>660</v>
      </c>
    </row>
    <row r="122">
      <c r="A122" s="20" t="str">
        <f t="shared" si="1"/>
        <v>LICHSGFIN</v>
      </c>
      <c r="B122" s="9" t="s">
        <v>16780</v>
      </c>
      <c r="C122" s="21" t="s">
        <v>9515</v>
      </c>
    </row>
    <row r="123">
      <c r="A123" s="20" t="str">
        <f t="shared" si="1"/>
        <v>RAMCOCEM</v>
      </c>
      <c r="B123" s="9" t="s">
        <v>16780</v>
      </c>
      <c r="C123" s="21" t="s">
        <v>160</v>
      </c>
    </row>
    <row r="124">
      <c r="A124" s="20" t="str">
        <f t="shared" si="1"/>
        <v>SHREECEM</v>
      </c>
      <c r="B124" s="9" t="s">
        <v>16780</v>
      </c>
      <c r="C124" s="21" t="s">
        <v>260</v>
      </c>
    </row>
    <row r="125">
      <c r="A125" s="20" t="str">
        <f t="shared" si="1"/>
        <v>ULTRACEMCO</v>
      </c>
      <c r="B125" s="9" t="s">
        <v>16780</v>
      </c>
      <c r="C125" s="21" t="s">
        <v>651</v>
      </c>
    </row>
    <row r="126">
      <c r="A126" s="20" t="str">
        <f t="shared" si="1"/>
        <v>AXISBANK</v>
      </c>
      <c r="B126" s="9" t="s">
        <v>16780</v>
      </c>
      <c r="C126" s="21" t="s">
        <v>9862</v>
      </c>
    </row>
    <row r="127">
      <c r="A127" s="20" t="str">
        <f t="shared" si="1"/>
        <v>BANDHANBNK</v>
      </c>
      <c r="B127" s="9" t="s">
        <v>16780</v>
      </c>
      <c r="C127" s="21" t="s">
        <v>10365</v>
      </c>
    </row>
    <row r="128">
      <c r="A128" s="20" t="str">
        <f t="shared" si="1"/>
        <v>BANKBARODA</v>
      </c>
      <c r="B128" s="9" t="s">
        <v>16780</v>
      </c>
      <c r="C128" s="21" t="s">
        <v>9811</v>
      </c>
    </row>
    <row r="129">
      <c r="A129" s="20" t="str">
        <f t="shared" si="1"/>
        <v>CUB</v>
      </c>
      <c r="B129" s="9" t="s">
        <v>16780</v>
      </c>
      <c r="C129" s="21" t="s">
        <v>9854</v>
      </c>
    </row>
    <row r="130">
      <c r="A130" s="20" t="str">
        <f t="shared" si="1"/>
        <v>FEDERALBNK</v>
      </c>
      <c r="B130" s="9" t="s">
        <v>16780</v>
      </c>
      <c r="C130" s="21" t="s">
        <v>9562</v>
      </c>
    </row>
    <row r="131">
      <c r="A131" s="20" t="str">
        <f t="shared" si="1"/>
        <v>HDFCBANK</v>
      </c>
      <c r="B131" s="9" t="s">
        <v>16780</v>
      </c>
      <c r="C131" s="21" t="s">
        <v>9488</v>
      </c>
    </row>
    <row r="132">
      <c r="A132" s="20" t="str">
        <f t="shared" si="1"/>
        <v>ICICIBANK</v>
      </c>
      <c r="B132" s="9" t="s">
        <v>16780</v>
      </c>
      <c r="C132" s="21" t="s">
        <v>9826</v>
      </c>
    </row>
    <row r="133">
      <c r="A133" s="20" t="str">
        <f t="shared" si="1"/>
        <v>IDFCFIRSTB</v>
      </c>
      <c r="B133" s="9" t="s">
        <v>16780</v>
      </c>
      <c r="C133" s="21" t="s">
        <v>10101</v>
      </c>
    </row>
    <row r="134">
      <c r="A134" s="20" t="str">
        <f t="shared" si="1"/>
        <v>INDUSINDBK</v>
      </c>
      <c r="B134" s="9" t="s">
        <v>16780</v>
      </c>
      <c r="C134" s="21" t="s">
        <v>9842</v>
      </c>
    </row>
    <row r="135">
      <c r="A135" s="20" t="str">
        <f t="shared" si="1"/>
        <v>JSWSTEEL</v>
      </c>
      <c r="B135" s="9" t="s">
        <v>16780</v>
      </c>
      <c r="C135" s="21" t="s">
        <v>149</v>
      </c>
    </row>
    <row r="136">
      <c r="A136" s="20" t="str">
        <f t="shared" si="1"/>
        <v>KOTAKBANK</v>
      </c>
      <c r="B136" s="9" t="s">
        <v>16780</v>
      </c>
      <c r="C136" s="21" t="s">
        <v>9500</v>
      </c>
    </row>
    <row r="137">
      <c r="A137" s="20" t="str">
        <f t="shared" si="1"/>
        <v>PNB</v>
      </c>
      <c r="B137" s="9" t="s">
        <v>16780</v>
      </c>
      <c r="C137" s="21" t="s">
        <v>9881</v>
      </c>
    </row>
    <row r="138">
      <c r="A138" s="20" t="str">
        <f t="shared" si="1"/>
        <v>RBLBANK</v>
      </c>
      <c r="B138" s="9" t="s">
        <v>16780</v>
      </c>
      <c r="C138" s="21" t="s">
        <v>10136</v>
      </c>
    </row>
    <row r="139">
      <c r="A139" s="20" t="str">
        <f t="shared" si="1"/>
        <v>SAIL</v>
      </c>
      <c r="B139" s="9" t="s">
        <v>16780</v>
      </c>
      <c r="C139" s="21" t="s">
        <v>103</v>
      </c>
    </row>
    <row r="140">
      <c r="A140" s="20" t="str">
        <f t="shared" si="1"/>
        <v>SBIN</v>
      </c>
      <c r="B140" s="9" t="s">
        <v>16780</v>
      </c>
      <c r="C140" s="21" t="s">
        <v>9472</v>
      </c>
    </row>
    <row r="141">
      <c r="A141" s="20" t="str">
        <f t="shared" si="1"/>
        <v>PHOENIXLTD</v>
      </c>
      <c r="B141" s="9" t="s">
        <v>16780</v>
      </c>
      <c r="C141" s="21" t="s">
        <v>1132</v>
      </c>
    </row>
    <row r="142">
      <c r="A142" s="20" t="str">
        <f t="shared" si="1"/>
        <v>YESBANK</v>
      </c>
      <c r="B142" s="9" t="s">
        <v>16780</v>
      </c>
      <c r="C142" s="21" t="s">
        <v>9926</v>
      </c>
    </row>
    <row r="143">
      <c r="A143" s="20" t="str">
        <f t="shared" si="1"/>
        <v>JINDALSTEL</v>
      </c>
      <c r="B143" s="9" t="s">
        <v>16780</v>
      </c>
      <c r="C143" s="21" t="s">
        <v>633</v>
      </c>
    </row>
    <row r="144">
      <c r="A144" s="20" t="str">
        <f t="shared" si="1"/>
        <v>TATASTEEL</v>
      </c>
      <c r="B144" s="9" t="s">
        <v>16780</v>
      </c>
      <c r="C144" s="21" t="s">
        <v>295</v>
      </c>
    </row>
    <row r="145">
      <c r="A145" s="20" t="str">
        <f t="shared" si="1"/>
        <v>ADANIENSOL</v>
      </c>
      <c r="B145" s="9" t="s">
        <v>16781</v>
      </c>
      <c r="C145" s="21" t="s">
        <v>16601</v>
      </c>
    </row>
    <row r="146">
      <c r="A146" s="20" t="str">
        <f t="shared" si="1"/>
        <v>APOLLOHOSP</v>
      </c>
      <c r="B146" s="9" t="s">
        <v>16781</v>
      </c>
      <c r="C146" s="21" t="s">
        <v>11073</v>
      </c>
    </row>
    <row r="147">
      <c r="A147" s="20" t="str">
        <f t="shared" si="1"/>
        <v>ASIANPAINT</v>
      </c>
      <c r="B147" s="9" t="s">
        <v>16781</v>
      </c>
      <c r="C147" s="21" t="s">
        <v>1098</v>
      </c>
    </row>
    <row r="148">
      <c r="A148" s="20" t="str">
        <f t="shared" si="1"/>
        <v>BHARTIARTL</v>
      </c>
      <c r="B148" s="9" t="s">
        <v>16781</v>
      </c>
      <c r="C148" s="21" t="s">
        <v>16023</v>
      </c>
    </row>
    <row r="149">
      <c r="A149" s="20" t="str">
        <f t="shared" si="1"/>
        <v>BAJAJ-AUTO</v>
      </c>
      <c r="B149" s="9" t="s">
        <v>16781</v>
      </c>
      <c r="C149" s="21" t="s">
        <v>1951</v>
      </c>
    </row>
    <row r="150">
      <c r="A150" s="20" t="str">
        <f t="shared" si="1"/>
        <v>BRITANNIA</v>
      </c>
      <c r="B150" s="9" t="s">
        <v>16781</v>
      </c>
      <c r="C150" s="21" t="s">
        <v>7528</v>
      </c>
    </row>
    <row r="151">
      <c r="A151" s="20" t="str">
        <f t="shared" si="1"/>
        <v>DLF</v>
      </c>
      <c r="B151" s="9" t="s">
        <v>16781</v>
      </c>
      <c r="C151" s="21" t="s">
        <v>1736</v>
      </c>
    </row>
    <row r="152">
      <c r="A152" s="20" t="str">
        <f t="shared" si="1"/>
        <v>COLPAL</v>
      </c>
      <c r="B152" s="9" t="s">
        <v>16781</v>
      </c>
      <c r="C152" s="21" t="s">
        <v>7559</v>
      </c>
    </row>
    <row r="153">
      <c r="A153" s="20" t="str">
        <f t="shared" si="1"/>
        <v>EICHERMOT</v>
      </c>
      <c r="B153" s="9" t="s">
        <v>16781</v>
      </c>
      <c r="C153" s="21" t="s">
        <v>1145</v>
      </c>
    </row>
    <row r="154">
      <c r="A154" s="20" t="str">
        <f t="shared" si="1"/>
        <v>DABUR</v>
      </c>
      <c r="B154" s="9" t="s">
        <v>16781</v>
      </c>
      <c r="C154" s="21" t="s">
        <v>6751</v>
      </c>
    </row>
    <row r="155">
      <c r="A155" s="20" t="str">
        <f t="shared" si="1"/>
        <v>DMART</v>
      </c>
      <c r="B155" s="9" t="s">
        <v>16781</v>
      </c>
      <c r="C155" s="21" t="s">
        <v>3013</v>
      </c>
    </row>
    <row r="156">
      <c r="A156" s="20" t="str">
        <f t="shared" si="1"/>
        <v>GODREJCP</v>
      </c>
      <c r="B156" s="9" t="s">
        <v>16781</v>
      </c>
      <c r="C156" s="21" t="s">
        <v>8826</v>
      </c>
    </row>
    <row r="157">
      <c r="A157" s="20" t="str">
        <f t="shared" si="1"/>
        <v>HAVELLS</v>
      </c>
      <c r="B157" s="9" t="s">
        <v>16781</v>
      </c>
      <c r="C157" s="21" t="s">
        <v>1237</v>
      </c>
    </row>
    <row r="158">
      <c r="A158" s="20" t="str">
        <f t="shared" si="1"/>
        <v>INDHOTEL</v>
      </c>
      <c r="B158" s="9" t="s">
        <v>16781</v>
      </c>
      <c r="C158" s="21" t="s">
        <v>1108</v>
      </c>
    </row>
    <row r="159">
      <c r="A159" s="20" t="str">
        <f t="shared" si="1"/>
        <v>ITC</v>
      </c>
      <c r="B159" s="9" t="s">
        <v>16781</v>
      </c>
      <c r="C159" s="21" t="s">
        <v>7682</v>
      </c>
    </row>
    <row r="160">
      <c r="A160" s="20" t="str">
        <f t="shared" si="1"/>
        <v>HEROMOTOCO</v>
      </c>
      <c r="B160" s="9" t="s">
        <v>16781</v>
      </c>
      <c r="C160" s="21" t="s">
        <v>959</v>
      </c>
    </row>
    <row r="161">
      <c r="A161" s="20" t="str">
        <f t="shared" si="1"/>
        <v>HINDUNILVR</v>
      </c>
      <c r="B161" s="9" t="s">
        <v>16781</v>
      </c>
      <c r="C161" s="21" t="s">
        <v>7258</v>
      </c>
    </row>
    <row r="162">
      <c r="A162" s="20" t="str">
        <f t="shared" si="1"/>
        <v>MARUTI</v>
      </c>
      <c r="B162" s="9" t="s">
        <v>16781</v>
      </c>
      <c r="C162" s="21" t="s">
        <v>1405</v>
      </c>
    </row>
    <row r="163">
      <c r="A163" s="20" t="str">
        <f t="shared" si="1"/>
        <v>MAXHEALTH</v>
      </c>
      <c r="B163" s="9" t="s">
        <v>16781</v>
      </c>
      <c r="C163" s="21" t="s">
        <v>11694</v>
      </c>
    </row>
    <row r="164">
      <c r="A164" s="20" t="str">
        <f t="shared" si="1"/>
        <v>M&amp;M</v>
      </c>
      <c r="B164" s="9" t="s">
        <v>16781</v>
      </c>
      <c r="C164" s="21" t="s">
        <v>1042</v>
      </c>
    </row>
    <row r="165">
      <c r="A165" s="20" t="str">
        <f t="shared" si="1"/>
        <v>NAUKRI</v>
      </c>
      <c r="B165" s="9" t="s">
        <v>16781</v>
      </c>
      <c r="C165" s="21" t="s">
        <v>1611</v>
      </c>
    </row>
    <row r="166">
      <c r="A166" s="20" t="str">
        <f t="shared" si="1"/>
        <v>NESTLEIND</v>
      </c>
      <c r="B166" s="9" t="s">
        <v>16781</v>
      </c>
      <c r="C166" s="21" t="s">
        <v>7271</v>
      </c>
    </row>
    <row r="167">
      <c r="A167" s="20" t="str">
        <f t="shared" si="1"/>
        <v>MARICO</v>
      </c>
      <c r="B167" s="9" t="s">
        <v>16781</v>
      </c>
      <c r="C167" s="21" t="s">
        <v>8779</v>
      </c>
    </row>
    <row r="168">
      <c r="A168" s="20" t="str">
        <f t="shared" si="1"/>
        <v>UNITDSPR</v>
      </c>
      <c r="B168" s="9" t="s">
        <v>16781</v>
      </c>
      <c r="C168" s="21" t="s">
        <v>8952</v>
      </c>
    </row>
    <row r="169">
      <c r="A169" s="20" t="str">
        <f t="shared" si="1"/>
        <v>TITAN</v>
      </c>
      <c r="B169" s="9" t="s">
        <v>16781</v>
      </c>
      <c r="C169" s="21" t="s">
        <v>946</v>
      </c>
    </row>
    <row r="170">
      <c r="A170" s="20" t="str">
        <f t="shared" si="1"/>
        <v>TATACONSUM</v>
      </c>
      <c r="B170" s="9" t="s">
        <v>16781</v>
      </c>
      <c r="C170" s="21" t="s">
        <v>7355</v>
      </c>
    </row>
    <row r="171">
      <c r="A171" s="20" t="str">
        <f t="shared" si="1"/>
        <v>TATAPOWER</v>
      </c>
      <c r="B171" s="9" t="s">
        <v>16781</v>
      </c>
      <c r="C171" s="21" t="s">
        <v>16184</v>
      </c>
    </row>
    <row r="172">
      <c r="A172" s="20" t="str">
        <f t="shared" si="1"/>
        <v>ZOMATO</v>
      </c>
      <c r="B172" s="9" t="s">
        <v>16781</v>
      </c>
      <c r="C172" s="21" t="s">
        <v>4273</v>
      </c>
    </row>
    <row r="173">
      <c r="A173" s="20" t="str">
        <f t="shared" si="1"/>
        <v>TRENT</v>
      </c>
      <c r="B173" s="9" t="s">
        <v>16781</v>
      </c>
      <c r="C173" s="21" t="s">
        <v>986</v>
      </c>
    </row>
    <row r="174">
      <c r="A174" s="20" t="str">
        <f t="shared" si="1"/>
        <v>VBL</v>
      </c>
      <c r="B174" s="9" t="s">
        <v>16781</v>
      </c>
      <c r="C174" s="21" t="s">
        <v>9387</v>
      </c>
    </row>
    <row r="175">
      <c r="A175" s="20" t="str">
        <f t="shared" si="1"/>
        <v>ASTRAMICRO</v>
      </c>
      <c r="B175" s="9" t="s">
        <v>16782</v>
      </c>
      <c r="C175" s="21" t="s">
        <v>14077</v>
      </c>
    </row>
    <row r="176">
      <c r="A176" s="20" t="str">
        <f t="shared" si="1"/>
        <v>BDL</v>
      </c>
      <c r="B176" s="9" t="s">
        <v>16782</v>
      </c>
      <c r="C176" s="21" t="s">
        <v>14762</v>
      </c>
    </row>
    <row r="177">
      <c r="A177" s="20" t="str">
        <f t="shared" si="1"/>
        <v>BEL</v>
      </c>
      <c r="B177" s="9" t="s">
        <v>16782</v>
      </c>
      <c r="C177" s="21" t="s">
        <v>12648</v>
      </c>
    </row>
    <row r="178">
      <c r="A178" s="20" t="str">
        <f t="shared" si="1"/>
        <v>COCHINSHIP</v>
      </c>
      <c r="B178" s="9" t="s">
        <v>16782</v>
      </c>
      <c r="C178" s="21" t="s">
        <v>14743</v>
      </c>
    </row>
    <row r="179">
      <c r="A179" s="20" t="str">
        <f t="shared" si="1"/>
        <v>DATAPATTNS</v>
      </c>
      <c r="B179" s="9" t="s">
        <v>16782</v>
      </c>
      <c r="C179" s="21" t="s">
        <v>14917</v>
      </c>
    </row>
    <row r="180">
      <c r="A180" s="20" t="str">
        <f t="shared" si="1"/>
        <v>DCXINDIA</v>
      </c>
      <c r="B180" s="9" t="s">
        <v>16782</v>
      </c>
      <c r="C180" s="21" t="s">
        <v>15559</v>
      </c>
    </row>
    <row r="181">
      <c r="A181" s="20" t="str">
        <f t="shared" si="1"/>
        <v>GRSE</v>
      </c>
      <c r="B181" s="9" t="s">
        <v>16782</v>
      </c>
      <c r="C181" s="21" t="s">
        <v>14809</v>
      </c>
    </row>
    <row r="182">
      <c r="A182" s="20" t="str">
        <f t="shared" si="1"/>
        <v>HAL</v>
      </c>
      <c r="B182" s="9" t="s">
        <v>16782</v>
      </c>
      <c r="C182" s="21" t="s">
        <v>14773</v>
      </c>
    </row>
    <row r="183">
      <c r="A183" s="20" t="str">
        <f t="shared" si="1"/>
        <v>IDEAFORGE</v>
      </c>
      <c r="B183" s="9" t="s">
        <v>16782</v>
      </c>
      <c r="C183" s="21" t="s">
        <v>15897</v>
      </c>
    </row>
    <row r="184">
      <c r="A184" s="20" t="str">
        <f t="shared" si="1"/>
        <v>MAZDOCK</v>
      </c>
      <c r="B184" s="9" t="s">
        <v>16782</v>
      </c>
      <c r="C184" s="21" t="s">
        <v>14880</v>
      </c>
    </row>
    <row r="185">
      <c r="A185" s="20" t="str">
        <f t="shared" si="1"/>
        <v>MIDHANI</v>
      </c>
      <c r="B185" s="9" t="s">
        <v>16782</v>
      </c>
      <c r="C185" s="21" t="s">
        <v>14781</v>
      </c>
    </row>
    <row r="186">
      <c r="A186" s="20" t="str">
        <f t="shared" si="1"/>
        <v>MTARTECH</v>
      </c>
      <c r="B186" s="9" t="s">
        <v>16782</v>
      </c>
      <c r="C186" s="21" t="s">
        <v>14883</v>
      </c>
    </row>
    <row r="187">
      <c r="A187" s="20" t="str">
        <f t="shared" si="1"/>
        <v>PARAS</v>
      </c>
      <c r="B187" s="9" t="s">
        <v>16782</v>
      </c>
      <c r="C187" s="21" t="s">
        <v>14905</v>
      </c>
    </row>
    <row r="188">
      <c r="A188" s="20" t="str">
        <f t="shared" si="1"/>
        <v>ZENTEC</v>
      </c>
      <c r="B188" s="9" t="s">
        <v>16782</v>
      </c>
      <c r="C188" s="21" t="s">
        <v>14546</v>
      </c>
    </row>
    <row r="189">
      <c r="A189" s="20" t="str">
        <f t="shared" si="1"/>
        <v>SOLARINDS</v>
      </c>
      <c r="B189" s="9" t="s">
        <v>16782</v>
      </c>
      <c r="C189" s="21" t="s">
        <v>669</v>
      </c>
    </row>
    <row r="190">
      <c r="A190" s="20" t="str">
        <f t="shared" si="1"/>
        <v>AFFLE</v>
      </c>
      <c r="B190" s="9" t="s">
        <v>16783</v>
      </c>
      <c r="C190" s="21" t="s">
        <v>15252</v>
      </c>
    </row>
    <row r="191">
      <c r="A191" s="20" t="str">
        <f t="shared" si="1"/>
        <v>BHARTIARTL</v>
      </c>
      <c r="B191" s="9" t="s">
        <v>16783</v>
      </c>
      <c r="C191" s="21" t="s">
        <v>16023</v>
      </c>
    </row>
    <row r="192">
      <c r="A192" s="20" t="str">
        <f t="shared" si="1"/>
        <v>BSOFT</v>
      </c>
      <c r="B192" s="9" t="s">
        <v>16783</v>
      </c>
      <c r="C192" s="21" t="s">
        <v>15098</v>
      </c>
    </row>
    <row r="193">
      <c r="A193" s="20" t="str">
        <f t="shared" si="1"/>
        <v>COFORGE</v>
      </c>
      <c r="B193" s="9" t="s">
        <v>16783</v>
      </c>
      <c r="C193" s="21" t="s">
        <v>15138</v>
      </c>
    </row>
    <row r="194">
      <c r="A194" s="20" t="str">
        <f t="shared" si="1"/>
        <v>CYIENT</v>
      </c>
      <c r="B194" s="9" t="s">
        <v>16783</v>
      </c>
      <c r="C194" s="21" t="s">
        <v>15067</v>
      </c>
    </row>
    <row r="195">
      <c r="A195" s="20" t="str">
        <f t="shared" si="1"/>
        <v>HAPPSTMNDS</v>
      </c>
      <c r="B195" s="9" t="s">
        <v>16783</v>
      </c>
      <c r="C195" s="21" t="s">
        <v>15267</v>
      </c>
    </row>
    <row r="196">
      <c r="A196" s="20" t="str">
        <f t="shared" si="1"/>
        <v>HCLTECH</v>
      </c>
      <c r="B196" s="9" t="s">
        <v>16783</v>
      </c>
      <c r="C196" s="21" t="s">
        <v>15088</v>
      </c>
    </row>
    <row r="197">
      <c r="A197" s="20" t="str">
        <f t="shared" si="1"/>
        <v>IDEA</v>
      </c>
      <c r="B197" s="9" t="s">
        <v>16783</v>
      </c>
      <c r="C197" s="21" t="s">
        <v>16046</v>
      </c>
    </row>
    <row r="198">
      <c r="A198" s="20" t="str">
        <f t="shared" si="1"/>
        <v>INDIAMART</v>
      </c>
      <c r="B198" s="9" t="s">
        <v>16783</v>
      </c>
      <c r="C198" s="21" t="s">
        <v>3278</v>
      </c>
    </row>
    <row r="199">
      <c r="A199" s="20" t="str">
        <f t="shared" si="1"/>
        <v>INFY</v>
      </c>
      <c r="B199" s="9" t="s">
        <v>16783</v>
      </c>
      <c r="C199" s="21" t="s">
        <v>15018</v>
      </c>
    </row>
    <row r="200">
      <c r="A200" s="20" t="str">
        <f t="shared" si="1"/>
        <v>INTELLECT</v>
      </c>
      <c r="B200" s="9" t="s">
        <v>16783</v>
      </c>
      <c r="C200" s="21" t="s">
        <v>15176</v>
      </c>
    </row>
    <row r="201">
      <c r="A201" s="20" t="str">
        <f t="shared" si="1"/>
        <v>IRCTC</v>
      </c>
      <c r="B201" s="9" t="s">
        <v>16783</v>
      </c>
      <c r="C201" s="21" t="s">
        <v>3648</v>
      </c>
    </row>
    <row r="202">
      <c r="A202" s="20" t="str">
        <f t="shared" si="1"/>
        <v>KPITTECH</v>
      </c>
      <c r="B202" s="9" t="s">
        <v>16783</v>
      </c>
      <c r="C202" s="21" t="s">
        <v>15239</v>
      </c>
    </row>
    <row r="203">
      <c r="A203" s="20" t="str">
        <f t="shared" si="1"/>
        <v>LTIM</v>
      </c>
      <c r="B203" s="9" t="s">
        <v>16783</v>
      </c>
      <c r="C203" s="21" t="s">
        <v>15190</v>
      </c>
    </row>
    <row r="204">
      <c r="A204" s="20" t="str">
        <f t="shared" si="1"/>
        <v>LTTS</v>
      </c>
      <c r="B204" s="9" t="s">
        <v>16783</v>
      </c>
      <c r="C204" s="21" t="s">
        <v>15193</v>
      </c>
    </row>
    <row r="205">
      <c r="A205" s="20" t="str">
        <f t="shared" si="1"/>
        <v>MPHASIS</v>
      </c>
      <c r="B205" s="9" t="s">
        <v>16783</v>
      </c>
      <c r="C205" s="21" t="s">
        <v>15064</v>
      </c>
    </row>
    <row r="206">
      <c r="A206" s="20" t="str">
        <f t="shared" si="1"/>
        <v>NAUKRI</v>
      </c>
      <c r="B206" s="9" t="s">
        <v>16783</v>
      </c>
      <c r="C206" s="21" t="s">
        <v>1611</v>
      </c>
    </row>
    <row r="207">
      <c r="A207" s="20" t="str">
        <f t="shared" si="1"/>
        <v>NYKAA</v>
      </c>
      <c r="B207" s="9" t="s">
        <v>16783</v>
      </c>
      <c r="C207" s="21" t="s">
        <v>4589</v>
      </c>
    </row>
    <row r="208">
      <c r="A208" s="20" t="str">
        <f t="shared" si="1"/>
        <v>PAYTM</v>
      </c>
      <c r="B208" s="9" t="s">
        <v>16783</v>
      </c>
      <c r="C208" s="21" t="s">
        <v>10595</v>
      </c>
    </row>
    <row r="209">
      <c r="A209" s="20" t="str">
        <f t="shared" si="1"/>
        <v>PERSISTENT</v>
      </c>
      <c r="B209" s="9" t="s">
        <v>16783</v>
      </c>
      <c r="C209" s="21" t="s">
        <v>15168</v>
      </c>
    </row>
    <row r="210">
      <c r="A210" s="20" t="str">
        <f t="shared" si="1"/>
        <v>POLICYBZR</v>
      </c>
      <c r="B210" s="9" t="s">
        <v>16783</v>
      </c>
      <c r="C210" s="21" t="s">
        <v>10579</v>
      </c>
    </row>
    <row r="211">
      <c r="A211" s="20" t="str">
        <f t="shared" si="1"/>
        <v>SONATSOFTW</v>
      </c>
      <c r="B211" s="9" t="s">
        <v>16783</v>
      </c>
      <c r="C211" s="21" t="s">
        <v>15073</v>
      </c>
    </row>
    <row r="212">
      <c r="A212" s="20" t="str">
        <f t="shared" si="1"/>
        <v>TANLA</v>
      </c>
      <c r="B212" s="9" t="s">
        <v>16783</v>
      </c>
      <c r="C212" s="21" t="s">
        <v>15165</v>
      </c>
    </row>
    <row r="213">
      <c r="A213" s="20" t="str">
        <f t="shared" si="1"/>
        <v>TATACOMM</v>
      </c>
      <c r="B213" s="9" t="s">
        <v>16783</v>
      </c>
      <c r="C213" s="21" t="s">
        <v>15967</v>
      </c>
    </row>
    <row r="214">
      <c r="A214" s="20" t="str">
        <f t="shared" si="1"/>
        <v>TATAELXSI</v>
      </c>
      <c r="B214" s="9" t="s">
        <v>16783</v>
      </c>
      <c r="C214" s="21" t="s">
        <v>15033</v>
      </c>
    </row>
    <row r="215">
      <c r="A215" s="20" t="str">
        <f t="shared" si="1"/>
        <v>TCS</v>
      </c>
      <c r="B215" s="9" t="s">
        <v>16783</v>
      </c>
      <c r="C215" s="21" t="s">
        <v>15135</v>
      </c>
    </row>
    <row r="216">
      <c r="A216" s="20" t="str">
        <f t="shared" si="1"/>
        <v>WIPRO</v>
      </c>
      <c r="B216" s="9" t="s">
        <v>16783</v>
      </c>
      <c r="C216" s="21" t="s">
        <v>15050</v>
      </c>
    </row>
    <row r="217">
      <c r="A217" s="20" t="str">
        <f t="shared" si="1"/>
        <v>ZOMATO</v>
      </c>
      <c r="B217" s="9" t="s">
        <v>16783</v>
      </c>
      <c r="C217" s="21" t="s">
        <v>4273</v>
      </c>
    </row>
    <row r="218">
      <c r="A218" s="20" t="str">
        <f t="shared" si="1"/>
        <v>OFSS</v>
      </c>
      <c r="B218" s="9" t="s">
        <v>16783</v>
      </c>
      <c r="C218" s="21" t="s">
        <v>15128</v>
      </c>
    </row>
    <row r="219">
      <c r="A219" s="20" t="str">
        <f t="shared" si="1"/>
        <v>TECHM</v>
      </c>
      <c r="B219" s="9" t="s">
        <v>16783</v>
      </c>
      <c r="C219" s="21" t="s">
        <v>15162</v>
      </c>
    </row>
    <row r="220">
      <c r="A220" s="20" t="str">
        <f t="shared" si="1"/>
        <v>ABB</v>
      </c>
      <c r="B220" s="9" t="s">
        <v>16784</v>
      </c>
      <c r="C220" s="21" t="s">
        <v>12540</v>
      </c>
    </row>
    <row r="221">
      <c r="A221" s="20" t="str">
        <f t="shared" si="1"/>
        <v>AIAENG</v>
      </c>
      <c r="B221" s="9" t="s">
        <v>16784</v>
      </c>
      <c r="C221" s="21" t="s">
        <v>14168</v>
      </c>
    </row>
    <row r="222">
      <c r="A222" s="20" t="str">
        <f t="shared" si="1"/>
        <v>APLAPOLLO</v>
      </c>
      <c r="B222" s="9" t="s">
        <v>16784</v>
      </c>
      <c r="C222" s="21" t="s">
        <v>14583</v>
      </c>
    </row>
    <row r="223">
      <c r="A223" s="20" t="str">
        <f t="shared" si="1"/>
        <v>ASHOKLEY</v>
      </c>
      <c r="B223" s="9" t="s">
        <v>16784</v>
      </c>
      <c r="C223" s="21" t="s">
        <v>13407</v>
      </c>
    </row>
    <row r="224">
      <c r="A224" s="20" t="str">
        <f t="shared" si="1"/>
        <v>BEL</v>
      </c>
      <c r="B224" s="9" t="s">
        <v>16784</v>
      </c>
      <c r="C224" s="21" t="s">
        <v>12648</v>
      </c>
    </row>
    <row r="225">
      <c r="A225" s="20" t="str">
        <f t="shared" si="1"/>
        <v>ASTRAL</v>
      </c>
      <c r="B225" s="9" t="s">
        <v>16784</v>
      </c>
      <c r="C225" s="21" t="s">
        <v>14301</v>
      </c>
    </row>
    <row r="226">
      <c r="A226" s="20" t="str">
        <f t="shared" si="1"/>
        <v>CARBORUNIV</v>
      </c>
      <c r="B226" s="9" t="s">
        <v>16784</v>
      </c>
      <c r="C226" s="21" t="s">
        <v>13820</v>
      </c>
    </row>
    <row r="227">
      <c r="A227" s="20" t="str">
        <f t="shared" si="1"/>
        <v>CENTURYTEX</v>
      </c>
      <c r="B227" s="9" t="s">
        <v>16784</v>
      </c>
      <c r="C227" s="21" t="s">
        <v>29</v>
      </c>
    </row>
    <row r="228">
      <c r="A228" s="20" t="str">
        <f t="shared" si="1"/>
        <v>BHARATFORG</v>
      </c>
      <c r="B228" s="9" t="s">
        <v>16784</v>
      </c>
      <c r="C228" s="21" t="s">
        <v>1026</v>
      </c>
    </row>
    <row r="229">
      <c r="A229" s="20" t="str">
        <f t="shared" si="1"/>
        <v>BOSCHLTD</v>
      </c>
      <c r="B229" s="9" t="s">
        <v>16784</v>
      </c>
      <c r="C229" s="21" t="s">
        <v>1068</v>
      </c>
    </row>
    <row r="230">
      <c r="A230" s="20" t="str">
        <f t="shared" si="1"/>
        <v>CGPOWER</v>
      </c>
      <c r="B230" s="9" t="s">
        <v>16784</v>
      </c>
      <c r="C230" s="21" t="s">
        <v>12701</v>
      </c>
    </row>
    <row r="231">
      <c r="A231" s="20" t="str">
        <f t="shared" si="1"/>
        <v>CROMPTON</v>
      </c>
      <c r="B231" s="9" t="s">
        <v>16784</v>
      </c>
      <c r="C231" s="21" t="s">
        <v>2535</v>
      </c>
    </row>
    <row r="232">
      <c r="A232" s="20" t="str">
        <f t="shared" si="1"/>
        <v>CUMMINSIND</v>
      </c>
      <c r="B232" s="9" t="s">
        <v>16784</v>
      </c>
      <c r="C232" s="21" t="s">
        <v>13418</v>
      </c>
    </row>
    <row r="233">
      <c r="A233" s="20" t="str">
        <f t="shared" si="1"/>
        <v>DEEPAKNTR</v>
      </c>
      <c r="B233" s="9" t="s">
        <v>16784</v>
      </c>
      <c r="C233" s="21" t="s">
        <v>354</v>
      </c>
    </row>
    <row r="234">
      <c r="A234" s="20" t="str">
        <f t="shared" si="1"/>
        <v>CIPLA</v>
      </c>
      <c r="B234" s="9" t="s">
        <v>16784</v>
      </c>
      <c r="C234" s="21" t="s">
        <v>10904</v>
      </c>
    </row>
    <row r="235">
      <c r="A235" s="20" t="str">
        <f t="shared" si="1"/>
        <v>COROMANDEL</v>
      </c>
      <c r="B235" s="9" t="s">
        <v>16784</v>
      </c>
      <c r="C235" s="21" t="s">
        <v>349</v>
      </c>
    </row>
    <row r="236">
      <c r="A236" s="20" t="str">
        <f t="shared" si="1"/>
        <v>DRREDDY</v>
      </c>
      <c r="B236" s="9" t="s">
        <v>16784</v>
      </c>
      <c r="C236" s="21" t="s">
        <v>10907</v>
      </c>
    </row>
    <row r="237">
      <c r="A237" s="20" t="str">
        <f t="shared" si="1"/>
        <v>EICHERMOT</v>
      </c>
      <c r="B237" s="9" t="s">
        <v>16784</v>
      </c>
      <c r="C237" s="21" t="s">
        <v>1145</v>
      </c>
    </row>
    <row r="238">
      <c r="A238" s="20" t="str">
        <f t="shared" si="1"/>
        <v>DIXON</v>
      </c>
      <c r="B238" s="9" t="s">
        <v>16784</v>
      </c>
      <c r="C238" s="21" t="s">
        <v>3022</v>
      </c>
    </row>
    <row r="239">
      <c r="A239" s="20" t="str">
        <f t="shared" si="1"/>
        <v>ESCORTS</v>
      </c>
      <c r="B239" s="9" t="s">
        <v>16784</v>
      </c>
      <c r="C239" s="21" t="s">
        <v>13441</v>
      </c>
    </row>
    <row r="240">
      <c r="A240" s="20" t="str">
        <f t="shared" si="1"/>
        <v>HAL</v>
      </c>
      <c r="B240" s="9" t="s">
        <v>16784</v>
      </c>
      <c r="C240" s="21" t="s">
        <v>14773</v>
      </c>
    </row>
    <row r="241">
      <c r="A241" s="20" t="str">
        <f t="shared" si="1"/>
        <v>EXIDEIND</v>
      </c>
      <c r="B241" s="9" t="s">
        <v>16784</v>
      </c>
      <c r="C241" s="21" t="s">
        <v>939</v>
      </c>
    </row>
    <row r="242">
      <c r="A242" s="20" t="str">
        <f t="shared" si="1"/>
        <v>GRINDWELL</v>
      </c>
      <c r="B242" s="9" t="s">
        <v>16784</v>
      </c>
      <c r="C242" s="21" t="s">
        <v>13699</v>
      </c>
    </row>
    <row r="243">
      <c r="A243" s="20" t="str">
        <f t="shared" si="1"/>
        <v>HAVELLS</v>
      </c>
      <c r="B243" s="9" t="s">
        <v>16784</v>
      </c>
      <c r="C243" s="21" t="s">
        <v>1237</v>
      </c>
    </row>
    <row r="244">
      <c r="A244" s="20" t="str">
        <f t="shared" si="1"/>
        <v>HEROMOTOCO</v>
      </c>
      <c r="B244" s="9" t="s">
        <v>16784</v>
      </c>
      <c r="C244" s="21" t="s">
        <v>959</v>
      </c>
    </row>
    <row r="245">
      <c r="A245" s="20" t="str">
        <f t="shared" si="1"/>
        <v>HINDALCO</v>
      </c>
      <c r="B245" s="9" t="s">
        <v>16784</v>
      </c>
      <c r="C245" s="21" t="s">
        <v>283</v>
      </c>
    </row>
    <row r="246">
      <c r="A246" s="20" t="str">
        <f t="shared" si="1"/>
        <v>IOC</v>
      </c>
      <c r="B246" s="9" t="s">
        <v>16784</v>
      </c>
      <c r="C246" s="21" t="s">
        <v>6158</v>
      </c>
    </row>
    <row r="247">
      <c r="A247" s="20" t="str">
        <f t="shared" si="1"/>
        <v>HINDZINC</v>
      </c>
      <c r="B247" s="9" t="s">
        <v>16784</v>
      </c>
      <c r="C247" s="21" t="s">
        <v>137</v>
      </c>
    </row>
    <row r="248">
      <c r="A248" s="20" t="str">
        <f t="shared" si="1"/>
        <v>JSWSTEEL</v>
      </c>
      <c r="B248" s="9" t="s">
        <v>16784</v>
      </c>
      <c r="C248" s="21" t="s">
        <v>149</v>
      </c>
    </row>
    <row r="249">
      <c r="A249" s="20" t="str">
        <f t="shared" si="1"/>
        <v>KAJARIACER</v>
      </c>
      <c r="B249" s="9" t="s">
        <v>16784</v>
      </c>
      <c r="C249" s="21" t="s">
        <v>969</v>
      </c>
    </row>
    <row r="250">
      <c r="A250" s="20" t="str">
        <f t="shared" si="1"/>
        <v>HONAUT</v>
      </c>
      <c r="B250" s="9" t="s">
        <v>16784</v>
      </c>
      <c r="C250" s="21" t="s">
        <v>13826</v>
      </c>
    </row>
    <row r="251">
      <c r="A251" s="20" t="str">
        <f t="shared" si="1"/>
        <v>JINDALSTEL</v>
      </c>
      <c r="B251" s="9" t="s">
        <v>16784</v>
      </c>
      <c r="C251" s="21" t="s">
        <v>633</v>
      </c>
    </row>
    <row r="252">
      <c r="A252" s="20" t="str">
        <f t="shared" si="1"/>
        <v>LINDEINDIA</v>
      </c>
      <c r="B252" s="9" t="s">
        <v>16784</v>
      </c>
      <c r="C252" s="21" t="s">
        <v>478</v>
      </c>
    </row>
    <row r="253">
      <c r="A253" s="20" t="str">
        <f t="shared" si="1"/>
        <v>KEI</v>
      </c>
      <c r="B253" s="9" t="s">
        <v>16784</v>
      </c>
      <c r="C253" s="21" t="s">
        <v>13829</v>
      </c>
    </row>
    <row r="254">
      <c r="A254" s="20" t="str">
        <f t="shared" si="1"/>
        <v>KPRMILL</v>
      </c>
      <c r="B254" s="9" t="s">
        <v>16784</v>
      </c>
      <c r="C254" s="21" t="s">
        <v>1760</v>
      </c>
    </row>
    <row r="255">
      <c r="A255" s="20" t="str">
        <f t="shared" si="1"/>
        <v>MARUTI</v>
      </c>
      <c r="B255" s="9" t="s">
        <v>16784</v>
      </c>
      <c r="C255" s="21" t="s">
        <v>1405</v>
      </c>
    </row>
    <row r="256">
      <c r="A256" s="20" t="str">
        <f t="shared" si="1"/>
        <v>MAZDOCK</v>
      </c>
      <c r="B256" s="9" t="s">
        <v>16784</v>
      </c>
      <c r="C256" s="21" t="s">
        <v>14880</v>
      </c>
    </row>
    <row r="257">
      <c r="A257" s="20" t="str">
        <f t="shared" si="1"/>
        <v>MOTHERSON</v>
      </c>
      <c r="B257" s="9" t="s">
        <v>16784</v>
      </c>
      <c r="C257" s="21" t="s">
        <v>1229</v>
      </c>
    </row>
    <row r="258">
      <c r="A258" s="20" t="str">
        <f t="shared" si="1"/>
        <v>MRF</v>
      </c>
      <c r="B258" s="9" t="s">
        <v>16784</v>
      </c>
      <c r="C258" s="21" t="s">
        <v>991</v>
      </c>
    </row>
    <row r="259">
      <c r="A259" s="20" t="str">
        <f t="shared" si="1"/>
        <v>NAVINFLUOR</v>
      </c>
      <c r="B259" s="9" t="s">
        <v>16784</v>
      </c>
      <c r="C259" s="21" t="s">
        <v>638</v>
      </c>
    </row>
    <row r="260">
      <c r="A260" s="20" t="str">
        <f t="shared" si="1"/>
        <v>LUPIN</v>
      </c>
      <c r="B260" s="9" t="s">
        <v>16784</v>
      </c>
      <c r="C260" s="21" t="s">
        <v>10987</v>
      </c>
    </row>
    <row r="261">
      <c r="A261" s="20" t="str">
        <f t="shared" si="1"/>
        <v>M&amp;M</v>
      </c>
      <c r="B261" s="9" t="s">
        <v>16784</v>
      </c>
      <c r="C261" s="21" t="s">
        <v>1042</v>
      </c>
    </row>
    <row r="262">
      <c r="A262" s="20" t="str">
        <f t="shared" si="1"/>
        <v>PIIND</v>
      </c>
      <c r="B262" s="9" t="s">
        <v>16784</v>
      </c>
      <c r="C262" s="21" t="s">
        <v>488</v>
      </c>
    </row>
    <row r="263">
      <c r="A263" s="20" t="str">
        <f t="shared" si="1"/>
        <v>PAGEIND</v>
      </c>
      <c r="B263" s="9" t="s">
        <v>16784</v>
      </c>
      <c r="C263" s="21" t="s">
        <v>1661</v>
      </c>
    </row>
    <row r="264">
      <c r="A264" s="20" t="str">
        <f t="shared" si="1"/>
        <v>RELIANCE</v>
      </c>
      <c r="B264" s="9" t="s">
        <v>16784</v>
      </c>
      <c r="C264" s="21" t="s">
        <v>5953</v>
      </c>
    </row>
    <row r="265">
      <c r="A265" s="20" t="str">
        <f t="shared" si="1"/>
        <v>PIDILITIND</v>
      </c>
      <c r="B265" s="9" t="s">
        <v>16784</v>
      </c>
      <c r="C265" s="21" t="s">
        <v>224</v>
      </c>
    </row>
    <row r="266">
      <c r="A266" s="20" t="str">
        <f t="shared" si="1"/>
        <v>SIEMENS</v>
      </c>
      <c r="B266" s="9" t="s">
        <v>16784</v>
      </c>
      <c r="C266" s="21" t="s">
        <v>13462</v>
      </c>
    </row>
    <row r="267">
      <c r="A267" s="20" t="str">
        <f t="shared" si="1"/>
        <v>POLYCAB</v>
      </c>
      <c r="B267" s="9" t="s">
        <v>16784</v>
      </c>
      <c r="C267" s="21" t="s">
        <v>14838</v>
      </c>
    </row>
    <row r="268">
      <c r="A268" s="20" t="str">
        <f t="shared" si="1"/>
        <v>SCHAEFFLER</v>
      </c>
      <c r="B268" s="9" t="s">
        <v>16784</v>
      </c>
      <c r="C268" s="21" t="s">
        <v>1180</v>
      </c>
    </row>
    <row r="269">
      <c r="A269" s="20" t="str">
        <f t="shared" si="1"/>
        <v>SKFINDIA</v>
      </c>
      <c r="B269" s="9" t="s">
        <v>16784</v>
      </c>
      <c r="C269" s="21" t="s">
        <v>13396</v>
      </c>
    </row>
    <row r="270">
      <c r="A270" s="20" t="str">
        <f t="shared" si="1"/>
        <v>SRF</v>
      </c>
      <c r="B270" s="9" t="s">
        <v>16784</v>
      </c>
      <c r="C270" s="21" t="s">
        <v>335</v>
      </c>
    </row>
    <row r="271">
      <c r="A271" s="20" t="str">
        <f t="shared" si="1"/>
        <v>SOLARINDS</v>
      </c>
      <c r="B271" s="9" t="s">
        <v>16784</v>
      </c>
      <c r="C271" s="21" t="s">
        <v>669</v>
      </c>
    </row>
    <row r="272">
      <c r="A272" s="20" t="str">
        <f t="shared" si="1"/>
        <v>SUNPHARMA</v>
      </c>
      <c r="B272" s="9" t="s">
        <v>16784</v>
      </c>
      <c r="C272" s="21" t="s">
        <v>11129</v>
      </c>
    </row>
    <row r="273">
      <c r="A273" s="20" t="str">
        <f t="shared" si="1"/>
        <v>SONACOMS</v>
      </c>
      <c r="B273" s="9" t="s">
        <v>16784</v>
      </c>
      <c r="C273" s="21" t="s">
        <v>4143</v>
      </c>
    </row>
    <row r="274">
      <c r="A274" s="20" t="str">
        <f t="shared" si="1"/>
        <v>SUNDRMFAST</v>
      </c>
      <c r="B274" s="9" t="s">
        <v>16784</v>
      </c>
      <c r="C274" s="21" t="s">
        <v>1003</v>
      </c>
    </row>
    <row r="275">
      <c r="A275" s="20" t="str">
        <f t="shared" si="1"/>
        <v>TATACHEM</v>
      </c>
      <c r="B275" s="9" t="s">
        <v>16784</v>
      </c>
      <c r="C275" s="21" t="s">
        <v>314</v>
      </c>
    </row>
    <row r="276">
      <c r="A276" s="20" t="str">
        <f t="shared" si="1"/>
        <v>TATAMOTORS</v>
      </c>
      <c r="B276" s="9" t="s">
        <v>16784</v>
      </c>
      <c r="C276" s="21" t="s">
        <v>1077</v>
      </c>
    </row>
    <row r="277">
      <c r="A277" s="20" t="str">
        <f t="shared" si="1"/>
        <v>SUPREMEIND</v>
      </c>
      <c r="B277" s="9" t="s">
        <v>16784</v>
      </c>
      <c r="C277" s="21" t="s">
        <v>13770</v>
      </c>
    </row>
    <row r="278">
      <c r="A278" s="20" t="str">
        <f t="shared" si="1"/>
        <v>TEJASNET</v>
      </c>
      <c r="B278" s="9" t="s">
        <v>16784</v>
      </c>
      <c r="C278" s="21" t="s">
        <v>16104</v>
      </c>
    </row>
    <row r="279">
      <c r="A279" s="20" t="str">
        <f t="shared" si="1"/>
        <v>TIINDIA</v>
      </c>
      <c r="B279" s="9" t="s">
        <v>16784</v>
      </c>
      <c r="C279" s="21" t="s">
        <v>3027</v>
      </c>
    </row>
    <row r="280">
      <c r="A280" s="20" t="str">
        <f t="shared" si="1"/>
        <v>SUZLON</v>
      </c>
      <c r="B280" s="9" t="s">
        <v>16784</v>
      </c>
      <c r="C280" s="21" t="s">
        <v>14157</v>
      </c>
    </row>
    <row r="281">
      <c r="A281" s="20" t="str">
        <f t="shared" si="1"/>
        <v>TATASTEEL</v>
      </c>
      <c r="B281" s="9" t="s">
        <v>16784</v>
      </c>
      <c r="C281" s="21" t="s">
        <v>295</v>
      </c>
    </row>
    <row r="282">
      <c r="A282" s="20" t="str">
        <f t="shared" si="1"/>
        <v>UPL</v>
      </c>
      <c r="B282" s="9" t="s">
        <v>16784</v>
      </c>
      <c r="C282" s="21" t="s">
        <v>426</v>
      </c>
    </row>
    <row r="283">
      <c r="A283" s="20" t="str">
        <f t="shared" si="1"/>
        <v>TORNTPHARM</v>
      </c>
      <c r="B283" s="9" t="s">
        <v>16784</v>
      </c>
      <c r="C283" s="21" t="s">
        <v>11009</v>
      </c>
    </row>
    <row r="284">
      <c r="A284" s="20" t="str">
        <f t="shared" si="1"/>
        <v>TVSMOTOR</v>
      </c>
      <c r="B284" s="9" t="s">
        <v>16784</v>
      </c>
      <c r="C284" s="21" t="s">
        <v>1365</v>
      </c>
    </row>
    <row r="285">
      <c r="A285" s="20" t="str">
        <f t="shared" si="1"/>
        <v>ZYDUSLIFE</v>
      </c>
      <c r="B285" s="9" t="s">
        <v>16784</v>
      </c>
      <c r="C285" s="21" t="s">
        <v>11282</v>
      </c>
    </row>
    <row r="286">
      <c r="A286" s="20" t="str">
        <f t="shared" si="1"/>
        <v>VEDL</v>
      </c>
      <c r="B286" s="9" t="s">
        <v>16784</v>
      </c>
      <c r="C286" s="21" t="s">
        <v>166</v>
      </c>
    </row>
    <row r="287">
      <c r="A287" s="20" t="str">
        <f t="shared" si="1"/>
        <v>VOLTAS</v>
      </c>
      <c r="B287" s="9" t="s">
        <v>16784</v>
      </c>
      <c r="C287" s="21" t="s">
        <v>1090</v>
      </c>
    </row>
    <row r="288">
      <c r="A288" s="20" t="str">
        <f t="shared" si="1"/>
        <v>AMBUJACEM</v>
      </c>
      <c r="B288" s="9" t="s">
        <v>16785</v>
      </c>
      <c r="C288" s="21" t="s">
        <v>278</v>
      </c>
    </row>
    <row r="289">
      <c r="A289" s="20" t="str">
        <f t="shared" si="1"/>
        <v>APOLLOHOSP</v>
      </c>
      <c r="B289" s="9" t="s">
        <v>16785</v>
      </c>
      <c r="C289" s="21" t="s">
        <v>11073</v>
      </c>
    </row>
    <row r="290">
      <c r="A290" s="20" t="str">
        <f t="shared" si="1"/>
        <v>ASHOKLEY</v>
      </c>
      <c r="B290" s="9" t="s">
        <v>16785</v>
      </c>
      <c r="C290" s="21" t="s">
        <v>13407</v>
      </c>
    </row>
    <row r="291">
      <c r="A291" s="20" t="str">
        <f t="shared" si="1"/>
        <v>BALKRISIND</v>
      </c>
      <c r="B291" s="9" t="s">
        <v>16785</v>
      </c>
      <c r="C291" s="21" t="s">
        <v>1123</v>
      </c>
    </row>
    <row r="292">
      <c r="A292" s="20" t="str">
        <f t="shared" si="1"/>
        <v>BHARTIARTL</v>
      </c>
      <c r="B292" s="9" t="s">
        <v>16785</v>
      </c>
      <c r="C292" s="21" t="s">
        <v>16023</v>
      </c>
    </row>
    <row r="293">
      <c r="A293" s="20" t="str">
        <f t="shared" si="1"/>
        <v>BPCL</v>
      </c>
      <c r="B293" s="9" t="s">
        <v>16785</v>
      </c>
      <c r="C293" s="21" t="s">
        <v>5960</v>
      </c>
    </row>
    <row r="294">
      <c r="A294" s="20" t="str">
        <f t="shared" si="1"/>
        <v>CONCOR</v>
      </c>
      <c r="B294" s="9" t="s">
        <v>16785</v>
      </c>
      <c r="C294" s="21" t="s">
        <v>15375</v>
      </c>
    </row>
    <row r="295">
      <c r="A295" s="20" t="str">
        <f t="shared" si="1"/>
        <v>CUMMINSIND</v>
      </c>
      <c r="B295" s="9" t="s">
        <v>16785</v>
      </c>
      <c r="C295" s="21" t="s">
        <v>13418</v>
      </c>
    </row>
    <row r="296">
      <c r="A296" s="20" t="str">
        <f t="shared" si="1"/>
        <v>DLF</v>
      </c>
      <c r="B296" s="9" t="s">
        <v>16785</v>
      </c>
      <c r="C296" s="21" t="s">
        <v>1736</v>
      </c>
    </row>
    <row r="297">
      <c r="A297" s="20" t="str">
        <f t="shared" si="1"/>
        <v>GAIL</v>
      </c>
      <c r="B297" s="9" t="s">
        <v>16785</v>
      </c>
      <c r="C297" s="21" t="s">
        <v>6170</v>
      </c>
    </row>
    <row r="298">
      <c r="A298" s="20" t="str">
        <f t="shared" si="1"/>
        <v>GODREJPROP</v>
      </c>
      <c r="B298" s="9" t="s">
        <v>16785</v>
      </c>
      <c r="C298" s="21" t="s">
        <v>2088</v>
      </c>
    </row>
    <row r="299">
      <c r="A299" s="20" t="str">
        <f t="shared" si="1"/>
        <v>GRASIM</v>
      </c>
      <c r="B299" s="9" t="s">
        <v>16785</v>
      </c>
      <c r="C299" s="21" t="s">
        <v>193</v>
      </c>
    </row>
    <row r="300">
      <c r="A300" s="20" t="str">
        <f t="shared" si="1"/>
        <v>HINDPETRO</v>
      </c>
      <c r="B300" s="9" t="s">
        <v>16785</v>
      </c>
      <c r="C300" s="21" t="s">
        <v>5844</v>
      </c>
    </row>
    <row r="301">
      <c r="A301" s="20" t="str">
        <f t="shared" si="1"/>
        <v>INDHOTEL</v>
      </c>
      <c r="B301" s="9" t="s">
        <v>16785</v>
      </c>
      <c r="C301" s="21" t="s">
        <v>1108</v>
      </c>
    </row>
    <row r="302">
      <c r="A302" s="20" t="str">
        <f t="shared" si="1"/>
        <v>INDIGO</v>
      </c>
      <c r="B302" s="9" t="s">
        <v>16785</v>
      </c>
      <c r="C302" s="21" t="s">
        <v>15368</v>
      </c>
    </row>
    <row r="303">
      <c r="A303" s="20" t="str">
        <f t="shared" si="1"/>
        <v>IOC</v>
      </c>
      <c r="B303" s="9" t="s">
        <v>16785</v>
      </c>
      <c r="C303" s="21" t="s">
        <v>6158</v>
      </c>
    </row>
    <row r="304">
      <c r="A304" s="20" t="str">
        <f t="shared" si="1"/>
        <v>IRCTC</v>
      </c>
      <c r="B304" s="9" t="s">
        <v>16785</v>
      </c>
      <c r="C304" s="21" t="s">
        <v>3648</v>
      </c>
    </row>
    <row r="305">
      <c r="A305" s="20" t="str">
        <f t="shared" si="1"/>
        <v>LT</v>
      </c>
      <c r="B305" s="9" t="s">
        <v>16785</v>
      </c>
      <c r="C305" s="21" t="s">
        <v>13448</v>
      </c>
    </row>
    <row r="306">
      <c r="A306" s="20" t="str">
        <f t="shared" si="1"/>
        <v>MRF</v>
      </c>
      <c r="B306" s="9" t="s">
        <v>16785</v>
      </c>
      <c r="C306" s="21" t="s">
        <v>991</v>
      </c>
    </row>
    <row r="307">
      <c r="A307" s="20" t="str">
        <f t="shared" si="1"/>
        <v>ADANIPORTS</v>
      </c>
      <c r="B307" s="9" t="s">
        <v>16785</v>
      </c>
      <c r="C307" s="21" t="s">
        <v>15361</v>
      </c>
    </row>
    <row r="308">
      <c r="A308" s="20" t="str">
        <f t="shared" si="1"/>
        <v>ONGC</v>
      </c>
      <c r="B308" s="9" t="s">
        <v>16785</v>
      </c>
      <c r="C308" s="21" t="s">
        <v>5938</v>
      </c>
    </row>
    <row r="309">
      <c r="A309" s="20" t="str">
        <f t="shared" si="1"/>
        <v>BHARATFORG</v>
      </c>
      <c r="B309" s="9" t="s">
        <v>16785</v>
      </c>
      <c r="C309" s="21" t="s">
        <v>1026</v>
      </c>
    </row>
    <row r="310">
      <c r="A310" s="20" t="str">
        <f t="shared" si="1"/>
        <v>NTPC</v>
      </c>
      <c r="B310" s="9" t="s">
        <v>16785</v>
      </c>
      <c r="C310" s="21" t="s">
        <v>16260</v>
      </c>
    </row>
    <row r="311">
      <c r="A311" s="20" t="str">
        <f t="shared" si="1"/>
        <v>RELIANCE</v>
      </c>
      <c r="B311" s="9" t="s">
        <v>16785</v>
      </c>
      <c r="C311" s="21" t="s">
        <v>5953</v>
      </c>
    </row>
    <row r="312">
      <c r="A312" s="20" t="str">
        <f t="shared" si="1"/>
        <v>SHREECEM</v>
      </c>
      <c r="B312" s="9" t="s">
        <v>16785</v>
      </c>
      <c r="C312" s="21" t="s">
        <v>260</v>
      </c>
    </row>
    <row r="313">
      <c r="A313" s="20" t="str">
        <f t="shared" si="1"/>
        <v>SIEMENS</v>
      </c>
      <c r="B313" s="9" t="s">
        <v>16785</v>
      </c>
      <c r="C313" s="21" t="s">
        <v>13462</v>
      </c>
    </row>
    <row r="314">
      <c r="A314" s="20" t="str">
        <f t="shared" si="1"/>
        <v>PETRONET</v>
      </c>
      <c r="B314" s="9" t="s">
        <v>16785</v>
      </c>
      <c r="C314" s="21" t="s">
        <v>6193</v>
      </c>
    </row>
    <row r="315">
      <c r="A315" s="20" t="str">
        <f t="shared" si="1"/>
        <v>ULTRACEMCO</v>
      </c>
      <c r="B315" s="9" t="s">
        <v>16785</v>
      </c>
      <c r="C315" s="21" t="s">
        <v>651</v>
      </c>
    </row>
    <row r="316">
      <c r="A316" s="20" t="str">
        <f t="shared" si="1"/>
        <v>POWERGRID</v>
      </c>
      <c r="B316" s="9" t="s">
        <v>16785</v>
      </c>
      <c r="C316" s="21" t="s">
        <v>16356</v>
      </c>
    </row>
    <row r="317">
      <c r="A317" s="20" t="str">
        <f t="shared" si="1"/>
        <v>TATAPOWER</v>
      </c>
      <c r="B317" s="9" t="s">
        <v>16785</v>
      </c>
      <c r="C317" s="21" t="s">
        <v>16184</v>
      </c>
    </row>
    <row r="318">
      <c r="A318" s="20" t="str">
        <f t="shared" si="1"/>
        <v>360ONE</v>
      </c>
      <c r="B318" s="9" t="s">
        <v>16786</v>
      </c>
      <c r="C318" s="21" t="s">
        <v>14562</v>
      </c>
    </row>
    <row r="319">
      <c r="A319" s="20" t="str">
        <f t="shared" si="1"/>
        <v>ABCAPITAL</v>
      </c>
      <c r="B319" s="9" t="s">
        <v>16786</v>
      </c>
      <c r="C319" s="21" t="s">
        <v>10197</v>
      </c>
    </row>
    <row r="320">
      <c r="A320" s="20" t="str">
        <f t="shared" si="1"/>
        <v>ANANDRATHI</v>
      </c>
      <c r="B320" s="9" t="s">
        <v>16786</v>
      </c>
      <c r="C320" s="21" t="s">
        <v>10644</v>
      </c>
    </row>
    <row r="321">
      <c r="A321" s="20" t="str">
        <f t="shared" si="1"/>
        <v>ANGELONE</v>
      </c>
      <c r="B321" s="9" t="s">
        <v>16786</v>
      </c>
      <c r="C321" s="21" t="s">
        <v>10513</v>
      </c>
    </row>
    <row r="322">
      <c r="A322" s="20" t="str">
        <f t="shared" si="1"/>
        <v>BAJAJHLDNG</v>
      </c>
      <c r="B322" s="9" t="s">
        <v>16786</v>
      </c>
      <c r="C322" s="21" t="s">
        <v>9573</v>
      </c>
    </row>
    <row r="323">
      <c r="A323" s="21" t="str">
        <f t="shared" si="1"/>
        <v>BSE</v>
      </c>
      <c r="B323" s="9" t="s">
        <v>16786</v>
      </c>
      <c r="C323" s="21" t="s">
        <v>10875</v>
      </c>
    </row>
    <row r="324">
      <c r="A324" s="21" t="str">
        <f t="shared" si="1"/>
        <v>CDSL</v>
      </c>
      <c r="B324" s="9" t="s">
        <v>16786</v>
      </c>
      <c r="C324" s="21" t="s">
        <v>10885</v>
      </c>
    </row>
    <row r="325">
      <c r="A325" s="20" t="str">
        <f t="shared" si="1"/>
        <v>CHOLAHLDNG</v>
      </c>
      <c r="B325" s="9" t="s">
        <v>16786</v>
      </c>
      <c r="C325" s="21" t="s">
        <v>9620</v>
      </c>
    </row>
    <row r="326">
      <c r="A326" s="20" t="str">
        <f t="shared" si="1"/>
        <v>CAMS</v>
      </c>
      <c r="B326" s="9" t="s">
        <v>16786</v>
      </c>
      <c r="C326" s="21" t="s">
        <v>10489</v>
      </c>
    </row>
    <row r="327">
      <c r="A327" s="20" t="str">
        <f t="shared" si="1"/>
        <v>CRISIL</v>
      </c>
      <c r="B327" s="9" t="s">
        <v>16786</v>
      </c>
      <c r="C327" s="21" t="s">
        <v>9452</v>
      </c>
    </row>
    <row r="328">
      <c r="A328" s="20" t="str">
        <f t="shared" si="1"/>
        <v>HDFCAMC</v>
      </c>
      <c r="B328" s="9" t="s">
        <v>16786</v>
      </c>
      <c r="C328" s="21" t="s">
        <v>10386</v>
      </c>
    </row>
    <row r="329">
      <c r="A329" s="20" t="str">
        <f t="shared" si="1"/>
        <v>ISEC</v>
      </c>
      <c r="B329" s="9" t="s">
        <v>16786</v>
      </c>
      <c r="C329" s="21" t="s">
        <v>10370</v>
      </c>
    </row>
    <row r="330">
      <c r="A330" s="20" t="str">
        <f t="shared" si="1"/>
        <v>JIOFIN</v>
      </c>
      <c r="B330" s="9" t="s">
        <v>16786</v>
      </c>
      <c r="C330" s="21" t="s">
        <v>10726</v>
      </c>
    </row>
    <row r="331">
      <c r="A331" s="20" t="str">
        <f t="shared" si="1"/>
        <v>JMFINANCIL</v>
      </c>
      <c r="B331" s="9" t="s">
        <v>16786</v>
      </c>
      <c r="C331" s="21" t="s">
        <v>9734</v>
      </c>
    </row>
    <row r="332">
      <c r="A332" s="20" t="str">
        <f t="shared" si="1"/>
        <v>KFINTECH</v>
      </c>
      <c r="B332" s="9" t="s">
        <v>16786</v>
      </c>
      <c r="C332" s="21" t="s">
        <v>10705</v>
      </c>
    </row>
    <row r="333">
      <c r="A333" s="20" t="str">
        <f t="shared" si="1"/>
        <v>MFSL</v>
      </c>
      <c r="B333" s="9" t="s">
        <v>16786</v>
      </c>
      <c r="C333" s="21" t="s">
        <v>9534</v>
      </c>
    </row>
    <row r="334">
      <c r="A334" s="20" t="str">
        <f t="shared" si="1"/>
        <v>MOTILALOFS</v>
      </c>
      <c r="B334" s="9" t="s">
        <v>16786</v>
      </c>
      <c r="C334" s="21" t="s">
        <v>9984</v>
      </c>
    </row>
    <row r="335">
      <c r="A335" s="20" t="str">
        <f t="shared" si="1"/>
        <v>NAM-INDIA</v>
      </c>
      <c r="B335" s="9" t="s">
        <v>16786</v>
      </c>
      <c r="C335" s="21" t="s">
        <v>10311</v>
      </c>
    </row>
    <row r="336">
      <c r="A336" s="20" t="str">
        <f t="shared" si="1"/>
        <v>NUVAMA</v>
      </c>
      <c r="B336" s="9" t="s">
        <v>16786</v>
      </c>
      <c r="C336" s="21" t="s">
        <v>10770</v>
      </c>
    </row>
    <row r="337">
      <c r="A337" s="20" t="str">
        <f t="shared" si="1"/>
        <v>TATAINVEST</v>
      </c>
      <c r="B337" s="9" t="s">
        <v>16786</v>
      </c>
      <c r="C337" s="21" t="s">
        <v>9593</v>
      </c>
    </row>
    <row r="338">
      <c r="A338" s="20" t="str">
        <f t="shared" si="1"/>
        <v>UTIAMC</v>
      </c>
      <c r="B338" s="9" t="s">
        <v>16786</v>
      </c>
      <c r="C338" s="21" t="s">
        <v>10518</v>
      </c>
    </row>
    <row r="339">
      <c r="A339" s="20" t="str">
        <f t="shared" si="1"/>
        <v>ADANIENT</v>
      </c>
      <c r="B339" s="21" t="s">
        <v>16787</v>
      </c>
      <c r="C339" s="21" t="s">
        <v>435</v>
      </c>
    </row>
    <row r="340">
      <c r="A340" s="20" t="str">
        <f t="shared" si="1"/>
        <v>HINDCOPPER</v>
      </c>
      <c r="B340" s="21" t="s">
        <v>16787</v>
      </c>
      <c r="C340" s="21" t="s">
        <v>455</v>
      </c>
    </row>
    <row r="341">
      <c r="A341" s="20" t="str">
        <f t="shared" si="1"/>
        <v>HINDALCO</v>
      </c>
      <c r="B341" s="21" t="s">
        <v>16787</v>
      </c>
      <c r="C341" s="21" t="s">
        <v>283</v>
      </c>
    </row>
    <row r="342">
      <c r="A342" s="20" t="str">
        <f t="shared" si="1"/>
        <v>HINDZINC</v>
      </c>
      <c r="B342" s="21" t="s">
        <v>16787</v>
      </c>
      <c r="C342" s="21" t="s">
        <v>137</v>
      </c>
    </row>
    <row r="343">
      <c r="A343" s="20" t="str">
        <f t="shared" si="1"/>
        <v>JSWSTEEL</v>
      </c>
      <c r="B343" s="21" t="s">
        <v>16787</v>
      </c>
      <c r="C343" s="21" t="s">
        <v>149</v>
      </c>
    </row>
    <row r="344">
      <c r="A344" s="20" t="str">
        <f t="shared" si="1"/>
        <v>NATIONALUM</v>
      </c>
      <c r="B344" s="21" t="s">
        <v>16787</v>
      </c>
      <c r="C344" s="21" t="s">
        <v>620</v>
      </c>
    </row>
    <row r="345">
      <c r="A345" s="20" t="str">
        <f t="shared" si="1"/>
        <v>JINDALSTEL</v>
      </c>
      <c r="B345" s="21" t="s">
        <v>16787</v>
      </c>
      <c r="C345" s="21" t="s">
        <v>633</v>
      </c>
    </row>
    <row r="346">
      <c r="A346" s="20" t="str">
        <f t="shared" si="1"/>
        <v>SAIL</v>
      </c>
      <c r="B346" s="21" t="s">
        <v>16787</v>
      </c>
      <c r="C346" s="21" t="s">
        <v>103</v>
      </c>
    </row>
    <row r="347">
      <c r="A347" s="20" t="str">
        <f t="shared" si="1"/>
        <v>JSL</v>
      </c>
      <c r="B347" s="21" t="s">
        <v>16787</v>
      </c>
      <c r="C347" s="21" t="s">
        <v>642</v>
      </c>
    </row>
    <row r="348">
      <c r="A348" s="20" t="str">
        <f t="shared" si="1"/>
        <v>NMDC</v>
      </c>
      <c r="B348" s="21" t="s">
        <v>16787</v>
      </c>
      <c r="C348" s="21" t="s">
        <v>519</v>
      </c>
    </row>
    <row r="349">
      <c r="A349" s="20" t="str">
        <f t="shared" si="1"/>
        <v>TATASTEEL</v>
      </c>
      <c r="B349" s="21" t="s">
        <v>16787</v>
      </c>
      <c r="C349" s="21" t="s">
        <v>295</v>
      </c>
    </row>
    <row r="350">
      <c r="A350" s="20" t="str">
        <f t="shared" si="1"/>
        <v>VEDL</v>
      </c>
      <c r="B350" s="21" t="s">
        <v>16787</v>
      </c>
      <c r="C350" s="21" t="s">
        <v>166</v>
      </c>
    </row>
    <row r="351">
      <c r="A351" s="20" t="str">
        <f t="shared" si="1"/>
        <v>3MINDIA</v>
      </c>
      <c r="B351" s="9" t="s">
        <v>16788</v>
      </c>
      <c r="C351" s="21" t="s">
        <v>5811</v>
      </c>
    </row>
    <row r="352">
      <c r="A352" s="20" t="str">
        <f t="shared" si="1"/>
        <v>ABB</v>
      </c>
      <c r="B352" s="9" t="s">
        <v>16788</v>
      </c>
      <c r="C352" s="21" t="s">
        <v>12540</v>
      </c>
    </row>
    <row r="353">
      <c r="A353" s="20" t="str">
        <f t="shared" si="1"/>
        <v>AMBUJACEM</v>
      </c>
      <c r="B353" s="9" t="s">
        <v>16788</v>
      </c>
      <c r="C353" s="21" t="s">
        <v>278</v>
      </c>
    </row>
    <row r="354">
      <c r="A354" s="20" t="str">
        <f t="shared" si="1"/>
        <v>ASHOKLEY</v>
      </c>
      <c r="B354" s="9" t="s">
        <v>16788</v>
      </c>
      <c r="C354" s="21" t="s">
        <v>13407</v>
      </c>
    </row>
    <row r="355">
      <c r="A355" s="20" t="str">
        <f t="shared" si="1"/>
        <v>BATAINDIA</v>
      </c>
      <c r="B355" s="9" t="s">
        <v>16788</v>
      </c>
      <c r="C355" s="21" t="s">
        <v>930</v>
      </c>
    </row>
    <row r="356">
      <c r="A356" s="20" t="str">
        <f t="shared" si="1"/>
        <v>ABBOTINDIA</v>
      </c>
      <c r="B356" s="9" t="s">
        <v>16788</v>
      </c>
      <c r="C356" s="21" t="s">
        <v>11018</v>
      </c>
    </row>
    <row r="357">
      <c r="A357" s="20" t="str">
        <f t="shared" si="1"/>
        <v>BOSCHLTD</v>
      </c>
      <c r="B357" s="9" t="s">
        <v>16788</v>
      </c>
      <c r="C357" s="21" t="s">
        <v>1068</v>
      </c>
    </row>
    <row r="358">
      <c r="A358" s="20" t="str">
        <f t="shared" si="1"/>
        <v>CRISIL</v>
      </c>
      <c r="B358" s="9" t="s">
        <v>16788</v>
      </c>
      <c r="C358" s="21" t="s">
        <v>9452</v>
      </c>
    </row>
    <row r="359">
      <c r="A359" s="20" t="str">
        <f t="shared" si="1"/>
        <v>CUMMINSIND</v>
      </c>
      <c r="B359" s="9" t="s">
        <v>16788</v>
      </c>
      <c r="C359" s="21" t="s">
        <v>13418</v>
      </c>
    </row>
    <row r="360">
      <c r="A360" s="20" t="str">
        <f t="shared" si="1"/>
        <v>BRITANNIA</v>
      </c>
      <c r="B360" s="9" t="s">
        <v>16788</v>
      </c>
      <c r="C360" s="21" t="s">
        <v>7528</v>
      </c>
    </row>
    <row r="361">
      <c r="A361" s="20" t="str">
        <f t="shared" si="1"/>
        <v>GLAND</v>
      </c>
      <c r="B361" s="9" t="s">
        <v>16788</v>
      </c>
      <c r="C361" s="21" t="s">
        <v>11706</v>
      </c>
    </row>
    <row r="362">
      <c r="A362" s="20" t="str">
        <f t="shared" si="1"/>
        <v>COLPAL</v>
      </c>
      <c r="B362" s="9" t="s">
        <v>16788</v>
      </c>
      <c r="C362" s="21" t="s">
        <v>7559</v>
      </c>
    </row>
    <row r="363">
      <c r="A363" s="20" t="str">
        <f t="shared" si="1"/>
        <v>ESCORTS</v>
      </c>
      <c r="B363" s="9" t="s">
        <v>16788</v>
      </c>
      <c r="C363" s="21" t="s">
        <v>13441</v>
      </c>
    </row>
    <row r="364">
      <c r="A364" s="20" t="str">
        <f t="shared" si="1"/>
        <v>GRINDWELL</v>
      </c>
      <c r="B364" s="9" t="s">
        <v>16788</v>
      </c>
      <c r="C364" s="21" t="s">
        <v>13699</v>
      </c>
    </row>
    <row r="365">
      <c r="A365" s="20" t="str">
        <f t="shared" si="1"/>
        <v>JBCHEPHARM</v>
      </c>
      <c r="B365" s="9" t="s">
        <v>16788</v>
      </c>
      <c r="C365" s="21" t="s">
        <v>11066</v>
      </c>
    </row>
    <row r="366">
      <c r="A366" s="20" t="str">
        <f t="shared" si="1"/>
        <v>LINDEINDIA</v>
      </c>
      <c r="B366" s="9" t="s">
        <v>16788</v>
      </c>
      <c r="C366" s="21" t="s">
        <v>478</v>
      </c>
    </row>
    <row r="367">
      <c r="A367" s="20" t="str">
        <f t="shared" si="1"/>
        <v>MARUTI</v>
      </c>
      <c r="B367" s="9" t="s">
        <v>16788</v>
      </c>
      <c r="C367" s="21" t="s">
        <v>1405</v>
      </c>
    </row>
    <row r="368">
      <c r="A368" s="20" t="str">
        <f t="shared" si="1"/>
        <v>HINDUNILVR</v>
      </c>
      <c r="B368" s="9" t="s">
        <v>16788</v>
      </c>
      <c r="C368" s="21" t="s">
        <v>7258</v>
      </c>
    </row>
    <row r="369">
      <c r="A369" s="20" t="str">
        <f t="shared" si="1"/>
        <v>MPHASIS</v>
      </c>
      <c r="B369" s="9" t="s">
        <v>16788</v>
      </c>
      <c r="C369" s="21" t="s">
        <v>15064</v>
      </c>
    </row>
    <row r="370">
      <c r="A370" s="20" t="str">
        <f t="shared" si="1"/>
        <v>NESTLEIND</v>
      </c>
      <c r="B370" s="9" t="s">
        <v>16788</v>
      </c>
      <c r="C370" s="21" t="s">
        <v>7271</v>
      </c>
    </row>
    <row r="371">
      <c r="A371" s="20" t="str">
        <f t="shared" si="1"/>
        <v>HONAUT</v>
      </c>
      <c r="B371" s="9" t="s">
        <v>16788</v>
      </c>
      <c r="C371" s="21" t="s">
        <v>13826</v>
      </c>
    </row>
    <row r="372">
      <c r="A372" s="20" t="str">
        <f t="shared" si="1"/>
        <v>UNITDSPR</v>
      </c>
      <c r="B372" s="9" t="s">
        <v>16788</v>
      </c>
      <c r="C372" s="21" t="s">
        <v>8952</v>
      </c>
    </row>
    <row r="373">
      <c r="A373" s="20" t="str">
        <f t="shared" si="1"/>
        <v>OFSS</v>
      </c>
      <c r="B373" s="9" t="s">
        <v>16788</v>
      </c>
      <c r="C373" s="21" t="s">
        <v>15128</v>
      </c>
    </row>
    <row r="374">
      <c r="A374" s="20" t="str">
        <f t="shared" si="1"/>
        <v>SIEMENS</v>
      </c>
      <c r="B374" s="9" t="s">
        <v>16788</v>
      </c>
      <c r="C374" s="21" t="s">
        <v>13462</v>
      </c>
    </row>
    <row r="375">
      <c r="A375" s="20" t="str">
        <f t="shared" si="1"/>
        <v>PGHH</v>
      </c>
      <c r="B375" s="9" t="s">
        <v>16788</v>
      </c>
      <c r="C375" s="21" t="s">
        <v>7255</v>
      </c>
    </row>
    <row r="376">
      <c r="A376" s="20" t="str">
        <f t="shared" si="1"/>
        <v>SCHAEFFLER</v>
      </c>
      <c r="B376" s="9" t="s">
        <v>16788</v>
      </c>
      <c r="C376" s="21" t="s">
        <v>1180</v>
      </c>
    </row>
    <row r="377">
      <c r="A377" s="20" t="str">
        <f t="shared" si="1"/>
        <v>SKFINDIA</v>
      </c>
      <c r="B377" s="9" t="s">
        <v>16788</v>
      </c>
      <c r="C377" s="21" t="s">
        <v>13396</v>
      </c>
    </row>
    <row r="378">
      <c r="A378" s="20" t="str">
        <f t="shared" si="1"/>
        <v>TIMKEN</v>
      </c>
      <c r="B378" s="9" t="s">
        <v>16788</v>
      </c>
      <c r="C378" s="21" t="s">
        <v>13863</v>
      </c>
    </row>
    <row r="379">
      <c r="A379" s="20" t="str">
        <f t="shared" si="1"/>
        <v>UBL</v>
      </c>
      <c r="B379" s="9" t="s">
        <v>16788</v>
      </c>
      <c r="C379" s="21" t="s">
        <v>9329</v>
      </c>
    </row>
    <row r="380">
      <c r="A380" s="20" t="str">
        <f t="shared" si="1"/>
        <v>VEDL</v>
      </c>
      <c r="B380" s="9" t="s">
        <v>16788</v>
      </c>
      <c r="C380" s="21" t="s">
        <v>166</v>
      </c>
    </row>
    <row r="381">
      <c r="A381" s="20" t="str">
        <f t="shared" si="1"/>
        <v>CASTROLIND</v>
      </c>
      <c r="B381" s="9" t="s">
        <v>16789</v>
      </c>
      <c r="C381" s="21" t="s">
        <v>5995</v>
      </c>
    </row>
    <row r="382">
      <c r="A382" s="20" t="str">
        <f t="shared" si="1"/>
        <v>ASHOKLEY</v>
      </c>
      <c r="B382" s="9" t="s">
        <v>16789</v>
      </c>
      <c r="C382" s="21" t="s">
        <v>13407</v>
      </c>
    </row>
    <row r="383">
      <c r="A383" s="20" t="str">
        <f t="shared" si="1"/>
        <v>ATGL</v>
      </c>
      <c r="B383" s="9" t="s">
        <v>16789</v>
      </c>
      <c r="C383" s="21" t="s">
        <v>6555</v>
      </c>
    </row>
    <row r="384">
      <c r="A384" s="20" t="str">
        <f t="shared" si="1"/>
        <v>BALKRISIND</v>
      </c>
      <c r="B384" s="9" t="s">
        <v>16789</v>
      </c>
      <c r="C384" s="21" t="s">
        <v>1123</v>
      </c>
    </row>
    <row r="385">
      <c r="A385" s="20" t="str">
        <f t="shared" si="1"/>
        <v>ADANIPORTS</v>
      </c>
      <c r="B385" s="9" t="s">
        <v>16789</v>
      </c>
      <c r="C385" s="21" t="s">
        <v>15361</v>
      </c>
    </row>
    <row r="386">
      <c r="A386" s="20" t="str">
        <f t="shared" si="1"/>
        <v>BAJAJ-AUTO</v>
      </c>
      <c r="B386" s="9" t="s">
        <v>16789</v>
      </c>
      <c r="C386" s="21" t="s">
        <v>1951</v>
      </c>
    </row>
    <row r="387">
      <c r="A387" s="20" t="str">
        <f t="shared" si="1"/>
        <v>BPCL</v>
      </c>
      <c r="B387" s="9" t="s">
        <v>16789</v>
      </c>
      <c r="C387" s="21" t="s">
        <v>5960</v>
      </c>
    </row>
    <row r="388">
      <c r="A388" s="20" t="str">
        <f t="shared" si="1"/>
        <v>CONCOR</v>
      </c>
      <c r="B388" s="9" t="s">
        <v>16789</v>
      </c>
      <c r="C388" s="21" t="s">
        <v>15375</v>
      </c>
    </row>
    <row r="389">
      <c r="A389" s="20" t="str">
        <f t="shared" si="1"/>
        <v>EICHERMOT</v>
      </c>
      <c r="B389" s="9" t="s">
        <v>16789</v>
      </c>
      <c r="C389" s="21" t="s">
        <v>1145</v>
      </c>
    </row>
    <row r="390">
      <c r="A390" s="20" t="str">
        <f t="shared" si="1"/>
        <v>GAIL</v>
      </c>
      <c r="B390" s="9" t="s">
        <v>16789</v>
      </c>
      <c r="C390" s="21" t="s">
        <v>6170</v>
      </c>
    </row>
    <row r="391">
      <c r="A391" s="20" t="str">
        <f t="shared" si="1"/>
        <v>BHARATFORG</v>
      </c>
      <c r="B391" s="9" t="s">
        <v>16789</v>
      </c>
      <c r="C391" s="21" t="s">
        <v>1026</v>
      </c>
    </row>
    <row r="392">
      <c r="A392" s="20" t="str">
        <f t="shared" si="1"/>
        <v>HINDPETRO</v>
      </c>
      <c r="B392" s="9" t="s">
        <v>16789</v>
      </c>
      <c r="C392" s="21" t="s">
        <v>5844</v>
      </c>
    </row>
    <row r="393">
      <c r="A393" s="20" t="str">
        <f t="shared" si="1"/>
        <v>IGL</v>
      </c>
      <c r="B393" s="9" t="s">
        <v>16789</v>
      </c>
      <c r="C393" s="21" t="s">
        <v>6188</v>
      </c>
    </row>
    <row r="394">
      <c r="A394" s="20" t="str">
        <f t="shared" si="1"/>
        <v>INDIGO</v>
      </c>
      <c r="B394" s="9" t="s">
        <v>16789</v>
      </c>
      <c r="C394" s="21" t="s">
        <v>15368</v>
      </c>
    </row>
    <row r="395">
      <c r="A395" s="20" t="str">
        <f t="shared" si="1"/>
        <v>IOC</v>
      </c>
      <c r="B395" s="9" t="s">
        <v>16789</v>
      </c>
      <c r="C395" s="21" t="s">
        <v>6158</v>
      </c>
    </row>
    <row r="396">
      <c r="A396" s="20" t="str">
        <f t="shared" si="1"/>
        <v>IRCTC</v>
      </c>
      <c r="B396" s="9" t="s">
        <v>16789</v>
      </c>
      <c r="C396" s="21" t="s">
        <v>3648</v>
      </c>
    </row>
    <row r="397">
      <c r="A397" s="20" t="str">
        <f t="shared" si="1"/>
        <v>BOSCHLTD</v>
      </c>
      <c r="B397" s="9" t="s">
        <v>16789</v>
      </c>
      <c r="C397" s="21" t="s">
        <v>1068</v>
      </c>
    </row>
    <row r="398">
      <c r="A398" s="20" t="str">
        <f t="shared" si="1"/>
        <v>MARUTI</v>
      </c>
      <c r="B398" s="9" t="s">
        <v>16789</v>
      </c>
      <c r="C398" s="21" t="s">
        <v>1405</v>
      </c>
    </row>
    <row r="399">
      <c r="A399" s="20" t="str">
        <f t="shared" si="1"/>
        <v>MOTHERSON</v>
      </c>
      <c r="B399" s="9" t="s">
        <v>16789</v>
      </c>
      <c r="C399" s="21" t="s">
        <v>1229</v>
      </c>
    </row>
    <row r="400">
      <c r="A400" s="20" t="str">
        <f t="shared" si="1"/>
        <v>MRF</v>
      </c>
      <c r="B400" s="9" t="s">
        <v>16789</v>
      </c>
      <c r="C400" s="21" t="s">
        <v>991</v>
      </c>
    </row>
    <row r="401">
      <c r="A401" s="20" t="str">
        <f t="shared" si="1"/>
        <v>HEROMOTOCO</v>
      </c>
      <c r="B401" s="9" t="s">
        <v>16789</v>
      </c>
      <c r="C401" s="21" t="s">
        <v>959</v>
      </c>
    </row>
    <row r="402">
      <c r="A402" s="20" t="str">
        <f t="shared" si="1"/>
        <v>RELIANCE</v>
      </c>
      <c r="B402" s="9" t="s">
        <v>16789</v>
      </c>
      <c r="C402" s="21" t="s">
        <v>5953</v>
      </c>
    </row>
    <row r="403">
      <c r="A403" s="20" t="str">
        <f t="shared" si="1"/>
        <v>M&amp;M</v>
      </c>
      <c r="B403" s="9" t="s">
        <v>16789</v>
      </c>
      <c r="C403" s="21" t="s">
        <v>1042</v>
      </c>
    </row>
    <row r="404">
      <c r="A404" s="20" t="str">
        <f t="shared" si="1"/>
        <v>PETRONET</v>
      </c>
      <c r="B404" s="9" t="s">
        <v>16789</v>
      </c>
      <c r="C404" s="21" t="s">
        <v>6193</v>
      </c>
    </row>
    <row r="405">
      <c r="A405" s="20" t="str">
        <f t="shared" si="1"/>
        <v>SCHAEFFLER</v>
      </c>
      <c r="B405" s="9" t="s">
        <v>16789</v>
      </c>
      <c r="C405" s="21" t="s">
        <v>1180</v>
      </c>
    </row>
    <row r="406">
      <c r="A406" s="20" t="str">
        <f t="shared" si="1"/>
        <v>TATAMOTORS</v>
      </c>
      <c r="B406" s="9" t="s">
        <v>16789</v>
      </c>
      <c r="C406" s="21" t="s">
        <v>1077</v>
      </c>
    </row>
    <row r="407">
      <c r="A407" s="20" t="str">
        <f t="shared" si="1"/>
        <v>TATAMTRDVR</v>
      </c>
      <c r="B407" s="9" t="s">
        <v>16789</v>
      </c>
      <c r="C407" s="21" t="s">
        <v>5537</v>
      </c>
    </row>
    <row r="408">
      <c r="A408" s="20" t="str">
        <f t="shared" si="1"/>
        <v>TIINDIA</v>
      </c>
      <c r="B408" s="9" t="s">
        <v>16789</v>
      </c>
      <c r="C408" s="21" t="s">
        <v>3027</v>
      </c>
    </row>
    <row r="409">
      <c r="A409" s="20" t="str">
        <f t="shared" si="1"/>
        <v>SONACOMS</v>
      </c>
      <c r="B409" s="9" t="s">
        <v>16789</v>
      </c>
      <c r="C409" s="21" t="s">
        <v>4143</v>
      </c>
    </row>
    <row r="410">
      <c r="A410" s="20" t="str">
        <f t="shared" si="1"/>
        <v>ZOMATO</v>
      </c>
      <c r="B410" s="9" t="s">
        <v>16789</v>
      </c>
      <c r="C410" s="21" t="s">
        <v>4273</v>
      </c>
    </row>
    <row r="411">
      <c r="A411" s="20" t="str">
        <f t="shared" si="1"/>
        <v>SUNDRMFAST</v>
      </c>
      <c r="B411" s="9" t="s">
        <v>16789</v>
      </c>
      <c r="C411" s="21" t="s">
        <v>1003</v>
      </c>
    </row>
    <row r="412">
      <c r="A412" s="20" t="str">
        <f t="shared" si="1"/>
        <v>TVSMOTOR</v>
      </c>
      <c r="B412" s="9" t="s">
        <v>16789</v>
      </c>
      <c r="C412" s="21" t="s">
        <v>1365</v>
      </c>
    </row>
    <row r="413">
      <c r="A413" s="20" t="str">
        <f t="shared" si="1"/>
        <v>GABRIEL</v>
      </c>
      <c r="B413" s="9" t="s">
        <v>16789</v>
      </c>
      <c r="C413" s="21" t="s">
        <v>1171</v>
      </c>
    </row>
    <row r="414">
      <c r="A414" s="20" t="str">
        <f t="shared" si="1"/>
        <v>AAVAS</v>
      </c>
      <c r="B414" s="9" t="s">
        <v>16790</v>
      </c>
      <c r="C414" s="21" t="s">
        <v>10429</v>
      </c>
    </row>
    <row r="415">
      <c r="A415" s="20" t="str">
        <f t="shared" si="1"/>
        <v>APTUS</v>
      </c>
      <c r="B415" s="9" t="s">
        <v>16790</v>
      </c>
      <c r="C415" s="21" t="s">
        <v>10567</v>
      </c>
    </row>
    <row r="416">
      <c r="A416" s="20" t="str">
        <f t="shared" si="1"/>
        <v>BAJFINANCE</v>
      </c>
      <c r="B416" s="9" t="s">
        <v>16790</v>
      </c>
      <c r="C416" s="21" t="s">
        <v>9449</v>
      </c>
    </row>
    <row r="417">
      <c r="A417" s="20" t="str">
        <f t="shared" si="1"/>
        <v>BAJAJFINSV</v>
      </c>
      <c r="B417" s="9" t="s">
        <v>16790</v>
      </c>
      <c r="C417" s="21" t="s">
        <v>10009</v>
      </c>
    </row>
    <row r="418">
      <c r="A418" s="20" t="str">
        <f t="shared" si="1"/>
        <v>CANFINHOME</v>
      </c>
      <c r="B418" s="9" t="s">
        <v>16790</v>
      </c>
      <c r="C418" s="21" t="s">
        <v>9656</v>
      </c>
    </row>
    <row r="419">
      <c r="A419" s="20" t="str">
        <f t="shared" si="1"/>
        <v>CGCL</v>
      </c>
      <c r="B419" s="9" t="s">
        <v>16790</v>
      </c>
      <c r="C419" s="21" t="s">
        <v>9806</v>
      </c>
    </row>
    <row r="420">
      <c r="A420" s="20" t="str">
        <f t="shared" si="1"/>
        <v>CHOLAFIN</v>
      </c>
      <c r="B420" s="9" t="s">
        <v>16790</v>
      </c>
      <c r="C420" s="21" t="s">
        <v>9696</v>
      </c>
    </row>
    <row r="421">
      <c r="A421" s="20" t="str">
        <f t="shared" si="1"/>
        <v>CREDITACC</v>
      </c>
      <c r="B421" s="9" t="s">
        <v>16790</v>
      </c>
      <c r="C421" s="21" t="s">
        <v>10423</v>
      </c>
    </row>
    <row r="422">
      <c r="A422" s="20" t="str">
        <f t="shared" si="1"/>
        <v>FIVESTAR</v>
      </c>
      <c r="B422" s="9" t="s">
        <v>16790</v>
      </c>
      <c r="C422" s="21" t="s">
        <v>10701</v>
      </c>
    </row>
    <row r="423">
      <c r="A423" s="20" t="str">
        <f t="shared" si="1"/>
        <v>GICRE</v>
      </c>
      <c r="B423" s="9" t="s">
        <v>16790</v>
      </c>
      <c r="C423" s="21" t="s">
        <v>10307</v>
      </c>
    </row>
    <row r="424">
      <c r="A424" s="20" t="str">
        <f t="shared" si="1"/>
        <v>HDFCLIFE</v>
      </c>
      <c r="B424" s="9" t="s">
        <v>16790</v>
      </c>
      <c r="C424" s="21" t="s">
        <v>10361</v>
      </c>
    </row>
    <row r="425">
      <c r="A425" s="20" t="str">
        <f t="shared" si="1"/>
        <v>HOMEFIRST</v>
      </c>
      <c r="B425" s="9" t="s">
        <v>16790</v>
      </c>
      <c r="C425" s="21" t="s">
        <v>10554</v>
      </c>
    </row>
    <row r="426">
      <c r="A426" s="20" t="str">
        <f t="shared" si="1"/>
        <v>HUDCO</v>
      </c>
      <c r="B426" s="9" t="s">
        <v>16790</v>
      </c>
      <c r="C426" s="21" t="s">
        <v>10166</v>
      </c>
    </row>
    <row r="427">
      <c r="A427" s="20" t="str">
        <f t="shared" si="1"/>
        <v>ICICIGI</v>
      </c>
      <c r="B427" s="9" t="s">
        <v>16790</v>
      </c>
      <c r="C427" s="21" t="s">
        <v>10224</v>
      </c>
    </row>
    <row r="428">
      <c r="A428" s="20" t="str">
        <f t="shared" si="1"/>
        <v>ICICIPRULI</v>
      </c>
      <c r="B428" s="9" t="s">
        <v>16790</v>
      </c>
      <c r="C428" s="21" t="s">
        <v>10157</v>
      </c>
    </row>
    <row r="429">
      <c r="A429" s="20" t="str">
        <f t="shared" si="1"/>
        <v>IDFC</v>
      </c>
      <c r="B429" s="9" t="s">
        <v>16790</v>
      </c>
      <c r="C429" s="21" t="s">
        <v>9945</v>
      </c>
    </row>
    <row r="430">
      <c r="A430" s="20" t="str">
        <f t="shared" si="1"/>
        <v>IBULHSGFIN</v>
      </c>
      <c r="B430" s="9" t="s">
        <v>16790</v>
      </c>
      <c r="C430" s="21" t="s">
        <v>10086</v>
      </c>
    </row>
    <row r="431">
      <c r="A431" s="20" t="str">
        <f t="shared" si="1"/>
        <v>IRFC</v>
      </c>
      <c r="B431" s="9" t="s">
        <v>16790</v>
      </c>
      <c r="C431" s="21" t="s">
        <v>10542</v>
      </c>
    </row>
    <row r="432">
      <c r="A432" s="20" t="str">
        <f t="shared" si="1"/>
        <v>LTF</v>
      </c>
      <c r="B432" s="9" t="s">
        <v>16790</v>
      </c>
      <c r="C432" s="21" t="s">
        <v>10070</v>
      </c>
    </row>
    <row r="433">
      <c r="A433" s="20" t="str">
        <f t="shared" si="1"/>
        <v>LICHSGFIN</v>
      </c>
      <c r="B433" s="9" t="s">
        <v>16790</v>
      </c>
      <c r="C433" s="21" t="s">
        <v>9515</v>
      </c>
    </row>
    <row r="434">
      <c r="A434" s="20" t="str">
        <f t="shared" si="1"/>
        <v>LICI</v>
      </c>
      <c r="B434" s="9" t="s">
        <v>16790</v>
      </c>
      <c r="C434" s="21" t="s">
        <v>10658</v>
      </c>
    </row>
    <row r="435">
      <c r="A435" s="20" t="str">
        <f t="shared" si="1"/>
        <v>M&amp;MFIN</v>
      </c>
      <c r="B435" s="9" t="s">
        <v>16790</v>
      </c>
      <c r="C435" s="21" t="s">
        <v>9949</v>
      </c>
    </row>
    <row r="436">
      <c r="A436" s="20" t="str">
        <f t="shared" si="1"/>
        <v>MANAPPURAM</v>
      </c>
      <c r="B436" s="9" t="s">
        <v>16790</v>
      </c>
      <c r="C436" s="21" t="s">
        <v>9773</v>
      </c>
    </row>
    <row r="437">
      <c r="A437" s="20" t="str">
        <f t="shared" si="1"/>
        <v>MUTHOOTFIN</v>
      </c>
      <c r="B437" s="9" t="s">
        <v>16790</v>
      </c>
      <c r="C437" s="21" t="s">
        <v>10058</v>
      </c>
    </row>
    <row r="438">
      <c r="A438" s="20" t="str">
        <f t="shared" si="1"/>
        <v>PAYTM</v>
      </c>
      <c r="B438" s="9" t="s">
        <v>16790</v>
      </c>
      <c r="C438" s="21" t="s">
        <v>10595</v>
      </c>
    </row>
    <row r="439">
      <c r="A439" s="20" t="str">
        <f t="shared" si="1"/>
        <v>POLICYBZR</v>
      </c>
      <c r="B439" s="9" t="s">
        <v>16790</v>
      </c>
      <c r="C439" s="21" t="s">
        <v>10579</v>
      </c>
    </row>
    <row r="440">
      <c r="A440" s="20" t="str">
        <f t="shared" si="1"/>
        <v>PEL</v>
      </c>
      <c r="B440" s="9" t="s">
        <v>16790</v>
      </c>
      <c r="C440" s="21" t="s">
        <v>9540</v>
      </c>
    </row>
    <row r="441">
      <c r="A441" s="20" t="str">
        <f t="shared" si="1"/>
        <v>PNBHOUSING</v>
      </c>
      <c r="B441" s="9" t="s">
        <v>16790</v>
      </c>
      <c r="C441" s="21" t="s">
        <v>10162</v>
      </c>
    </row>
    <row r="442">
      <c r="A442" s="20" t="str">
        <f t="shared" si="1"/>
        <v>POONAWALLA</v>
      </c>
      <c r="B442" s="9" t="s">
        <v>16790</v>
      </c>
      <c r="C442" s="21" t="s">
        <v>9757</v>
      </c>
    </row>
    <row r="443">
      <c r="A443" s="20" t="str">
        <f t="shared" si="1"/>
        <v>PFC</v>
      </c>
      <c r="B443" s="9" t="s">
        <v>16790</v>
      </c>
      <c r="C443" s="21" t="s">
        <v>9954</v>
      </c>
    </row>
    <row r="444">
      <c r="A444" s="20" t="str">
        <f t="shared" si="1"/>
        <v>RECLTD</v>
      </c>
      <c r="B444" s="9" t="s">
        <v>16790</v>
      </c>
      <c r="C444" s="21" t="s">
        <v>10004</v>
      </c>
    </row>
    <row r="445">
      <c r="A445" s="20" t="str">
        <f t="shared" si="1"/>
        <v>SBFC</v>
      </c>
      <c r="B445" s="9" t="s">
        <v>16790</v>
      </c>
      <c r="C445" s="21" t="s">
        <v>10753</v>
      </c>
    </row>
    <row r="446">
      <c r="A446" s="20" t="str">
        <f t="shared" si="1"/>
        <v>SBICARD</v>
      </c>
      <c r="B446" s="9" t="s">
        <v>16790</v>
      </c>
      <c r="C446" s="21" t="s">
        <v>10480</v>
      </c>
    </row>
    <row r="447">
      <c r="A447" s="20" t="str">
        <f t="shared" si="1"/>
        <v>SBILIFE</v>
      </c>
      <c r="B447" s="9" t="s">
        <v>16790</v>
      </c>
      <c r="C447" s="21" t="s">
        <v>10250</v>
      </c>
    </row>
    <row r="448">
      <c r="A448" s="20" t="str">
        <f t="shared" si="1"/>
        <v>SHRIRAMFIN</v>
      </c>
      <c r="B448" s="9" t="s">
        <v>16790</v>
      </c>
      <c r="C448" s="21" t="s">
        <v>9684</v>
      </c>
    </row>
    <row r="449">
      <c r="A449" s="20" t="str">
        <f t="shared" si="1"/>
        <v>STARHEALTH</v>
      </c>
      <c r="B449" s="9" t="s">
        <v>16790</v>
      </c>
      <c r="C449" s="21" t="s">
        <v>10628</v>
      </c>
    </row>
    <row r="450">
      <c r="A450" s="20" t="str">
        <f t="shared" si="1"/>
        <v>SUNDARMFIN</v>
      </c>
      <c r="B450" s="9" t="s">
        <v>16790</v>
      </c>
      <c r="C450" s="21" t="s">
        <v>10872</v>
      </c>
    </row>
    <row r="451">
      <c r="A451" s="20" t="str">
        <f t="shared" si="1"/>
        <v>NIACL</v>
      </c>
      <c r="B451" s="9" t="s">
        <v>16790</v>
      </c>
      <c r="C451" s="21" t="s">
        <v>10316</v>
      </c>
    </row>
    <row r="452">
      <c r="A452" s="20" t="str">
        <f t="shared" si="1"/>
        <v>ASIANPAINT</v>
      </c>
      <c r="B452" s="9" t="s">
        <v>16791</v>
      </c>
      <c r="C452" s="21" t="s">
        <v>1098</v>
      </c>
    </row>
    <row r="453">
      <c r="A453" s="20" t="str">
        <f t="shared" si="1"/>
        <v>BHARTIARTL</v>
      </c>
      <c r="B453" s="9" t="s">
        <v>16791</v>
      </c>
      <c r="C453" s="21" t="s">
        <v>16023</v>
      </c>
    </row>
    <row r="454">
      <c r="A454" s="20" t="str">
        <f t="shared" si="1"/>
        <v>CROMPTON</v>
      </c>
      <c r="B454" s="9" t="s">
        <v>16791</v>
      </c>
      <c r="C454" s="21" t="s">
        <v>2535</v>
      </c>
    </row>
    <row r="455">
      <c r="A455" s="20" t="str">
        <f t="shared" si="1"/>
        <v>BRITANNIA</v>
      </c>
      <c r="B455" s="9" t="s">
        <v>16791</v>
      </c>
      <c r="C455" s="21" t="s">
        <v>7528</v>
      </c>
    </row>
    <row r="456">
      <c r="A456" s="20" t="str">
        <f t="shared" si="1"/>
        <v>COLPAL</v>
      </c>
      <c r="B456" s="9" t="s">
        <v>16791</v>
      </c>
      <c r="C456" s="21" t="s">
        <v>7559</v>
      </c>
    </row>
    <row r="457">
      <c r="A457" s="20" t="str">
        <f t="shared" si="1"/>
        <v>DABUR</v>
      </c>
      <c r="B457" s="9" t="s">
        <v>16791</v>
      </c>
      <c r="C457" s="21" t="s">
        <v>6751</v>
      </c>
    </row>
    <row r="458">
      <c r="A458" s="20" t="str">
        <f t="shared" si="1"/>
        <v>DIXON</v>
      </c>
      <c r="B458" s="9" t="s">
        <v>16791</v>
      </c>
      <c r="C458" s="21" t="s">
        <v>3022</v>
      </c>
    </row>
    <row r="459">
      <c r="A459" s="20" t="str">
        <f t="shared" si="1"/>
        <v>DMART</v>
      </c>
      <c r="B459" s="9" t="s">
        <v>16791</v>
      </c>
      <c r="C459" s="21" t="s">
        <v>3013</v>
      </c>
    </row>
    <row r="460">
      <c r="A460" s="20" t="str">
        <f t="shared" si="1"/>
        <v>GODREJCP</v>
      </c>
      <c r="B460" s="9" t="s">
        <v>16791</v>
      </c>
      <c r="C460" s="21" t="s">
        <v>8826</v>
      </c>
    </row>
    <row r="461">
      <c r="A461" s="20" t="str">
        <f t="shared" si="1"/>
        <v>INDHOTEL</v>
      </c>
      <c r="B461" s="9" t="s">
        <v>16791</v>
      </c>
      <c r="C461" s="21" t="s">
        <v>1108</v>
      </c>
    </row>
    <row r="462">
      <c r="A462" s="20" t="str">
        <f t="shared" si="1"/>
        <v>INDIGO</v>
      </c>
      <c r="B462" s="9" t="s">
        <v>16791</v>
      </c>
      <c r="C462" s="21" t="s">
        <v>15368</v>
      </c>
    </row>
    <row r="463">
      <c r="A463" s="20" t="str">
        <f t="shared" si="1"/>
        <v>IRCTC</v>
      </c>
      <c r="B463" s="9" t="s">
        <v>16791</v>
      </c>
      <c r="C463" s="21" t="s">
        <v>3648</v>
      </c>
    </row>
    <row r="464">
      <c r="A464" s="20" t="str">
        <f t="shared" si="1"/>
        <v>ITC</v>
      </c>
      <c r="B464" s="9" t="s">
        <v>16791</v>
      </c>
      <c r="C464" s="21" t="s">
        <v>7682</v>
      </c>
    </row>
    <row r="465">
      <c r="A465" s="20" t="str">
        <f t="shared" si="1"/>
        <v>HAVELLS</v>
      </c>
      <c r="B465" s="9" t="s">
        <v>16791</v>
      </c>
      <c r="C465" s="21" t="s">
        <v>1237</v>
      </c>
    </row>
    <row r="466">
      <c r="A466" s="20" t="str">
        <f t="shared" si="1"/>
        <v>HINDUNILVR</v>
      </c>
      <c r="B466" s="9" t="s">
        <v>16791</v>
      </c>
      <c r="C466" s="21" t="s">
        <v>7258</v>
      </c>
    </row>
    <row r="467">
      <c r="A467" s="20" t="str">
        <f t="shared" si="1"/>
        <v>JUBLFOOD</v>
      </c>
      <c r="B467" s="9" t="s">
        <v>16791</v>
      </c>
      <c r="C467" s="21" t="s">
        <v>2115</v>
      </c>
    </row>
    <row r="468">
      <c r="A468" s="20" t="str">
        <f t="shared" si="1"/>
        <v>NAUKRI</v>
      </c>
      <c r="B468" s="9" t="s">
        <v>16791</v>
      </c>
      <c r="C468" s="21" t="s">
        <v>1611</v>
      </c>
    </row>
    <row r="469">
      <c r="A469" s="20" t="str">
        <f t="shared" si="1"/>
        <v>NESTLEIND</v>
      </c>
      <c r="B469" s="9" t="s">
        <v>16791</v>
      </c>
      <c r="C469" s="21" t="s">
        <v>7271</v>
      </c>
    </row>
    <row r="470">
      <c r="A470" s="20" t="str">
        <f t="shared" si="1"/>
        <v>NYKAA</v>
      </c>
      <c r="B470" s="9" t="s">
        <v>16791</v>
      </c>
      <c r="C470" s="21" t="s">
        <v>4589</v>
      </c>
    </row>
    <row r="471">
      <c r="A471" s="20" t="str">
        <f t="shared" si="1"/>
        <v>MARICO</v>
      </c>
      <c r="B471" s="9" t="s">
        <v>16791</v>
      </c>
      <c r="C471" s="21" t="s">
        <v>8779</v>
      </c>
    </row>
    <row r="472">
      <c r="A472" s="20" t="str">
        <f t="shared" si="1"/>
        <v>TATACOMM</v>
      </c>
      <c r="B472" s="9" t="s">
        <v>16791</v>
      </c>
      <c r="C472" s="21" t="s">
        <v>15967</v>
      </c>
    </row>
    <row r="473">
      <c r="A473" s="20" t="str">
        <f t="shared" si="1"/>
        <v>UNITDSPR</v>
      </c>
      <c r="B473" s="9" t="s">
        <v>16791</v>
      </c>
      <c r="C473" s="21" t="s">
        <v>8952</v>
      </c>
    </row>
    <row r="474">
      <c r="A474" s="20" t="str">
        <f t="shared" si="1"/>
        <v>TITAN</v>
      </c>
      <c r="B474" s="9" t="s">
        <v>16791</v>
      </c>
      <c r="C474" s="21" t="s">
        <v>946</v>
      </c>
    </row>
    <row r="475">
      <c r="A475" s="20" t="str">
        <f t="shared" si="1"/>
        <v>PAGEIND</v>
      </c>
      <c r="B475" s="9" t="s">
        <v>16791</v>
      </c>
      <c r="C475" s="21" t="s">
        <v>1661</v>
      </c>
    </row>
    <row r="476">
      <c r="A476" s="20" t="str">
        <f t="shared" si="1"/>
        <v>TATACONSUM</v>
      </c>
      <c r="B476" s="9" t="s">
        <v>16791</v>
      </c>
      <c r="C476" s="21" t="s">
        <v>7355</v>
      </c>
    </row>
    <row r="477">
      <c r="A477" s="20" t="str">
        <f t="shared" si="1"/>
        <v>TRENT</v>
      </c>
      <c r="B477" s="9" t="s">
        <v>16791</v>
      </c>
      <c r="C477" s="21" t="s">
        <v>986</v>
      </c>
    </row>
    <row r="478">
      <c r="A478" s="20" t="str">
        <f t="shared" si="1"/>
        <v>ZEEL</v>
      </c>
      <c r="B478" s="9" t="s">
        <v>16791</v>
      </c>
      <c r="C478" s="21" t="s">
        <v>1165</v>
      </c>
    </row>
    <row r="479">
      <c r="A479" s="20" t="str">
        <f t="shared" si="1"/>
        <v>ZOMATO</v>
      </c>
      <c r="B479" s="9" t="s">
        <v>16791</v>
      </c>
      <c r="C479" s="21" t="s">
        <v>4273</v>
      </c>
    </row>
    <row r="480">
      <c r="A480" s="20" t="str">
        <f t="shared" si="1"/>
        <v>VBL</v>
      </c>
      <c r="B480" s="9" t="s">
        <v>16791</v>
      </c>
      <c r="C480" s="21" t="s">
        <v>9387</v>
      </c>
    </row>
    <row r="481">
      <c r="A481" s="20" t="str">
        <f t="shared" si="1"/>
        <v>VOLTAS</v>
      </c>
      <c r="B481" s="9" t="s">
        <v>16791</v>
      </c>
      <c r="C481" s="21" t="s">
        <v>1090</v>
      </c>
    </row>
    <row r="482">
      <c r="A482" s="20" t="str">
        <f t="shared" si="1"/>
        <v>ATGL</v>
      </c>
      <c r="B482" s="21" t="s">
        <v>16792</v>
      </c>
      <c r="C482" s="21" t="s">
        <v>6555</v>
      </c>
    </row>
    <row r="483">
      <c r="A483" s="20" t="str">
        <f t="shared" si="1"/>
        <v>AEGISLOG</v>
      </c>
      <c r="B483" s="21" t="s">
        <v>16792</v>
      </c>
      <c r="C483" s="21" t="s">
        <v>5839</v>
      </c>
    </row>
    <row r="484">
      <c r="A484" s="20" t="str">
        <f t="shared" si="1"/>
        <v>BPCL</v>
      </c>
      <c r="B484" s="21" t="s">
        <v>16792</v>
      </c>
      <c r="C484" s="21" t="s">
        <v>5960</v>
      </c>
    </row>
    <row r="485">
      <c r="A485" s="20" t="str">
        <f t="shared" si="1"/>
        <v>CASTROLIND</v>
      </c>
      <c r="B485" s="21" t="s">
        <v>16792</v>
      </c>
      <c r="C485" s="21" t="s">
        <v>5995</v>
      </c>
    </row>
    <row r="486">
      <c r="A486" s="20" t="str">
        <f t="shared" si="1"/>
        <v>GAIL</v>
      </c>
      <c r="B486" s="21" t="s">
        <v>16792</v>
      </c>
      <c r="C486" s="21" t="s">
        <v>6170</v>
      </c>
    </row>
    <row r="487">
      <c r="A487" s="20" t="str">
        <f t="shared" si="1"/>
        <v>GSPL</v>
      </c>
      <c r="B487" s="21" t="s">
        <v>16792</v>
      </c>
      <c r="C487" s="21" t="s">
        <v>6237</v>
      </c>
    </row>
    <row r="488">
      <c r="A488" s="20" t="str">
        <f t="shared" si="1"/>
        <v>HINDPETRO</v>
      </c>
      <c r="B488" s="21" t="s">
        <v>16792</v>
      </c>
      <c r="C488" s="21" t="s">
        <v>5844</v>
      </c>
    </row>
    <row r="489">
      <c r="A489" s="20" t="str">
        <f t="shared" si="1"/>
        <v>IOC</v>
      </c>
      <c r="B489" s="21" t="s">
        <v>16792</v>
      </c>
      <c r="C489" s="21" t="s">
        <v>6158</v>
      </c>
    </row>
    <row r="490">
      <c r="A490" s="20" t="str">
        <f t="shared" si="1"/>
        <v>IGL</v>
      </c>
      <c r="B490" s="21" t="s">
        <v>16792</v>
      </c>
      <c r="C490" s="21" t="s">
        <v>6188</v>
      </c>
    </row>
    <row r="491">
      <c r="A491" s="20" t="str">
        <f t="shared" si="1"/>
        <v>MGL</v>
      </c>
      <c r="B491" s="21" t="s">
        <v>16792</v>
      </c>
      <c r="C491" s="21" t="s">
        <v>6526</v>
      </c>
    </row>
    <row r="492">
      <c r="A492" s="20" t="str">
        <f t="shared" si="1"/>
        <v>ONGC</v>
      </c>
      <c r="B492" s="21" t="s">
        <v>16792</v>
      </c>
      <c r="C492" s="21" t="s">
        <v>5938</v>
      </c>
    </row>
    <row r="493">
      <c r="A493" s="20" t="str">
        <f t="shared" si="1"/>
        <v>GUJGASLTD</v>
      </c>
      <c r="B493" s="21" t="s">
        <v>16792</v>
      </c>
      <c r="C493" s="21" t="s">
        <v>6500</v>
      </c>
    </row>
    <row r="494">
      <c r="A494" s="20" t="str">
        <f t="shared" si="1"/>
        <v>RELIANCE</v>
      </c>
      <c r="B494" s="21" t="s">
        <v>16792</v>
      </c>
      <c r="C494" s="21" t="s">
        <v>5953</v>
      </c>
    </row>
    <row r="495">
      <c r="A495" s="20" t="str">
        <f t="shared" si="1"/>
        <v>OIL</v>
      </c>
      <c r="B495" s="21" t="s">
        <v>16792</v>
      </c>
      <c r="C495" s="21" t="s">
        <v>6255</v>
      </c>
    </row>
    <row r="496">
      <c r="A496" s="20" t="str">
        <f t="shared" si="1"/>
        <v>PETRONET</v>
      </c>
      <c r="B496" s="21" t="s">
        <v>16792</v>
      </c>
      <c r="C496" s="21" t="s">
        <v>6193</v>
      </c>
    </row>
    <row r="497">
      <c r="A497" s="20" t="str">
        <f t="shared" si="1"/>
        <v>AJANTPHARM</v>
      </c>
      <c r="B497" s="21" t="s">
        <v>16793</v>
      </c>
      <c r="C497" s="21" t="s">
        <v>11289</v>
      </c>
    </row>
    <row r="498">
      <c r="A498" s="20" t="str">
        <f t="shared" si="1"/>
        <v>ALKEM</v>
      </c>
      <c r="B498" s="21" t="s">
        <v>16793</v>
      </c>
      <c r="C498" s="21" t="s">
        <v>11457</v>
      </c>
    </row>
    <row r="499">
      <c r="A499" s="20" t="str">
        <f t="shared" si="1"/>
        <v>APLLTD</v>
      </c>
      <c r="B499" s="21" t="s">
        <v>16793</v>
      </c>
      <c r="C499" s="21" t="s">
        <v>11420</v>
      </c>
    </row>
    <row r="500">
      <c r="A500" s="20" t="str">
        <f t="shared" si="1"/>
        <v>AUROPHARMA</v>
      </c>
      <c r="B500" s="21" t="s">
        <v>16793</v>
      </c>
      <c r="C500" s="21" t="s">
        <v>11229</v>
      </c>
    </row>
    <row r="501">
      <c r="A501" s="20" t="str">
        <f t="shared" si="1"/>
        <v>BIOCON</v>
      </c>
      <c r="B501" s="21" t="s">
        <v>16793</v>
      </c>
      <c r="C501" s="21" t="s">
        <v>11357</v>
      </c>
    </row>
    <row r="502">
      <c r="A502" s="20" t="str">
        <f t="shared" si="1"/>
        <v>ABBOTINDIA</v>
      </c>
      <c r="B502" s="21" t="s">
        <v>16793</v>
      </c>
      <c r="C502" s="21" t="s">
        <v>11018</v>
      </c>
    </row>
    <row r="503">
      <c r="A503" s="20" t="str">
        <f t="shared" si="1"/>
        <v>DRREDDY</v>
      </c>
      <c r="B503" s="21" t="s">
        <v>16793</v>
      </c>
      <c r="C503" s="21" t="s">
        <v>10907</v>
      </c>
    </row>
    <row r="504">
      <c r="A504" s="20" t="str">
        <f t="shared" si="1"/>
        <v>ERIS</v>
      </c>
      <c r="B504" s="22" t="s">
        <v>16793</v>
      </c>
      <c r="C504" s="21" t="s">
        <v>11544</v>
      </c>
    </row>
    <row r="505">
      <c r="A505" s="20" t="str">
        <f t="shared" si="1"/>
        <v>GLAND</v>
      </c>
      <c r="B505" s="21" t="s">
        <v>16793</v>
      </c>
      <c r="C505" s="21" t="s">
        <v>11706</v>
      </c>
    </row>
    <row r="506">
      <c r="A506" s="20" t="str">
        <f t="shared" si="1"/>
        <v>CIPLA</v>
      </c>
      <c r="B506" s="21" t="s">
        <v>16793</v>
      </c>
      <c r="C506" s="21" t="s">
        <v>10904</v>
      </c>
    </row>
    <row r="507">
      <c r="A507" s="20" t="str">
        <f t="shared" si="1"/>
        <v>DIVISLAB</v>
      </c>
      <c r="B507" s="21" t="s">
        <v>16793</v>
      </c>
      <c r="C507" s="21" t="s">
        <v>11346</v>
      </c>
    </row>
    <row r="508">
      <c r="A508" s="20" t="str">
        <f t="shared" si="1"/>
        <v>GRANULES</v>
      </c>
      <c r="B508" s="21" t="s">
        <v>16793</v>
      </c>
      <c r="C508" s="21" t="s">
        <v>11330</v>
      </c>
    </row>
    <row r="509">
      <c r="A509" s="20" t="str">
        <f t="shared" si="1"/>
        <v>IPCALAB</v>
      </c>
      <c r="B509" s="21" t="s">
        <v>16793</v>
      </c>
      <c r="C509" s="21" t="s">
        <v>11093</v>
      </c>
    </row>
    <row r="510">
      <c r="A510" s="20" t="str">
        <f t="shared" si="1"/>
        <v>JBCHEPHARM</v>
      </c>
      <c r="B510" s="21" t="s">
        <v>16793</v>
      </c>
      <c r="C510" s="21" t="s">
        <v>11066</v>
      </c>
    </row>
    <row r="511">
      <c r="A511" s="20" t="str">
        <f t="shared" si="1"/>
        <v>JUBLPHARMA</v>
      </c>
      <c r="B511" s="21" t="s">
        <v>16793</v>
      </c>
      <c r="C511" s="21" t="s">
        <v>11241</v>
      </c>
    </row>
    <row r="512">
      <c r="A512" s="20" t="str">
        <f t="shared" si="1"/>
        <v>LAURUSLABS</v>
      </c>
      <c r="B512" s="21" t="s">
        <v>16793</v>
      </c>
      <c r="C512" s="21" t="s">
        <v>11509</v>
      </c>
    </row>
    <row r="513">
      <c r="A513" s="20" t="str">
        <f t="shared" si="1"/>
        <v>GLAXO</v>
      </c>
      <c r="B513" s="21" t="s">
        <v>16793</v>
      </c>
      <c r="C513" s="21" t="s">
        <v>11022</v>
      </c>
    </row>
    <row r="514">
      <c r="A514" s="20" t="str">
        <f t="shared" si="1"/>
        <v>MANKIND</v>
      </c>
      <c r="B514" s="21" t="s">
        <v>16793</v>
      </c>
      <c r="C514" s="21" t="s">
        <v>12316</v>
      </c>
    </row>
    <row r="515">
      <c r="A515" s="20" t="str">
        <f t="shared" si="1"/>
        <v>NATCOPHARM</v>
      </c>
      <c r="B515" s="21" t="s">
        <v>16793</v>
      </c>
      <c r="C515" s="21" t="s">
        <v>11237</v>
      </c>
    </row>
    <row r="516">
      <c r="A516" s="20" t="str">
        <f t="shared" si="1"/>
        <v>PFIZER</v>
      </c>
      <c r="B516" s="22" t="s">
        <v>16793</v>
      </c>
      <c r="C516" s="21" t="s">
        <v>11036</v>
      </c>
    </row>
    <row r="517">
      <c r="A517" s="20" t="str">
        <f t="shared" si="1"/>
        <v>SANOFI</v>
      </c>
      <c r="B517" s="21" t="s">
        <v>16793</v>
      </c>
      <c r="C517" s="21" t="s">
        <v>11026</v>
      </c>
    </row>
    <row r="518">
      <c r="A518" s="20" t="str">
        <f t="shared" si="1"/>
        <v>SEQUENT</v>
      </c>
      <c r="B518" s="22" t="s">
        <v>16793</v>
      </c>
      <c r="C518" s="21" t="s">
        <v>3953</v>
      </c>
    </row>
    <row r="519">
      <c r="A519" s="20" t="str">
        <f t="shared" si="1"/>
        <v>STAR</v>
      </c>
      <c r="B519" s="22" t="s">
        <v>16793</v>
      </c>
      <c r="C519" s="21" t="s">
        <v>11390</v>
      </c>
    </row>
    <row r="520">
      <c r="A520" s="20" t="str">
        <f t="shared" si="1"/>
        <v>SUNPHARMA</v>
      </c>
      <c r="B520" s="21" t="s">
        <v>16793</v>
      </c>
      <c r="C520" s="21" t="s">
        <v>11129</v>
      </c>
    </row>
    <row r="521">
      <c r="A521" s="20" t="str">
        <f t="shared" si="1"/>
        <v>SYNGENE</v>
      </c>
      <c r="B521" s="21" t="s">
        <v>16793</v>
      </c>
      <c r="C521" s="21" t="s">
        <v>11444</v>
      </c>
    </row>
    <row r="522">
      <c r="A522" s="20" t="str">
        <f t="shared" si="1"/>
        <v>GLENMARK</v>
      </c>
      <c r="B522" s="21" t="s">
        <v>16793</v>
      </c>
      <c r="C522" s="21" t="s">
        <v>11257</v>
      </c>
    </row>
    <row r="523">
      <c r="A523" s="20" t="str">
        <f t="shared" si="1"/>
        <v>ZYDUSLIFE</v>
      </c>
      <c r="B523" s="21" t="s">
        <v>16793</v>
      </c>
      <c r="C523" s="21" t="s">
        <v>11282</v>
      </c>
    </row>
    <row r="524">
      <c r="A524" s="20">
        <f t="shared" si="1"/>
        <v>543635</v>
      </c>
      <c r="B524" s="21" t="s">
        <v>16793</v>
      </c>
      <c r="C524" s="20">
        <v>543635.0</v>
      </c>
    </row>
    <row r="525">
      <c r="A525" s="20" t="str">
        <f t="shared" si="1"/>
        <v>LUPIN</v>
      </c>
      <c r="B525" s="21" t="s">
        <v>16793</v>
      </c>
      <c r="C525" s="21" t="s">
        <v>10987</v>
      </c>
    </row>
    <row r="526">
      <c r="A526" s="20" t="str">
        <f t="shared" si="1"/>
        <v>TORNTPHARM</v>
      </c>
      <c r="B526" s="21" t="s">
        <v>16793</v>
      </c>
      <c r="C526" s="21" t="s">
        <v>11009</v>
      </c>
    </row>
    <row r="527">
      <c r="A527" s="20" t="str">
        <f t="shared" si="1"/>
        <v>ADANIENSOL</v>
      </c>
      <c r="B527" s="9" t="s">
        <v>1648</v>
      </c>
      <c r="C527" s="9" t="s">
        <v>16601</v>
      </c>
    </row>
    <row r="528">
      <c r="A528" s="20" t="str">
        <f t="shared" si="1"/>
        <v>ADANIPOWER</v>
      </c>
      <c r="B528" s="9" t="s">
        <v>1648</v>
      </c>
      <c r="C528" s="9" t="s">
        <v>16469</v>
      </c>
    </row>
    <row r="529">
      <c r="A529" s="20" t="str">
        <f t="shared" si="1"/>
        <v>CESC</v>
      </c>
      <c r="B529" s="9" t="s">
        <v>1648</v>
      </c>
      <c r="C529" s="9" t="s">
        <v>16146</v>
      </c>
    </row>
    <row r="530">
      <c r="A530" s="20" t="str">
        <f t="shared" si="1"/>
        <v>NHPC</v>
      </c>
      <c r="B530" s="9" t="s">
        <v>1648</v>
      </c>
      <c r="C530" s="9" t="s">
        <v>16476</v>
      </c>
    </row>
    <row r="531">
      <c r="A531" s="20" t="str">
        <f t="shared" si="1"/>
        <v>NLCINDIA</v>
      </c>
      <c r="B531" s="9" t="s">
        <v>1648</v>
      </c>
      <c r="C531" s="9" t="s">
        <v>16213</v>
      </c>
    </row>
    <row r="532">
      <c r="A532" s="20" t="str">
        <f t="shared" si="1"/>
        <v>ADANIGREEN</v>
      </c>
      <c r="B532" s="9" t="s">
        <v>1648</v>
      </c>
      <c r="C532" s="9" t="s">
        <v>16654</v>
      </c>
    </row>
    <row r="533">
      <c r="A533" s="20" t="str">
        <f t="shared" si="1"/>
        <v>JSWENERGY</v>
      </c>
      <c r="B533" s="9" t="s">
        <v>1648</v>
      </c>
      <c r="C533" s="9" t="s">
        <v>16493</v>
      </c>
    </row>
    <row r="534">
      <c r="A534" s="20" t="str">
        <f t="shared" si="1"/>
        <v>SJVN</v>
      </c>
      <c r="B534" s="9" t="s">
        <v>1648</v>
      </c>
      <c r="C534" s="9" t="s">
        <v>16567</v>
      </c>
    </row>
    <row r="535">
      <c r="A535" s="20" t="str">
        <f t="shared" si="1"/>
        <v>NTPC</v>
      </c>
      <c r="B535" s="9" t="s">
        <v>1648</v>
      </c>
      <c r="C535" s="9" t="s">
        <v>16260</v>
      </c>
    </row>
    <row r="536">
      <c r="A536" s="20" t="str">
        <f t="shared" si="1"/>
        <v>POWERGRID</v>
      </c>
      <c r="B536" s="9" t="s">
        <v>1648</v>
      </c>
      <c r="C536" s="9" t="s">
        <v>16356</v>
      </c>
    </row>
    <row r="537">
      <c r="A537" s="20" t="str">
        <f t="shared" si="1"/>
        <v>TATAPOWER</v>
      </c>
      <c r="B537" s="9" t="s">
        <v>1648</v>
      </c>
      <c r="C537" s="9" t="s">
        <v>16184</v>
      </c>
    </row>
    <row r="538">
      <c r="A538" s="20" t="str">
        <f t="shared" si="1"/>
        <v>TORNTPOWER</v>
      </c>
      <c r="B538" s="9" t="s">
        <v>1648</v>
      </c>
      <c r="C538" s="9" t="s">
        <v>16349</v>
      </c>
    </row>
    <row r="539">
      <c r="A539" s="20" t="str">
        <f t="shared" si="1"/>
        <v>ABB</v>
      </c>
      <c r="B539" s="9" t="s">
        <v>16794</v>
      </c>
      <c r="C539" s="9" t="s">
        <v>12540</v>
      </c>
    </row>
    <row r="540">
      <c r="A540" s="20" t="str">
        <f t="shared" si="1"/>
        <v>APARINDS</v>
      </c>
      <c r="B540" s="9" t="s">
        <v>16794</v>
      </c>
      <c r="C540" s="9" t="s">
        <v>14064</v>
      </c>
    </row>
    <row r="541">
      <c r="A541" s="20" t="str">
        <f t="shared" si="1"/>
        <v>BEML</v>
      </c>
      <c r="B541" s="9" t="s">
        <v>16794</v>
      </c>
      <c r="C541" s="9" t="s">
        <v>12633</v>
      </c>
    </row>
    <row r="542">
      <c r="A542" s="20" t="str">
        <f t="shared" si="1"/>
        <v>BHEL</v>
      </c>
      <c r="B542" s="9" t="s">
        <v>16794</v>
      </c>
      <c r="C542" s="9" t="s">
        <v>12727</v>
      </c>
    </row>
    <row r="543">
      <c r="A543" s="20" t="str">
        <f t="shared" si="1"/>
        <v>CUMMINSIND</v>
      </c>
      <c r="B543" s="9" t="s">
        <v>16794</v>
      </c>
      <c r="C543" s="9" t="s">
        <v>13418</v>
      </c>
    </row>
    <row r="544">
      <c r="A544" s="20" t="str">
        <f t="shared" si="1"/>
        <v>ELECON</v>
      </c>
      <c r="B544" s="9" t="s">
        <v>16794</v>
      </c>
      <c r="C544" s="9" t="s">
        <v>13641</v>
      </c>
    </row>
    <row r="545">
      <c r="A545" s="20" t="str">
        <f t="shared" si="1"/>
        <v>POWERINDIA</v>
      </c>
      <c r="B545" s="9" t="s">
        <v>16794</v>
      </c>
      <c r="C545" s="9" t="s">
        <v>14864</v>
      </c>
    </row>
    <row r="546">
      <c r="A546" s="20" t="str">
        <f t="shared" si="1"/>
        <v>SCHNEIDER</v>
      </c>
      <c r="B546" s="9" t="s">
        <v>16794</v>
      </c>
      <c r="C546" s="9" t="s">
        <v>14621</v>
      </c>
    </row>
    <row r="547">
      <c r="A547" s="20" t="str">
        <f t="shared" si="1"/>
        <v>SIEMENS</v>
      </c>
      <c r="B547" s="9" t="s">
        <v>16794</v>
      </c>
      <c r="C547" s="9" t="s">
        <v>13462</v>
      </c>
    </row>
    <row r="548">
      <c r="A548" s="20" t="str">
        <f t="shared" si="1"/>
        <v>CGPOWER</v>
      </c>
      <c r="B548" s="9" t="s">
        <v>16794</v>
      </c>
      <c r="C548" s="9" t="s">
        <v>12701</v>
      </c>
    </row>
    <row r="549">
      <c r="A549" s="20" t="str">
        <f t="shared" si="1"/>
        <v>TRITURBINE</v>
      </c>
      <c r="B549" s="9" t="s">
        <v>16794</v>
      </c>
      <c r="C549" s="9" t="s">
        <v>14565</v>
      </c>
    </row>
    <row r="550">
      <c r="A550" s="20" t="str">
        <f t="shared" si="1"/>
        <v>FINCABLES</v>
      </c>
      <c r="B550" s="9" t="s">
        <v>16794</v>
      </c>
      <c r="C550" s="9" t="s">
        <v>12941</v>
      </c>
    </row>
    <row r="551">
      <c r="A551" s="20" t="str">
        <f t="shared" si="1"/>
        <v>THERMAX</v>
      </c>
      <c r="B551" s="9" t="s">
        <v>16794</v>
      </c>
      <c r="C551" s="9" t="s">
        <v>13354</v>
      </c>
    </row>
    <row r="552">
      <c r="A552" s="20" t="str">
        <f t="shared" si="1"/>
        <v>TIMKEN</v>
      </c>
      <c r="B552" s="9" t="s">
        <v>16794</v>
      </c>
      <c r="C552" s="9" t="s">
        <v>13863</v>
      </c>
    </row>
    <row r="553">
      <c r="A553" s="20" t="str">
        <f t="shared" si="1"/>
        <v>RRKABEL</v>
      </c>
      <c r="B553" s="9" t="s">
        <v>16794</v>
      </c>
      <c r="C553" s="9" t="s">
        <v>14960</v>
      </c>
    </row>
    <row r="554">
      <c r="A554" s="20" t="str">
        <f t="shared" si="1"/>
        <v>KEI</v>
      </c>
      <c r="B554" s="9" t="s">
        <v>16794</v>
      </c>
      <c r="C554" s="9" t="s">
        <v>13829</v>
      </c>
    </row>
    <row r="555">
      <c r="A555" s="20" t="str">
        <f t="shared" si="1"/>
        <v>POLYCAB</v>
      </c>
      <c r="B555" s="9" t="s">
        <v>16794</v>
      </c>
      <c r="C555" s="9" t="s">
        <v>14838</v>
      </c>
    </row>
    <row r="556">
      <c r="A556" s="20" t="str">
        <f t="shared" si="1"/>
        <v>BEL</v>
      </c>
      <c r="B556" s="9" t="s">
        <v>16795</v>
      </c>
      <c r="C556" s="21" t="s">
        <v>12648</v>
      </c>
    </row>
    <row r="557">
      <c r="A557" s="20" t="str">
        <f t="shared" si="1"/>
        <v>COCHINSHIP</v>
      </c>
      <c r="B557" s="9" t="s">
        <v>16795</v>
      </c>
      <c r="C557" s="21" t="s">
        <v>14743</v>
      </c>
    </row>
    <row r="558">
      <c r="A558" s="20" t="str">
        <f t="shared" si="1"/>
        <v>NBCC</v>
      </c>
      <c r="B558" s="9" t="s">
        <v>16795</v>
      </c>
      <c r="C558" s="21" t="s">
        <v>14624</v>
      </c>
    </row>
    <row r="559">
      <c r="A559" s="20" t="str">
        <f t="shared" si="1"/>
        <v>NHPC</v>
      </c>
      <c r="B559" s="9" t="s">
        <v>16795</v>
      </c>
      <c r="C559" s="21" t="s">
        <v>16476</v>
      </c>
    </row>
    <row r="560">
      <c r="A560" s="20" t="str">
        <f t="shared" si="1"/>
        <v>NLCINDIA</v>
      </c>
      <c r="B560" s="9" t="s">
        <v>16795</v>
      </c>
      <c r="C560" s="21" t="s">
        <v>16213</v>
      </c>
    </row>
    <row r="561">
      <c r="A561" s="20" t="str">
        <f t="shared" si="1"/>
        <v>COALINDIA</v>
      </c>
      <c r="B561" s="9" t="s">
        <v>16795</v>
      </c>
      <c r="C561" s="21" t="s">
        <v>6302</v>
      </c>
    </row>
    <row r="562">
      <c r="A562" s="20" t="str">
        <f t="shared" si="1"/>
        <v>ONGC</v>
      </c>
      <c r="B562" s="9" t="s">
        <v>16795</v>
      </c>
      <c r="C562" s="21" t="s">
        <v>5938</v>
      </c>
    </row>
    <row r="563">
      <c r="A563" s="20" t="str">
        <f t="shared" si="1"/>
        <v>NTPC</v>
      </c>
      <c r="B563" s="9" t="s">
        <v>16795</v>
      </c>
      <c r="C563" s="21" t="s">
        <v>16260</v>
      </c>
    </row>
    <row r="564">
      <c r="A564" s="20" t="str">
        <f t="shared" si="1"/>
        <v>SJVN</v>
      </c>
      <c r="B564" s="9" t="s">
        <v>16795</v>
      </c>
      <c r="C564" s="21" t="s">
        <v>16567</v>
      </c>
    </row>
    <row r="565">
      <c r="A565" s="20" t="str">
        <f t="shared" si="1"/>
        <v>BHEL</v>
      </c>
      <c r="B565" s="9" t="s">
        <v>16795</v>
      </c>
      <c r="C565" s="21" t="s">
        <v>12727</v>
      </c>
    </row>
    <row r="566">
      <c r="A566" s="20" t="str">
        <f t="shared" si="1"/>
        <v>BPCL</v>
      </c>
      <c r="B566" s="9" t="s">
        <v>16795</v>
      </c>
      <c r="C566" s="21" t="s">
        <v>5960</v>
      </c>
    </row>
    <row r="567">
      <c r="A567" s="20" t="str">
        <f t="shared" si="1"/>
        <v>CONCOR</v>
      </c>
      <c r="B567" s="9" t="s">
        <v>16795</v>
      </c>
      <c r="C567" s="21" t="s">
        <v>15375</v>
      </c>
    </row>
    <row r="568">
      <c r="A568" s="20" t="str">
        <f t="shared" si="1"/>
        <v>GAIL</v>
      </c>
      <c r="B568" s="9" t="s">
        <v>16795</v>
      </c>
      <c r="C568" s="21" t="s">
        <v>6170</v>
      </c>
    </row>
    <row r="569">
      <c r="A569" s="20" t="str">
        <f t="shared" si="1"/>
        <v>HAL</v>
      </c>
      <c r="B569" s="9" t="s">
        <v>16795</v>
      </c>
      <c r="C569" s="21" t="s">
        <v>14773</v>
      </c>
    </row>
    <row r="570">
      <c r="A570" s="20" t="str">
        <f t="shared" si="1"/>
        <v>HINDPETRO</v>
      </c>
      <c r="B570" s="9" t="s">
        <v>16795</v>
      </c>
      <c r="C570" s="21" t="s">
        <v>5844</v>
      </c>
    </row>
    <row r="571">
      <c r="A571" s="20" t="str">
        <f t="shared" si="1"/>
        <v>IOC</v>
      </c>
      <c r="B571" s="9" t="s">
        <v>16795</v>
      </c>
      <c r="C571" s="21" t="s">
        <v>6158</v>
      </c>
    </row>
    <row r="572">
      <c r="A572" s="20" t="str">
        <f t="shared" si="1"/>
        <v>IRCTC</v>
      </c>
      <c r="B572" s="9" t="s">
        <v>16795</v>
      </c>
      <c r="C572" s="21" t="s">
        <v>3648</v>
      </c>
    </row>
    <row r="573">
      <c r="A573" s="20" t="str">
        <f t="shared" si="1"/>
        <v>LICI</v>
      </c>
      <c r="B573" s="9" t="s">
        <v>16795</v>
      </c>
      <c r="C573" s="21" t="s">
        <v>10658</v>
      </c>
    </row>
    <row r="574">
      <c r="A574" s="20" t="str">
        <f t="shared" si="1"/>
        <v>POWERGRID</v>
      </c>
      <c r="B574" s="9" t="s">
        <v>16795</v>
      </c>
      <c r="C574" s="21" t="s">
        <v>16356</v>
      </c>
    </row>
    <row r="575">
      <c r="A575" s="20" t="str">
        <f t="shared" si="1"/>
        <v>NMDC</v>
      </c>
      <c r="B575" s="9" t="s">
        <v>16795</v>
      </c>
      <c r="C575" s="21" t="s">
        <v>519</v>
      </c>
    </row>
    <row r="576">
      <c r="A576" s="20" t="str">
        <f t="shared" si="1"/>
        <v>PFC</v>
      </c>
      <c r="B576" s="9" t="s">
        <v>16795</v>
      </c>
      <c r="C576" s="21" t="s">
        <v>9954</v>
      </c>
    </row>
    <row r="577">
      <c r="A577" s="20" t="str">
        <f t="shared" si="1"/>
        <v>RECLTD</v>
      </c>
      <c r="B577" s="9" t="s">
        <v>16795</v>
      </c>
      <c r="C577" s="21" t="s">
        <v>10004</v>
      </c>
    </row>
    <row r="578">
      <c r="A578" s="20" t="str">
        <f t="shared" si="1"/>
        <v>SAIL</v>
      </c>
      <c r="B578" s="9" t="s">
        <v>16795</v>
      </c>
      <c r="C578" s="21" t="s">
        <v>103</v>
      </c>
    </row>
    <row r="579">
      <c r="A579" s="20" t="str">
        <f t="shared" si="1"/>
        <v>OIL</v>
      </c>
      <c r="B579" s="9" t="s">
        <v>16795</v>
      </c>
      <c r="C579" s="21" t="s">
        <v>6255</v>
      </c>
    </row>
    <row r="580">
      <c r="A580" s="20" t="str">
        <f t="shared" si="1"/>
        <v>BANKBARODA</v>
      </c>
      <c r="B580" s="21" t="s">
        <v>16796</v>
      </c>
      <c r="C580" s="21" t="s">
        <v>9811</v>
      </c>
    </row>
    <row r="581">
      <c r="A581" s="20" t="str">
        <f t="shared" si="1"/>
        <v>BANKINDIA</v>
      </c>
      <c r="B581" s="21" t="s">
        <v>16796</v>
      </c>
      <c r="C581" s="21" t="s">
        <v>9818</v>
      </c>
    </row>
    <row r="582">
      <c r="A582" s="20" t="str">
        <f t="shared" si="1"/>
        <v>CANBK</v>
      </c>
      <c r="B582" s="21" t="s">
        <v>16796</v>
      </c>
      <c r="C582" s="21" t="s">
        <v>9900</v>
      </c>
    </row>
    <row r="583">
      <c r="A583" s="20" t="str">
        <f t="shared" si="1"/>
        <v>CENTRALBK</v>
      </c>
      <c r="B583" s="21" t="s">
        <v>16796</v>
      </c>
      <c r="C583" s="21" t="s">
        <v>9976</v>
      </c>
    </row>
    <row r="584">
      <c r="A584" s="20" t="str">
        <f t="shared" si="1"/>
        <v>INDIANB</v>
      </c>
      <c r="B584" s="21" t="s">
        <v>16796</v>
      </c>
      <c r="C584" s="21" t="s">
        <v>9958</v>
      </c>
    </row>
    <row r="585">
      <c r="A585" s="20" t="str">
        <f t="shared" si="1"/>
        <v>IOB</v>
      </c>
      <c r="B585" s="21" t="s">
        <v>16796</v>
      </c>
      <c r="C585" s="21" t="s">
        <v>9877</v>
      </c>
    </row>
    <row r="586">
      <c r="A586" s="20" t="str">
        <f t="shared" si="1"/>
        <v>MAHABANK</v>
      </c>
      <c r="B586" s="21" t="s">
        <v>16796</v>
      </c>
      <c r="C586" s="21" t="s">
        <v>9911</v>
      </c>
    </row>
    <row r="587">
      <c r="A587" s="20" t="str">
        <f t="shared" si="1"/>
        <v>PNB</v>
      </c>
      <c r="B587" s="21" t="s">
        <v>16796</v>
      </c>
      <c r="C587" s="21" t="s">
        <v>9881</v>
      </c>
    </row>
    <row r="588">
      <c r="A588" s="20" t="str">
        <f t="shared" si="1"/>
        <v>PSB</v>
      </c>
      <c r="B588" s="21" t="s">
        <v>16796</v>
      </c>
      <c r="C588" s="21" t="s">
        <v>10022</v>
      </c>
    </row>
    <row r="589">
      <c r="A589" s="20" t="str">
        <f t="shared" si="1"/>
        <v>SBIN</v>
      </c>
      <c r="B589" s="21" t="s">
        <v>16796</v>
      </c>
      <c r="C589" s="21" t="s">
        <v>9472</v>
      </c>
    </row>
    <row r="590">
      <c r="A590" s="20" t="str">
        <f t="shared" si="1"/>
        <v>UCOBANK</v>
      </c>
      <c r="B590" s="21" t="s">
        <v>16796</v>
      </c>
      <c r="C590" s="21" t="s">
        <v>9903</v>
      </c>
    </row>
    <row r="591">
      <c r="A591" s="20" t="str">
        <f t="shared" si="1"/>
        <v>UNIONBANK</v>
      </c>
      <c r="B591" s="21" t="s">
        <v>16796</v>
      </c>
      <c r="C591" s="21" t="s">
        <v>9897</v>
      </c>
    </row>
    <row r="592">
      <c r="A592" s="20" t="str">
        <f t="shared" si="1"/>
        <v>AXISBANK</v>
      </c>
      <c r="B592" s="21" t="s">
        <v>16797</v>
      </c>
      <c r="C592" s="21" t="s">
        <v>9862</v>
      </c>
    </row>
    <row r="593">
      <c r="A593" s="20" t="str">
        <f t="shared" si="1"/>
        <v>BANDHANBNK</v>
      </c>
      <c r="B593" s="21" t="s">
        <v>16797</v>
      </c>
      <c r="C593" s="21" t="s">
        <v>10365</v>
      </c>
    </row>
    <row r="594">
      <c r="A594" s="20" t="str">
        <f t="shared" si="1"/>
        <v>CUB</v>
      </c>
      <c r="B594" s="21" t="s">
        <v>16797</v>
      </c>
      <c r="C594" s="21" t="s">
        <v>9854</v>
      </c>
    </row>
    <row r="595">
      <c r="A595" s="20" t="str">
        <f t="shared" si="1"/>
        <v>FEDERALBNK</v>
      </c>
      <c r="B595" s="21" t="s">
        <v>16797</v>
      </c>
      <c r="C595" s="21" t="s">
        <v>9562</v>
      </c>
    </row>
    <row r="596">
      <c r="A596" s="20" t="str">
        <f t="shared" si="1"/>
        <v>HDFCBANK</v>
      </c>
      <c r="B596" s="21" t="s">
        <v>16797</v>
      </c>
      <c r="C596" s="21" t="s">
        <v>9488</v>
      </c>
    </row>
    <row r="597">
      <c r="A597" s="20" t="str">
        <f t="shared" si="1"/>
        <v>ICICIBANK</v>
      </c>
      <c r="B597" s="21" t="s">
        <v>16797</v>
      </c>
      <c r="C597" s="21" t="s">
        <v>9826</v>
      </c>
    </row>
    <row r="598">
      <c r="A598" s="20" t="str">
        <f t="shared" si="1"/>
        <v>IDFCFIRSTB</v>
      </c>
      <c r="B598" s="21" t="s">
        <v>16797</v>
      </c>
      <c r="C598" s="21" t="s">
        <v>10101</v>
      </c>
    </row>
    <row r="599">
      <c r="A599" s="20" t="str">
        <f t="shared" si="1"/>
        <v>INDUSINDBK</v>
      </c>
      <c r="B599" s="21" t="s">
        <v>16797</v>
      </c>
      <c r="C599" s="21" t="s">
        <v>9842</v>
      </c>
    </row>
    <row r="600">
      <c r="A600" s="20" t="str">
        <f t="shared" si="1"/>
        <v>KOTAKBANK</v>
      </c>
      <c r="B600" s="21" t="s">
        <v>16797</v>
      </c>
      <c r="C600" s="21" t="s">
        <v>9500</v>
      </c>
    </row>
    <row r="601">
      <c r="A601" s="20" t="str">
        <f t="shared" si="1"/>
        <v>RBLBANK</v>
      </c>
      <c r="B601" s="21" t="s">
        <v>16797</v>
      </c>
      <c r="C601" s="21" t="s">
        <v>10136</v>
      </c>
    </row>
    <row r="602">
      <c r="A602" s="20" t="str">
        <f t="shared" si="1"/>
        <v>LT</v>
      </c>
      <c r="B602" s="21" t="s">
        <v>59</v>
      </c>
      <c r="C602" s="21" t="s">
        <v>13448</v>
      </c>
    </row>
    <row r="603">
      <c r="A603" s="20" t="str">
        <f t="shared" si="1"/>
        <v>BRIGADE</v>
      </c>
      <c r="B603" s="21" t="s">
        <v>59</v>
      </c>
      <c r="C603" s="21" t="s">
        <v>1925</v>
      </c>
    </row>
    <row r="604">
      <c r="A604" s="20" t="str">
        <f t="shared" si="1"/>
        <v>DLF</v>
      </c>
      <c r="B604" s="21" t="s">
        <v>59</v>
      </c>
      <c r="C604" s="21" t="s">
        <v>1736</v>
      </c>
    </row>
    <row r="605">
      <c r="A605" s="20" t="str">
        <f t="shared" si="1"/>
        <v>GODREJPROP</v>
      </c>
      <c r="B605" s="21" t="s">
        <v>59</v>
      </c>
      <c r="C605" s="21" t="s">
        <v>2088</v>
      </c>
    </row>
    <row r="606">
      <c r="A606" s="20" t="str">
        <f t="shared" si="1"/>
        <v>MAHLIFE</v>
      </c>
      <c r="B606" s="21" t="s">
        <v>59</v>
      </c>
      <c r="C606" s="21" t="s">
        <v>1360</v>
      </c>
    </row>
    <row r="607">
      <c r="A607" s="20" t="str">
        <f t="shared" si="1"/>
        <v>LODHA</v>
      </c>
      <c r="B607" s="21" t="s">
        <v>59</v>
      </c>
      <c r="C607" s="21" t="s">
        <v>4047</v>
      </c>
    </row>
    <row r="608">
      <c r="A608" s="20" t="str">
        <f t="shared" si="1"/>
        <v>PRESTIGE</v>
      </c>
      <c r="B608" s="21" t="s">
        <v>59</v>
      </c>
      <c r="C608" s="21" t="s">
        <v>2186</v>
      </c>
    </row>
    <row r="609">
      <c r="A609" s="20" t="str">
        <f t="shared" si="1"/>
        <v>SOBHA</v>
      </c>
      <c r="B609" s="21" t="s">
        <v>59</v>
      </c>
      <c r="C609" s="21" t="s">
        <v>1636</v>
      </c>
    </row>
    <row r="610">
      <c r="A610" s="20" t="str">
        <f t="shared" si="1"/>
        <v>SUNTECK</v>
      </c>
      <c r="B610" s="21" t="s">
        <v>59</v>
      </c>
      <c r="C610" s="21" t="s">
        <v>1202</v>
      </c>
    </row>
    <row r="611">
      <c r="A611" s="20" t="str">
        <f t="shared" si="1"/>
        <v>OBEROIRLTY</v>
      </c>
      <c r="B611" s="21" t="s">
        <v>59</v>
      </c>
      <c r="C611" s="21" t="s">
        <v>2174</v>
      </c>
    </row>
    <row r="612">
      <c r="A612" s="20" t="str">
        <f t="shared" si="1"/>
        <v>PHOENIXLTD</v>
      </c>
      <c r="B612" s="21" t="s">
        <v>59</v>
      </c>
      <c r="C612" s="21" t="s">
        <v>1132</v>
      </c>
    </row>
    <row r="613">
      <c r="A613" s="20" t="str">
        <f t="shared" si="1"/>
        <v>RAYMOND</v>
      </c>
      <c r="B613" s="21" t="s">
        <v>59</v>
      </c>
      <c r="C613" s="21" t="s">
        <v>995</v>
      </c>
    </row>
    <row r="614">
      <c r="A614" s="20" t="str">
        <f t="shared" si="1"/>
        <v>APOLLOHOSP</v>
      </c>
      <c r="B614" s="9" t="s">
        <v>16798</v>
      </c>
      <c r="C614" s="21" t="s">
        <v>11073</v>
      </c>
    </row>
    <row r="615">
      <c r="A615" s="20" t="str">
        <f t="shared" si="1"/>
        <v>AXISBANK</v>
      </c>
      <c r="B615" s="9" t="s">
        <v>16798</v>
      </c>
      <c r="C615" s="21" t="s">
        <v>9862</v>
      </c>
    </row>
    <row r="616">
      <c r="A616" s="20" t="str">
        <f t="shared" si="1"/>
        <v>BAJAJFINSV</v>
      </c>
      <c r="B616" s="9" t="s">
        <v>16798</v>
      </c>
      <c r="C616" s="21" t="s">
        <v>10009</v>
      </c>
    </row>
    <row r="617">
      <c r="A617" s="20" t="str">
        <f t="shared" si="1"/>
        <v>BAJFINANCE</v>
      </c>
      <c r="B617" s="9" t="s">
        <v>16798</v>
      </c>
      <c r="C617" s="21" t="s">
        <v>9449</v>
      </c>
    </row>
    <row r="618">
      <c r="A618" s="20" t="str">
        <f t="shared" si="1"/>
        <v>BHARTIARTL</v>
      </c>
      <c r="B618" s="9" t="s">
        <v>16798</v>
      </c>
      <c r="C618" s="21" t="s">
        <v>16023</v>
      </c>
    </row>
    <row r="619">
      <c r="A619" s="20" t="str">
        <f t="shared" si="1"/>
        <v>ADANIGREEN</v>
      </c>
      <c r="B619" s="9" t="s">
        <v>16798</v>
      </c>
      <c r="C619" s="21" t="s">
        <v>16654</v>
      </c>
    </row>
    <row r="620">
      <c r="A620" s="20" t="str">
        <f t="shared" si="1"/>
        <v>GAIL</v>
      </c>
      <c r="B620" s="9" t="s">
        <v>16798</v>
      </c>
      <c r="C620" s="21" t="s">
        <v>6170</v>
      </c>
    </row>
    <row r="621">
      <c r="A621" s="20" t="str">
        <f t="shared" si="1"/>
        <v>HCLTECH</v>
      </c>
      <c r="B621" s="9" t="s">
        <v>16798</v>
      </c>
      <c r="C621" s="21" t="s">
        <v>15088</v>
      </c>
    </row>
    <row r="622">
      <c r="A622" s="20" t="str">
        <f t="shared" si="1"/>
        <v>HDFCBANK</v>
      </c>
      <c r="B622" s="9" t="s">
        <v>16798</v>
      </c>
      <c r="C622" s="21" t="s">
        <v>9488</v>
      </c>
    </row>
    <row r="623">
      <c r="A623" s="20" t="str">
        <f t="shared" si="1"/>
        <v>HDFCLIFE</v>
      </c>
      <c r="B623" s="9" t="s">
        <v>16798</v>
      </c>
      <c r="C623" s="21" t="s">
        <v>10361</v>
      </c>
    </row>
    <row r="624">
      <c r="A624" s="20" t="str">
        <f t="shared" si="1"/>
        <v>ICICIBANK</v>
      </c>
      <c r="B624" s="9" t="s">
        <v>16798</v>
      </c>
      <c r="C624" s="21" t="s">
        <v>9826</v>
      </c>
    </row>
    <row r="625">
      <c r="A625" s="20" t="str">
        <f t="shared" si="1"/>
        <v>INDUSINDBK</v>
      </c>
      <c r="B625" s="9" t="s">
        <v>16798</v>
      </c>
      <c r="C625" s="21" t="s">
        <v>9842</v>
      </c>
    </row>
    <row r="626">
      <c r="A626" s="20" t="str">
        <f t="shared" si="1"/>
        <v>INFY</v>
      </c>
      <c r="B626" s="9" t="s">
        <v>16798</v>
      </c>
      <c r="C626" s="21" t="s">
        <v>15018</v>
      </c>
    </row>
    <row r="627">
      <c r="A627" s="20" t="str">
        <f t="shared" si="1"/>
        <v>JIOFIN</v>
      </c>
      <c r="B627" s="9" t="s">
        <v>16798</v>
      </c>
      <c r="C627" s="21" t="s">
        <v>10726</v>
      </c>
    </row>
    <row r="628">
      <c r="A628" s="20" t="str">
        <f t="shared" si="1"/>
        <v>KOTAKBANK</v>
      </c>
      <c r="B628" s="9" t="s">
        <v>16798</v>
      </c>
      <c r="C628" s="21" t="s">
        <v>9500</v>
      </c>
    </row>
    <row r="629">
      <c r="A629" s="20" t="str">
        <f t="shared" si="1"/>
        <v>LTIM</v>
      </c>
      <c r="B629" s="9" t="s">
        <v>16798</v>
      </c>
      <c r="C629" s="21" t="s">
        <v>15190</v>
      </c>
    </row>
    <row r="630">
      <c r="A630" s="20" t="str">
        <f t="shared" si="1"/>
        <v>MAXHEALTH</v>
      </c>
      <c r="B630" s="9" t="s">
        <v>16798</v>
      </c>
      <c r="C630" s="21" t="s">
        <v>11694</v>
      </c>
    </row>
    <row r="631">
      <c r="A631" s="20" t="str">
        <f t="shared" si="1"/>
        <v>NAUKRI</v>
      </c>
      <c r="B631" s="9" t="s">
        <v>16798</v>
      </c>
      <c r="C631" s="21" t="s">
        <v>1611</v>
      </c>
    </row>
    <row r="632">
      <c r="A632" s="20" t="str">
        <f t="shared" si="1"/>
        <v>ADANIPORTS</v>
      </c>
      <c r="B632" s="9" t="s">
        <v>16798</v>
      </c>
      <c r="C632" s="21" t="s">
        <v>15361</v>
      </c>
    </row>
    <row r="633">
      <c r="A633" s="20" t="str">
        <f t="shared" si="1"/>
        <v>DMART</v>
      </c>
      <c r="B633" s="9" t="s">
        <v>16798</v>
      </c>
      <c r="C633" s="21" t="s">
        <v>3013</v>
      </c>
    </row>
    <row r="634">
      <c r="A634" s="20" t="str">
        <f t="shared" si="1"/>
        <v>SBILIFE</v>
      </c>
      <c r="B634" s="9" t="s">
        <v>16798</v>
      </c>
      <c r="C634" s="21" t="s">
        <v>10250</v>
      </c>
    </row>
    <row r="635">
      <c r="A635" s="20" t="str">
        <f t="shared" si="1"/>
        <v>SBIN</v>
      </c>
      <c r="B635" s="9" t="s">
        <v>16798</v>
      </c>
      <c r="C635" s="21" t="s">
        <v>9472</v>
      </c>
    </row>
    <row r="636">
      <c r="A636" s="20" t="str">
        <f t="shared" si="1"/>
        <v>SHRIRAMFIN</v>
      </c>
      <c r="B636" s="9" t="s">
        <v>16798</v>
      </c>
      <c r="C636" s="21" t="s">
        <v>9684</v>
      </c>
    </row>
    <row r="637">
      <c r="A637" s="20" t="str">
        <f t="shared" si="1"/>
        <v>NTPC</v>
      </c>
      <c r="B637" s="9" t="s">
        <v>16798</v>
      </c>
      <c r="C637" s="21" t="s">
        <v>16260</v>
      </c>
    </row>
    <row r="638">
      <c r="A638" s="20" t="str">
        <f t="shared" si="1"/>
        <v>TCS</v>
      </c>
      <c r="B638" s="9" t="s">
        <v>16798</v>
      </c>
      <c r="C638" s="21" t="s">
        <v>15135</v>
      </c>
    </row>
    <row r="639">
      <c r="A639" s="20" t="str">
        <f t="shared" si="1"/>
        <v>POWERGRID</v>
      </c>
      <c r="B639" s="9" t="s">
        <v>16798</v>
      </c>
      <c r="C639" s="21" t="s">
        <v>16356</v>
      </c>
    </row>
    <row r="640">
      <c r="A640" s="20" t="str">
        <f t="shared" si="1"/>
        <v>WIPRO</v>
      </c>
      <c r="B640" s="9" t="s">
        <v>16798</v>
      </c>
      <c r="C640" s="21" t="s">
        <v>15050</v>
      </c>
    </row>
    <row r="641">
      <c r="A641" s="20" t="str">
        <f t="shared" si="1"/>
        <v>ZOMATO</v>
      </c>
      <c r="B641" s="9" t="s">
        <v>16798</v>
      </c>
      <c r="C641" s="21" t="s">
        <v>4273</v>
      </c>
    </row>
    <row r="642">
      <c r="A642" s="20" t="str">
        <f t="shared" si="1"/>
        <v>TATAPOWER</v>
      </c>
      <c r="B642" s="9" t="s">
        <v>16798</v>
      </c>
      <c r="C642" s="21" t="s">
        <v>16184</v>
      </c>
    </row>
    <row r="643">
      <c r="A643" s="20" t="str">
        <f t="shared" si="1"/>
        <v>TECHM</v>
      </c>
      <c r="B643" s="9" t="s">
        <v>16798</v>
      </c>
      <c r="C643" s="21" t="s">
        <v>15162</v>
      </c>
    </row>
    <row r="644">
      <c r="A644" s="20" t="str">
        <f t="shared" si="1"/>
        <v>AIAENG</v>
      </c>
      <c r="B644" s="9" t="s">
        <v>16799</v>
      </c>
      <c r="C644" s="21" t="s">
        <v>14168</v>
      </c>
    </row>
    <row r="645">
      <c r="A645" s="20" t="str">
        <f t="shared" si="1"/>
        <v>APOLLOTYRE</v>
      </c>
      <c r="B645" s="9" t="s">
        <v>16799</v>
      </c>
      <c r="C645" s="21" t="s">
        <v>1113</v>
      </c>
    </row>
    <row r="646">
      <c r="A646" s="20" t="str">
        <f t="shared" si="1"/>
        <v>ARE&amp;M</v>
      </c>
      <c r="B646" s="9" t="s">
        <v>16799</v>
      </c>
      <c r="C646" s="21" t="s">
        <v>877</v>
      </c>
    </row>
    <row r="647">
      <c r="A647" s="20" t="str">
        <f t="shared" si="1"/>
        <v>ASHOKLEY</v>
      </c>
      <c r="B647" s="9" t="s">
        <v>16799</v>
      </c>
      <c r="C647" s="21" t="s">
        <v>13407</v>
      </c>
    </row>
    <row r="648">
      <c r="A648" s="20" t="str">
        <f t="shared" si="1"/>
        <v>BALKRISIND</v>
      </c>
      <c r="B648" s="9" t="s">
        <v>16799</v>
      </c>
      <c r="C648" s="21" t="s">
        <v>1123</v>
      </c>
    </row>
    <row r="649">
      <c r="A649" s="20" t="str">
        <f t="shared" si="1"/>
        <v>ADANIPORTS</v>
      </c>
      <c r="B649" s="9" t="s">
        <v>16799</v>
      </c>
      <c r="C649" s="21" t="s">
        <v>15361</v>
      </c>
    </row>
    <row r="650">
      <c r="A650" s="20" t="str">
        <f t="shared" si="1"/>
        <v>BAJAJ-AUTO</v>
      </c>
      <c r="B650" s="9" t="s">
        <v>16799</v>
      </c>
      <c r="C650" s="21" t="s">
        <v>1951</v>
      </c>
    </row>
    <row r="651">
      <c r="A651" s="20" t="str">
        <f t="shared" si="1"/>
        <v>CARBORUNIV</v>
      </c>
      <c r="B651" s="9" t="s">
        <v>16799</v>
      </c>
      <c r="C651" s="21" t="s">
        <v>13820</v>
      </c>
    </row>
    <row r="652">
      <c r="A652" s="20" t="str">
        <f t="shared" si="1"/>
        <v>CONCOR</v>
      </c>
      <c r="B652" s="9" t="s">
        <v>16799</v>
      </c>
      <c r="C652" s="21" t="s">
        <v>15375</v>
      </c>
    </row>
    <row r="653">
      <c r="A653" s="20" t="str">
        <f t="shared" si="1"/>
        <v>EICHERMOT</v>
      </c>
      <c r="B653" s="9" t="s">
        <v>16799</v>
      </c>
      <c r="C653" s="21" t="s">
        <v>1145</v>
      </c>
    </row>
    <row r="654">
      <c r="A654" s="20" t="str">
        <f t="shared" si="1"/>
        <v>BHARATFORG</v>
      </c>
      <c r="B654" s="9" t="s">
        <v>16799</v>
      </c>
      <c r="C654" s="21" t="s">
        <v>1026</v>
      </c>
    </row>
    <row r="655">
      <c r="A655" s="20" t="str">
        <f t="shared" si="1"/>
        <v>BOSCHLTD</v>
      </c>
      <c r="B655" s="9" t="s">
        <v>16799</v>
      </c>
      <c r="C655" s="21" t="s">
        <v>1068</v>
      </c>
    </row>
    <row r="656">
      <c r="A656" s="20" t="str">
        <f t="shared" si="1"/>
        <v>ENDURANCE</v>
      </c>
      <c r="B656" s="9" t="s">
        <v>16799</v>
      </c>
      <c r="C656" s="21" t="s">
        <v>2668</v>
      </c>
    </row>
    <row r="657">
      <c r="A657" s="20" t="str">
        <f t="shared" si="1"/>
        <v>GESHIP</v>
      </c>
      <c r="B657" s="9" t="s">
        <v>16799</v>
      </c>
      <c r="C657" s="21" t="s">
        <v>15529</v>
      </c>
    </row>
    <row r="658">
      <c r="A658" s="20" t="str">
        <f t="shared" si="1"/>
        <v>ESCORTS</v>
      </c>
      <c r="B658" s="9" t="s">
        <v>16799</v>
      </c>
      <c r="C658" s="21" t="s">
        <v>13441</v>
      </c>
    </row>
    <row r="659">
      <c r="A659" s="20" t="str">
        <f t="shared" si="1"/>
        <v>EXIDEIND</v>
      </c>
      <c r="B659" s="9" t="s">
        <v>16799</v>
      </c>
      <c r="C659" s="21" t="s">
        <v>939</v>
      </c>
    </row>
    <row r="660">
      <c r="A660" s="20" t="str">
        <f t="shared" si="1"/>
        <v>INDIGO</v>
      </c>
      <c r="B660" s="9" t="s">
        <v>16799</v>
      </c>
      <c r="C660" s="21" t="s">
        <v>15368</v>
      </c>
    </row>
    <row r="661">
      <c r="A661" s="20" t="str">
        <f t="shared" si="1"/>
        <v>IRCTC</v>
      </c>
      <c r="B661" s="9" t="s">
        <v>16799</v>
      </c>
      <c r="C661" s="21" t="s">
        <v>3648</v>
      </c>
    </row>
    <row r="662">
      <c r="A662" s="20" t="str">
        <f t="shared" si="1"/>
        <v>GRINDWELL</v>
      </c>
      <c r="B662" s="9" t="s">
        <v>16799</v>
      </c>
      <c r="C662" s="21" t="s">
        <v>13699</v>
      </c>
    </row>
    <row r="663">
      <c r="A663" s="20" t="str">
        <f t="shared" si="1"/>
        <v>MARUTI</v>
      </c>
      <c r="B663" s="9" t="s">
        <v>16799</v>
      </c>
      <c r="C663" s="21" t="s">
        <v>1405</v>
      </c>
    </row>
    <row r="664">
      <c r="A664" s="20" t="str">
        <f t="shared" si="1"/>
        <v>MRF</v>
      </c>
      <c r="B664" s="9" t="s">
        <v>16799</v>
      </c>
      <c r="C664" s="21" t="s">
        <v>991</v>
      </c>
    </row>
    <row r="665">
      <c r="A665" s="20" t="str">
        <f t="shared" si="1"/>
        <v>HEROMOTOCO</v>
      </c>
      <c r="B665" s="9" t="s">
        <v>16799</v>
      </c>
      <c r="C665" s="21" t="s">
        <v>959</v>
      </c>
    </row>
    <row r="666">
      <c r="A666" s="20" t="str">
        <f t="shared" si="1"/>
        <v>M&amp;M</v>
      </c>
      <c r="B666" s="9" t="s">
        <v>16799</v>
      </c>
      <c r="C666" s="21" t="s">
        <v>1042</v>
      </c>
    </row>
    <row r="667">
      <c r="A667" s="20" t="str">
        <f t="shared" si="1"/>
        <v>SCHAEFFLER</v>
      </c>
      <c r="B667" s="9" t="s">
        <v>16799</v>
      </c>
      <c r="C667" s="21" t="s">
        <v>1180</v>
      </c>
    </row>
    <row r="668">
      <c r="A668" s="20" t="str">
        <f t="shared" si="1"/>
        <v>TATAMOTORS</v>
      </c>
      <c r="B668" s="9" t="s">
        <v>16799</v>
      </c>
      <c r="C668" s="21" t="s">
        <v>1077</v>
      </c>
    </row>
    <row r="669">
      <c r="A669" s="20" t="str">
        <f t="shared" si="1"/>
        <v>TATAMTRDVR</v>
      </c>
      <c r="B669" s="9" t="s">
        <v>16799</v>
      </c>
      <c r="C669" s="21" t="s">
        <v>5537</v>
      </c>
    </row>
    <row r="670">
      <c r="A670" s="20" t="str">
        <f t="shared" si="1"/>
        <v>TIINDIA</v>
      </c>
      <c r="B670" s="9" t="s">
        <v>16799</v>
      </c>
      <c r="C670" s="21" t="s">
        <v>3027</v>
      </c>
    </row>
    <row r="671">
      <c r="A671" s="20" t="str">
        <f t="shared" si="1"/>
        <v>SKFINDIA</v>
      </c>
      <c r="B671" s="9" t="s">
        <v>16799</v>
      </c>
      <c r="C671" s="21" t="s">
        <v>13396</v>
      </c>
    </row>
    <row r="672">
      <c r="A672" s="20" t="str">
        <f t="shared" si="1"/>
        <v>SUNDRMFAST</v>
      </c>
      <c r="B672" s="9" t="s">
        <v>16799</v>
      </c>
      <c r="C672" s="21" t="s">
        <v>1003</v>
      </c>
    </row>
    <row r="673">
      <c r="A673" s="20" t="str">
        <f t="shared" si="1"/>
        <v>TVSMOTOR</v>
      </c>
      <c r="B673" s="9" t="s">
        <v>16799</v>
      </c>
      <c r="C673" s="21" t="s">
        <v>1365</v>
      </c>
    </row>
    <row r="674">
      <c r="A674" s="20" t="str">
        <f t="shared" si="1"/>
        <v>ABFRL</v>
      </c>
      <c r="B674" s="9" t="s">
        <v>16800</v>
      </c>
      <c r="C674" s="9" t="s">
        <v>2397</v>
      </c>
    </row>
    <row r="675">
      <c r="A675" s="20" t="str">
        <f t="shared" si="1"/>
        <v>BATAINDIA</v>
      </c>
      <c r="B675" s="9" t="s">
        <v>16800</v>
      </c>
      <c r="C675" s="9" t="s">
        <v>930</v>
      </c>
    </row>
    <row r="676">
      <c r="A676" s="20" t="str">
        <f t="shared" si="1"/>
        <v>CAMPUS</v>
      </c>
      <c r="B676" s="9" t="s">
        <v>16800</v>
      </c>
      <c r="C676" s="9" t="s">
        <v>4944</v>
      </c>
    </row>
    <row r="677">
      <c r="A677" s="20" t="str">
        <f t="shared" si="1"/>
        <v>TITAN</v>
      </c>
      <c r="B677" s="9" t="s">
        <v>16800</v>
      </c>
      <c r="C677" s="9" t="s">
        <v>946</v>
      </c>
    </row>
    <row r="678">
      <c r="A678" s="20" t="str">
        <f t="shared" si="1"/>
        <v>TRENT</v>
      </c>
      <c r="B678" s="9" t="s">
        <v>16800</v>
      </c>
      <c r="C678" s="9" t="s">
        <v>986</v>
      </c>
    </row>
    <row r="679">
      <c r="A679" s="20" t="str">
        <f t="shared" si="1"/>
        <v>MANYAVAR</v>
      </c>
      <c r="B679" s="9" t="s">
        <v>16800</v>
      </c>
      <c r="C679" s="9" t="s">
        <v>4804</v>
      </c>
    </row>
    <row r="680">
      <c r="A680" s="20" t="str">
        <f t="shared" si="1"/>
        <v>KALYANKJIL</v>
      </c>
      <c r="B680" s="9" t="s">
        <v>16800</v>
      </c>
      <c r="C680" s="9" t="s">
        <v>3975</v>
      </c>
    </row>
    <row r="681">
      <c r="A681" s="20" t="str">
        <f t="shared" si="1"/>
        <v>METROBRAND</v>
      </c>
      <c r="B681" s="9" t="s">
        <v>16800</v>
      </c>
      <c r="C681" s="9" t="s">
        <v>4779</v>
      </c>
    </row>
    <row r="682">
      <c r="A682" s="20" t="str">
        <f t="shared" si="1"/>
        <v>RAJESHEXPO</v>
      </c>
      <c r="B682" s="9" t="s">
        <v>16800</v>
      </c>
      <c r="C682" s="9" t="s">
        <v>1303</v>
      </c>
    </row>
    <row r="683">
      <c r="A683" s="20" t="str">
        <f t="shared" si="1"/>
        <v>SAFARI</v>
      </c>
      <c r="B683" s="9" t="s">
        <v>16800</v>
      </c>
      <c r="C683" s="9" t="s">
        <v>1276</v>
      </c>
    </row>
    <row r="684">
      <c r="A684" s="20" t="str">
        <f t="shared" si="1"/>
        <v>ALOKINDS</v>
      </c>
      <c r="B684" s="9" t="s">
        <v>16800</v>
      </c>
      <c r="C684" s="9" t="s">
        <v>1272</v>
      </c>
    </row>
    <row r="685">
      <c r="A685" s="20" t="str">
        <f t="shared" si="1"/>
        <v>KPRMILL</v>
      </c>
      <c r="B685" s="9" t="s">
        <v>16800</v>
      </c>
      <c r="C685" s="9" t="s">
        <v>1760</v>
      </c>
    </row>
    <row r="686">
      <c r="A686" s="20" t="str">
        <f t="shared" si="1"/>
        <v>PAGEIND</v>
      </c>
      <c r="B686" s="9" t="s">
        <v>16800</v>
      </c>
      <c r="C686" s="9" t="s">
        <v>1661</v>
      </c>
    </row>
    <row r="687">
      <c r="A687" s="20" t="str">
        <f t="shared" si="1"/>
        <v>RAYMOND</v>
      </c>
      <c r="B687" s="9" t="s">
        <v>16800</v>
      </c>
      <c r="C687" s="9" t="s">
        <v>995</v>
      </c>
    </row>
    <row r="688">
      <c r="A688" s="20" t="str">
        <f t="shared" si="1"/>
        <v>TRIDENT</v>
      </c>
      <c r="B688" s="9" t="s">
        <v>16800</v>
      </c>
      <c r="C688" s="9" t="s">
        <v>1268</v>
      </c>
    </row>
    <row r="689">
      <c r="A689" s="20" t="str">
        <f t="shared" si="1"/>
        <v>VTL</v>
      </c>
      <c r="B689" s="9" t="s">
        <v>16800</v>
      </c>
      <c r="C689" s="9" t="s">
        <v>1127</v>
      </c>
    </row>
    <row r="690">
      <c r="A690" s="20" t="str">
        <f t="shared" si="1"/>
        <v>DMART</v>
      </c>
      <c r="B690" s="9" t="s">
        <v>16800</v>
      </c>
      <c r="C690" s="9" t="s">
        <v>3013</v>
      </c>
    </row>
    <row r="691">
      <c r="A691" s="20" t="str">
        <f t="shared" si="1"/>
        <v>NYKAA</v>
      </c>
      <c r="B691" s="9" t="s">
        <v>16800</v>
      </c>
      <c r="C691" s="9" t="s">
        <v>4589</v>
      </c>
    </row>
    <row r="692">
      <c r="A692" s="20" t="str">
        <f t="shared" si="1"/>
        <v>HONASA</v>
      </c>
      <c r="B692" s="9" t="s">
        <v>16800</v>
      </c>
      <c r="C692" s="9" t="s">
        <v>9440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3.63"/>
    <col customWidth="1" min="10" max="10" width="32.88"/>
    <col customWidth="1" min="12" max="12" width="37.25"/>
    <col customWidth="1" min="13" max="13" width="59.0"/>
    <col customWidth="1" min="17" max="17" width="15.63"/>
    <col customWidth="1" min="18" max="18" width="21.13"/>
    <col customWidth="1" min="19" max="19" width="25.13"/>
  </cols>
  <sheetData>
    <row r="1">
      <c r="A1" s="6" t="str">
        <f>IFERROR(__xludf.DUMMYFUNCTION("sort(filter('Sector Classification'!B:O, 'Sector Classification'!O:O&gt;4500),14,""FALSE"",11,""TRUE"")"),"BSE Code")</f>
        <v>BSE Code</v>
      </c>
      <c r="B1" s="6" t="str">
        <f>IFERROR(__xludf.DUMMYFUNCTION("""COMPUTED_VALUE"""),"Issuer Name")</f>
        <v>Issuer Name</v>
      </c>
      <c r="C1" s="6" t="str">
        <f>IFERROR(__xludf.DUMMYFUNCTION("""COMPUTED_VALUE"""),"NSE Code")</f>
        <v>NSE Code</v>
      </c>
      <c r="D1" s="6" t="str">
        <f>IFERROR(__xludf.DUMMYFUNCTION("""COMPUTED_VALUE"""),"Security Name")</f>
        <v>Security Name</v>
      </c>
      <c r="E1" s="6" t="str">
        <f>IFERROR(__xludf.DUMMYFUNCTION("""COMPUTED_VALUE"""),"Status")</f>
        <v>Status</v>
      </c>
      <c r="F1" s="6" t="str">
        <f>IFERROR(__xludf.DUMMYFUNCTION("""COMPUTED_VALUE"""),"Group")</f>
        <v>Group</v>
      </c>
      <c r="G1" s="6" t="str">
        <f>IFERROR(__xludf.DUMMYFUNCTION("""COMPUTED_VALUE"""),"Face Value")</f>
        <v>Face Value</v>
      </c>
      <c r="H1" s="6" t="str">
        <f>IFERROR(__xludf.DUMMYFUNCTION("""COMPUTED_VALUE"""),"ISIN No")</f>
        <v>ISIN No</v>
      </c>
      <c r="I1" s="6" t="str">
        <f>IFERROR(__xludf.DUMMYFUNCTION("""COMPUTED_VALUE"""),"Instrument")</f>
        <v>Instrument</v>
      </c>
      <c r="J1" s="6" t="str">
        <f>IFERROR(__xludf.DUMMYFUNCTION("""COMPUTED_VALUE"""),"Sector")</f>
        <v>Sector</v>
      </c>
      <c r="K1" s="6" t="str">
        <f>IFERROR(__xludf.DUMMYFUNCTION("""COMPUTED_VALUE"""),"Industry")</f>
        <v>Industry</v>
      </c>
      <c r="L1" s="6" t="str">
        <f>IFERROR(__xludf.DUMMYFUNCTION("""COMPUTED_VALUE"""),"group")</f>
        <v>group</v>
      </c>
      <c r="M1" s="6" t="str">
        <f>IFERROR(__xludf.DUMMYFUNCTION("""COMPUTED_VALUE"""),"Subgroup")</f>
        <v>Subgroup</v>
      </c>
      <c r="N1" s="6" t="str">
        <f>IFERROR(__xludf.DUMMYFUNCTION("""COMPUTED_VALUE"""),"M Cap")</f>
        <v>M Cap</v>
      </c>
      <c r="O1" s="3" t="str">
        <f t="shared" ref="O1:P1" si="1">K1</f>
        <v>Industry</v>
      </c>
      <c r="P1" s="6" t="str">
        <f t="shared" si="1"/>
        <v>group</v>
      </c>
      <c r="Q1" s="6" t="s">
        <v>12</v>
      </c>
      <c r="R1" s="3" t="s">
        <v>16801</v>
      </c>
      <c r="S1" s="3" t="s">
        <v>16802</v>
      </c>
      <c r="T1" s="3" t="s">
        <v>16803</v>
      </c>
      <c r="U1" s="23" t="s">
        <v>16804</v>
      </c>
      <c r="V1" s="23" t="s">
        <v>16804</v>
      </c>
      <c r="W1" s="23" t="s">
        <v>16804</v>
      </c>
    </row>
    <row r="2">
      <c r="A2" s="6">
        <f>IFERROR(__xludf.DUMMYFUNCTION("""COMPUTED_VALUE"""),500325.0)</f>
        <v>500325</v>
      </c>
      <c r="B2" s="6" t="str">
        <f>IFERROR(__xludf.DUMMYFUNCTION("""COMPUTED_VALUE"""),"Reliance Industries Ltd")</f>
        <v>Reliance Industries Ltd</v>
      </c>
      <c r="C2" s="6" t="str">
        <f>IFERROR(__xludf.DUMMYFUNCTION("""COMPUTED_VALUE"""),"RELIANCE")</f>
        <v>RELIANCE</v>
      </c>
      <c r="D2" s="6" t="str">
        <f>IFERROR(__xludf.DUMMYFUNCTION("""COMPUTED_VALUE"""),"RELIANCE INDUSTRIES LTD.")</f>
        <v>RELIANCE INDUSTRIES LTD.</v>
      </c>
      <c r="E2" s="6" t="str">
        <f>IFERROR(__xludf.DUMMYFUNCTION("""COMPUTED_VALUE"""),"Active")</f>
        <v>Active</v>
      </c>
      <c r="F2" s="6" t="str">
        <f>IFERROR(__xludf.DUMMYFUNCTION("""COMPUTED_VALUE"""),"A")</f>
        <v>A</v>
      </c>
      <c r="G2" s="6">
        <f>IFERROR(__xludf.DUMMYFUNCTION("""COMPUTED_VALUE"""),10.0)</f>
        <v>10</v>
      </c>
      <c r="H2" s="6" t="str">
        <f>IFERROR(__xludf.DUMMYFUNCTION("""COMPUTED_VALUE"""),"INE002A01018")</f>
        <v>INE002A01018</v>
      </c>
      <c r="I2" s="6" t="str">
        <f>IFERROR(__xludf.DUMMYFUNCTION("""COMPUTED_VALUE"""),"Equity")</f>
        <v>Equity</v>
      </c>
      <c r="J2" s="6" t="str">
        <f>IFERROR(__xludf.DUMMYFUNCTION("""COMPUTED_VALUE"""),"Energy")</f>
        <v>Energy</v>
      </c>
      <c r="K2" s="6" t="str">
        <f>IFERROR(__xludf.DUMMYFUNCTION("""COMPUTED_VALUE"""),"Oil, Gas &amp; Consumable, Fuels")</f>
        <v>Oil, Gas &amp; Consumable, Fuels</v>
      </c>
      <c r="L2" s="6" t="str">
        <f>IFERROR(__xludf.DUMMYFUNCTION("""COMPUTED_VALUE"""),"Petroleum Products")</f>
        <v>Petroleum Products</v>
      </c>
      <c r="M2" s="6" t="str">
        <f>IFERROR(__xludf.DUMMYFUNCTION("""COMPUTED_VALUE"""),"Refineries &amp; Marketing")</f>
        <v>Refineries &amp; Marketing</v>
      </c>
      <c r="N2" s="5">
        <f>IFERROR(__xludf.DUMMYFUNCTION("""COMPUTED_VALUE"""),2105986.7710168)</f>
        <v>2105986.771</v>
      </c>
      <c r="O2" s="6">
        <f t="shared" ref="O2:O754" si="4">COUNTIF(K:K,K2)</f>
        <v>20</v>
      </c>
      <c r="P2" s="6">
        <f t="shared" ref="P2:Q2" si="2">COUNTIFS(L:L,L2)</f>
        <v>8</v>
      </c>
      <c r="Q2" s="24">
        <f t="shared" si="2"/>
        <v>6</v>
      </c>
      <c r="R2" s="6" t="str">
        <f t="shared" ref="R2:R754" si="6">if(and(W2&gt;U2,Q2&gt;=15,W2&lt;60%,W2&gt;10%),M2,if(and(V2&gt;U2,P2&gt;=15,V2&lt;0.6,V2&gt;0.1),L2,K2))</f>
        <v>Oil, Gas &amp; Consumable, Fuels</v>
      </c>
      <c r="S2" s="6" t="str">
        <f t="shared" ref="S2:S754" si="7">if(COUNTIF(R:R,R2)&lt;8,"Misc.",R2)</f>
        <v>Oil, Gas &amp; Consumable, Fuels</v>
      </c>
      <c r="T2" s="6">
        <f>IFERROR(__xludf.DUMMYFUNCTION("COUNTA(UNIQUE(query($A$2:$P$800,""select L where K='""&amp; K2&amp;""'"")))"),4.0)</f>
        <v>4</v>
      </c>
      <c r="U2" s="23">
        <f t="shared" ref="U2:U754" si="8">T2/O2*1.5</f>
        <v>0.3</v>
      </c>
      <c r="V2" s="23">
        <f t="shared" ref="V2:W2" si="3">P2/O2</f>
        <v>0.4</v>
      </c>
      <c r="W2" s="23">
        <f t="shared" si="3"/>
        <v>0.75</v>
      </c>
    </row>
    <row r="3">
      <c r="A3" s="6">
        <f>IFERROR(__xludf.DUMMYFUNCTION("""COMPUTED_VALUE"""),532540.0)</f>
        <v>532540</v>
      </c>
      <c r="B3" s="6" t="str">
        <f>IFERROR(__xludf.DUMMYFUNCTION("""COMPUTED_VALUE"""),"Tata Consultancy Services Ltd.")</f>
        <v>Tata Consultancy Services Ltd.</v>
      </c>
      <c r="C3" s="6" t="str">
        <f>IFERROR(__xludf.DUMMYFUNCTION("""COMPUTED_VALUE"""),"TCS")</f>
        <v>TCS</v>
      </c>
      <c r="D3" s="6" t="str">
        <f>IFERROR(__xludf.DUMMYFUNCTION("""COMPUTED_VALUE"""),"TATA CONSULTANCY SERVICES LTD.")</f>
        <v>TATA CONSULTANCY SERVICES LTD.</v>
      </c>
      <c r="E3" s="6" t="str">
        <f>IFERROR(__xludf.DUMMYFUNCTION("""COMPUTED_VALUE"""),"Active")</f>
        <v>Active</v>
      </c>
      <c r="F3" s="6" t="str">
        <f>IFERROR(__xludf.DUMMYFUNCTION("""COMPUTED_VALUE"""),"A")</f>
        <v>A</v>
      </c>
      <c r="G3" s="6">
        <f>IFERROR(__xludf.DUMMYFUNCTION("""COMPUTED_VALUE"""),1.0)</f>
        <v>1</v>
      </c>
      <c r="H3" s="6" t="str">
        <f>IFERROR(__xludf.DUMMYFUNCTION("""COMPUTED_VALUE"""),"INE467B01029")</f>
        <v>INE467B01029</v>
      </c>
      <c r="I3" s="6" t="str">
        <f>IFERROR(__xludf.DUMMYFUNCTION("""COMPUTED_VALUE"""),"Equity")</f>
        <v>Equity</v>
      </c>
      <c r="J3" s="6" t="str">
        <f>IFERROR(__xludf.DUMMYFUNCTION("""COMPUTED_VALUE"""),"Information Technology")</f>
        <v>Information Technology</v>
      </c>
      <c r="K3" s="6" t="str">
        <f>IFERROR(__xludf.DUMMYFUNCTION("""COMPUTED_VALUE"""),"Information Technology")</f>
        <v>Information Technology</v>
      </c>
      <c r="L3" s="6" t="str">
        <f>IFERROR(__xludf.DUMMYFUNCTION("""COMPUTED_VALUE"""),"IT - Software")</f>
        <v>IT - Software</v>
      </c>
      <c r="M3" s="6" t="str">
        <f>IFERROR(__xludf.DUMMYFUNCTION("""COMPUTED_VALUE"""),"Computers - Software &amp; Consulting")</f>
        <v>Computers - Software &amp; Consulting</v>
      </c>
      <c r="N3" s="5">
        <f>IFERROR(__xludf.DUMMYFUNCTION("""COMPUTED_VALUE"""),1408401.41765)</f>
        <v>1408401.418</v>
      </c>
      <c r="O3" s="6">
        <f t="shared" si="4"/>
        <v>36</v>
      </c>
      <c r="P3" s="6">
        <f t="shared" ref="P3:Q3" si="5">COUNTIFS(L:L,L3)</f>
        <v>27</v>
      </c>
      <c r="Q3" s="24">
        <f t="shared" si="5"/>
        <v>22</v>
      </c>
      <c r="R3" s="6" t="str">
        <f t="shared" si="6"/>
        <v>Information Technology</v>
      </c>
      <c r="S3" s="6" t="str">
        <f t="shared" si="7"/>
        <v>Information Technology</v>
      </c>
      <c r="T3" s="6">
        <f>IFERROR(__xludf.DUMMYFUNCTION("COUNTA(UNIQUE(query($A$2:$P$800,""select L where K='""&amp; K3&amp;""'"")))"),3.0)</f>
        <v>3</v>
      </c>
      <c r="U3" s="23">
        <f t="shared" si="8"/>
        <v>0.125</v>
      </c>
      <c r="V3" s="23">
        <f t="shared" ref="V3:W3" si="9">P3/O3</f>
        <v>0.75</v>
      </c>
      <c r="W3" s="23">
        <f t="shared" si="9"/>
        <v>0.8148148148</v>
      </c>
    </row>
    <row r="4">
      <c r="A4" s="6">
        <f>IFERROR(__xludf.DUMMYFUNCTION("""COMPUTED_VALUE"""),500180.0)</f>
        <v>500180</v>
      </c>
      <c r="B4" s="6" t="str">
        <f>IFERROR(__xludf.DUMMYFUNCTION("""COMPUTED_VALUE"""),"HDFC Bank Ltd.")</f>
        <v>HDFC Bank Ltd.</v>
      </c>
      <c r="C4" s="6" t="str">
        <f>IFERROR(__xludf.DUMMYFUNCTION("""COMPUTED_VALUE"""),"HDFCBANK")</f>
        <v>HDFCBANK</v>
      </c>
      <c r="D4" s="6" t="str">
        <f>IFERROR(__xludf.DUMMYFUNCTION("""COMPUTED_VALUE"""),"HDFC Bank Ltd")</f>
        <v>HDFC Bank Ltd</v>
      </c>
      <c r="E4" s="6" t="str">
        <f>IFERROR(__xludf.DUMMYFUNCTION("""COMPUTED_VALUE"""),"Active")</f>
        <v>Active</v>
      </c>
      <c r="F4" s="6" t="str">
        <f>IFERROR(__xludf.DUMMYFUNCTION("""COMPUTED_VALUE"""),"A")</f>
        <v>A</v>
      </c>
      <c r="G4" s="6">
        <f>IFERROR(__xludf.DUMMYFUNCTION("""COMPUTED_VALUE"""),1.0)</f>
        <v>1</v>
      </c>
      <c r="H4" s="6" t="str">
        <f>IFERROR(__xludf.DUMMYFUNCTION("""COMPUTED_VALUE"""),"INE040A01034")</f>
        <v>INE040A01034</v>
      </c>
      <c r="I4" s="6" t="str">
        <f>IFERROR(__xludf.DUMMYFUNCTION("""COMPUTED_VALUE"""),"Equity")</f>
        <v>Equity</v>
      </c>
      <c r="J4" s="6" t="str">
        <f>IFERROR(__xludf.DUMMYFUNCTION("""COMPUTED_VALUE"""),"Financial Services")</f>
        <v>Financial Services</v>
      </c>
      <c r="K4" s="6" t="str">
        <f>IFERROR(__xludf.DUMMYFUNCTION("""COMPUTED_VALUE"""),"Financial Services")</f>
        <v>Financial Services</v>
      </c>
      <c r="L4" s="6" t="str">
        <f>IFERROR(__xludf.DUMMYFUNCTION("""COMPUTED_VALUE"""),"Banks")</f>
        <v>Banks</v>
      </c>
      <c r="M4" s="6" t="str">
        <f>IFERROR(__xludf.DUMMYFUNCTION("""COMPUTED_VALUE"""),"Private Sector Bank")</f>
        <v>Private Sector Bank</v>
      </c>
      <c r="N4" s="5">
        <f>IFERROR(__xludf.DUMMYFUNCTION("""COMPUTED_VALUE"""),1341849.2100362)</f>
        <v>1341849.21</v>
      </c>
      <c r="O4" s="6">
        <f t="shared" si="4"/>
        <v>123</v>
      </c>
      <c r="P4" s="6">
        <f t="shared" ref="P4:Q4" si="10">COUNTIFS(L:L,L4)</f>
        <v>35</v>
      </c>
      <c r="Q4" s="24">
        <f t="shared" si="10"/>
        <v>23</v>
      </c>
      <c r="R4" s="6" t="str">
        <f t="shared" si="6"/>
        <v>Banks</v>
      </c>
      <c r="S4" s="6" t="str">
        <f t="shared" si="7"/>
        <v>Banks</v>
      </c>
      <c r="T4" s="6">
        <f>IFERROR(__xludf.DUMMYFUNCTION("COUNTA(UNIQUE(query($A$2:$P$800,""select L where K='""&amp; K4&amp;""'"")))"),5.0)</f>
        <v>5</v>
      </c>
      <c r="U4" s="23">
        <f t="shared" si="8"/>
        <v>0.06097560976</v>
      </c>
      <c r="V4" s="23">
        <f t="shared" ref="V4:W4" si="11">P4/O4</f>
        <v>0.2845528455</v>
      </c>
      <c r="W4" s="23">
        <f t="shared" si="11"/>
        <v>0.6571428571</v>
      </c>
    </row>
    <row r="5">
      <c r="A5" s="6">
        <f>IFERROR(__xludf.DUMMYFUNCTION("""COMPUTED_VALUE"""),532454.0)</f>
        <v>532454</v>
      </c>
      <c r="B5" s="6" t="str">
        <f>IFERROR(__xludf.DUMMYFUNCTION("""COMPUTED_VALUE"""),"Bharti Airtel  Ltd.")</f>
        <v>Bharti Airtel  Ltd.</v>
      </c>
      <c r="C5" s="6" t="str">
        <f>IFERROR(__xludf.DUMMYFUNCTION("""COMPUTED_VALUE"""),"BHARTIARTL")</f>
        <v>BHARTIARTL</v>
      </c>
      <c r="D5" s="6" t="str">
        <f>IFERROR(__xludf.DUMMYFUNCTION("""COMPUTED_VALUE"""),"BHARTI AIRTEL LTD.")</f>
        <v>BHARTI AIRTEL LTD.</v>
      </c>
      <c r="E5" s="6" t="str">
        <f>IFERROR(__xludf.DUMMYFUNCTION("""COMPUTED_VALUE"""),"Active")</f>
        <v>Active</v>
      </c>
      <c r="F5" s="6" t="str">
        <f>IFERROR(__xludf.DUMMYFUNCTION("""COMPUTED_VALUE"""),"A")</f>
        <v>A</v>
      </c>
      <c r="G5" s="6">
        <f>IFERROR(__xludf.DUMMYFUNCTION("""COMPUTED_VALUE"""),5.0)</f>
        <v>5</v>
      </c>
      <c r="H5" s="6" t="str">
        <f>IFERROR(__xludf.DUMMYFUNCTION("""COMPUTED_VALUE"""),"INE397D01024")</f>
        <v>INE397D01024</v>
      </c>
      <c r="I5" s="6" t="str">
        <f>IFERROR(__xludf.DUMMYFUNCTION("""COMPUTED_VALUE"""),"Equity")</f>
        <v>Equity</v>
      </c>
      <c r="J5" s="6" t="str">
        <f>IFERROR(__xludf.DUMMYFUNCTION("""COMPUTED_VALUE"""),"Telecommunication")</f>
        <v>Telecommunication</v>
      </c>
      <c r="K5" s="6" t="str">
        <f>IFERROR(__xludf.DUMMYFUNCTION("""COMPUTED_VALUE"""),"Telecommunication")</f>
        <v>Telecommunication</v>
      </c>
      <c r="L5" s="6" t="str">
        <f>IFERROR(__xludf.DUMMYFUNCTION("""COMPUTED_VALUE"""),"Telecom - Services")</f>
        <v>Telecom - Services</v>
      </c>
      <c r="M5" s="6" t="str">
        <f>IFERROR(__xludf.DUMMYFUNCTION("""COMPUTED_VALUE"""),"Telecom - Cellular &amp; Fixed line services")</f>
        <v>Telecom - Cellular &amp; Fixed line services</v>
      </c>
      <c r="N5" s="5">
        <f>IFERROR(__xludf.DUMMYFUNCTION("""COMPUTED_VALUE"""),847662.9384338)</f>
        <v>847662.9384</v>
      </c>
      <c r="O5" s="6">
        <f t="shared" si="4"/>
        <v>14</v>
      </c>
      <c r="P5" s="6">
        <f t="shared" ref="P5:Q5" si="12">COUNTIFS(L:L,L5)</f>
        <v>11</v>
      </c>
      <c r="Q5" s="24">
        <f t="shared" si="12"/>
        <v>5</v>
      </c>
      <c r="R5" s="6" t="str">
        <f t="shared" si="6"/>
        <v>Telecommunication</v>
      </c>
      <c r="S5" s="6" t="str">
        <f t="shared" si="7"/>
        <v>Telecommunication</v>
      </c>
      <c r="T5" s="6">
        <f>IFERROR(__xludf.DUMMYFUNCTION("COUNTA(UNIQUE(query($A$2:$P$800,""select L where K='""&amp; K5&amp;""'"")))"),2.0)</f>
        <v>2</v>
      </c>
      <c r="U5" s="23">
        <f t="shared" si="8"/>
        <v>0.2142857143</v>
      </c>
      <c r="V5" s="23">
        <f t="shared" ref="V5:W5" si="13">P5/O5</f>
        <v>0.7857142857</v>
      </c>
      <c r="W5" s="23">
        <f t="shared" si="13"/>
        <v>0.4545454545</v>
      </c>
    </row>
    <row r="6">
      <c r="A6" s="6">
        <f>IFERROR(__xludf.DUMMYFUNCTION("""COMPUTED_VALUE"""),532174.0)</f>
        <v>532174</v>
      </c>
      <c r="B6" s="6" t="str">
        <f>IFERROR(__xludf.DUMMYFUNCTION("""COMPUTED_VALUE"""),"ICICI Bank Ltd.")</f>
        <v>ICICI Bank Ltd.</v>
      </c>
      <c r="C6" s="6" t="str">
        <f>IFERROR(__xludf.DUMMYFUNCTION("""COMPUTED_VALUE"""),"ICICIBANK")</f>
        <v>ICICIBANK</v>
      </c>
      <c r="D6" s="6" t="str">
        <f>IFERROR(__xludf.DUMMYFUNCTION("""COMPUTED_VALUE"""),"ICICI BANK LTD.")</f>
        <v>ICICI BANK LTD.</v>
      </c>
      <c r="E6" s="6" t="str">
        <f>IFERROR(__xludf.DUMMYFUNCTION("""COMPUTED_VALUE"""),"Active")</f>
        <v>Active</v>
      </c>
      <c r="F6" s="6" t="str">
        <f>IFERROR(__xludf.DUMMYFUNCTION("""COMPUTED_VALUE"""),"A")</f>
        <v>A</v>
      </c>
      <c r="G6" s="6">
        <f>IFERROR(__xludf.DUMMYFUNCTION("""COMPUTED_VALUE"""),2.0)</f>
        <v>2</v>
      </c>
      <c r="H6" s="6" t="str">
        <f>IFERROR(__xludf.DUMMYFUNCTION("""COMPUTED_VALUE"""),"INE090A01021")</f>
        <v>INE090A01021</v>
      </c>
      <c r="I6" s="6" t="str">
        <f>IFERROR(__xludf.DUMMYFUNCTION("""COMPUTED_VALUE"""),"Equity")</f>
        <v>Equity</v>
      </c>
      <c r="J6" s="6" t="str">
        <f>IFERROR(__xludf.DUMMYFUNCTION("""COMPUTED_VALUE"""),"Financial Services")</f>
        <v>Financial Services</v>
      </c>
      <c r="K6" s="6" t="str">
        <f>IFERROR(__xludf.DUMMYFUNCTION("""COMPUTED_VALUE"""),"Financial Services")</f>
        <v>Financial Services</v>
      </c>
      <c r="L6" s="6" t="str">
        <f>IFERROR(__xludf.DUMMYFUNCTION("""COMPUTED_VALUE"""),"Banks")</f>
        <v>Banks</v>
      </c>
      <c r="M6" s="6" t="str">
        <f>IFERROR(__xludf.DUMMYFUNCTION("""COMPUTED_VALUE"""),"Private Sector Bank")</f>
        <v>Private Sector Bank</v>
      </c>
      <c r="N6" s="5">
        <f>IFERROR(__xludf.DUMMYFUNCTION("""COMPUTED_VALUE"""),841832.3564995)</f>
        <v>841832.3565</v>
      </c>
      <c r="O6" s="6">
        <f t="shared" si="4"/>
        <v>123</v>
      </c>
      <c r="P6" s="6">
        <f t="shared" ref="P6:Q6" si="14">COUNTIFS(L:L,L6)</f>
        <v>35</v>
      </c>
      <c r="Q6" s="24">
        <f t="shared" si="14"/>
        <v>23</v>
      </c>
      <c r="R6" s="6" t="str">
        <f t="shared" si="6"/>
        <v>Banks</v>
      </c>
      <c r="S6" s="6" t="str">
        <f t="shared" si="7"/>
        <v>Banks</v>
      </c>
      <c r="T6" s="6">
        <f>IFERROR(__xludf.DUMMYFUNCTION("COUNTA(UNIQUE(query($A$2:$P$800,""select L where K='""&amp; K6&amp;""'"")))"),5.0)</f>
        <v>5</v>
      </c>
      <c r="U6" s="23">
        <f t="shared" si="8"/>
        <v>0.06097560976</v>
      </c>
      <c r="V6" s="23">
        <f t="shared" ref="V6:W6" si="15">P6/O6</f>
        <v>0.2845528455</v>
      </c>
      <c r="W6" s="23">
        <f t="shared" si="15"/>
        <v>0.6571428571</v>
      </c>
    </row>
    <row r="7">
      <c r="A7" s="6">
        <f>IFERROR(__xludf.DUMMYFUNCTION("""COMPUTED_VALUE"""),500112.0)</f>
        <v>500112</v>
      </c>
      <c r="B7" s="6" t="str">
        <f>IFERROR(__xludf.DUMMYFUNCTION("""COMPUTED_VALUE"""),"State Bank Of India")</f>
        <v>State Bank Of India</v>
      </c>
      <c r="C7" s="6" t="str">
        <f>IFERROR(__xludf.DUMMYFUNCTION("""COMPUTED_VALUE"""),"SBIN")</f>
        <v>SBIN</v>
      </c>
      <c r="D7" s="6" t="str">
        <f>IFERROR(__xludf.DUMMYFUNCTION("""COMPUTED_VALUE"""),"STATE BANK OF INDIA")</f>
        <v>STATE BANK OF INDIA</v>
      </c>
      <c r="E7" s="6" t="str">
        <f>IFERROR(__xludf.DUMMYFUNCTION("""COMPUTED_VALUE"""),"Active")</f>
        <v>Active</v>
      </c>
      <c r="F7" s="6" t="str">
        <f>IFERROR(__xludf.DUMMYFUNCTION("""COMPUTED_VALUE"""),"A")</f>
        <v>A</v>
      </c>
      <c r="G7" s="6">
        <f>IFERROR(__xludf.DUMMYFUNCTION("""COMPUTED_VALUE"""),1.0)</f>
        <v>1</v>
      </c>
      <c r="H7" s="6" t="str">
        <f>IFERROR(__xludf.DUMMYFUNCTION("""COMPUTED_VALUE"""),"INE062A01020")</f>
        <v>INE062A01020</v>
      </c>
      <c r="I7" s="6" t="str">
        <f>IFERROR(__xludf.DUMMYFUNCTION("""COMPUTED_VALUE"""),"Equity")</f>
        <v>Equity</v>
      </c>
      <c r="J7" s="6" t="str">
        <f>IFERROR(__xludf.DUMMYFUNCTION("""COMPUTED_VALUE"""),"Financial Services")</f>
        <v>Financial Services</v>
      </c>
      <c r="K7" s="6" t="str">
        <f>IFERROR(__xludf.DUMMYFUNCTION("""COMPUTED_VALUE"""),"Financial Services")</f>
        <v>Financial Services</v>
      </c>
      <c r="L7" s="6" t="str">
        <f>IFERROR(__xludf.DUMMYFUNCTION("""COMPUTED_VALUE"""),"Banks")</f>
        <v>Banks</v>
      </c>
      <c r="M7" s="6" t="str">
        <f>IFERROR(__xludf.DUMMYFUNCTION("""COMPUTED_VALUE"""),"Public Sector Bank")</f>
        <v>Public Sector Bank</v>
      </c>
      <c r="N7" s="5">
        <f>IFERROR(__xludf.DUMMYFUNCTION("""COMPUTED_VALUE"""),741207.3203841)</f>
        <v>741207.3204</v>
      </c>
      <c r="O7" s="6">
        <f t="shared" si="4"/>
        <v>123</v>
      </c>
      <c r="P7" s="6">
        <f t="shared" ref="P7:Q7" si="16">COUNTIFS(L:L,L7)</f>
        <v>35</v>
      </c>
      <c r="Q7" s="24">
        <f t="shared" si="16"/>
        <v>12</v>
      </c>
      <c r="R7" s="6" t="str">
        <f t="shared" si="6"/>
        <v>Banks</v>
      </c>
      <c r="S7" s="6" t="str">
        <f t="shared" si="7"/>
        <v>Banks</v>
      </c>
      <c r="T7" s="6">
        <f>IFERROR(__xludf.DUMMYFUNCTION("COUNTA(UNIQUE(query($A$2:$P$800,""select L where K='""&amp; K7&amp;""'"")))"),5.0)</f>
        <v>5</v>
      </c>
      <c r="U7" s="23">
        <f t="shared" si="8"/>
        <v>0.06097560976</v>
      </c>
      <c r="V7" s="23">
        <f t="shared" ref="V7:W7" si="17">P7/O7</f>
        <v>0.2845528455</v>
      </c>
      <c r="W7" s="23">
        <f t="shared" si="17"/>
        <v>0.3428571429</v>
      </c>
    </row>
    <row r="8">
      <c r="A8" s="6">
        <f>IFERROR(__xludf.DUMMYFUNCTION("""COMPUTED_VALUE"""),500209.0)</f>
        <v>500209</v>
      </c>
      <c r="B8" s="6" t="str">
        <f>IFERROR(__xludf.DUMMYFUNCTION("""COMPUTED_VALUE"""),"Infosys Ltd")</f>
        <v>Infosys Ltd</v>
      </c>
      <c r="C8" s="6" t="str">
        <f>IFERROR(__xludf.DUMMYFUNCTION("""COMPUTED_VALUE"""),"INFY")</f>
        <v>INFY</v>
      </c>
      <c r="D8" s="6" t="str">
        <f>IFERROR(__xludf.DUMMYFUNCTION("""COMPUTED_VALUE"""),"INFOSYS LTD.")</f>
        <v>INFOSYS LTD.</v>
      </c>
      <c r="E8" s="6" t="str">
        <f>IFERROR(__xludf.DUMMYFUNCTION("""COMPUTED_VALUE"""),"Active")</f>
        <v>Active</v>
      </c>
      <c r="F8" s="6" t="str">
        <f>IFERROR(__xludf.DUMMYFUNCTION("""COMPUTED_VALUE"""),"A")</f>
        <v>A</v>
      </c>
      <c r="G8" s="6">
        <f>IFERROR(__xludf.DUMMYFUNCTION("""COMPUTED_VALUE"""),5.0)</f>
        <v>5</v>
      </c>
      <c r="H8" s="6" t="str">
        <f>IFERROR(__xludf.DUMMYFUNCTION("""COMPUTED_VALUE"""),"INE009A01021")</f>
        <v>INE009A01021</v>
      </c>
      <c r="I8" s="6" t="str">
        <f>IFERROR(__xludf.DUMMYFUNCTION("""COMPUTED_VALUE"""),"Equity")</f>
        <v>Equity</v>
      </c>
      <c r="J8" s="6" t="str">
        <f>IFERROR(__xludf.DUMMYFUNCTION("""COMPUTED_VALUE"""),"Information Technology")</f>
        <v>Information Technology</v>
      </c>
      <c r="K8" s="6" t="str">
        <f>IFERROR(__xludf.DUMMYFUNCTION("""COMPUTED_VALUE"""),"Information Technology")</f>
        <v>Information Technology</v>
      </c>
      <c r="L8" s="6" t="str">
        <f>IFERROR(__xludf.DUMMYFUNCTION("""COMPUTED_VALUE"""),"IT - Software")</f>
        <v>IT - Software</v>
      </c>
      <c r="M8" s="6" t="str">
        <f>IFERROR(__xludf.DUMMYFUNCTION("""COMPUTED_VALUE"""),"Computers - Software &amp; Consulting")</f>
        <v>Computers - Software &amp; Consulting</v>
      </c>
      <c r="N8" s="5">
        <f>IFERROR(__xludf.DUMMYFUNCTION("""COMPUTED_VALUE"""),660693.0149)</f>
        <v>660693.0149</v>
      </c>
      <c r="O8" s="6">
        <f t="shared" si="4"/>
        <v>36</v>
      </c>
      <c r="P8" s="6">
        <f t="shared" ref="P8:Q8" si="18">COUNTIFS(L:L,L8)</f>
        <v>27</v>
      </c>
      <c r="Q8" s="24">
        <f t="shared" si="18"/>
        <v>22</v>
      </c>
      <c r="R8" s="6" t="str">
        <f t="shared" si="6"/>
        <v>Information Technology</v>
      </c>
      <c r="S8" s="6" t="str">
        <f t="shared" si="7"/>
        <v>Information Technology</v>
      </c>
      <c r="T8" s="6">
        <f>IFERROR(__xludf.DUMMYFUNCTION("COUNTA(UNIQUE(query($A$2:$P$800,""select L where K='""&amp; K8&amp;""'"")))"),3.0)</f>
        <v>3</v>
      </c>
      <c r="U8" s="23">
        <f t="shared" si="8"/>
        <v>0.125</v>
      </c>
      <c r="V8" s="23">
        <f t="shared" ref="V8:W8" si="19">P8/O8</f>
        <v>0.75</v>
      </c>
      <c r="W8" s="23">
        <f t="shared" si="19"/>
        <v>0.8148148148</v>
      </c>
    </row>
    <row r="9">
      <c r="A9" s="6">
        <f>IFERROR(__xludf.DUMMYFUNCTION("""COMPUTED_VALUE"""),543526.0)</f>
        <v>543526</v>
      </c>
      <c r="B9" s="6" t="str">
        <f>IFERROR(__xludf.DUMMYFUNCTION("""COMPUTED_VALUE"""),"LIFE INSURANCE CORPORATION OF INDIA")</f>
        <v>LIFE INSURANCE CORPORATION OF INDIA</v>
      </c>
      <c r="C9" s="6" t="str">
        <f>IFERROR(__xludf.DUMMYFUNCTION("""COMPUTED_VALUE"""),"LICI")</f>
        <v>LICI</v>
      </c>
      <c r="D9" s="6" t="str">
        <f>IFERROR(__xludf.DUMMYFUNCTION("""COMPUTED_VALUE"""),"Life Insurance Corporation of India")</f>
        <v>Life Insurance Corporation of India</v>
      </c>
      <c r="E9" s="6" t="str">
        <f>IFERROR(__xludf.DUMMYFUNCTION("""COMPUTED_VALUE"""),"Active")</f>
        <v>Active</v>
      </c>
      <c r="F9" s="6" t="str">
        <f>IFERROR(__xludf.DUMMYFUNCTION("""COMPUTED_VALUE"""),"A")</f>
        <v>A</v>
      </c>
      <c r="G9" s="6">
        <f>IFERROR(__xludf.DUMMYFUNCTION("""COMPUTED_VALUE"""),10.0)</f>
        <v>10</v>
      </c>
      <c r="H9" s="6" t="str">
        <f>IFERROR(__xludf.DUMMYFUNCTION("""COMPUTED_VALUE"""),"INE0J1Y01017")</f>
        <v>INE0J1Y01017</v>
      </c>
      <c r="I9" s="6" t="str">
        <f>IFERROR(__xludf.DUMMYFUNCTION("""COMPUTED_VALUE"""),"Equity")</f>
        <v>Equity</v>
      </c>
      <c r="J9" s="6" t="str">
        <f>IFERROR(__xludf.DUMMYFUNCTION("""COMPUTED_VALUE"""),"Financial Services")</f>
        <v>Financial Services</v>
      </c>
      <c r="K9" s="6" t="str">
        <f>IFERROR(__xludf.DUMMYFUNCTION("""COMPUTED_VALUE"""),"Financial Services")</f>
        <v>Financial Services</v>
      </c>
      <c r="L9" s="6" t="str">
        <f>IFERROR(__xludf.DUMMYFUNCTION("""COMPUTED_VALUE"""),"Insurance")</f>
        <v>Insurance</v>
      </c>
      <c r="M9" s="6" t="str">
        <f>IFERROR(__xludf.DUMMYFUNCTION("""COMPUTED_VALUE"""),"Life Insurance")</f>
        <v>Life Insurance</v>
      </c>
      <c r="N9" s="5">
        <f>IFERROR(__xludf.DUMMYFUNCTION("""COMPUTED_VALUE"""),620771.6763005)</f>
        <v>620771.6763</v>
      </c>
      <c r="O9" s="6">
        <f t="shared" si="4"/>
        <v>123</v>
      </c>
      <c r="P9" s="6">
        <f t="shared" ref="P9:Q9" si="20">COUNTIFS(L:L,L9)</f>
        <v>10</v>
      </c>
      <c r="Q9" s="24">
        <f t="shared" si="20"/>
        <v>5</v>
      </c>
      <c r="R9" s="6" t="str">
        <f t="shared" si="6"/>
        <v>Financial Services</v>
      </c>
      <c r="S9" s="6" t="str">
        <f t="shared" si="7"/>
        <v>Financial Services</v>
      </c>
      <c r="T9" s="6">
        <f>IFERROR(__xludf.DUMMYFUNCTION("COUNTA(UNIQUE(query($A$2:$P$800,""select L where K='""&amp; K9&amp;""'"")))"),5.0)</f>
        <v>5</v>
      </c>
      <c r="U9" s="23">
        <f t="shared" si="8"/>
        <v>0.06097560976</v>
      </c>
      <c r="V9" s="23">
        <f t="shared" ref="V9:W9" si="21">P9/O9</f>
        <v>0.08130081301</v>
      </c>
      <c r="W9" s="23">
        <f t="shared" si="21"/>
        <v>0.5</v>
      </c>
    </row>
    <row r="10">
      <c r="A10" s="6">
        <f>IFERROR(__xludf.DUMMYFUNCTION("""COMPUTED_VALUE"""),500696.0)</f>
        <v>500696</v>
      </c>
      <c r="B10" s="6" t="str">
        <f>IFERROR(__xludf.DUMMYFUNCTION("""COMPUTED_VALUE"""),"Hindustan Unilever Ltd.")</f>
        <v>Hindustan Unilever Ltd.</v>
      </c>
      <c r="C10" s="6" t="str">
        <f>IFERROR(__xludf.DUMMYFUNCTION("""COMPUTED_VALUE"""),"HINDUNILVR")</f>
        <v>HINDUNILVR</v>
      </c>
      <c r="D10" s="6" t="str">
        <f>IFERROR(__xludf.DUMMYFUNCTION("""COMPUTED_VALUE"""),"HINDUSTAN UNILEVER LTD.")</f>
        <v>HINDUSTAN UNILEVER LTD.</v>
      </c>
      <c r="E10" s="6" t="str">
        <f>IFERROR(__xludf.DUMMYFUNCTION("""COMPUTED_VALUE"""),"Active")</f>
        <v>Active</v>
      </c>
      <c r="F10" s="6" t="str">
        <f>IFERROR(__xludf.DUMMYFUNCTION("""COMPUTED_VALUE"""),"A")</f>
        <v>A</v>
      </c>
      <c r="G10" s="6">
        <f>IFERROR(__xludf.DUMMYFUNCTION("""COMPUTED_VALUE"""),1.0)</f>
        <v>1</v>
      </c>
      <c r="H10" s="6" t="str">
        <f>IFERROR(__xludf.DUMMYFUNCTION("""COMPUTED_VALUE"""),"INE030A01027")</f>
        <v>INE030A01027</v>
      </c>
      <c r="I10" s="6" t="str">
        <f>IFERROR(__xludf.DUMMYFUNCTION("""COMPUTED_VALUE"""),"Equity")</f>
        <v>Equity</v>
      </c>
      <c r="J10" s="6" t="str">
        <f>IFERROR(__xludf.DUMMYFUNCTION("""COMPUTED_VALUE"""),"Fast Moving Consumer Goods")</f>
        <v>Fast Moving Consumer Goods</v>
      </c>
      <c r="K10" s="6" t="str">
        <f>IFERROR(__xludf.DUMMYFUNCTION("""COMPUTED_VALUE"""),"Fast Moving Consumer Goods")</f>
        <v>Fast Moving Consumer Goods</v>
      </c>
      <c r="L10" s="6" t="str">
        <f>IFERROR(__xludf.DUMMYFUNCTION("""COMPUTED_VALUE"""),"Diversified FMCG")</f>
        <v>Diversified FMCG</v>
      </c>
      <c r="M10" s="6" t="str">
        <f>IFERROR(__xludf.DUMMYFUNCTION("""COMPUTED_VALUE"""),"Diversified FMCG")</f>
        <v>Diversified FMCG</v>
      </c>
      <c r="N10" s="5">
        <f>IFERROR(__xludf.DUMMYFUNCTION("""COMPUTED_VALUE"""),577210.6605025)</f>
        <v>577210.6605</v>
      </c>
      <c r="O10" s="6">
        <f t="shared" si="4"/>
        <v>44</v>
      </c>
      <c r="P10" s="6">
        <f t="shared" ref="P10:Q10" si="22">COUNTIFS(L:L,L10)</f>
        <v>3</v>
      </c>
      <c r="Q10" s="24">
        <f t="shared" si="22"/>
        <v>3</v>
      </c>
      <c r="R10" s="6" t="str">
        <f t="shared" si="6"/>
        <v>Fast Moving Consumer Goods</v>
      </c>
      <c r="S10" s="6" t="str">
        <f t="shared" si="7"/>
        <v>Fast Moving Consumer Goods</v>
      </c>
      <c r="T10" s="6">
        <f>IFERROR(__xludf.DUMMYFUNCTION("COUNTA(UNIQUE(query($A$2:$P$800,""select L where K='""&amp; K10&amp;""'"")))"),7.0)</f>
        <v>7</v>
      </c>
      <c r="U10" s="23">
        <f t="shared" si="8"/>
        <v>0.2386363636</v>
      </c>
      <c r="V10" s="23">
        <f t="shared" ref="V10:W10" si="23">P10/O10</f>
        <v>0.06818181818</v>
      </c>
      <c r="W10" s="23">
        <f t="shared" si="23"/>
        <v>1</v>
      </c>
    </row>
    <row r="11">
      <c r="A11" s="6">
        <f>IFERROR(__xludf.DUMMYFUNCTION("""COMPUTED_VALUE"""),500875.0)</f>
        <v>500875</v>
      </c>
      <c r="B11" s="6" t="str">
        <f>IFERROR(__xludf.DUMMYFUNCTION("""COMPUTED_VALUE"""),"ITC Ltd")</f>
        <v>ITC Ltd</v>
      </c>
      <c r="C11" s="6" t="str">
        <f>IFERROR(__xludf.DUMMYFUNCTION("""COMPUTED_VALUE"""),"ITC")</f>
        <v>ITC</v>
      </c>
      <c r="D11" s="6" t="str">
        <f>IFERROR(__xludf.DUMMYFUNCTION("""COMPUTED_VALUE"""),"ITC LTD.")</f>
        <v>ITC LTD.</v>
      </c>
      <c r="E11" s="6" t="str">
        <f>IFERROR(__xludf.DUMMYFUNCTION("""COMPUTED_VALUE"""),"Active")</f>
        <v>Active</v>
      </c>
      <c r="F11" s="6" t="str">
        <f>IFERROR(__xludf.DUMMYFUNCTION("""COMPUTED_VALUE"""),"A")</f>
        <v>A</v>
      </c>
      <c r="G11" s="6">
        <f>IFERROR(__xludf.DUMMYFUNCTION("""COMPUTED_VALUE"""),1.0)</f>
        <v>1</v>
      </c>
      <c r="H11" s="6" t="str">
        <f>IFERROR(__xludf.DUMMYFUNCTION("""COMPUTED_VALUE"""),"INE154A01025")</f>
        <v>INE154A01025</v>
      </c>
      <c r="I11" s="6" t="str">
        <f>IFERROR(__xludf.DUMMYFUNCTION("""COMPUTED_VALUE"""),"Equity")</f>
        <v>Equity</v>
      </c>
      <c r="J11" s="6" t="str">
        <f>IFERROR(__xludf.DUMMYFUNCTION("""COMPUTED_VALUE"""),"Fast Moving Consumer Goods")</f>
        <v>Fast Moving Consumer Goods</v>
      </c>
      <c r="K11" s="6" t="str">
        <f>IFERROR(__xludf.DUMMYFUNCTION("""COMPUTED_VALUE"""),"Fast Moving Consumer Goods")</f>
        <v>Fast Moving Consumer Goods</v>
      </c>
      <c r="L11" s="6" t="str">
        <f>IFERROR(__xludf.DUMMYFUNCTION("""COMPUTED_VALUE"""),"Diversified FMCG")</f>
        <v>Diversified FMCG</v>
      </c>
      <c r="M11" s="6" t="str">
        <f>IFERROR(__xludf.DUMMYFUNCTION("""COMPUTED_VALUE"""),"Diversified FMCG")</f>
        <v>Diversified FMCG</v>
      </c>
      <c r="N11" s="5">
        <f>IFERROR(__xludf.DUMMYFUNCTION("""COMPUTED_VALUE"""),528559.29)</f>
        <v>528559.29</v>
      </c>
      <c r="O11" s="6">
        <f t="shared" si="4"/>
        <v>44</v>
      </c>
      <c r="P11" s="6">
        <f t="shared" ref="P11:Q11" si="24">COUNTIFS(L:L,L11)</f>
        <v>3</v>
      </c>
      <c r="Q11" s="24">
        <f t="shared" si="24"/>
        <v>3</v>
      </c>
      <c r="R11" s="6" t="str">
        <f t="shared" si="6"/>
        <v>Fast Moving Consumer Goods</v>
      </c>
      <c r="S11" s="6" t="str">
        <f t="shared" si="7"/>
        <v>Fast Moving Consumer Goods</v>
      </c>
      <c r="T11" s="6">
        <f>IFERROR(__xludf.DUMMYFUNCTION("COUNTA(UNIQUE(query($A$2:$P$800,""select L where K='""&amp; K11&amp;""'"")))"),7.0)</f>
        <v>7</v>
      </c>
      <c r="U11" s="23">
        <f t="shared" si="8"/>
        <v>0.2386363636</v>
      </c>
      <c r="V11" s="23">
        <f t="shared" ref="V11:W11" si="25">P11/O11</f>
        <v>0.06818181818</v>
      </c>
      <c r="W11" s="23">
        <f t="shared" si="25"/>
        <v>1</v>
      </c>
    </row>
    <row r="12">
      <c r="A12" s="6">
        <f>IFERROR(__xludf.DUMMYFUNCTION("""COMPUTED_VALUE"""),500510.0)</f>
        <v>500510</v>
      </c>
      <c r="B12" s="6" t="str">
        <f>IFERROR(__xludf.DUMMYFUNCTION("""COMPUTED_VALUE"""),"Larsen &amp; Toubro Limited")</f>
        <v>Larsen &amp; Toubro Limited</v>
      </c>
      <c r="C12" s="6" t="str">
        <f>IFERROR(__xludf.DUMMYFUNCTION("""COMPUTED_VALUE"""),"LT")</f>
        <v>LT</v>
      </c>
      <c r="D12" s="6" t="str">
        <f>IFERROR(__xludf.DUMMYFUNCTION("""COMPUTED_VALUE"""),"LARSEN &amp; TOUBRO LTD.")</f>
        <v>LARSEN &amp; TOUBRO LTD.</v>
      </c>
      <c r="E12" s="6" t="str">
        <f>IFERROR(__xludf.DUMMYFUNCTION("""COMPUTED_VALUE"""),"Active")</f>
        <v>Active</v>
      </c>
      <c r="F12" s="6" t="str">
        <f>IFERROR(__xludf.DUMMYFUNCTION("""COMPUTED_VALUE"""),"A")</f>
        <v>A</v>
      </c>
      <c r="G12" s="6">
        <f>IFERROR(__xludf.DUMMYFUNCTION("""COMPUTED_VALUE"""),2.0)</f>
        <v>2</v>
      </c>
      <c r="H12" s="6" t="str">
        <f>IFERROR(__xludf.DUMMYFUNCTION("""COMPUTED_VALUE"""),"INE018A01030")</f>
        <v>INE018A01030</v>
      </c>
      <c r="I12" s="6" t="str">
        <f>IFERROR(__xludf.DUMMYFUNCTION("""COMPUTED_VALUE"""),"Equity")</f>
        <v>Equity</v>
      </c>
      <c r="J12" s="6" t="str">
        <f>IFERROR(__xludf.DUMMYFUNCTION("""COMPUTED_VALUE"""),"Industrials")</f>
        <v>Industrials</v>
      </c>
      <c r="K12" s="6" t="str">
        <f>IFERROR(__xludf.DUMMYFUNCTION("""COMPUTED_VALUE"""),"Construction")</f>
        <v>Construction</v>
      </c>
      <c r="L12" s="6" t="str">
        <f>IFERROR(__xludf.DUMMYFUNCTION("""COMPUTED_VALUE"""),"Construction")</f>
        <v>Construction</v>
      </c>
      <c r="M12" s="6" t="str">
        <f>IFERROR(__xludf.DUMMYFUNCTION("""COMPUTED_VALUE"""),"Civil Construction")</f>
        <v>Civil Construction</v>
      </c>
      <c r="N12" s="5">
        <f>IFERROR(__xludf.DUMMYFUNCTION("""COMPUTED_VALUE"""),500145.3141)</f>
        <v>500145.3141</v>
      </c>
      <c r="O12" s="6">
        <f t="shared" si="4"/>
        <v>27</v>
      </c>
      <c r="P12" s="6">
        <f t="shared" ref="P12:Q12" si="26">COUNTIFS(L:L,L12)</f>
        <v>27</v>
      </c>
      <c r="Q12" s="24">
        <f t="shared" si="26"/>
        <v>27</v>
      </c>
      <c r="R12" s="6" t="str">
        <f t="shared" si="6"/>
        <v>Construction</v>
      </c>
      <c r="S12" s="6" t="str">
        <f t="shared" si="7"/>
        <v>Construction</v>
      </c>
      <c r="T12" s="6">
        <f>IFERROR(__xludf.DUMMYFUNCTION("COUNTA(UNIQUE(query($A$2:$P$800,""select L where K='""&amp; K12&amp;""'"")))"),1.0)</f>
        <v>1</v>
      </c>
      <c r="U12" s="23">
        <f t="shared" si="8"/>
        <v>0.05555555556</v>
      </c>
      <c r="V12" s="23">
        <f t="shared" ref="V12:W12" si="27">P12/O12</f>
        <v>1</v>
      </c>
      <c r="W12" s="23">
        <f t="shared" si="27"/>
        <v>1</v>
      </c>
    </row>
    <row r="13">
      <c r="A13" s="6">
        <f>IFERROR(__xludf.DUMMYFUNCTION("""COMPUTED_VALUE"""),500034.0)</f>
        <v>500034</v>
      </c>
      <c r="B13" s="6" t="str">
        <f>IFERROR(__xludf.DUMMYFUNCTION("""COMPUTED_VALUE"""),"Bajaj Finance Limited")</f>
        <v>Bajaj Finance Limited</v>
      </c>
      <c r="C13" s="6" t="str">
        <f>IFERROR(__xludf.DUMMYFUNCTION("""COMPUTED_VALUE"""),"BAJFINANCE")</f>
        <v>BAJFINANCE</v>
      </c>
      <c r="D13" s="6" t="str">
        <f>IFERROR(__xludf.DUMMYFUNCTION("""COMPUTED_VALUE"""),"Bajaj Finance Limited")</f>
        <v>Bajaj Finance Limited</v>
      </c>
      <c r="E13" s="6" t="str">
        <f>IFERROR(__xludf.DUMMYFUNCTION("""COMPUTED_VALUE"""),"Active")</f>
        <v>Active</v>
      </c>
      <c r="F13" s="6" t="str">
        <f>IFERROR(__xludf.DUMMYFUNCTION("""COMPUTED_VALUE"""),"A")</f>
        <v>A</v>
      </c>
      <c r="G13" s="6">
        <f>IFERROR(__xludf.DUMMYFUNCTION("""COMPUTED_VALUE"""),2.0)</f>
        <v>2</v>
      </c>
      <c r="H13" s="6" t="str">
        <f>IFERROR(__xludf.DUMMYFUNCTION("""COMPUTED_VALUE"""),"INE296A01024")</f>
        <v>INE296A01024</v>
      </c>
      <c r="I13" s="6" t="str">
        <f>IFERROR(__xludf.DUMMYFUNCTION("""COMPUTED_VALUE"""),"Equity")</f>
        <v>Equity</v>
      </c>
      <c r="J13" s="6" t="str">
        <f>IFERROR(__xludf.DUMMYFUNCTION("""COMPUTED_VALUE"""),"Financial Services")</f>
        <v>Financial Services</v>
      </c>
      <c r="K13" s="6" t="str">
        <f>IFERROR(__xludf.DUMMYFUNCTION("""COMPUTED_VALUE"""),"Financial Services")</f>
        <v>Financial Services</v>
      </c>
      <c r="L13" s="6" t="str">
        <f>IFERROR(__xludf.DUMMYFUNCTION("""COMPUTED_VALUE"""),"Finance")</f>
        <v>Finance</v>
      </c>
      <c r="M13" s="6" t="str">
        <f>IFERROR(__xludf.DUMMYFUNCTION("""COMPUTED_VALUE"""),"Non Banking Financial Company (NBFC)")</f>
        <v>Non Banking Financial Company (NBFC)</v>
      </c>
      <c r="N13" s="5">
        <f>IFERROR(__xludf.DUMMYFUNCTION("""COMPUTED_VALUE"""),434800.3202244)</f>
        <v>434800.3202</v>
      </c>
      <c r="O13" s="6">
        <f t="shared" si="4"/>
        <v>123</v>
      </c>
      <c r="P13" s="6">
        <f t="shared" ref="P13:Q13" si="28">COUNTIFS(L:L,L13)</f>
        <v>56</v>
      </c>
      <c r="Q13" s="24">
        <f t="shared" si="28"/>
        <v>21</v>
      </c>
      <c r="R13" s="6" t="str">
        <f t="shared" si="6"/>
        <v>Non Banking Financial Company (NBFC)</v>
      </c>
      <c r="S13" s="6" t="str">
        <f t="shared" si="7"/>
        <v>Non Banking Financial Company (NBFC)</v>
      </c>
      <c r="T13" s="6">
        <f>IFERROR(__xludf.DUMMYFUNCTION("COUNTA(UNIQUE(query($A$2:$P$800,""select L where K='""&amp; K13&amp;""'"")))"),5.0)</f>
        <v>5</v>
      </c>
      <c r="U13" s="23">
        <f t="shared" si="8"/>
        <v>0.06097560976</v>
      </c>
      <c r="V13" s="23">
        <f t="shared" ref="V13:W13" si="29">P13/O13</f>
        <v>0.4552845528</v>
      </c>
      <c r="W13" s="23">
        <f t="shared" si="29"/>
        <v>0.375</v>
      </c>
    </row>
    <row r="14">
      <c r="A14" s="6">
        <f>IFERROR(__xludf.DUMMYFUNCTION("""COMPUTED_VALUE"""),532215.0)</f>
        <v>532215</v>
      </c>
      <c r="B14" s="6" t="str">
        <f>IFERROR(__xludf.DUMMYFUNCTION("""COMPUTED_VALUE"""),"AXIS Bank Ltd.")</f>
        <v>AXIS Bank Ltd.</v>
      </c>
      <c r="C14" s="6" t="str">
        <f>IFERROR(__xludf.DUMMYFUNCTION("""COMPUTED_VALUE"""),"AXISBANK")</f>
        <v>AXISBANK</v>
      </c>
      <c r="D14" s="6" t="str">
        <f>IFERROR(__xludf.DUMMYFUNCTION("""COMPUTED_VALUE"""),"AXIS BANK LTD.")</f>
        <v>AXIS BANK LTD.</v>
      </c>
      <c r="E14" s="6" t="str">
        <f>IFERROR(__xludf.DUMMYFUNCTION("""COMPUTED_VALUE"""),"Active")</f>
        <v>Active</v>
      </c>
      <c r="F14" s="6" t="str">
        <f>IFERROR(__xludf.DUMMYFUNCTION("""COMPUTED_VALUE"""),"A")</f>
        <v>A</v>
      </c>
      <c r="G14" s="6">
        <f>IFERROR(__xludf.DUMMYFUNCTION("""COMPUTED_VALUE"""),2.0)</f>
        <v>2</v>
      </c>
      <c r="H14" s="6" t="str">
        <f>IFERROR(__xludf.DUMMYFUNCTION("""COMPUTED_VALUE"""),"INE238A01034")</f>
        <v>INE238A01034</v>
      </c>
      <c r="I14" s="6" t="str">
        <f>IFERROR(__xludf.DUMMYFUNCTION("""COMPUTED_VALUE"""),"Equity")</f>
        <v>Equity</v>
      </c>
      <c r="J14" s="6" t="str">
        <f>IFERROR(__xludf.DUMMYFUNCTION("""COMPUTED_VALUE"""),"Financial Services")</f>
        <v>Financial Services</v>
      </c>
      <c r="K14" s="6" t="str">
        <f>IFERROR(__xludf.DUMMYFUNCTION("""COMPUTED_VALUE"""),"Financial Services")</f>
        <v>Financial Services</v>
      </c>
      <c r="L14" s="6" t="str">
        <f>IFERROR(__xludf.DUMMYFUNCTION("""COMPUTED_VALUE"""),"Banks")</f>
        <v>Banks</v>
      </c>
      <c r="M14" s="6" t="str">
        <f>IFERROR(__xludf.DUMMYFUNCTION("""COMPUTED_VALUE"""),"Private Sector Bank")</f>
        <v>Private Sector Bank</v>
      </c>
      <c r="N14" s="5">
        <f>IFERROR(__xludf.DUMMYFUNCTION("""COMPUTED_VALUE"""),396974.3421)</f>
        <v>396974.3421</v>
      </c>
      <c r="O14" s="6">
        <f t="shared" si="4"/>
        <v>123</v>
      </c>
      <c r="P14" s="6">
        <f t="shared" ref="P14:Q14" si="30">COUNTIFS(L:L,L14)</f>
        <v>35</v>
      </c>
      <c r="Q14" s="24">
        <f t="shared" si="30"/>
        <v>23</v>
      </c>
      <c r="R14" s="6" t="str">
        <f t="shared" si="6"/>
        <v>Banks</v>
      </c>
      <c r="S14" s="6" t="str">
        <f t="shared" si="7"/>
        <v>Banks</v>
      </c>
      <c r="T14" s="6">
        <f>IFERROR(__xludf.DUMMYFUNCTION("COUNTA(UNIQUE(query($A$2:$P$800,""select L where K='""&amp; K14&amp;""'"")))"),5.0)</f>
        <v>5</v>
      </c>
      <c r="U14" s="23">
        <f t="shared" si="8"/>
        <v>0.06097560976</v>
      </c>
      <c r="V14" s="23">
        <f t="shared" ref="V14:W14" si="31">P14/O14</f>
        <v>0.2845528455</v>
      </c>
      <c r="W14" s="23">
        <f t="shared" si="31"/>
        <v>0.6571428571</v>
      </c>
    </row>
    <row r="15">
      <c r="A15" s="6">
        <f>IFERROR(__xludf.DUMMYFUNCTION("""COMPUTED_VALUE"""),532281.0)</f>
        <v>532281</v>
      </c>
      <c r="B15" s="6" t="str">
        <f>IFERROR(__xludf.DUMMYFUNCTION("""COMPUTED_VALUE"""),"HCL Technologies Ltd")</f>
        <v>HCL Technologies Ltd</v>
      </c>
      <c r="C15" s="6" t="str">
        <f>IFERROR(__xludf.DUMMYFUNCTION("""COMPUTED_VALUE"""),"HCLTECH")</f>
        <v>HCLTECH</v>
      </c>
      <c r="D15" s="6" t="str">
        <f>IFERROR(__xludf.DUMMYFUNCTION("""COMPUTED_VALUE"""),"HCL TECHNOLOGIES LTD.")</f>
        <v>HCL TECHNOLOGIES LTD.</v>
      </c>
      <c r="E15" s="6" t="str">
        <f>IFERROR(__xludf.DUMMYFUNCTION("""COMPUTED_VALUE"""),"Active")</f>
        <v>Active</v>
      </c>
      <c r="F15" s="6" t="str">
        <f>IFERROR(__xludf.DUMMYFUNCTION("""COMPUTED_VALUE"""),"A")</f>
        <v>A</v>
      </c>
      <c r="G15" s="6">
        <f>IFERROR(__xludf.DUMMYFUNCTION("""COMPUTED_VALUE"""),2.0)</f>
        <v>2</v>
      </c>
      <c r="H15" s="6" t="str">
        <f>IFERROR(__xludf.DUMMYFUNCTION("""COMPUTED_VALUE"""),"INE860A01027")</f>
        <v>INE860A01027</v>
      </c>
      <c r="I15" s="6" t="str">
        <f>IFERROR(__xludf.DUMMYFUNCTION("""COMPUTED_VALUE"""),"Equity")</f>
        <v>Equity</v>
      </c>
      <c r="J15" s="6" t="str">
        <f>IFERROR(__xludf.DUMMYFUNCTION("""COMPUTED_VALUE"""),"Information Technology")</f>
        <v>Information Technology</v>
      </c>
      <c r="K15" s="6" t="str">
        <f>IFERROR(__xludf.DUMMYFUNCTION("""COMPUTED_VALUE"""),"Information Technology")</f>
        <v>Information Technology</v>
      </c>
      <c r="L15" s="6" t="str">
        <f>IFERROR(__xludf.DUMMYFUNCTION("""COMPUTED_VALUE"""),"IT - Software")</f>
        <v>IT - Software</v>
      </c>
      <c r="M15" s="6" t="str">
        <f>IFERROR(__xludf.DUMMYFUNCTION("""COMPUTED_VALUE"""),"Computers - Software &amp; Consulting")</f>
        <v>Computers - Software &amp; Consulting</v>
      </c>
      <c r="N15" s="5">
        <f>IFERROR(__xludf.DUMMYFUNCTION("""COMPUTED_VALUE"""),396819.0312746)</f>
        <v>396819.0313</v>
      </c>
      <c r="O15" s="6">
        <f t="shared" si="4"/>
        <v>36</v>
      </c>
      <c r="P15" s="6">
        <f t="shared" ref="P15:Q15" si="32">COUNTIFS(L:L,L15)</f>
        <v>27</v>
      </c>
      <c r="Q15" s="24">
        <f t="shared" si="32"/>
        <v>22</v>
      </c>
      <c r="R15" s="6" t="str">
        <f t="shared" si="6"/>
        <v>Information Technology</v>
      </c>
      <c r="S15" s="6" t="str">
        <f t="shared" si="7"/>
        <v>Information Technology</v>
      </c>
      <c r="T15" s="6">
        <f>IFERROR(__xludf.DUMMYFUNCTION("COUNTA(UNIQUE(query($A$2:$P$800,""select L where K='""&amp; K15&amp;""'"")))"),3.0)</f>
        <v>3</v>
      </c>
      <c r="U15" s="23">
        <f t="shared" si="8"/>
        <v>0.125</v>
      </c>
      <c r="V15" s="23">
        <f t="shared" ref="V15:W15" si="33">P15/O15</f>
        <v>0.75</v>
      </c>
      <c r="W15" s="23">
        <f t="shared" si="33"/>
        <v>0.8148148148</v>
      </c>
    </row>
    <row r="16">
      <c r="A16" s="6">
        <f>IFERROR(__xludf.DUMMYFUNCTION("""COMPUTED_VALUE"""),532500.0)</f>
        <v>532500</v>
      </c>
      <c r="B16" s="6" t="str">
        <f>IFERROR(__xludf.DUMMYFUNCTION("""COMPUTED_VALUE"""),"Maruti Suzuki India  Ltd.")</f>
        <v>Maruti Suzuki India  Ltd.</v>
      </c>
      <c r="C16" s="6" t="str">
        <f>IFERROR(__xludf.DUMMYFUNCTION("""COMPUTED_VALUE"""),"MARUTI")</f>
        <v>MARUTI</v>
      </c>
      <c r="D16" s="6" t="str">
        <f>IFERROR(__xludf.DUMMYFUNCTION("""COMPUTED_VALUE"""),"MARUTI SUZUKI INDIA LTD.")</f>
        <v>MARUTI SUZUKI INDIA LTD.</v>
      </c>
      <c r="E16" s="6" t="str">
        <f>IFERROR(__xludf.DUMMYFUNCTION("""COMPUTED_VALUE"""),"Active")</f>
        <v>Active</v>
      </c>
      <c r="F16" s="6" t="str">
        <f>IFERROR(__xludf.DUMMYFUNCTION("""COMPUTED_VALUE"""),"A")</f>
        <v>A</v>
      </c>
      <c r="G16" s="6">
        <f>IFERROR(__xludf.DUMMYFUNCTION("""COMPUTED_VALUE"""),5.0)</f>
        <v>5</v>
      </c>
      <c r="H16" s="6" t="str">
        <f>IFERROR(__xludf.DUMMYFUNCTION("""COMPUTED_VALUE"""),"INE585B01010")</f>
        <v>INE585B01010</v>
      </c>
      <c r="I16" s="6" t="str">
        <f>IFERROR(__xludf.DUMMYFUNCTION("""COMPUTED_VALUE"""),"Equity")</f>
        <v>Equity</v>
      </c>
      <c r="J16" s="6" t="str">
        <f>IFERROR(__xludf.DUMMYFUNCTION("""COMPUTED_VALUE"""),"Consumer Discretionary")</f>
        <v>Consumer Discretionary</v>
      </c>
      <c r="K16" s="6" t="str">
        <f>IFERROR(__xludf.DUMMYFUNCTION("""COMPUTED_VALUE"""),"Automobile and Auto Components")</f>
        <v>Automobile and Auto Components</v>
      </c>
      <c r="L16" s="6" t="str">
        <f>IFERROR(__xludf.DUMMYFUNCTION("""COMPUTED_VALUE"""),"Automobiles")</f>
        <v>Automobiles</v>
      </c>
      <c r="M16" s="6" t="str">
        <f>IFERROR(__xludf.DUMMYFUNCTION("""COMPUTED_VALUE"""),"Passenger Cars &amp; Utility Vehicles")</f>
        <v>Passenger Cars &amp; Utility Vehicles</v>
      </c>
      <c r="N16" s="5">
        <f>IFERROR(__xludf.DUMMYFUNCTION("""COMPUTED_VALUE"""),377000.6518192)</f>
        <v>377000.6518</v>
      </c>
      <c r="O16" s="6">
        <f t="shared" si="4"/>
        <v>47</v>
      </c>
      <c r="P16" s="6">
        <f t="shared" ref="P16:Q16" si="34">COUNTIFS(L:L,L16)</f>
        <v>10</v>
      </c>
      <c r="Q16" s="24">
        <f t="shared" si="34"/>
        <v>6</v>
      </c>
      <c r="R16" s="6" t="str">
        <f t="shared" si="6"/>
        <v>Automobile and Auto Components</v>
      </c>
      <c r="S16" s="6" t="str">
        <f t="shared" si="7"/>
        <v>Automobile and Auto Components</v>
      </c>
      <c r="T16" s="6">
        <f>IFERROR(__xludf.DUMMYFUNCTION("COUNTA(UNIQUE(query($A$2:$P$800,""select L where K='""&amp; K16&amp;""'"")))"),2.0)</f>
        <v>2</v>
      </c>
      <c r="U16" s="23">
        <f t="shared" si="8"/>
        <v>0.06382978723</v>
      </c>
      <c r="V16" s="23">
        <f t="shared" ref="V16:W16" si="35">P16/O16</f>
        <v>0.2127659574</v>
      </c>
      <c r="W16" s="23">
        <f t="shared" si="35"/>
        <v>0.6</v>
      </c>
    </row>
    <row r="17">
      <c r="A17" s="6">
        <f>IFERROR(__xludf.DUMMYFUNCTION("""COMPUTED_VALUE"""),532555.0)</f>
        <v>532555</v>
      </c>
      <c r="B17" s="6" t="str">
        <f>IFERROR(__xludf.DUMMYFUNCTION("""COMPUTED_VALUE"""),"NTPC Limited")</f>
        <v>NTPC Limited</v>
      </c>
      <c r="C17" s="6" t="str">
        <f>IFERROR(__xludf.DUMMYFUNCTION("""COMPUTED_VALUE"""),"NTPC")</f>
        <v>NTPC</v>
      </c>
      <c r="D17" s="6" t="str">
        <f>IFERROR(__xludf.DUMMYFUNCTION("""COMPUTED_VALUE"""),"NTPC LTD.")</f>
        <v>NTPC LTD.</v>
      </c>
      <c r="E17" s="6" t="str">
        <f>IFERROR(__xludf.DUMMYFUNCTION("""COMPUTED_VALUE"""),"Active")</f>
        <v>Active</v>
      </c>
      <c r="F17" s="6" t="str">
        <f>IFERROR(__xludf.DUMMYFUNCTION("""COMPUTED_VALUE"""),"A")</f>
        <v>A</v>
      </c>
      <c r="G17" s="6">
        <f>IFERROR(__xludf.DUMMYFUNCTION("""COMPUTED_VALUE"""),10.0)</f>
        <v>10</v>
      </c>
      <c r="H17" s="6" t="str">
        <f>IFERROR(__xludf.DUMMYFUNCTION("""COMPUTED_VALUE"""),"INE733E01010")</f>
        <v>INE733E01010</v>
      </c>
      <c r="I17" s="6" t="str">
        <f>IFERROR(__xludf.DUMMYFUNCTION("""COMPUTED_VALUE"""),"Equity")</f>
        <v>Equity</v>
      </c>
      <c r="J17" s="6" t="str">
        <f>IFERROR(__xludf.DUMMYFUNCTION("""COMPUTED_VALUE"""),"Utilities")</f>
        <v>Utilities</v>
      </c>
      <c r="K17" s="6" t="str">
        <f>IFERROR(__xludf.DUMMYFUNCTION("""COMPUTED_VALUE"""),"Power")</f>
        <v>Power</v>
      </c>
      <c r="L17" s="6" t="str">
        <f>IFERROR(__xludf.DUMMYFUNCTION("""COMPUTED_VALUE"""),"Power")</f>
        <v>Power</v>
      </c>
      <c r="M17" s="6" t="str">
        <f>IFERROR(__xludf.DUMMYFUNCTION("""COMPUTED_VALUE"""),"Power Generation")</f>
        <v>Power Generation</v>
      </c>
      <c r="N17" s="5">
        <f>IFERROR(__xludf.DUMMYFUNCTION("""COMPUTED_VALUE"""),369155.4760929)</f>
        <v>369155.4761</v>
      </c>
      <c r="O17" s="6">
        <f t="shared" si="4"/>
        <v>22</v>
      </c>
      <c r="P17" s="6">
        <f t="shared" ref="P17:Q17" si="36">COUNTIFS(L:L,L17)</f>
        <v>22</v>
      </c>
      <c r="Q17" s="24">
        <f t="shared" si="36"/>
        <v>13</v>
      </c>
      <c r="R17" s="6" t="str">
        <f t="shared" si="6"/>
        <v>Power</v>
      </c>
      <c r="S17" s="6" t="str">
        <f t="shared" si="7"/>
        <v>Power</v>
      </c>
      <c r="T17" s="6">
        <f>IFERROR(__xludf.DUMMYFUNCTION("COUNTA(UNIQUE(query($A$2:$P$800,""select L where K='""&amp; K17&amp;""'"")))"),1.0)</f>
        <v>1</v>
      </c>
      <c r="U17" s="23">
        <f t="shared" si="8"/>
        <v>0.06818181818</v>
      </c>
      <c r="V17" s="23">
        <f t="shared" ref="V17:W17" si="37">P17/O17</f>
        <v>1</v>
      </c>
      <c r="W17" s="23">
        <f t="shared" si="37"/>
        <v>0.5909090909</v>
      </c>
    </row>
    <row r="18">
      <c r="A18" s="6">
        <f>IFERROR(__xludf.DUMMYFUNCTION("""COMPUTED_VALUE"""),524715.0)</f>
        <v>524715</v>
      </c>
      <c r="B18" s="6" t="str">
        <f>IFERROR(__xludf.DUMMYFUNCTION("""COMPUTED_VALUE"""),"Sun Pharmaceutical Industries Ltd.")</f>
        <v>Sun Pharmaceutical Industries Ltd.</v>
      </c>
      <c r="C18" s="6" t="str">
        <f>IFERROR(__xludf.DUMMYFUNCTION("""COMPUTED_VALUE"""),"SUNPHARMA")</f>
        <v>SUNPHARMA</v>
      </c>
      <c r="D18" s="6" t="str">
        <f>IFERROR(__xludf.DUMMYFUNCTION("""COMPUTED_VALUE"""),"SUN PHARMACEUTICAL INDUSTRIES LTD.")</f>
        <v>SUN PHARMACEUTICAL INDUSTRIES LTD.</v>
      </c>
      <c r="E18" s="6" t="str">
        <f>IFERROR(__xludf.DUMMYFUNCTION("""COMPUTED_VALUE"""),"Active")</f>
        <v>Active</v>
      </c>
      <c r="F18" s="6" t="str">
        <f>IFERROR(__xludf.DUMMYFUNCTION("""COMPUTED_VALUE"""),"A")</f>
        <v>A</v>
      </c>
      <c r="G18" s="6">
        <f>IFERROR(__xludf.DUMMYFUNCTION("""COMPUTED_VALUE"""),1.0)</f>
        <v>1</v>
      </c>
      <c r="H18" s="6" t="str">
        <f>IFERROR(__xludf.DUMMYFUNCTION("""COMPUTED_VALUE"""),"INE044A01036")</f>
        <v>INE044A01036</v>
      </c>
      <c r="I18" s="6" t="str">
        <f>IFERROR(__xludf.DUMMYFUNCTION("""COMPUTED_VALUE"""),"Equity")</f>
        <v>Equity</v>
      </c>
      <c r="J18" s="6" t="str">
        <f>IFERROR(__xludf.DUMMYFUNCTION("""COMPUTED_VALUE"""),"Healthcare")</f>
        <v>Healthcare</v>
      </c>
      <c r="K18" s="6" t="str">
        <f>IFERROR(__xludf.DUMMYFUNCTION("""COMPUTED_VALUE"""),"Healthcare")</f>
        <v>Healthcare</v>
      </c>
      <c r="L18" s="6" t="str">
        <f>IFERROR(__xludf.DUMMYFUNCTION("""COMPUTED_VALUE"""),"Pharmaceuticals &amp; Biotechnology")</f>
        <v>Pharmaceuticals &amp; Biotechnology</v>
      </c>
      <c r="M18" s="6" t="str">
        <f>IFERROR(__xludf.DUMMYFUNCTION("""COMPUTED_VALUE"""),"Pharmaceuticals")</f>
        <v>Pharmaceuticals</v>
      </c>
      <c r="N18" s="5">
        <f>IFERROR(__xludf.DUMMYFUNCTION("""COMPUTED_VALUE"""),366655.2779206)</f>
        <v>366655.2779</v>
      </c>
      <c r="O18" s="6">
        <f t="shared" si="4"/>
        <v>62</v>
      </c>
      <c r="P18" s="6">
        <f t="shared" ref="P18:Q18" si="38">COUNTIFS(L:L,L18)</f>
        <v>45</v>
      </c>
      <c r="Q18" s="24">
        <f t="shared" si="38"/>
        <v>45</v>
      </c>
      <c r="R18" s="6" t="str">
        <f t="shared" si="6"/>
        <v>Healthcare</v>
      </c>
      <c r="S18" s="6" t="str">
        <f t="shared" si="7"/>
        <v>Healthcare</v>
      </c>
      <c r="T18" s="6">
        <f>IFERROR(__xludf.DUMMYFUNCTION("COUNTA(UNIQUE(query($A$2:$P$800,""select L where K='""&amp; K18&amp;""'"")))"),3.0)</f>
        <v>3</v>
      </c>
      <c r="U18" s="23">
        <f t="shared" si="8"/>
        <v>0.07258064516</v>
      </c>
      <c r="V18" s="23">
        <f t="shared" ref="V18:W18" si="39">P18/O18</f>
        <v>0.7258064516</v>
      </c>
      <c r="W18" s="23">
        <f t="shared" si="39"/>
        <v>1</v>
      </c>
    </row>
    <row r="19">
      <c r="A19" s="6">
        <f>IFERROR(__xludf.DUMMYFUNCTION("""COMPUTED_VALUE"""),512599.0)</f>
        <v>512599</v>
      </c>
      <c r="B19" s="6" t="str">
        <f>IFERROR(__xludf.DUMMYFUNCTION("""COMPUTED_VALUE"""),"Adani Enterprises Ltd.")</f>
        <v>Adani Enterprises Ltd.</v>
      </c>
      <c r="C19" s="6" t="str">
        <f>IFERROR(__xludf.DUMMYFUNCTION("""COMPUTED_VALUE"""),"ADANIENT")</f>
        <v>ADANIENT</v>
      </c>
      <c r="D19" s="6" t="str">
        <f>IFERROR(__xludf.DUMMYFUNCTION("""COMPUTED_VALUE"""),"ADANI ENTERPRISES LTD.")</f>
        <v>ADANI ENTERPRISES LTD.</v>
      </c>
      <c r="E19" s="6" t="str">
        <f>IFERROR(__xludf.DUMMYFUNCTION("""COMPUTED_VALUE"""),"Active")</f>
        <v>Active</v>
      </c>
      <c r="F19" s="6" t="str">
        <f>IFERROR(__xludf.DUMMYFUNCTION("""COMPUTED_VALUE"""),"A")</f>
        <v>A</v>
      </c>
      <c r="G19" s="6">
        <f>IFERROR(__xludf.DUMMYFUNCTION("""COMPUTED_VALUE"""),1.0)</f>
        <v>1</v>
      </c>
      <c r="H19" s="6" t="str">
        <f>IFERROR(__xludf.DUMMYFUNCTION("""COMPUTED_VALUE"""),"INE423A01024")</f>
        <v>INE423A01024</v>
      </c>
      <c r="I19" s="6" t="str">
        <f>IFERROR(__xludf.DUMMYFUNCTION("""COMPUTED_VALUE"""),"Equity")</f>
        <v>Equity</v>
      </c>
      <c r="J19" s="6" t="str">
        <f>IFERROR(__xludf.DUMMYFUNCTION("""COMPUTED_VALUE"""),"Commodities")</f>
        <v>Commodities</v>
      </c>
      <c r="K19" s="6" t="str">
        <f>IFERROR(__xludf.DUMMYFUNCTION("""COMPUTED_VALUE"""),"Metals &amp; Mining")</f>
        <v>Metals &amp; Mining</v>
      </c>
      <c r="L19" s="6" t="str">
        <f>IFERROR(__xludf.DUMMYFUNCTION("""COMPUTED_VALUE"""),"Metals &amp; Minerals Trading")</f>
        <v>Metals &amp; Minerals Trading</v>
      </c>
      <c r="M19" s="6" t="str">
        <f>IFERROR(__xludf.DUMMYFUNCTION("""COMPUTED_VALUE"""),"Trading - Minerals")</f>
        <v>Trading - Minerals</v>
      </c>
      <c r="N19" s="5">
        <f>IFERROR(__xludf.DUMMYFUNCTION("""COMPUTED_VALUE"""),359010.1251547)</f>
        <v>359010.1252</v>
      </c>
      <c r="O19" s="6">
        <f t="shared" si="4"/>
        <v>20</v>
      </c>
      <c r="P19" s="6">
        <f t="shared" ref="P19:Q19" si="40">COUNTIFS(L:L,L19)</f>
        <v>1</v>
      </c>
      <c r="Q19" s="24">
        <f t="shared" si="40"/>
        <v>1</v>
      </c>
      <c r="R19" s="6" t="str">
        <f t="shared" si="6"/>
        <v>Metals &amp; Mining</v>
      </c>
      <c r="S19" s="6" t="str">
        <f t="shared" si="7"/>
        <v>Metals &amp; Mining</v>
      </c>
      <c r="T19" s="6">
        <f>IFERROR(__xludf.DUMMYFUNCTION("COUNTA(UNIQUE(query($A$2:$P$800,""select L where K='""&amp; K19&amp;""'"")))"),5.0)</f>
        <v>5</v>
      </c>
      <c r="U19" s="23">
        <f t="shared" si="8"/>
        <v>0.375</v>
      </c>
      <c r="V19" s="23">
        <f t="shared" ref="V19:W19" si="41">P19/O19</f>
        <v>0.05</v>
      </c>
      <c r="W19" s="23">
        <f t="shared" si="41"/>
        <v>1</v>
      </c>
    </row>
    <row r="20">
      <c r="A20" s="6">
        <f>IFERROR(__xludf.DUMMYFUNCTION("""COMPUTED_VALUE"""),500247.0)</f>
        <v>500247</v>
      </c>
      <c r="B20" s="6" t="str">
        <f>IFERROR(__xludf.DUMMYFUNCTION("""COMPUTED_VALUE"""),"Kotak Mahindra Bank Ltd.")</f>
        <v>Kotak Mahindra Bank Ltd.</v>
      </c>
      <c r="C20" s="6" t="str">
        <f>IFERROR(__xludf.DUMMYFUNCTION("""COMPUTED_VALUE"""),"KOTAKBANK")</f>
        <v>KOTAKBANK</v>
      </c>
      <c r="D20" s="6" t="str">
        <f>IFERROR(__xludf.DUMMYFUNCTION("""COMPUTED_VALUE"""),"KOTAK MAHINDRA BANK LTD.")</f>
        <v>KOTAK MAHINDRA BANK LTD.</v>
      </c>
      <c r="E20" s="6" t="str">
        <f>IFERROR(__xludf.DUMMYFUNCTION("""COMPUTED_VALUE"""),"Active")</f>
        <v>Active</v>
      </c>
      <c r="F20" s="6" t="str">
        <f>IFERROR(__xludf.DUMMYFUNCTION("""COMPUTED_VALUE"""),"A")</f>
        <v>A</v>
      </c>
      <c r="G20" s="6">
        <f>IFERROR(__xludf.DUMMYFUNCTION("""COMPUTED_VALUE"""),5.0)</f>
        <v>5</v>
      </c>
      <c r="H20" s="6" t="str">
        <f>IFERROR(__xludf.DUMMYFUNCTION("""COMPUTED_VALUE"""),"INE237A01028")</f>
        <v>INE237A01028</v>
      </c>
      <c r="I20" s="6" t="str">
        <f>IFERROR(__xludf.DUMMYFUNCTION("""COMPUTED_VALUE"""),"Equity")</f>
        <v>Equity</v>
      </c>
      <c r="J20" s="6" t="str">
        <f>IFERROR(__xludf.DUMMYFUNCTION("""COMPUTED_VALUE"""),"Financial Services")</f>
        <v>Financial Services</v>
      </c>
      <c r="K20" s="6" t="str">
        <f>IFERROR(__xludf.DUMMYFUNCTION("""COMPUTED_VALUE"""),"Financial Services")</f>
        <v>Financial Services</v>
      </c>
      <c r="L20" s="6" t="str">
        <f>IFERROR(__xludf.DUMMYFUNCTION("""COMPUTED_VALUE"""),"Banks")</f>
        <v>Banks</v>
      </c>
      <c r="M20" s="6" t="str">
        <f>IFERROR(__xludf.DUMMYFUNCTION("""COMPUTED_VALUE"""),"Private Sector Bank")</f>
        <v>Private Sector Bank</v>
      </c>
      <c r="N20" s="5">
        <f>IFERROR(__xludf.DUMMYFUNCTION("""COMPUTED_VALUE"""),355781.56785)</f>
        <v>355781.5679</v>
      </c>
      <c r="O20" s="6">
        <f t="shared" si="4"/>
        <v>123</v>
      </c>
      <c r="P20" s="6">
        <f t="shared" ref="P20:Q20" si="42">COUNTIFS(L:L,L20)</f>
        <v>35</v>
      </c>
      <c r="Q20" s="24">
        <f t="shared" si="42"/>
        <v>23</v>
      </c>
      <c r="R20" s="6" t="str">
        <f t="shared" si="6"/>
        <v>Banks</v>
      </c>
      <c r="S20" s="6" t="str">
        <f t="shared" si="7"/>
        <v>Banks</v>
      </c>
      <c r="T20" s="6">
        <f>IFERROR(__xludf.DUMMYFUNCTION("COUNTA(UNIQUE(query($A$2:$P$800,""select L where K='""&amp; K20&amp;""'"")))"),5.0)</f>
        <v>5</v>
      </c>
      <c r="U20" s="23">
        <f t="shared" si="8"/>
        <v>0.06097560976</v>
      </c>
      <c r="V20" s="23">
        <f t="shared" ref="V20:W20" si="43">P20/O20</f>
        <v>0.2845528455</v>
      </c>
      <c r="W20" s="23">
        <f t="shared" si="43"/>
        <v>0.6571428571</v>
      </c>
    </row>
    <row r="21">
      <c r="A21" s="6">
        <f>IFERROR(__xludf.DUMMYFUNCTION("""COMPUTED_VALUE"""),500570.0)</f>
        <v>500570</v>
      </c>
      <c r="B21" s="6" t="str">
        <f>IFERROR(__xludf.DUMMYFUNCTION("""COMPUTED_VALUE"""),"Tata Motors Ltd.")</f>
        <v>Tata Motors Ltd.</v>
      </c>
      <c r="C21" s="6" t="str">
        <f>IFERROR(__xludf.DUMMYFUNCTION("""COMPUTED_VALUE"""),"TATAMOTORS")</f>
        <v>TATAMOTORS</v>
      </c>
      <c r="D21" s="6" t="str">
        <f>IFERROR(__xludf.DUMMYFUNCTION("""COMPUTED_VALUE"""),"TATA MOTORS LTD.")</f>
        <v>TATA MOTORS LTD.</v>
      </c>
      <c r="E21" s="6" t="str">
        <f>IFERROR(__xludf.DUMMYFUNCTION("""COMPUTED_VALUE"""),"Active")</f>
        <v>Active</v>
      </c>
      <c r="F21" s="6" t="str">
        <f>IFERROR(__xludf.DUMMYFUNCTION("""COMPUTED_VALUE"""),"A")</f>
        <v>A</v>
      </c>
      <c r="G21" s="6">
        <f>IFERROR(__xludf.DUMMYFUNCTION("""COMPUTED_VALUE"""),2.0)</f>
        <v>2</v>
      </c>
      <c r="H21" s="6" t="str">
        <f>IFERROR(__xludf.DUMMYFUNCTION("""COMPUTED_VALUE"""),"INE155A01022")</f>
        <v>INE155A01022</v>
      </c>
      <c r="I21" s="6" t="str">
        <f>IFERROR(__xludf.DUMMYFUNCTION("""COMPUTED_VALUE"""),"Equity")</f>
        <v>Equity</v>
      </c>
      <c r="J21" s="6" t="str">
        <f>IFERROR(__xludf.DUMMYFUNCTION("""COMPUTED_VALUE"""),"Consumer Discretionary")</f>
        <v>Consumer Discretionary</v>
      </c>
      <c r="K21" s="6" t="str">
        <f>IFERROR(__xludf.DUMMYFUNCTION("""COMPUTED_VALUE"""),"Automobile and Auto Components")</f>
        <v>Automobile and Auto Components</v>
      </c>
      <c r="L21" s="6" t="str">
        <f>IFERROR(__xludf.DUMMYFUNCTION("""COMPUTED_VALUE"""),"Automobiles")</f>
        <v>Automobiles</v>
      </c>
      <c r="M21" s="6" t="str">
        <f>IFERROR(__xludf.DUMMYFUNCTION("""COMPUTED_VALUE"""),"Passenger Cars &amp; Utility Vehicles")</f>
        <v>Passenger Cars &amp; Utility Vehicles</v>
      </c>
      <c r="N21" s="5">
        <f>IFERROR(__xludf.DUMMYFUNCTION("""COMPUTED_VALUE"""),353838.74982)</f>
        <v>353838.7498</v>
      </c>
      <c r="O21" s="6">
        <f t="shared" si="4"/>
        <v>47</v>
      </c>
      <c r="P21" s="6">
        <f t="shared" ref="P21:Q21" si="44">COUNTIFS(L:L,L21)</f>
        <v>10</v>
      </c>
      <c r="Q21" s="24">
        <f t="shared" si="44"/>
        <v>6</v>
      </c>
      <c r="R21" s="6" t="str">
        <f t="shared" si="6"/>
        <v>Automobile and Auto Components</v>
      </c>
      <c r="S21" s="6" t="str">
        <f t="shared" si="7"/>
        <v>Automobile and Auto Components</v>
      </c>
      <c r="T21" s="6">
        <f>IFERROR(__xludf.DUMMYFUNCTION("COUNTA(UNIQUE(query($A$2:$P$800,""select L where K='""&amp; K21&amp;""'"")))"),2.0)</f>
        <v>2</v>
      </c>
      <c r="U21" s="23">
        <f t="shared" si="8"/>
        <v>0.06382978723</v>
      </c>
      <c r="V21" s="23">
        <f t="shared" ref="V21:W21" si="45">P21/O21</f>
        <v>0.2127659574</v>
      </c>
      <c r="W21" s="23">
        <f t="shared" si="45"/>
        <v>0.6</v>
      </c>
    </row>
    <row r="22">
      <c r="A22" s="6">
        <f>IFERROR(__xludf.DUMMYFUNCTION("""COMPUTED_VALUE"""),570001.0)</f>
        <v>570001</v>
      </c>
      <c r="B22" s="6" t="str">
        <f>IFERROR(__xludf.DUMMYFUNCTION("""COMPUTED_VALUE"""),"Tata Motors Ltd.")</f>
        <v>Tata Motors Ltd.</v>
      </c>
      <c r="C22" s="6" t="str">
        <f>IFERROR(__xludf.DUMMYFUNCTION("""COMPUTED_VALUE"""),"TATAMTRDVR")</f>
        <v>TATAMTRDVR</v>
      </c>
      <c r="D22" s="6" t="str">
        <f>IFERROR(__xludf.DUMMYFUNCTION("""COMPUTED_VALUE"""),"Tata Motors  Ltd - DVR")</f>
        <v>Tata Motors  Ltd - DVR</v>
      </c>
      <c r="E22" s="6" t="str">
        <f>IFERROR(__xludf.DUMMYFUNCTION("""COMPUTED_VALUE"""),"Active")</f>
        <v>Active</v>
      </c>
      <c r="F22" s="6" t="str">
        <f>IFERROR(__xludf.DUMMYFUNCTION("""COMPUTED_VALUE"""),"A")</f>
        <v>A</v>
      </c>
      <c r="G22" s="6">
        <f>IFERROR(__xludf.DUMMYFUNCTION("""COMPUTED_VALUE"""),2.0)</f>
        <v>2</v>
      </c>
      <c r="H22" s="6" t="str">
        <f>IFERROR(__xludf.DUMMYFUNCTION("""COMPUTED_VALUE"""),"IN9155A01020")</f>
        <v>IN9155A01020</v>
      </c>
      <c r="I22" s="6" t="str">
        <f>IFERROR(__xludf.DUMMYFUNCTION("""COMPUTED_VALUE"""),"Equity")</f>
        <v>Equity</v>
      </c>
      <c r="J22" s="6" t="str">
        <f>IFERROR(__xludf.DUMMYFUNCTION("""COMPUTED_VALUE"""),"Consumer Discretionary")</f>
        <v>Consumer Discretionary</v>
      </c>
      <c r="K22" s="6" t="str">
        <f>IFERROR(__xludf.DUMMYFUNCTION("""COMPUTED_VALUE"""),"Automobile and Auto Components")</f>
        <v>Automobile and Auto Components</v>
      </c>
      <c r="L22" s="6" t="str">
        <f>IFERROR(__xludf.DUMMYFUNCTION("""COMPUTED_VALUE"""),"Automobiles")</f>
        <v>Automobiles</v>
      </c>
      <c r="M22" s="6" t="str">
        <f>IFERROR(__xludf.DUMMYFUNCTION("""COMPUTED_VALUE"""),"Passenger Cars &amp; Utility Vehicles")</f>
        <v>Passenger Cars &amp; Utility Vehicles</v>
      </c>
      <c r="N22" s="5">
        <f>IFERROR(__xludf.DUMMYFUNCTION("""COMPUTED_VALUE"""),353404.232)</f>
        <v>353404.232</v>
      </c>
      <c r="O22" s="6">
        <f t="shared" si="4"/>
        <v>47</v>
      </c>
      <c r="P22" s="6">
        <f t="shared" ref="P22:Q22" si="46">COUNTIFS(L:L,L22)</f>
        <v>10</v>
      </c>
      <c r="Q22" s="24">
        <f t="shared" si="46"/>
        <v>6</v>
      </c>
      <c r="R22" s="6" t="str">
        <f t="shared" si="6"/>
        <v>Automobile and Auto Components</v>
      </c>
      <c r="S22" s="6" t="str">
        <f t="shared" si="7"/>
        <v>Automobile and Auto Components</v>
      </c>
      <c r="T22" s="6">
        <f>IFERROR(__xludf.DUMMYFUNCTION("COUNTA(UNIQUE(query($A$2:$P$800,""select L where K='""&amp; K22&amp;""'"")))"),2.0)</f>
        <v>2</v>
      </c>
      <c r="U22" s="23">
        <f t="shared" si="8"/>
        <v>0.06382978723</v>
      </c>
      <c r="V22" s="23">
        <f t="shared" ref="V22:W22" si="47">P22/O22</f>
        <v>0.2127659574</v>
      </c>
      <c r="W22" s="23">
        <f t="shared" si="47"/>
        <v>0.6</v>
      </c>
    </row>
    <row r="23">
      <c r="A23" s="6">
        <f>IFERROR(__xludf.DUMMYFUNCTION("""COMPUTED_VALUE"""),541154.0)</f>
        <v>541154</v>
      </c>
      <c r="B23" s="6" t="str">
        <f>IFERROR(__xludf.DUMMYFUNCTION("""COMPUTED_VALUE"""),"Hindustan Aeronautics Limited")</f>
        <v>Hindustan Aeronautics Limited</v>
      </c>
      <c r="C23" s="6" t="str">
        <f>IFERROR(__xludf.DUMMYFUNCTION("""COMPUTED_VALUE"""),"HAL")</f>
        <v>HAL</v>
      </c>
      <c r="D23" s="6" t="str">
        <f>IFERROR(__xludf.DUMMYFUNCTION("""COMPUTED_VALUE"""),"Hindustan Aeronautics Ltd")</f>
        <v>Hindustan Aeronautics Ltd</v>
      </c>
      <c r="E23" s="6" t="str">
        <f>IFERROR(__xludf.DUMMYFUNCTION("""COMPUTED_VALUE"""),"Active")</f>
        <v>Active</v>
      </c>
      <c r="F23" s="6" t="str">
        <f>IFERROR(__xludf.DUMMYFUNCTION("""COMPUTED_VALUE"""),"A")</f>
        <v>A</v>
      </c>
      <c r="G23" s="6">
        <f>IFERROR(__xludf.DUMMYFUNCTION("""COMPUTED_VALUE"""),5.0)</f>
        <v>5</v>
      </c>
      <c r="H23" s="6" t="str">
        <f>IFERROR(__xludf.DUMMYFUNCTION("""COMPUTED_VALUE"""),"INE066F01020")</f>
        <v>INE066F01020</v>
      </c>
      <c r="I23" s="6" t="str">
        <f>IFERROR(__xludf.DUMMYFUNCTION("""COMPUTED_VALUE"""),"Equity")</f>
        <v>Equity</v>
      </c>
      <c r="J23" s="6" t="str">
        <f>IFERROR(__xludf.DUMMYFUNCTION("""COMPUTED_VALUE"""),"Industrials")</f>
        <v>Industrials</v>
      </c>
      <c r="K23" s="6" t="str">
        <f>IFERROR(__xludf.DUMMYFUNCTION("""COMPUTED_VALUE"""),"Capital Goods")</f>
        <v>Capital Goods</v>
      </c>
      <c r="L23" s="6" t="str">
        <f>IFERROR(__xludf.DUMMYFUNCTION("""COMPUTED_VALUE"""),"Aerospace &amp; Defense")</f>
        <v>Aerospace &amp; Defense</v>
      </c>
      <c r="M23" s="6" t="str">
        <f>IFERROR(__xludf.DUMMYFUNCTION("""COMPUTED_VALUE"""),"Aerospace &amp; Defense")</f>
        <v>Aerospace &amp; Defense</v>
      </c>
      <c r="N23" s="5">
        <f>IFERROR(__xludf.DUMMYFUNCTION("""COMPUTED_VALUE"""),350826.3051046)</f>
        <v>350826.3051</v>
      </c>
      <c r="O23" s="6">
        <f t="shared" si="4"/>
        <v>110</v>
      </c>
      <c r="P23" s="6">
        <f t="shared" ref="P23:Q23" si="48">COUNTIFS(L:L,L23)</f>
        <v>11</v>
      </c>
      <c r="Q23" s="24">
        <f t="shared" si="48"/>
        <v>11</v>
      </c>
      <c r="R23" s="6" t="str">
        <f t="shared" si="6"/>
        <v>Capital Goods</v>
      </c>
      <c r="S23" s="6" t="str">
        <f t="shared" si="7"/>
        <v>Capital Goods</v>
      </c>
      <c r="T23" s="6">
        <f>IFERROR(__xludf.DUMMYFUNCTION("COUNTA(UNIQUE(query($A$2:$P$800,""select L where K='""&amp; K23&amp;""'"")))"),5.0)</f>
        <v>5</v>
      </c>
      <c r="U23" s="23">
        <f t="shared" si="8"/>
        <v>0.06818181818</v>
      </c>
      <c r="V23" s="23">
        <f t="shared" ref="V23:W23" si="49">P23/O23</f>
        <v>0.1</v>
      </c>
      <c r="W23" s="23">
        <f t="shared" si="49"/>
        <v>1</v>
      </c>
    </row>
    <row r="24">
      <c r="A24" s="6">
        <f>IFERROR(__xludf.DUMMYFUNCTION("""COMPUTED_VALUE"""),500312.0)</f>
        <v>500312</v>
      </c>
      <c r="B24" s="6" t="str">
        <f>IFERROR(__xludf.DUMMYFUNCTION("""COMPUTED_VALUE"""),"Oil And Natural Gas Corporation Ltd")</f>
        <v>Oil And Natural Gas Corporation Ltd</v>
      </c>
      <c r="C24" s="6" t="str">
        <f>IFERROR(__xludf.DUMMYFUNCTION("""COMPUTED_VALUE"""),"ONGC")</f>
        <v>ONGC</v>
      </c>
      <c r="D24" s="6" t="str">
        <f>IFERROR(__xludf.DUMMYFUNCTION("""COMPUTED_VALUE"""),"Oil and Natural Gas Corporation Ltd")</f>
        <v>Oil and Natural Gas Corporation Ltd</v>
      </c>
      <c r="E24" s="6" t="str">
        <f>IFERROR(__xludf.DUMMYFUNCTION("""COMPUTED_VALUE"""),"Active")</f>
        <v>Active</v>
      </c>
      <c r="F24" s="6" t="str">
        <f>IFERROR(__xludf.DUMMYFUNCTION("""COMPUTED_VALUE"""),"A")</f>
        <v>A</v>
      </c>
      <c r="G24" s="6">
        <f>IFERROR(__xludf.DUMMYFUNCTION("""COMPUTED_VALUE"""),5.0)</f>
        <v>5</v>
      </c>
      <c r="H24" s="6" t="str">
        <f>IFERROR(__xludf.DUMMYFUNCTION("""COMPUTED_VALUE"""),"INE213A01029")</f>
        <v>INE213A01029</v>
      </c>
      <c r="I24" s="6" t="str">
        <f>IFERROR(__xludf.DUMMYFUNCTION("""COMPUTED_VALUE"""),"Equity")</f>
        <v>Equity</v>
      </c>
      <c r="J24" s="6" t="str">
        <f>IFERROR(__xludf.DUMMYFUNCTION("""COMPUTED_VALUE"""),"Energy")</f>
        <v>Energy</v>
      </c>
      <c r="K24" s="6" t="str">
        <f>IFERROR(__xludf.DUMMYFUNCTION("""COMPUTED_VALUE"""),"Oil, Gas &amp; Consumable, Fuels")</f>
        <v>Oil, Gas &amp; Consumable, Fuels</v>
      </c>
      <c r="L24" s="6" t="str">
        <f>IFERROR(__xludf.DUMMYFUNCTION("""COMPUTED_VALUE"""),"Oil")</f>
        <v>Oil</v>
      </c>
      <c r="M24" s="6" t="str">
        <f>IFERROR(__xludf.DUMMYFUNCTION("""COMPUTED_VALUE"""),"Oil Exploration &amp; Production")</f>
        <v>Oil Exploration &amp; Production</v>
      </c>
      <c r="N24" s="5">
        <f>IFERROR(__xludf.DUMMYFUNCTION("""COMPUTED_VALUE"""),348552.9907728)</f>
        <v>348552.9908</v>
      </c>
      <c r="O24" s="6">
        <f t="shared" si="4"/>
        <v>20</v>
      </c>
      <c r="P24" s="6">
        <f t="shared" ref="P24:Q24" si="50">COUNTIFS(L:L,L24)</f>
        <v>2</v>
      </c>
      <c r="Q24" s="24">
        <f t="shared" si="50"/>
        <v>2</v>
      </c>
      <c r="R24" s="6" t="str">
        <f t="shared" si="6"/>
        <v>Oil, Gas &amp; Consumable, Fuels</v>
      </c>
      <c r="S24" s="6" t="str">
        <f t="shared" si="7"/>
        <v>Oil, Gas &amp; Consumable, Fuels</v>
      </c>
      <c r="T24" s="6">
        <f>IFERROR(__xludf.DUMMYFUNCTION("COUNTA(UNIQUE(query($A$2:$P$800,""select L where K='""&amp; K24&amp;""'"")))"),4.0)</f>
        <v>4</v>
      </c>
      <c r="U24" s="23">
        <f t="shared" si="8"/>
        <v>0.3</v>
      </c>
      <c r="V24" s="23">
        <f t="shared" ref="V24:W24" si="51">P24/O24</f>
        <v>0.1</v>
      </c>
      <c r="W24" s="23">
        <f t="shared" si="51"/>
        <v>1</v>
      </c>
    </row>
    <row r="25">
      <c r="A25" s="6">
        <f>IFERROR(__xludf.DUMMYFUNCTION("""COMPUTED_VALUE"""),500520.0)</f>
        <v>500520</v>
      </c>
      <c r="B25" s="6" t="str">
        <f>IFERROR(__xludf.DUMMYFUNCTION("""COMPUTED_VALUE"""),"Mahindra &amp; Mahindra Ltd.")</f>
        <v>Mahindra &amp; Mahindra Ltd.</v>
      </c>
      <c r="C25" s="6" t="str">
        <f>IFERROR(__xludf.DUMMYFUNCTION("""COMPUTED_VALUE"""),"M&amp;M")</f>
        <v>M&amp;M</v>
      </c>
      <c r="D25" s="6" t="str">
        <f>IFERROR(__xludf.DUMMYFUNCTION("""COMPUTED_VALUE"""),"MAHINDRA &amp; MAHINDRA LTD.")</f>
        <v>MAHINDRA &amp; MAHINDRA LTD.</v>
      </c>
      <c r="E25" s="6" t="str">
        <f>IFERROR(__xludf.DUMMYFUNCTION("""COMPUTED_VALUE"""),"Active")</f>
        <v>Active</v>
      </c>
      <c r="F25" s="6" t="str">
        <f>IFERROR(__xludf.DUMMYFUNCTION("""COMPUTED_VALUE"""),"A")</f>
        <v>A</v>
      </c>
      <c r="G25" s="6">
        <f>IFERROR(__xludf.DUMMYFUNCTION("""COMPUTED_VALUE"""),5.0)</f>
        <v>5</v>
      </c>
      <c r="H25" s="6" t="str">
        <f>IFERROR(__xludf.DUMMYFUNCTION("""COMPUTED_VALUE"""),"INE101A01026")</f>
        <v>INE101A01026</v>
      </c>
      <c r="I25" s="6" t="str">
        <f>IFERROR(__xludf.DUMMYFUNCTION("""COMPUTED_VALUE"""),"Equity")</f>
        <v>Equity</v>
      </c>
      <c r="J25" s="6" t="str">
        <f>IFERROR(__xludf.DUMMYFUNCTION("""COMPUTED_VALUE"""),"Consumer Discretionary")</f>
        <v>Consumer Discretionary</v>
      </c>
      <c r="K25" s="6" t="str">
        <f>IFERROR(__xludf.DUMMYFUNCTION("""COMPUTED_VALUE"""),"Automobile and Auto Components")</f>
        <v>Automobile and Auto Components</v>
      </c>
      <c r="L25" s="6" t="str">
        <f>IFERROR(__xludf.DUMMYFUNCTION("""COMPUTED_VALUE"""),"Automobiles")</f>
        <v>Automobiles</v>
      </c>
      <c r="M25" s="6" t="str">
        <f>IFERROR(__xludf.DUMMYFUNCTION("""COMPUTED_VALUE"""),"Passenger Cars &amp; Utility Vehicles")</f>
        <v>Passenger Cars &amp; Utility Vehicles</v>
      </c>
      <c r="N25" s="5">
        <f>IFERROR(__xludf.DUMMYFUNCTION("""COMPUTED_VALUE"""),344478.9275)</f>
        <v>344478.9275</v>
      </c>
      <c r="O25" s="6">
        <f t="shared" si="4"/>
        <v>47</v>
      </c>
      <c r="P25" s="6">
        <f t="shared" ref="P25:Q25" si="52">COUNTIFS(L:L,L25)</f>
        <v>10</v>
      </c>
      <c r="Q25" s="24">
        <f t="shared" si="52"/>
        <v>6</v>
      </c>
      <c r="R25" s="6" t="str">
        <f t="shared" si="6"/>
        <v>Automobile and Auto Components</v>
      </c>
      <c r="S25" s="6" t="str">
        <f t="shared" si="7"/>
        <v>Automobile and Auto Components</v>
      </c>
      <c r="T25" s="6">
        <f>IFERROR(__xludf.DUMMYFUNCTION("COUNTA(UNIQUE(query($A$2:$P$800,""select L where K='""&amp; K25&amp;""'"")))"),2.0)</f>
        <v>2</v>
      </c>
      <c r="U25" s="23">
        <f t="shared" si="8"/>
        <v>0.06382978723</v>
      </c>
      <c r="V25" s="23">
        <f t="shared" ref="V25:W25" si="53">P25/O25</f>
        <v>0.2127659574</v>
      </c>
      <c r="W25" s="23">
        <f t="shared" si="53"/>
        <v>0.6</v>
      </c>
    </row>
    <row r="26">
      <c r="A26" s="6">
        <f>IFERROR(__xludf.DUMMYFUNCTION("""COMPUTED_VALUE"""),532538.0)</f>
        <v>532538</v>
      </c>
      <c r="B26" s="6" t="str">
        <f>IFERROR(__xludf.DUMMYFUNCTION("""COMPUTED_VALUE"""),"UltraTech Cement Ltd")</f>
        <v>UltraTech Cement Ltd</v>
      </c>
      <c r="C26" s="6" t="str">
        <f>IFERROR(__xludf.DUMMYFUNCTION("""COMPUTED_VALUE"""),"ULTRACEMCO")</f>
        <v>ULTRACEMCO</v>
      </c>
      <c r="D26" s="6" t="str">
        <f>IFERROR(__xludf.DUMMYFUNCTION("""COMPUTED_VALUE"""),"ULTRATECH CEMENT LTD.")</f>
        <v>ULTRATECH CEMENT LTD.</v>
      </c>
      <c r="E26" s="6" t="str">
        <f>IFERROR(__xludf.DUMMYFUNCTION("""COMPUTED_VALUE"""),"Active")</f>
        <v>Active</v>
      </c>
      <c r="F26" s="6" t="str">
        <f>IFERROR(__xludf.DUMMYFUNCTION("""COMPUTED_VALUE"""),"A")</f>
        <v>A</v>
      </c>
      <c r="G26" s="6">
        <f>IFERROR(__xludf.DUMMYFUNCTION("""COMPUTED_VALUE"""),10.0)</f>
        <v>10</v>
      </c>
      <c r="H26" s="6" t="str">
        <f>IFERROR(__xludf.DUMMYFUNCTION("""COMPUTED_VALUE"""),"INE481G01011")</f>
        <v>INE481G01011</v>
      </c>
      <c r="I26" s="6" t="str">
        <f>IFERROR(__xludf.DUMMYFUNCTION("""COMPUTED_VALUE"""),"Equity")</f>
        <v>Equity</v>
      </c>
      <c r="J26" s="6" t="str">
        <f>IFERROR(__xludf.DUMMYFUNCTION("""COMPUTED_VALUE"""),"Commodities")</f>
        <v>Commodities</v>
      </c>
      <c r="K26" s="6" t="str">
        <f>IFERROR(__xludf.DUMMYFUNCTION("""COMPUTED_VALUE"""),"Construction Materials")</f>
        <v>Construction Materials</v>
      </c>
      <c r="L26" s="6" t="str">
        <f>IFERROR(__xludf.DUMMYFUNCTION("""COMPUTED_VALUE"""),"Cement &amp; Cement Products")</f>
        <v>Cement &amp; Cement Products</v>
      </c>
      <c r="M26" s="6" t="str">
        <f>IFERROR(__xludf.DUMMYFUNCTION("""COMPUTED_VALUE"""),"Cement &amp; Cement Products")</f>
        <v>Cement &amp; Cement Products</v>
      </c>
      <c r="N26" s="5">
        <f>IFERROR(__xludf.DUMMYFUNCTION("""COMPUTED_VALUE"""),333409.2820698)</f>
        <v>333409.2821</v>
      </c>
      <c r="O26" s="6">
        <f t="shared" si="4"/>
        <v>17</v>
      </c>
      <c r="P26" s="6">
        <f t="shared" ref="P26:Q26" si="54">COUNTIFS(L:L,L26)</f>
        <v>17</v>
      </c>
      <c r="Q26" s="24">
        <f t="shared" si="54"/>
        <v>17</v>
      </c>
      <c r="R26" s="6" t="str">
        <f t="shared" si="6"/>
        <v>Construction Materials</v>
      </c>
      <c r="S26" s="6" t="str">
        <f t="shared" si="7"/>
        <v>Construction Materials</v>
      </c>
      <c r="T26" s="6">
        <f>IFERROR(__xludf.DUMMYFUNCTION("COUNTA(UNIQUE(query($A$2:$P$800,""select L where K='""&amp; K26&amp;""'"")))"),1.0)</f>
        <v>1</v>
      </c>
      <c r="U26" s="23">
        <f t="shared" si="8"/>
        <v>0.08823529412</v>
      </c>
      <c r="V26" s="23">
        <f t="shared" ref="V26:W26" si="55">P26/O26</f>
        <v>1</v>
      </c>
      <c r="W26" s="23">
        <f t="shared" si="55"/>
        <v>1</v>
      </c>
    </row>
    <row r="27">
      <c r="A27" s="6">
        <f>IFERROR(__xludf.DUMMYFUNCTION("""COMPUTED_VALUE"""),532921.0)</f>
        <v>532921</v>
      </c>
      <c r="B27" s="6" t="str">
        <f>IFERROR(__xludf.DUMMYFUNCTION("""COMPUTED_VALUE"""),"Adani Ports and Special Economic Zone Ltd")</f>
        <v>Adani Ports and Special Economic Zone Ltd</v>
      </c>
      <c r="C27" s="6" t="str">
        <f>IFERROR(__xludf.DUMMYFUNCTION("""COMPUTED_VALUE"""),"ADANIPORTS")</f>
        <v>ADANIPORTS</v>
      </c>
      <c r="D27" s="6" t="str">
        <f>IFERROR(__xludf.DUMMYFUNCTION("""COMPUTED_VALUE"""),"ADANI PORTS AND SPECIAL ECONOMIC ZONE LTD.")</f>
        <v>ADANI PORTS AND SPECIAL ECONOMIC ZONE LTD.</v>
      </c>
      <c r="E27" s="6" t="str">
        <f>IFERROR(__xludf.DUMMYFUNCTION("""COMPUTED_VALUE"""),"Active")</f>
        <v>Active</v>
      </c>
      <c r="F27" s="6" t="str">
        <f>IFERROR(__xludf.DUMMYFUNCTION("""COMPUTED_VALUE"""),"A")</f>
        <v>A</v>
      </c>
      <c r="G27" s="6">
        <f>IFERROR(__xludf.DUMMYFUNCTION("""COMPUTED_VALUE"""),2.0)</f>
        <v>2</v>
      </c>
      <c r="H27" s="6" t="str">
        <f>IFERROR(__xludf.DUMMYFUNCTION("""COMPUTED_VALUE"""),"INE742F01042")</f>
        <v>INE742F01042</v>
      </c>
      <c r="I27" s="6" t="str">
        <f>IFERROR(__xludf.DUMMYFUNCTION("""COMPUTED_VALUE"""),"Equity")</f>
        <v>Equity</v>
      </c>
      <c r="J27" s="6" t="str">
        <f>IFERROR(__xludf.DUMMYFUNCTION("""COMPUTED_VALUE"""),"Services")</f>
        <v>Services</v>
      </c>
      <c r="K27" s="6" t="str">
        <f>IFERROR(__xludf.DUMMYFUNCTION("""COMPUTED_VALUE"""),"Services")</f>
        <v>Services</v>
      </c>
      <c r="L27" s="6" t="str">
        <f>IFERROR(__xludf.DUMMYFUNCTION("""COMPUTED_VALUE"""),"Transport Infrastructure")</f>
        <v>Transport Infrastructure</v>
      </c>
      <c r="M27" s="6" t="str">
        <f>IFERROR(__xludf.DUMMYFUNCTION("""COMPUTED_VALUE"""),"Port &amp; Port services")</f>
        <v>Port &amp; Port services</v>
      </c>
      <c r="N27" s="5">
        <f>IFERROR(__xludf.DUMMYFUNCTION("""COMPUTED_VALUE"""),321260.5190333)</f>
        <v>321260.519</v>
      </c>
      <c r="O27" s="6">
        <f t="shared" si="4"/>
        <v>27</v>
      </c>
      <c r="P27" s="6">
        <f t="shared" ref="P27:Q27" si="56">COUNTIFS(L:L,L27)</f>
        <v>4</v>
      </c>
      <c r="Q27" s="24">
        <f t="shared" si="56"/>
        <v>3</v>
      </c>
      <c r="R27" s="6" t="str">
        <f t="shared" si="6"/>
        <v>Services</v>
      </c>
      <c r="S27" s="6" t="str">
        <f t="shared" si="7"/>
        <v>Services</v>
      </c>
      <c r="T27" s="6">
        <f>IFERROR(__xludf.DUMMYFUNCTION("COUNTA(UNIQUE(query($A$2:$P$800,""select L where K='""&amp; K27&amp;""'"")))"),3.0)</f>
        <v>3</v>
      </c>
      <c r="U27" s="23">
        <f t="shared" si="8"/>
        <v>0.1666666667</v>
      </c>
      <c r="V27" s="23">
        <f t="shared" ref="V27:W27" si="57">P27/O27</f>
        <v>0.1481481481</v>
      </c>
      <c r="W27" s="23">
        <f t="shared" si="57"/>
        <v>0.75</v>
      </c>
    </row>
    <row r="28">
      <c r="A28" s="6">
        <f>IFERROR(__xludf.DUMMYFUNCTION("""COMPUTED_VALUE"""),532898.0)</f>
        <v>532898</v>
      </c>
      <c r="B28" s="6" t="str">
        <f>IFERROR(__xludf.DUMMYFUNCTION("""COMPUTED_VALUE"""),"POWER GRID CORPORATION OF INDIA LIMITED")</f>
        <v>POWER GRID CORPORATION OF INDIA LIMITED</v>
      </c>
      <c r="C28" s="6" t="str">
        <f>IFERROR(__xludf.DUMMYFUNCTION("""COMPUTED_VALUE"""),"POWERGRID")</f>
        <v>POWERGRID</v>
      </c>
      <c r="D28" s="6" t="str">
        <f>IFERROR(__xludf.DUMMYFUNCTION("""COMPUTED_VALUE"""),"POWER GRID CORPORATION OF INDIA LTD.")</f>
        <v>POWER GRID CORPORATION OF INDIA LTD.</v>
      </c>
      <c r="E28" s="6" t="str">
        <f>IFERROR(__xludf.DUMMYFUNCTION("""COMPUTED_VALUE"""),"Active")</f>
        <v>Active</v>
      </c>
      <c r="F28" s="6" t="str">
        <f>IFERROR(__xludf.DUMMYFUNCTION("""COMPUTED_VALUE"""),"A")</f>
        <v>A</v>
      </c>
      <c r="G28" s="6">
        <f>IFERROR(__xludf.DUMMYFUNCTION("""COMPUTED_VALUE"""),10.0)</f>
        <v>10</v>
      </c>
      <c r="H28" s="6" t="str">
        <f>IFERROR(__xludf.DUMMYFUNCTION("""COMPUTED_VALUE"""),"INE752E01010")</f>
        <v>INE752E01010</v>
      </c>
      <c r="I28" s="6" t="str">
        <f>IFERROR(__xludf.DUMMYFUNCTION("""COMPUTED_VALUE"""),"Equity")</f>
        <v>Equity</v>
      </c>
      <c r="J28" s="6" t="str">
        <f>IFERROR(__xludf.DUMMYFUNCTION("""COMPUTED_VALUE"""),"Utilities")</f>
        <v>Utilities</v>
      </c>
      <c r="K28" s="6" t="str">
        <f>IFERROR(__xludf.DUMMYFUNCTION("""COMPUTED_VALUE"""),"Power")</f>
        <v>Power</v>
      </c>
      <c r="L28" s="6" t="str">
        <f>IFERROR(__xludf.DUMMYFUNCTION("""COMPUTED_VALUE"""),"Power")</f>
        <v>Power</v>
      </c>
      <c r="M28" s="6" t="str">
        <f>IFERROR(__xludf.DUMMYFUNCTION("""COMPUTED_VALUE"""),"Power - Transmission")</f>
        <v>Power - Transmission</v>
      </c>
      <c r="N28" s="5">
        <f>IFERROR(__xludf.DUMMYFUNCTION("""COMPUTED_VALUE"""),311025.3254902)</f>
        <v>311025.3255</v>
      </c>
      <c r="O28" s="6">
        <f t="shared" si="4"/>
        <v>22</v>
      </c>
      <c r="P28" s="6">
        <f t="shared" ref="P28:Q28" si="58">COUNTIFS(L:L,L28)</f>
        <v>22</v>
      </c>
      <c r="Q28" s="24">
        <f t="shared" si="58"/>
        <v>1</v>
      </c>
      <c r="R28" s="6" t="str">
        <f t="shared" si="6"/>
        <v>Power</v>
      </c>
      <c r="S28" s="6" t="str">
        <f t="shared" si="7"/>
        <v>Power</v>
      </c>
      <c r="T28" s="6">
        <f>IFERROR(__xludf.DUMMYFUNCTION("COUNTA(UNIQUE(query($A$2:$P$800,""select L where K='""&amp; K28&amp;""'"")))"),1.0)</f>
        <v>1</v>
      </c>
      <c r="U28" s="23">
        <f t="shared" si="8"/>
        <v>0.06818181818</v>
      </c>
      <c r="V28" s="23">
        <f t="shared" ref="V28:W28" si="59">P28/O28</f>
        <v>1</v>
      </c>
      <c r="W28" s="23">
        <f t="shared" si="59"/>
        <v>0.04545454545</v>
      </c>
    </row>
    <row r="29">
      <c r="A29" s="6">
        <f>IFERROR(__xludf.DUMMYFUNCTION("""COMPUTED_VALUE"""),540376.0)</f>
        <v>540376</v>
      </c>
      <c r="B29" s="6" t="str">
        <f>IFERROR(__xludf.DUMMYFUNCTION("""COMPUTED_VALUE"""),"Avenue Supermarts Limited")</f>
        <v>Avenue Supermarts Limited</v>
      </c>
      <c r="C29" s="6" t="str">
        <f>IFERROR(__xludf.DUMMYFUNCTION("""COMPUTED_VALUE"""),"DMART")</f>
        <v>DMART</v>
      </c>
      <c r="D29" s="6" t="str">
        <f>IFERROR(__xludf.DUMMYFUNCTION("""COMPUTED_VALUE"""),"Avenue Supermarts Ltd")</f>
        <v>Avenue Supermarts Ltd</v>
      </c>
      <c r="E29" s="6" t="str">
        <f>IFERROR(__xludf.DUMMYFUNCTION("""COMPUTED_VALUE"""),"Active")</f>
        <v>Active</v>
      </c>
      <c r="F29" s="6" t="str">
        <f>IFERROR(__xludf.DUMMYFUNCTION("""COMPUTED_VALUE"""),"A")</f>
        <v>A</v>
      </c>
      <c r="G29" s="6">
        <f>IFERROR(__xludf.DUMMYFUNCTION("""COMPUTED_VALUE"""),10.0)</f>
        <v>10</v>
      </c>
      <c r="H29" s="6" t="str">
        <f>IFERROR(__xludf.DUMMYFUNCTION("""COMPUTED_VALUE"""),"INE192R01011")</f>
        <v>INE192R01011</v>
      </c>
      <c r="I29" s="6" t="str">
        <f>IFERROR(__xludf.DUMMYFUNCTION("""COMPUTED_VALUE"""),"Equity")</f>
        <v>Equity</v>
      </c>
      <c r="J29" s="6" t="str">
        <f>IFERROR(__xludf.DUMMYFUNCTION("""COMPUTED_VALUE"""),"Consumer Discretionary")</f>
        <v>Consumer Discretionary</v>
      </c>
      <c r="K29" s="6" t="str">
        <f>IFERROR(__xludf.DUMMYFUNCTION("""COMPUTED_VALUE"""),"Consumer Services")</f>
        <v>Consumer Services</v>
      </c>
      <c r="L29" s="6" t="str">
        <f>IFERROR(__xludf.DUMMYFUNCTION("""COMPUTED_VALUE"""),"Retailing")</f>
        <v>Retailing</v>
      </c>
      <c r="M29" s="6" t="str">
        <f>IFERROR(__xludf.DUMMYFUNCTION("""COMPUTED_VALUE"""),"Diversified Retail")</f>
        <v>Diversified Retail</v>
      </c>
      <c r="N29" s="5">
        <f>IFERROR(__xludf.DUMMYFUNCTION("""COMPUTED_VALUE"""),310062.3911812)</f>
        <v>310062.3912</v>
      </c>
      <c r="O29" s="6">
        <f t="shared" si="4"/>
        <v>37</v>
      </c>
      <c r="P29" s="6">
        <f t="shared" ref="P29:Q29" si="60">COUNTIFS(L:L,L29)</f>
        <v>18</v>
      </c>
      <c r="Q29" s="24">
        <f t="shared" si="60"/>
        <v>4</v>
      </c>
      <c r="R29" s="6" t="str">
        <f t="shared" si="6"/>
        <v>Retailing</v>
      </c>
      <c r="S29" s="6" t="str">
        <f t="shared" si="7"/>
        <v>Retailing</v>
      </c>
      <c r="T29" s="6">
        <f>IFERROR(__xludf.DUMMYFUNCTION("COUNTA(UNIQUE(query($A$2:$P$800,""select L where K='""&amp; K29&amp;""'"")))"),3.0)</f>
        <v>3</v>
      </c>
      <c r="U29" s="23">
        <f t="shared" si="8"/>
        <v>0.1216216216</v>
      </c>
      <c r="V29" s="23">
        <f t="shared" ref="V29:W29" si="61">P29/O29</f>
        <v>0.4864864865</v>
      </c>
      <c r="W29" s="23">
        <f t="shared" si="61"/>
        <v>0.2222222222</v>
      </c>
    </row>
    <row r="30">
      <c r="A30" s="6">
        <f>IFERROR(__xludf.DUMMYFUNCTION("""COMPUTED_VALUE"""),500114.0)</f>
        <v>500114</v>
      </c>
      <c r="B30" s="6" t="str">
        <f>IFERROR(__xludf.DUMMYFUNCTION("""COMPUTED_VALUE"""),"Titan Company Limited")</f>
        <v>Titan Company Limited</v>
      </c>
      <c r="C30" s="6" t="str">
        <f>IFERROR(__xludf.DUMMYFUNCTION("""COMPUTED_VALUE"""),"TITAN")</f>
        <v>TITAN</v>
      </c>
      <c r="D30" s="6" t="str">
        <f>IFERROR(__xludf.DUMMYFUNCTION("""COMPUTED_VALUE"""),"Titan Company Limited")</f>
        <v>Titan Company Limited</v>
      </c>
      <c r="E30" s="6" t="str">
        <f>IFERROR(__xludf.DUMMYFUNCTION("""COMPUTED_VALUE"""),"Active")</f>
        <v>Active</v>
      </c>
      <c r="F30" s="6" t="str">
        <f>IFERROR(__xludf.DUMMYFUNCTION("""COMPUTED_VALUE"""),"A")</f>
        <v>A</v>
      </c>
      <c r="G30" s="6">
        <f>IFERROR(__xludf.DUMMYFUNCTION("""COMPUTED_VALUE"""),1.0)</f>
        <v>1</v>
      </c>
      <c r="H30" s="6" t="str">
        <f>IFERROR(__xludf.DUMMYFUNCTION("""COMPUTED_VALUE"""),"INE280A01028")</f>
        <v>INE280A01028</v>
      </c>
      <c r="I30" s="6" t="str">
        <f>IFERROR(__xludf.DUMMYFUNCTION("""COMPUTED_VALUE"""),"Equity")</f>
        <v>Equity</v>
      </c>
      <c r="J30" s="6" t="str">
        <f>IFERROR(__xludf.DUMMYFUNCTION("""COMPUTED_VALUE"""),"Consumer Discretionary")</f>
        <v>Consumer Discretionary</v>
      </c>
      <c r="K30" s="6" t="str">
        <f>IFERROR(__xludf.DUMMYFUNCTION("""COMPUTED_VALUE"""),"Consumer Durables")</f>
        <v>Consumer Durables</v>
      </c>
      <c r="L30" s="6" t="str">
        <f>IFERROR(__xludf.DUMMYFUNCTION("""COMPUTED_VALUE"""),"Consumer Durables")</f>
        <v>Consumer Durables</v>
      </c>
      <c r="M30" s="6" t="str">
        <f>IFERROR(__xludf.DUMMYFUNCTION("""COMPUTED_VALUE"""),"Gems, Jewellery And Watches")</f>
        <v>Gems, Jewellery And Watches</v>
      </c>
      <c r="N30" s="5">
        <f>IFERROR(__xludf.DUMMYFUNCTION("""COMPUTED_VALUE"""),299311.7872042)</f>
        <v>299311.7872</v>
      </c>
      <c r="O30" s="6">
        <f t="shared" si="4"/>
        <v>42</v>
      </c>
      <c r="P30" s="6">
        <f t="shared" ref="P30:Q30" si="62">COUNTIFS(L:L,L30)</f>
        <v>42</v>
      </c>
      <c r="Q30" s="24">
        <f t="shared" si="62"/>
        <v>7</v>
      </c>
      <c r="R30" s="6" t="str">
        <f t="shared" si="6"/>
        <v>Consumer Durables</v>
      </c>
      <c r="S30" s="6" t="str">
        <f t="shared" si="7"/>
        <v>Consumer Durables</v>
      </c>
      <c r="T30" s="6">
        <f>IFERROR(__xludf.DUMMYFUNCTION("COUNTA(UNIQUE(query($A$2:$P$800,""select L where K='""&amp; K30&amp;""'"")))"),1.0)</f>
        <v>1</v>
      </c>
      <c r="U30" s="23">
        <f t="shared" si="8"/>
        <v>0.03571428571</v>
      </c>
      <c r="V30" s="23">
        <f t="shared" ref="V30:W30" si="63">P30/O30</f>
        <v>1</v>
      </c>
      <c r="W30" s="23">
        <f t="shared" si="63"/>
        <v>0.1666666667</v>
      </c>
    </row>
    <row r="31">
      <c r="A31" s="6">
        <f>IFERROR(__xludf.DUMMYFUNCTION("""COMPUTED_VALUE"""),533278.0)</f>
        <v>533278</v>
      </c>
      <c r="B31" s="6" t="str">
        <f>IFERROR(__xludf.DUMMYFUNCTION("""COMPUTED_VALUE"""),"Coal India Limited")</f>
        <v>Coal India Limited</v>
      </c>
      <c r="C31" s="6" t="str">
        <f>IFERROR(__xludf.DUMMYFUNCTION("""COMPUTED_VALUE"""),"COALINDIA")</f>
        <v>COALINDIA</v>
      </c>
      <c r="D31" s="6" t="str">
        <f>IFERROR(__xludf.DUMMYFUNCTION("""COMPUTED_VALUE"""),"COAL INDIA LTD.")</f>
        <v>COAL INDIA LTD.</v>
      </c>
      <c r="E31" s="6" t="str">
        <f>IFERROR(__xludf.DUMMYFUNCTION("""COMPUTED_VALUE"""),"Active")</f>
        <v>Active</v>
      </c>
      <c r="F31" s="6" t="str">
        <f>IFERROR(__xludf.DUMMYFUNCTION("""COMPUTED_VALUE"""),"A")</f>
        <v>A</v>
      </c>
      <c r="G31" s="6">
        <f>IFERROR(__xludf.DUMMYFUNCTION("""COMPUTED_VALUE"""),10.0)</f>
        <v>10</v>
      </c>
      <c r="H31" s="6" t="str">
        <f>IFERROR(__xludf.DUMMYFUNCTION("""COMPUTED_VALUE"""),"INE522F01014")</f>
        <v>INE522F01014</v>
      </c>
      <c r="I31" s="6" t="str">
        <f>IFERROR(__xludf.DUMMYFUNCTION("""COMPUTED_VALUE"""),"Equity")</f>
        <v>Equity</v>
      </c>
      <c r="J31" s="6" t="str">
        <f>IFERROR(__xludf.DUMMYFUNCTION("""COMPUTED_VALUE"""),"Energy")</f>
        <v>Energy</v>
      </c>
      <c r="K31" s="6" t="str">
        <f>IFERROR(__xludf.DUMMYFUNCTION("""COMPUTED_VALUE"""),"Oil, Gas &amp; Consumable, Fuels")</f>
        <v>Oil, Gas &amp; Consumable, Fuels</v>
      </c>
      <c r="L31" s="6" t="str">
        <f>IFERROR(__xludf.DUMMYFUNCTION("""COMPUTED_VALUE"""),"Consumable Fuels")</f>
        <v>Consumable Fuels</v>
      </c>
      <c r="M31" s="6" t="str">
        <f>IFERROR(__xludf.DUMMYFUNCTION("""COMPUTED_VALUE"""),"Coal")</f>
        <v>Coal</v>
      </c>
      <c r="N31" s="5">
        <f>IFERROR(__xludf.DUMMYFUNCTION("""COMPUTED_VALUE"""),296717.4855316)</f>
        <v>296717.4855</v>
      </c>
      <c r="O31" s="6">
        <f t="shared" si="4"/>
        <v>20</v>
      </c>
      <c r="P31" s="6">
        <f t="shared" ref="P31:Q31" si="64">COUNTIFS(L:L,L31)</f>
        <v>2</v>
      </c>
      <c r="Q31" s="24">
        <f t="shared" si="64"/>
        <v>2</v>
      </c>
      <c r="R31" s="6" t="str">
        <f t="shared" si="6"/>
        <v>Oil, Gas &amp; Consumable, Fuels</v>
      </c>
      <c r="S31" s="6" t="str">
        <f t="shared" si="7"/>
        <v>Oil, Gas &amp; Consumable, Fuels</v>
      </c>
      <c r="T31" s="6">
        <f>IFERROR(__xludf.DUMMYFUNCTION("COUNTA(UNIQUE(query($A$2:$P$800,""select L where K='""&amp; K31&amp;""'"")))"),4.0)</f>
        <v>4</v>
      </c>
      <c r="U31" s="23">
        <f t="shared" si="8"/>
        <v>0.3</v>
      </c>
      <c r="V31" s="23">
        <f t="shared" ref="V31:W31" si="65">P31/O31</f>
        <v>0.1</v>
      </c>
      <c r="W31" s="23">
        <f t="shared" si="65"/>
        <v>1</v>
      </c>
    </row>
    <row r="32">
      <c r="A32" s="6">
        <f>IFERROR(__xludf.DUMMYFUNCTION("""COMPUTED_VALUE"""),541450.0)</f>
        <v>541450</v>
      </c>
      <c r="B32" s="6" t="str">
        <f>IFERROR(__xludf.DUMMYFUNCTION("""COMPUTED_VALUE"""),"Adani Green Energy Limited")</f>
        <v>Adani Green Energy Limited</v>
      </c>
      <c r="C32" s="6" t="str">
        <f>IFERROR(__xludf.DUMMYFUNCTION("""COMPUTED_VALUE"""),"ADANIGREEN")</f>
        <v>ADANIGREEN</v>
      </c>
      <c r="D32" s="6" t="str">
        <f>IFERROR(__xludf.DUMMYFUNCTION("""COMPUTED_VALUE"""),"Adani Green Energy Ltd")</f>
        <v>Adani Green Energy Ltd</v>
      </c>
      <c r="E32" s="6" t="str">
        <f>IFERROR(__xludf.DUMMYFUNCTION("""COMPUTED_VALUE"""),"Active")</f>
        <v>Active</v>
      </c>
      <c r="F32" s="6" t="str">
        <f>IFERROR(__xludf.DUMMYFUNCTION("""COMPUTED_VALUE"""),"A")</f>
        <v>A</v>
      </c>
      <c r="G32" s="6">
        <f>IFERROR(__xludf.DUMMYFUNCTION("""COMPUTED_VALUE"""),10.0)</f>
        <v>10</v>
      </c>
      <c r="H32" s="6" t="str">
        <f>IFERROR(__xludf.DUMMYFUNCTION("""COMPUTED_VALUE"""),"INE364U01010")</f>
        <v>INE364U01010</v>
      </c>
      <c r="I32" s="6" t="str">
        <f>IFERROR(__xludf.DUMMYFUNCTION("""COMPUTED_VALUE"""),"Equity")</f>
        <v>Equity</v>
      </c>
      <c r="J32" s="6" t="str">
        <f>IFERROR(__xludf.DUMMYFUNCTION("""COMPUTED_VALUE"""),"Utilities")</f>
        <v>Utilities</v>
      </c>
      <c r="K32" s="6" t="str">
        <f>IFERROR(__xludf.DUMMYFUNCTION("""COMPUTED_VALUE"""),"Power")</f>
        <v>Power</v>
      </c>
      <c r="L32" s="6" t="str">
        <f>IFERROR(__xludf.DUMMYFUNCTION("""COMPUTED_VALUE"""),"Power")</f>
        <v>Power</v>
      </c>
      <c r="M32" s="6" t="str">
        <f>IFERROR(__xludf.DUMMYFUNCTION("""COMPUTED_VALUE"""),"Power Generation")</f>
        <v>Power Generation</v>
      </c>
      <c r="N32" s="5">
        <f>IFERROR(__xludf.DUMMYFUNCTION("""COMPUTED_VALUE"""),282873.1948317)</f>
        <v>282873.1948</v>
      </c>
      <c r="O32" s="6">
        <f t="shared" si="4"/>
        <v>22</v>
      </c>
      <c r="P32" s="6">
        <f t="shared" ref="P32:Q32" si="66">COUNTIFS(L:L,L32)</f>
        <v>22</v>
      </c>
      <c r="Q32" s="24">
        <f t="shared" si="66"/>
        <v>13</v>
      </c>
      <c r="R32" s="6" t="str">
        <f t="shared" si="6"/>
        <v>Power</v>
      </c>
      <c r="S32" s="6" t="str">
        <f t="shared" si="7"/>
        <v>Power</v>
      </c>
      <c r="T32" s="6">
        <f>IFERROR(__xludf.DUMMYFUNCTION("COUNTA(UNIQUE(query($A$2:$P$800,""select L where K='""&amp; K32&amp;""'"")))"),1.0)</f>
        <v>1</v>
      </c>
      <c r="U32" s="23">
        <f t="shared" si="8"/>
        <v>0.06818181818</v>
      </c>
      <c r="V32" s="23">
        <f t="shared" ref="V32:W32" si="67">P32/O32</f>
        <v>1</v>
      </c>
      <c r="W32" s="23">
        <f t="shared" si="67"/>
        <v>0.5909090909</v>
      </c>
    </row>
    <row r="33">
      <c r="A33" s="6">
        <f>IFERROR(__xludf.DUMMYFUNCTION("""COMPUTED_VALUE"""),500188.0)</f>
        <v>500188</v>
      </c>
      <c r="B33" s="6" t="str">
        <f>IFERROR(__xludf.DUMMYFUNCTION("""COMPUTED_VALUE"""),"Hindustan Zinc Ltd.")</f>
        <v>Hindustan Zinc Ltd.</v>
      </c>
      <c r="C33" s="6" t="str">
        <f>IFERROR(__xludf.DUMMYFUNCTION("""COMPUTED_VALUE"""),"HINDZINC")</f>
        <v>HINDZINC</v>
      </c>
      <c r="D33" s="6" t="str">
        <f>IFERROR(__xludf.DUMMYFUNCTION("""COMPUTED_VALUE"""),"HINDUSTAN ZINC LTD.")</f>
        <v>HINDUSTAN ZINC LTD.</v>
      </c>
      <c r="E33" s="6" t="str">
        <f>IFERROR(__xludf.DUMMYFUNCTION("""COMPUTED_VALUE"""),"Active")</f>
        <v>Active</v>
      </c>
      <c r="F33" s="6" t="str">
        <f>IFERROR(__xludf.DUMMYFUNCTION("""COMPUTED_VALUE"""),"A")</f>
        <v>A</v>
      </c>
      <c r="G33" s="6">
        <f>IFERROR(__xludf.DUMMYFUNCTION("""COMPUTED_VALUE"""),2.0)</f>
        <v>2</v>
      </c>
      <c r="H33" s="6" t="str">
        <f>IFERROR(__xludf.DUMMYFUNCTION("""COMPUTED_VALUE"""),"INE267A01025")</f>
        <v>INE267A01025</v>
      </c>
      <c r="I33" s="6" t="str">
        <f>IFERROR(__xludf.DUMMYFUNCTION("""COMPUTED_VALUE"""),"Equity")</f>
        <v>Equity</v>
      </c>
      <c r="J33" s="6" t="str">
        <f>IFERROR(__xludf.DUMMYFUNCTION("""COMPUTED_VALUE"""),"Commodities")</f>
        <v>Commodities</v>
      </c>
      <c r="K33" s="6" t="str">
        <f>IFERROR(__xludf.DUMMYFUNCTION("""COMPUTED_VALUE"""),"Metals &amp; Mining")</f>
        <v>Metals &amp; Mining</v>
      </c>
      <c r="L33" s="6" t="str">
        <f>IFERROR(__xludf.DUMMYFUNCTION("""COMPUTED_VALUE"""),"Non - Ferrous Metals")</f>
        <v>Non - Ferrous Metals</v>
      </c>
      <c r="M33" s="6" t="str">
        <f>IFERROR(__xludf.DUMMYFUNCTION("""COMPUTED_VALUE"""),"Zinc")</f>
        <v>Zinc</v>
      </c>
      <c r="N33" s="5">
        <f>IFERROR(__xludf.DUMMYFUNCTION("""COMPUTED_VALUE"""),282043.7210633)</f>
        <v>282043.7211</v>
      </c>
      <c r="O33" s="6">
        <f t="shared" si="4"/>
        <v>20</v>
      </c>
      <c r="P33" s="6">
        <f t="shared" ref="P33:Q33" si="68">COUNTIFS(L:L,L33)</f>
        <v>4</v>
      </c>
      <c r="Q33" s="24">
        <f t="shared" si="68"/>
        <v>1</v>
      </c>
      <c r="R33" s="6" t="str">
        <f t="shared" si="6"/>
        <v>Metals &amp; Mining</v>
      </c>
      <c r="S33" s="6" t="str">
        <f t="shared" si="7"/>
        <v>Metals &amp; Mining</v>
      </c>
      <c r="T33" s="6">
        <f>IFERROR(__xludf.DUMMYFUNCTION("COUNTA(UNIQUE(query($A$2:$P$800,""select L where K='""&amp; K33&amp;""'"")))"),5.0)</f>
        <v>5</v>
      </c>
      <c r="U33" s="23">
        <f t="shared" si="8"/>
        <v>0.375</v>
      </c>
      <c r="V33" s="23">
        <f t="shared" ref="V33:W33" si="69">P33/O33</f>
        <v>0.2</v>
      </c>
      <c r="W33" s="23">
        <f t="shared" si="69"/>
        <v>0.25</v>
      </c>
    </row>
    <row r="34">
      <c r="A34" s="6">
        <f>IFERROR(__xludf.DUMMYFUNCTION("""COMPUTED_VALUE"""),500820.0)</f>
        <v>500820</v>
      </c>
      <c r="B34" s="6" t="str">
        <f>IFERROR(__xludf.DUMMYFUNCTION("""COMPUTED_VALUE"""),"Asian Paints Ltd.")</f>
        <v>Asian Paints Ltd.</v>
      </c>
      <c r="C34" s="6" t="str">
        <f>IFERROR(__xludf.DUMMYFUNCTION("""COMPUTED_VALUE"""),"ASIANPAINT")</f>
        <v>ASIANPAINT</v>
      </c>
      <c r="D34" s="6" t="str">
        <f>IFERROR(__xludf.DUMMYFUNCTION("""COMPUTED_VALUE"""),"ASIAN PAINTS LTD.")</f>
        <v>ASIAN PAINTS LTD.</v>
      </c>
      <c r="E34" s="6" t="str">
        <f>IFERROR(__xludf.DUMMYFUNCTION("""COMPUTED_VALUE"""),"Active")</f>
        <v>Active</v>
      </c>
      <c r="F34" s="6" t="str">
        <f>IFERROR(__xludf.DUMMYFUNCTION("""COMPUTED_VALUE"""),"A")</f>
        <v>A</v>
      </c>
      <c r="G34" s="6">
        <f>IFERROR(__xludf.DUMMYFUNCTION("""COMPUTED_VALUE"""),1.0)</f>
        <v>1</v>
      </c>
      <c r="H34" s="6" t="str">
        <f>IFERROR(__xludf.DUMMYFUNCTION("""COMPUTED_VALUE"""),"INE021A01026")</f>
        <v>INE021A01026</v>
      </c>
      <c r="I34" s="6" t="str">
        <f>IFERROR(__xludf.DUMMYFUNCTION("""COMPUTED_VALUE"""),"Equity")</f>
        <v>Equity</v>
      </c>
      <c r="J34" s="6" t="str">
        <f>IFERROR(__xludf.DUMMYFUNCTION("""COMPUTED_VALUE"""),"Consumer Discretionary")</f>
        <v>Consumer Discretionary</v>
      </c>
      <c r="K34" s="6" t="str">
        <f>IFERROR(__xludf.DUMMYFUNCTION("""COMPUTED_VALUE"""),"Consumer Durables")</f>
        <v>Consumer Durables</v>
      </c>
      <c r="L34" s="6" t="str">
        <f>IFERROR(__xludf.DUMMYFUNCTION("""COMPUTED_VALUE"""),"Consumer Durables")</f>
        <v>Consumer Durables</v>
      </c>
      <c r="M34" s="6" t="str">
        <f>IFERROR(__xludf.DUMMYFUNCTION("""COMPUTED_VALUE"""),"Paints")</f>
        <v>Paints</v>
      </c>
      <c r="N34" s="5">
        <f>IFERROR(__xludf.DUMMYFUNCTION("""COMPUTED_VALUE"""),281218.3796746)</f>
        <v>281218.3797</v>
      </c>
      <c r="O34" s="6">
        <f t="shared" si="4"/>
        <v>42</v>
      </c>
      <c r="P34" s="6">
        <f t="shared" ref="P34:Q34" si="70">COUNTIFS(L:L,L34)</f>
        <v>42</v>
      </c>
      <c r="Q34" s="24">
        <f t="shared" si="70"/>
        <v>5</v>
      </c>
      <c r="R34" s="6" t="str">
        <f t="shared" si="6"/>
        <v>Consumer Durables</v>
      </c>
      <c r="S34" s="6" t="str">
        <f t="shared" si="7"/>
        <v>Consumer Durables</v>
      </c>
      <c r="T34" s="6">
        <f>IFERROR(__xludf.DUMMYFUNCTION("COUNTA(UNIQUE(query($A$2:$P$800,""select L where K='""&amp; K34&amp;""'"")))"),1.0)</f>
        <v>1</v>
      </c>
      <c r="U34" s="23">
        <f t="shared" si="8"/>
        <v>0.03571428571</v>
      </c>
      <c r="V34" s="23">
        <f t="shared" ref="V34:W34" si="71">P34/O34</f>
        <v>1</v>
      </c>
      <c r="W34" s="23">
        <f t="shared" si="71"/>
        <v>0.119047619</v>
      </c>
    </row>
    <row r="35">
      <c r="A35" s="6">
        <f>IFERROR(__xludf.DUMMYFUNCTION("""COMPUTED_VALUE"""),533096.0)</f>
        <v>533096</v>
      </c>
      <c r="B35" s="6" t="str">
        <f>IFERROR(__xludf.DUMMYFUNCTION("""COMPUTED_VALUE"""),"Adani Power Limited")</f>
        <v>Adani Power Limited</v>
      </c>
      <c r="C35" s="6" t="str">
        <f>IFERROR(__xludf.DUMMYFUNCTION("""COMPUTED_VALUE"""),"ADANIPOWER")</f>
        <v>ADANIPOWER</v>
      </c>
      <c r="D35" s="6" t="str">
        <f>IFERROR(__xludf.DUMMYFUNCTION("""COMPUTED_VALUE"""),"ADANI POWER LTD.")</f>
        <v>ADANI POWER LTD.</v>
      </c>
      <c r="E35" s="6" t="str">
        <f>IFERROR(__xludf.DUMMYFUNCTION("""COMPUTED_VALUE"""),"Active")</f>
        <v>Active</v>
      </c>
      <c r="F35" s="6" t="str">
        <f>IFERROR(__xludf.DUMMYFUNCTION("""COMPUTED_VALUE"""),"A")</f>
        <v>A</v>
      </c>
      <c r="G35" s="6">
        <f>IFERROR(__xludf.DUMMYFUNCTION("""COMPUTED_VALUE"""),10.0)</f>
        <v>10</v>
      </c>
      <c r="H35" s="6" t="str">
        <f>IFERROR(__xludf.DUMMYFUNCTION("""COMPUTED_VALUE"""),"INE814H01011")</f>
        <v>INE814H01011</v>
      </c>
      <c r="I35" s="6" t="str">
        <f>IFERROR(__xludf.DUMMYFUNCTION("""COMPUTED_VALUE"""),"Equity")</f>
        <v>Equity</v>
      </c>
      <c r="J35" s="6" t="str">
        <f>IFERROR(__xludf.DUMMYFUNCTION("""COMPUTED_VALUE"""),"Utilities")</f>
        <v>Utilities</v>
      </c>
      <c r="K35" s="6" t="str">
        <f>IFERROR(__xludf.DUMMYFUNCTION("""COMPUTED_VALUE"""),"Power")</f>
        <v>Power</v>
      </c>
      <c r="L35" s="6" t="str">
        <f>IFERROR(__xludf.DUMMYFUNCTION("""COMPUTED_VALUE"""),"Power")</f>
        <v>Power</v>
      </c>
      <c r="M35" s="6" t="str">
        <f>IFERROR(__xludf.DUMMYFUNCTION("""COMPUTED_VALUE"""),"Integrated Power Utilities")</f>
        <v>Integrated Power Utilities</v>
      </c>
      <c r="N35" s="5">
        <f>IFERROR(__xludf.DUMMYFUNCTION("""COMPUTED_VALUE"""),276020.5175181)</f>
        <v>276020.5175</v>
      </c>
      <c r="O35" s="6">
        <f t="shared" si="4"/>
        <v>22</v>
      </c>
      <c r="P35" s="6">
        <f t="shared" ref="P35:Q35" si="72">COUNTIFS(L:L,L35)</f>
        <v>22</v>
      </c>
      <c r="Q35" s="24">
        <f t="shared" si="72"/>
        <v>6</v>
      </c>
      <c r="R35" s="6" t="str">
        <f t="shared" si="6"/>
        <v>Power</v>
      </c>
      <c r="S35" s="6" t="str">
        <f t="shared" si="7"/>
        <v>Power</v>
      </c>
      <c r="T35" s="6">
        <f>IFERROR(__xludf.DUMMYFUNCTION("COUNTA(UNIQUE(query($A$2:$P$800,""select L where K='""&amp; K35&amp;""'"")))"),1.0)</f>
        <v>1</v>
      </c>
      <c r="U35" s="23">
        <f t="shared" si="8"/>
        <v>0.06818181818</v>
      </c>
      <c r="V35" s="23">
        <f t="shared" ref="V35:W35" si="73">P35/O35</f>
        <v>1</v>
      </c>
      <c r="W35" s="23">
        <f t="shared" si="73"/>
        <v>0.2727272727</v>
      </c>
    </row>
    <row r="36">
      <c r="A36" s="6">
        <f>IFERROR(__xludf.DUMMYFUNCTION("""COMPUTED_VALUE"""),507685.0)</f>
        <v>507685</v>
      </c>
      <c r="B36" s="6" t="str">
        <f>IFERROR(__xludf.DUMMYFUNCTION("""COMPUTED_VALUE"""),"Wipro  Ltd.")</f>
        <v>Wipro  Ltd.</v>
      </c>
      <c r="C36" s="6" t="str">
        <f>IFERROR(__xludf.DUMMYFUNCTION("""COMPUTED_VALUE"""),"WIPRO")</f>
        <v>WIPRO</v>
      </c>
      <c r="D36" s="6" t="str">
        <f>IFERROR(__xludf.DUMMYFUNCTION("""COMPUTED_VALUE"""),"WIPRO LTD.")</f>
        <v>WIPRO LTD.</v>
      </c>
      <c r="E36" s="6" t="str">
        <f>IFERROR(__xludf.DUMMYFUNCTION("""COMPUTED_VALUE"""),"Active")</f>
        <v>Active</v>
      </c>
      <c r="F36" s="6" t="str">
        <f>IFERROR(__xludf.DUMMYFUNCTION("""COMPUTED_VALUE"""),"A")</f>
        <v>A</v>
      </c>
      <c r="G36" s="6">
        <f>IFERROR(__xludf.DUMMYFUNCTION("""COMPUTED_VALUE"""),2.0)</f>
        <v>2</v>
      </c>
      <c r="H36" s="6" t="str">
        <f>IFERROR(__xludf.DUMMYFUNCTION("""COMPUTED_VALUE"""),"INE075A01022")</f>
        <v>INE075A01022</v>
      </c>
      <c r="I36" s="6" t="str">
        <f>IFERROR(__xludf.DUMMYFUNCTION("""COMPUTED_VALUE"""),"Equity")</f>
        <v>Equity</v>
      </c>
      <c r="J36" s="6" t="str">
        <f>IFERROR(__xludf.DUMMYFUNCTION("""COMPUTED_VALUE"""),"Information Technology")</f>
        <v>Information Technology</v>
      </c>
      <c r="K36" s="6" t="str">
        <f>IFERROR(__xludf.DUMMYFUNCTION("""COMPUTED_VALUE"""),"Information Technology")</f>
        <v>Information Technology</v>
      </c>
      <c r="L36" s="6" t="str">
        <f>IFERROR(__xludf.DUMMYFUNCTION("""COMPUTED_VALUE"""),"IT - Software")</f>
        <v>IT - Software</v>
      </c>
      <c r="M36" s="6" t="str">
        <f>IFERROR(__xludf.DUMMYFUNCTION("""COMPUTED_VALUE"""),"Computers - Software &amp; Consulting")</f>
        <v>Computers - Software &amp; Consulting</v>
      </c>
      <c r="N36" s="5">
        <f>IFERROR(__xludf.DUMMYFUNCTION("""COMPUTED_VALUE"""),274962.4416)</f>
        <v>274962.4416</v>
      </c>
      <c r="O36" s="6">
        <f t="shared" si="4"/>
        <v>36</v>
      </c>
      <c r="P36" s="6">
        <f t="shared" ref="P36:Q36" si="74">COUNTIFS(L:L,L36)</f>
        <v>27</v>
      </c>
      <c r="Q36" s="24">
        <f t="shared" si="74"/>
        <v>22</v>
      </c>
      <c r="R36" s="6" t="str">
        <f t="shared" si="6"/>
        <v>Information Technology</v>
      </c>
      <c r="S36" s="6" t="str">
        <f t="shared" si="7"/>
        <v>Information Technology</v>
      </c>
      <c r="T36" s="6">
        <f>IFERROR(__xludf.DUMMYFUNCTION("COUNTA(UNIQUE(query($A$2:$P$800,""select L where K='""&amp; K36&amp;""'"")))"),3.0)</f>
        <v>3</v>
      </c>
      <c r="U36" s="23">
        <f t="shared" si="8"/>
        <v>0.125</v>
      </c>
      <c r="V36" s="23">
        <f t="shared" ref="V36:W36" si="75">P36/O36</f>
        <v>0.75</v>
      </c>
      <c r="W36" s="23">
        <f t="shared" si="75"/>
        <v>0.8148148148</v>
      </c>
    </row>
    <row r="37">
      <c r="A37" s="6">
        <f>IFERROR(__xludf.DUMMYFUNCTION("""COMPUTED_VALUE"""),500550.0)</f>
        <v>500550</v>
      </c>
      <c r="B37" s="6" t="str">
        <f>IFERROR(__xludf.DUMMYFUNCTION("""COMPUTED_VALUE"""),"Siemens Ltd.")</f>
        <v>Siemens Ltd.</v>
      </c>
      <c r="C37" s="6" t="str">
        <f>IFERROR(__xludf.DUMMYFUNCTION("""COMPUTED_VALUE"""),"SIEMENS")</f>
        <v>SIEMENS</v>
      </c>
      <c r="D37" s="6" t="str">
        <f>IFERROR(__xludf.DUMMYFUNCTION("""COMPUTED_VALUE"""),"SIEMENS LTD.")</f>
        <v>SIEMENS LTD.</v>
      </c>
      <c r="E37" s="6" t="str">
        <f>IFERROR(__xludf.DUMMYFUNCTION("""COMPUTED_VALUE"""),"Active")</f>
        <v>Active</v>
      </c>
      <c r="F37" s="6" t="str">
        <f>IFERROR(__xludf.DUMMYFUNCTION("""COMPUTED_VALUE"""),"A")</f>
        <v>A</v>
      </c>
      <c r="G37" s="6">
        <f>IFERROR(__xludf.DUMMYFUNCTION("""COMPUTED_VALUE"""),2.0)</f>
        <v>2</v>
      </c>
      <c r="H37" s="6" t="str">
        <f>IFERROR(__xludf.DUMMYFUNCTION("""COMPUTED_VALUE"""),"INE003A01024")</f>
        <v>INE003A01024</v>
      </c>
      <c r="I37" s="6" t="str">
        <f>IFERROR(__xludf.DUMMYFUNCTION("""COMPUTED_VALUE"""),"Equity")</f>
        <v>Equity</v>
      </c>
      <c r="J37" s="6" t="str">
        <f>IFERROR(__xludf.DUMMYFUNCTION("""COMPUTED_VALUE"""),"Industrials")</f>
        <v>Industrials</v>
      </c>
      <c r="K37" s="6" t="str">
        <f>IFERROR(__xludf.DUMMYFUNCTION("""COMPUTED_VALUE"""),"Capital Goods")</f>
        <v>Capital Goods</v>
      </c>
      <c r="L37" s="6" t="str">
        <f>IFERROR(__xludf.DUMMYFUNCTION("""COMPUTED_VALUE"""),"Electrical Equipment")</f>
        <v>Electrical Equipment</v>
      </c>
      <c r="M37" s="6" t="str">
        <f>IFERROR(__xludf.DUMMYFUNCTION("""COMPUTED_VALUE"""),"Heavy Electrical Equipment")</f>
        <v>Heavy Electrical Equipment</v>
      </c>
      <c r="N37" s="5">
        <f>IFERROR(__xludf.DUMMYFUNCTION("""COMPUTED_VALUE"""),274737.12014)</f>
        <v>274737.1201</v>
      </c>
      <c r="O37" s="6">
        <f t="shared" si="4"/>
        <v>110</v>
      </c>
      <c r="P37" s="6">
        <f t="shared" ref="P37:Q37" si="76">COUNTIFS(L:L,L37)</f>
        <v>22</v>
      </c>
      <c r="Q37" s="24">
        <f t="shared" si="76"/>
        <v>17</v>
      </c>
      <c r="R37" s="6" t="str">
        <f t="shared" si="6"/>
        <v>Electrical Equipment</v>
      </c>
      <c r="S37" s="6" t="str">
        <f t="shared" si="7"/>
        <v>Electrical Equipment</v>
      </c>
      <c r="T37" s="6">
        <f>IFERROR(__xludf.DUMMYFUNCTION("COUNTA(UNIQUE(query($A$2:$P$800,""select L where K='""&amp; K37&amp;""'"")))"),5.0)</f>
        <v>5</v>
      </c>
      <c r="U37" s="23">
        <f t="shared" si="8"/>
        <v>0.06818181818</v>
      </c>
      <c r="V37" s="23">
        <f t="shared" ref="V37:W37" si="77">P37/O37</f>
        <v>0.2</v>
      </c>
      <c r="W37" s="23">
        <f t="shared" si="77"/>
        <v>0.7727272727</v>
      </c>
    </row>
    <row r="38">
      <c r="A38" s="6">
        <f>IFERROR(__xludf.DUMMYFUNCTION("""COMPUTED_VALUE"""),532977.0)</f>
        <v>532977</v>
      </c>
      <c r="B38" s="6" t="str">
        <f>IFERROR(__xludf.DUMMYFUNCTION("""COMPUTED_VALUE"""),"Bajaj Auto Limited")</f>
        <v>Bajaj Auto Limited</v>
      </c>
      <c r="C38" s="6" t="str">
        <f>IFERROR(__xludf.DUMMYFUNCTION("""COMPUTED_VALUE"""),"BAJAJ-AUTO")</f>
        <v>BAJAJ-AUTO</v>
      </c>
      <c r="D38" s="6" t="str">
        <f>IFERROR(__xludf.DUMMYFUNCTION("""COMPUTED_VALUE"""),"BAJAJ AUTO LTD.")</f>
        <v>BAJAJ AUTO LTD.</v>
      </c>
      <c r="E38" s="6" t="str">
        <f>IFERROR(__xludf.DUMMYFUNCTION("""COMPUTED_VALUE"""),"Active")</f>
        <v>Active</v>
      </c>
      <c r="F38" s="6" t="str">
        <f>IFERROR(__xludf.DUMMYFUNCTION("""COMPUTED_VALUE"""),"A")</f>
        <v>A</v>
      </c>
      <c r="G38" s="6">
        <f>IFERROR(__xludf.DUMMYFUNCTION("""COMPUTED_VALUE"""),10.0)</f>
        <v>10</v>
      </c>
      <c r="H38" s="6" t="str">
        <f>IFERROR(__xludf.DUMMYFUNCTION("""COMPUTED_VALUE"""),"INE917I01010")</f>
        <v>INE917I01010</v>
      </c>
      <c r="I38" s="6" t="str">
        <f>IFERROR(__xludf.DUMMYFUNCTION("""COMPUTED_VALUE"""),"Equity")</f>
        <v>Equity</v>
      </c>
      <c r="J38" s="6" t="str">
        <f>IFERROR(__xludf.DUMMYFUNCTION("""COMPUTED_VALUE"""),"Consumer Discretionary")</f>
        <v>Consumer Discretionary</v>
      </c>
      <c r="K38" s="6" t="str">
        <f>IFERROR(__xludf.DUMMYFUNCTION("""COMPUTED_VALUE"""),"Automobile and Auto Components")</f>
        <v>Automobile and Auto Components</v>
      </c>
      <c r="L38" s="6" t="str">
        <f>IFERROR(__xludf.DUMMYFUNCTION("""COMPUTED_VALUE"""),"Automobiles")</f>
        <v>Automobiles</v>
      </c>
      <c r="M38" s="6" t="str">
        <f>IFERROR(__xludf.DUMMYFUNCTION("""COMPUTED_VALUE"""),"2/3 Wheelers")</f>
        <v>2/3 Wheelers</v>
      </c>
      <c r="N38" s="5">
        <f>IFERROR(__xludf.DUMMYFUNCTION("""COMPUTED_VALUE"""),265564.71535)</f>
        <v>265564.7154</v>
      </c>
      <c r="O38" s="6">
        <f t="shared" si="4"/>
        <v>47</v>
      </c>
      <c r="P38" s="6">
        <f t="shared" ref="P38:Q38" si="78">COUNTIFS(L:L,L38)</f>
        <v>10</v>
      </c>
      <c r="Q38" s="24">
        <f t="shared" si="78"/>
        <v>4</v>
      </c>
      <c r="R38" s="6" t="str">
        <f t="shared" si="6"/>
        <v>Automobile and Auto Components</v>
      </c>
      <c r="S38" s="6" t="str">
        <f t="shared" si="7"/>
        <v>Automobile and Auto Components</v>
      </c>
      <c r="T38" s="6">
        <f>IFERROR(__xludf.DUMMYFUNCTION("COUNTA(UNIQUE(query($A$2:$P$800,""select L where K='""&amp; K38&amp;""'"")))"),2.0)</f>
        <v>2</v>
      </c>
      <c r="U38" s="23">
        <f t="shared" si="8"/>
        <v>0.06382978723</v>
      </c>
      <c r="V38" s="23">
        <f t="shared" ref="V38:W38" si="79">P38/O38</f>
        <v>0.2127659574</v>
      </c>
      <c r="W38" s="23">
        <f t="shared" si="79"/>
        <v>0.4</v>
      </c>
    </row>
    <row r="39">
      <c r="A39" s="6">
        <f>IFERROR(__xludf.DUMMYFUNCTION("""COMPUTED_VALUE"""),532978.0)</f>
        <v>532978</v>
      </c>
      <c r="B39" s="6" t="str">
        <f>IFERROR(__xludf.DUMMYFUNCTION("""COMPUTED_VALUE"""),"Bajaj Finserv Limited")</f>
        <v>Bajaj Finserv Limited</v>
      </c>
      <c r="C39" s="6" t="str">
        <f>IFERROR(__xludf.DUMMYFUNCTION("""COMPUTED_VALUE"""),"BAJAJFINSV")</f>
        <v>BAJAJFINSV</v>
      </c>
      <c r="D39" s="6" t="str">
        <f>IFERROR(__xludf.DUMMYFUNCTION("""COMPUTED_VALUE"""),"BAJAJ FINSERV LTD.")</f>
        <v>BAJAJ FINSERV LTD.</v>
      </c>
      <c r="E39" s="6" t="str">
        <f>IFERROR(__xludf.DUMMYFUNCTION("""COMPUTED_VALUE"""),"Active")</f>
        <v>Active</v>
      </c>
      <c r="F39" s="6" t="str">
        <f>IFERROR(__xludf.DUMMYFUNCTION("""COMPUTED_VALUE"""),"A")</f>
        <v>A</v>
      </c>
      <c r="G39" s="6">
        <f>IFERROR(__xludf.DUMMYFUNCTION("""COMPUTED_VALUE"""),1.0)</f>
        <v>1</v>
      </c>
      <c r="H39" s="6" t="str">
        <f>IFERROR(__xludf.DUMMYFUNCTION("""COMPUTED_VALUE"""),"INE918I01026")</f>
        <v>INE918I01026</v>
      </c>
      <c r="I39" s="6" t="str">
        <f>IFERROR(__xludf.DUMMYFUNCTION("""COMPUTED_VALUE"""),"Equity")</f>
        <v>Equity</v>
      </c>
      <c r="J39" s="6" t="str">
        <f>IFERROR(__xludf.DUMMYFUNCTION("""COMPUTED_VALUE"""),"Financial Services")</f>
        <v>Financial Services</v>
      </c>
      <c r="K39" s="6" t="str">
        <f>IFERROR(__xludf.DUMMYFUNCTION("""COMPUTED_VALUE"""),"Financial Services")</f>
        <v>Financial Services</v>
      </c>
      <c r="L39" s="6" t="str">
        <f>IFERROR(__xludf.DUMMYFUNCTION("""COMPUTED_VALUE"""),"Finance")</f>
        <v>Finance</v>
      </c>
      <c r="M39" s="6" t="str">
        <f>IFERROR(__xludf.DUMMYFUNCTION("""COMPUTED_VALUE"""),"Holding Company")</f>
        <v>Holding Company</v>
      </c>
      <c r="N39" s="5">
        <f>IFERROR(__xludf.DUMMYFUNCTION("""COMPUTED_VALUE"""),254062.5318505)</f>
        <v>254062.5319</v>
      </c>
      <c r="O39" s="6">
        <f t="shared" si="4"/>
        <v>123</v>
      </c>
      <c r="P39" s="6">
        <f t="shared" ref="P39:Q39" si="80">COUNTIFS(L:L,L39)</f>
        <v>56</v>
      </c>
      <c r="Q39" s="24">
        <f t="shared" si="80"/>
        <v>8</v>
      </c>
      <c r="R39" s="6" t="str">
        <f t="shared" si="6"/>
        <v>Finance</v>
      </c>
      <c r="S39" s="6" t="str">
        <f t="shared" si="7"/>
        <v>Finance</v>
      </c>
      <c r="T39" s="6">
        <f>IFERROR(__xludf.DUMMYFUNCTION("COUNTA(UNIQUE(query($A$2:$P$800,""select L where K='""&amp; K39&amp;""'"")))"),5.0)</f>
        <v>5</v>
      </c>
      <c r="U39" s="23">
        <f t="shared" si="8"/>
        <v>0.06097560976</v>
      </c>
      <c r="V39" s="23">
        <f t="shared" ref="V39:W39" si="81">P39/O39</f>
        <v>0.4552845528</v>
      </c>
      <c r="W39" s="23">
        <f t="shared" si="81"/>
        <v>0.1428571429</v>
      </c>
    </row>
    <row r="40">
      <c r="A40" s="6">
        <f>IFERROR(__xludf.DUMMYFUNCTION("""COMPUTED_VALUE"""),500790.0)</f>
        <v>500790</v>
      </c>
      <c r="B40" s="6" t="str">
        <f>IFERROR(__xludf.DUMMYFUNCTION("""COMPUTED_VALUE"""),"Nestle India Ltd.")</f>
        <v>Nestle India Ltd.</v>
      </c>
      <c r="C40" s="6" t="str">
        <f>IFERROR(__xludf.DUMMYFUNCTION("""COMPUTED_VALUE"""),"NESTLEIND")</f>
        <v>NESTLEIND</v>
      </c>
      <c r="D40" s="6" t="str">
        <f>IFERROR(__xludf.DUMMYFUNCTION("""COMPUTED_VALUE"""),"NESTLE INDIA LTD.")</f>
        <v>NESTLE INDIA LTD.</v>
      </c>
      <c r="E40" s="6" t="str">
        <f>IFERROR(__xludf.DUMMYFUNCTION("""COMPUTED_VALUE"""),"Active")</f>
        <v>Active</v>
      </c>
      <c r="F40" s="6" t="str">
        <f>IFERROR(__xludf.DUMMYFUNCTION("""COMPUTED_VALUE"""),"A")</f>
        <v>A</v>
      </c>
      <c r="G40" s="6">
        <f>IFERROR(__xludf.DUMMYFUNCTION("""COMPUTED_VALUE"""),1.0)</f>
        <v>1</v>
      </c>
      <c r="H40" s="6" t="str">
        <f>IFERROR(__xludf.DUMMYFUNCTION("""COMPUTED_VALUE"""),"INE239A01024")</f>
        <v>INE239A01024</v>
      </c>
      <c r="I40" s="6" t="str">
        <f>IFERROR(__xludf.DUMMYFUNCTION("""COMPUTED_VALUE"""),"Equity")</f>
        <v>Equity</v>
      </c>
      <c r="J40" s="6" t="str">
        <f>IFERROR(__xludf.DUMMYFUNCTION("""COMPUTED_VALUE"""),"Fast Moving Consumer Goods")</f>
        <v>Fast Moving Consumer Goods</v>
      </c>
      <c r="K40" s="6" t="str">
        <f>IFERROR(__xludf.DUMMYFUNCTION("""COMPUTED_VALUE"""),"Fast Moving Consumer Goods")</f>
        <v>Fast Moving Consumer Goods</v>
      </c>
      <c r="L40" s="6" t="str">
        <f>IFERROR(__xludf.DUMMYFUNCTION("""COMPUTED_VALUE"""),"Food Products")</f>
        <v>Food Products</v>
      </c>
      <c r="M40" s="6" t="str">
        <f>IFERROR(__xludf.DUMMYFUNCTION("""COMPUTED_VALUE"""),"Packaged Foods")</f>
        <v>Packaged Foods</v>
      </c>
      <c r="N40" s="5">
        <f>IFERROR(__xludf.DUMMYFUNCTION("""COMPUTED_VALUE"""),245315.0613975)</f>
        <v>245315.0614</v>
      </c>
      <c r="O40" s="6">
        <f t="shared" si="4"/>
        <v>44</v>
      </c>
      <c r="P40" s="6">
        <f t="shared" ref="P40:Q40" si="82">COUNTIFS(L:L,L40)</f>
        <v>11</v>
      </c>
      <c r="Q40" s="24">
        <f t="shared" si="82"/>
        <v>6</v>
      </c>
      <c r="R40" s="6" t="str">
        <f t="shared" si="6"/>
        <v>Fast Moving Consumer Goods</v>
      </c>
      <c r="S40" s="6" t="str">
        <f t="shared" si="7"/>
        <v>Fast Moving Consumer Goods</v>
      </c>
      <c r="T40" s="6">
        <f>IFERROR(__xludf.DUMMYFUNCTION("COUNTA(UNIQUE(query($A$2:$P$800,""select L where K='""&amp; K40&amp;""'"")))"),7.0)</f>
        <v>7</v>
      </c>
      <c r="U40" s="23">
        <f t="shared" si="8"/>
        <v>0.2386363636</v>
      </c>
      <c r="V40" s="23">
        <f t="shared" ref="V40:W40" si="83">P40/O40</f>
        <v>0.25</v>
      </c>
      <c r="W40" s="23">
        <f t="shared" si="83"/>
        <v>0.5454545455</v>
      </c>
    </row>
    <row r="41">
      <c r="A41" s="6">
        <f>IFERROR(__xludf.DUMMYFUNCTION("""COMPUTED_VALUE"""),530965.0)</f>
        <v>530965</v>
      </c>
      <c r="B41" s="6" t="str">
        <f>IFERROR(__xludf.DUMMYFUNCTION("""COMPUTED_VALUE"""),"Indian Oil Corporation Ltd.")</f>
        <v>Indian Oil Corporation Ltd.</v>
      </c>
      <c r="C41" s="6" t="str">
        <f>IFERROR(__xludf.DUMMYFUNCTION("""COMPUTED_VALUE"""),"IOC")</f>
        <v>IOC</v>
      </c>
      <c r="D41" s="6" t="str">
        <f>IFERROR(__xludf.DUMMYFUNCTION("""COMPUTED_VALUE"""),"INDIAN OIL CORPORATION LTD.")</f>
        <v>INDIAN OIL CORPORATION LTD.</v>
      </c>
      <c r="E41" s="6" t="str">
        <f>IFERROR(__xludf.DUMMYFUNCTION("""COMPUTED_VALUE"""),"Active")</f>
        <v>Active</v>
      </c>
      <c r="F41" s="6" t="str">
        <f>IFERROR(__xludf.DUMMYFUNCTION("""COMPUTED_VALUE"""),"A")</f>
        <v>A</v>
      </c>
      <c r="G41" s="6">
        <f>IFERROR(__xludf.DUMMYFUNCTION("""COMPUTED_VALUE"""),10.0)</f>
        <v>10</v>
      </c>
      <c r="H41" s="6" t="str">
        <f>IFERROR(__xludf.DUMMYFUNCTION("""COMPUTED_VALUE"""),"INE242A01010")</f>
        <v>INE242A01010</v>
      </c>
      <c r="I41" s="6" t="str">
        <f>IFERROR(__xludf.DUMMYFUNCTION("""COMPUTED_VALUE"""),"Equity")</f>
        <v>Equity</v>
      </c>
      <c r="J41" s="6" t="str">
        <f>IFERROR(__xludf.DUMMYFUNCTION("""COMPUTED_VALUE"""),"Energy")</f>
        <v>Energy</v>
      </c>
      <c r="K41" s="6" t="str">
        <f>IFERROR(__xludf.DUMMYFUNCTION("""COMPUTED_VALUE"""),"Oil, Gas &amp; Consumable, Fuels")</f>
        <v>Oil, Gas &amp; Consumable, Fuels</v>
      </c>
      <c r="L41" s="6" t="str">
        <f>IFERROR(__xludf.DUMMYFUNCTION("""COMPUTED_VALUE"""),"Petroleum Products")</f>
        <v>Petroleum Products</v>
      </c>
      <c r="M41" s="6" t="str">
        <f>IFERROR(__xludf.DUMMYFUNCTION("""COMPUTED_VALUE"""),"Refineries &amp; Marketing")</f>
        <v>Refineries &amp; Marketing</v>
      </c>
      <c r="N41" s="5">
        <f>IFERROR(__xludf.DUMMYFUNCTION("""COMPUTED_VALUE"""),234796.5750625)</f>
        <v>234796.5751</v>
      </c>
      <c r="O41" s="6">
        <f t="shared" si="4"/>
        <v>20</v>
      </c>
      <c r="P41" s="6">
        <f t="shared" ref="P41:Q41" si="84">COUNTIFS(L:L,L41)</f>
        <v>8</v>
      </c>
      <c r="Q41" s="24">
        <f t="shared" si="84"/>
        <v>6</v>
      </c>
      <c r="R41" s="6" t="str">
        <f t="shared" si="6"/>
        <v>Oil, Gas &amp; Consumable, Fuels</v>
      </c>
      <c r="S41" s="6" t="str">
        <f t="shared" si="7"/>
        <v>Oil, Gas &amp; Consumable, Fuels</v>
      </c>
      <c r="T41" s="6">
        <f>IFERROR(__xludf.DUMMYFUNCTION("COUNTA(UNIQUE(query($A$2:$P$800,""select L where K='""&amp; K41&amp;""'"")))"),4.0)</f>
        <v>4</v>
      </c>
      <c r="U41" s="23">
        <f t="shared" si="8"/>
        <v>0.3</v>
      </c>
      <c r="V41" s="23">
        <f t="shared" ref="V41:W41" si="85">P41/O41</f>
        <v>0.4</v>
      </c>
      <c r="W41" s="23">
        <f t="shared" si="85"/>
        <v>0.75</v>
      </c>
    </row>
    <row r="42">
      <c r="A42" s="6">
        <f>IFERROR(__xludf.DUMMYFUNCTION("""COMPUTED_VALUE"""),543257.0)</f>
        <v>543257</v>
      </c>
      <c r="B42" s="6" t="str">
        <f>IFERROR(__xludf.DUMMYFUNCTION("""COMPUTED_VALUE"""),"Indian Railway Finance Corporation")</f>
        <v>Indian Railway Finance Corporation</v>
      </c>
      <c r="C42" s="6" t="str">
        <f>IFERROR(__xludf.DUMMYFUNCTION("""COMPUTED_VALUE"""),"IRFC")</f>
        <v>IRFC</v>
      </c>
      <c r="D42" s="6" t="str">
        <f>IFERROR(__xludf.DUMMYFUNCTION("""COMPUTED_VALUE"""),"Indian Railway Finance Corporation Ltd")</f>
        <v>Indian Railway Finance Corporation Ltd</v>
      </c>
      <c r="E42" s="6" t="str">
        <f>IFERROR(__xludf.DUMMYFUNCTION("""COMPUTED_VALUE"""),"Active")</f>
        <v>Active</v>
      </c>
      <c r="F42" s="6" t="str">
        <f>IFERROR(__xludf.DUMMYFUNCTION("""COMPUTED_VALUE"""),"A")</f>
        <v>A</v>
      </c>
      <c r="G42" s="6">
        <f>IFERROR(__xludf.DUMMYFUNCTION("""COMPUTED_VALUE"""),10.0)</f>
        <v>10</v>
      </c>
      <c r="H42" s="6" t="str">
        <f>IFERROR(__xludf.DUMMYFUNCTION("""COMPUTED_VALUE"""),"INE053F01010")</f>
        <v>INE053F01010</v>
      </c>
      <c r="I42" s="6" t="str">
        <f>IFERROR(__xludf.DUMMYFUNCTION("""COMPUTED_VALUE"""),"Equity")</f>
        <v>Equity</v>
      </c>
      <c r="J42" s="6" t="str">
        <f>IFERROR(__xludf.DUMMYFUNCTION("""COMPUTED_VALUE"""),"Financial Services")</f>
        <v>Financial Services</v>
      </c>
      <c r="K42" s="6" t="str">
        <f>IFERROR(__xludf.DUMMYFUNCTION("""COMPUTED_VALUE"""),"Financial Services")</f>
        <v>Financial Services</v>
      </c>
      <c r="L42" s="6" t="str">
        <f>IFERROR(__xludf.DUMMYFUNCTION("""COMPUTED_VALUE"""),"Finance")</f>
        <v>Finance</v>
      </c>
      <c r="M42" s="6" t="str">
        <f>IFERROR(__xludf.DUMMYFUNCTION("""COMPUTED_VALUE"""),"Financial Institution")</f>
        <v>Financial Institution</v>
      </c>
      <c r="N42" s="5">
        <f>IFERROR(__xludf.DUMMYFUNCTION("""COMPUTED_VALUE"""),228664.5644279)</f>
        <v>228664.5644</v>
      </c>
      <c r="O42" s="6">
        <f t="shared" si="4"/>
        <v>123</v>
      </c>
      <c r="P42" s="6">
        <f t="shared" ref="P42:Q42" si="86">COUNTIFS(L:L,L42)</f>
        <v>56</v>
      </c>
      <c r="Q42" s="24">
        <f t="shared" si="86"/>
        <v>6</v>
      </c>
      <c r="R42" s="6" t="str">
        <f t="shared" si="6"/>
        <v>Finance</v>
      </c>
      <c r="S42" s="6" t="str">
        <f t="shared" si="7"/>
        <v>Finance</v>
      </c>
      <c r="T42" s="6">
        <f>IFERROR(__xludf.DUMMYFUNCTION("COUNTA(UNIQUE(query($A$2:$P$800,""select L where K='""&amp; K42&amp;""'"")))"),5.0)</f>
        <v>5</v>
      </c>
      <c r="U42" s="23">
        <f t="shared" si="8"/>
        <v>0.06097560976</v>
      </c>
      <c r="V42" s="23">
        <f t="shared" ref="V42:W42" si="87">P42/O42</f>
        <v>0.4552845528</v>
      </c>
      <c r="W42" s="23">
        <f t="shared" si="87"/>
        <v>0.1071428571</v>
      </c>
    </row>
    <row r="43">
      <c r="A43" s="6">
        <f>IFERROR(__xludf.DUMMYFUNCTION("""COMPUTED_VALUE"""),543940.0)</f>
        <v>543940</v>
      </c>
      <c r="B43" s="6" t="str">
        <f>IFERROR(__xludf.DUMMYFUNCTION("""COMPUTED_VALUE"""),"Jio Financial Services Limited")</f>
        <v>Jio Financial Services Limited</v>
      </c>
      <c r="C43" s="6" t="str">
        <f>IFERROR(__xludf.DUMMYFUNCTION("""COMPUTED_VALUE"""),"JIOFIN")</f>
        <v>JIOFIN</v>
      </c>
      <c r="D43" s="6" t="str">
        <f>IFERROR(__xludf.DUMMYFUNCTION("""COMPUTED_VALUE"""),"Jio Financial Services Ltd")</f>
        <v>Jio Financial Services Ltd</v>
      </c>
      <c r="E43" s="6" t="str">
        <f>IFERROR(__xludf.DUMMYFUNCTION("""COMPUTED_VALUE"""),"Active")</f>
        <v>Active</v>
      </c>
      <c r="F43" s="6" t="str">
        <f>IFERROR(__xludf.DUMMYFUNCTION("""COMPUTED_VALUE"""),"B")</f>
        <v>B</v>
      </c>
      <c r="G43" s="6">
        <f>IFERROR(__xludf.DUMMYFUNCTION("""COMPUTED_VALUE"""),10.0)</f>
        <v>10</v>
      </c>
      <c r="H43" s="6" t="str">
        <f>IFERROR(__xludf.DUMMYFUNCTION("""COMPUTED_VALUE"""),"INE758E01017")</f>
        <v>INE758E01017</v>
      </c>
      <c r="I43" s="6" t="str">
        <f>IFERROR(__xludf.DUMMYFUNCTION("""COMPUTED_VALUE"""),"Equity")</f>
        <v>Equity</v>
      </c>
      <c r="J43" s="6" t="str">
        <f>IFERROR(__xludf.DUMMYFUNCTION("""COMPUTED_VALUE"""),"Financial Services")</f>
        <v>Financial Services</v>
      </c>
      <c r="K43" s="6" t="str">
        <f>IFERROR(__xludf.DUMMYFUNCTION("""COMPUTED_VALUE"""),"Financial Services")</f>
        <v>Financial Services</v>
      </c>
      <c r="L43" s="6" t="str">
        <f>IFERROR(__xludf.DUMMYFUNCTION("""COMPUTED_VALUE"""),"Finance")</f>
        <v>Finance</v>
      </c>
      <c r="M43" s="6" t="str">
        <f>IFERROR(__xludf.DUMMYFUNCTION("""COMPUTED_VALUE"""),"Non Banking Financial Company (NBFC)")</f>
        <v>Non Banking Financial Company (NBFC)</v>
      </c>
      <c r="N43" s="5">
        <f>IFERROR(__xludf.DUMMYFUNCTION("""COMPUTED_VALUE"""),227156.0213591)</f>
        <v>227156.0214</v>
      </c>
      <c r="O43" s="6">
        <f t="shared" si="4"/>
        <v>123</v>
      </c>
      <c r="P43" s="6">
        <f t="shared" ref="P43:Q43" si="88">COUNTIFS(L:L,L43)</f>
        <v>56</v>
      </c>
      <c r="Q43" s="24">
        <f t="shared" si="88"/>
        <v>21</v>
      </c>
      <c r="R43" s="6" t="str">
        <f t="shared" si="6"/>
        <v>Non Banking Financial Company (NBFC)</v>
      </c>
      <c r="S43" s="6" t="str">
        <f t="shared" si="7"/>
        <v>Non Banking Financial Company (NBFC)</v>
      </c>
      <c r="T43" s="6">
        <f>IFERROR(__xludf.DUMMYFUNCTION("COUNTA(UNIQUE(query($A$2:$P$800,""select L where K='""&amp; K43&amp;""'"")))"),5.0)</f>
        <v>5</v>
      </c>
      <c r="U43" s="23">
        <f t="shared" si="8"/>
        <v>0.06097560976</v>
      </c>
      <c r="V43" s="23">
        <f t="shared" ref="V43:W43" si="89">P43/O43</f>
        <v>0.4552845528</v>
      </c>
      <c r="W43" s="23">
        <f t="shared" si="89"/>
        <v>0.375</v>
      </c>
    </row>
    <row r="44">
      <c r="A44" s="6">
        <f>IFERROR(__xludf.DUMMYFUNCTION("""COMPUTED_VALUE"""),500228.0)</f>
        <v>500228</v>
      </c>
      <c r="B44" s="6" t="str">
        <f>IFERROR(__xludf.DUMMYFUNCTION("""COMPUTED_VALUE"""),"JSW Steel Limited")</f>
        <v>JSW Steel Limited</v>
      </c>
      <c r="C44" s="6" t="str">
        <f>IFERROR(__xludf.DUMMYFUNCTION("""COMPUTED_VALUE"""),"JSWSTEEL")</f>
        <v>JSWSTEEL</v>
      </c>
      <c r="D44" s="6" t="str">
        <f>IFERROR(__xludf.DUMMYFUNCTION("""COMPUTED_VALUE"""),"JSW STEEL LTD.")</f>
        <v>JSW STEEL LTD.</v>
      </c>
      <c r="E44" s="6" t="str">
        <f>IFERROR(__xludf.DUMMYFUNCTION("""COMPUTED_VALUE"""),"Active")</f>
        <v>Active</v>
      </c>
      <c r="F44" s="6" t="str">
        <f>IFERROR(__xludf.DUMMYFUNCTION("""COMPUTED_VALUE"""),"A")</f>
        <v>A</v>
      </c>
      <c r="G44" s="6">
        <f>IFERROR(__xludf.DUMMYFUNCTION("""COMPUTED_VALUE"""),1.0)</f>
        <v>1</v>
      </c>
      <c r="H44" s="6" t="str">
        <f>IFERROR(__xludf.DUMMYFUNCTION("""COMPUTED_VALUE"""),"INE019A01038")</f>
        <v>INE019A01038</v>
      </c>
      <c r="I44" s="6" t="str">
        <f>IFERROR(__xludf.DUMMYFUNCTION("""COMPUTED_VALUE"""),"Equity")</f>
        <v>Equity</v>
      </c>
      <c r="J44" s="6" t="str">
        <f>IFERROR(__xludf.DUMMYFUNCTION("""COMPUTED_VALUE"""),"Commodities")</f>
        <v>Commodities</v>
      </c>
      <c r="K44" s="6" t="str">
        <f>IFERROR(__xludf.DUMMYFUNCTION("""COMPUTED_VALUE"""),"Metals &amp; Mining")</f>
        <v>Metals &amp; Mining</v>
      </c>
      <c r="L44" s="6" t="str">
        <f>IFERROR(__xludf.DUMMYFUNCTION("""COMPUTED_VALUE"""),"Ferrous Metals")</f>
        <v>Ferrous Metals</v>
      </c>
      <c r="M44" s="6" t="str">
        <f>IFERROR(__xludf.DUMMYFUNCTION("""COMPUTED_VALUE"""),"Iron &amp; Steel")</f>
        <v>Iron &amp; Steel</v>
      </c>
      <c r="N44" s="5">
        <f>IFERROR(__xludf.DUMMYFUNCTION("""COMPUTED_VALUE"""),226876.0284348)</f>
        <v>226876.0284</v>
      </c>
      <c r="O44" s="6">
        <f t="shared" si="4"/>
        <v>20</v>
      </c>
      <c r="P44" s="6">
        <f t="shared" ref="P44:Q44" si="90">COUNTIFS(L:L,L44)</f>
        <v>10</v>
      </c>
      <c r="Q44" s="24">
        <f t="shared" si="90"/>
        <v>7</v>
      </c>
      <c r="R44" s="6" t="str">
        <f t="shared" si="6"/>
        <v>Metals &amp; Mining</v>
      </c>
      <c r="S44" s="6" t="str">
        <f t="shared" si="7"/>
        <v>Metals &amp; Mining</v>
      </c>
      <c r="T44" s="6">
        <f>IFERROR(__xludf.DUMMYFUNCTION("COUNTA(UNIQUE(query($A$2:$P$800,""select L where K='""&amp; K44&amp;""'"")))"),5.0)</f>
        <v>5</v>
      </c>
      <c r="U44" s="23">
        <f t="shared" si="8"/>
        <v>0.375</v>
      </c>
      <c r="V44" s="23">
        <f t="shared" ref="V44:W44" si="91">P44/O44</f>
        <v>0.5</v>
      </c>
      <c r="W44" s="23">
        <f t="shared" si="91"/>
        <v>0.7</v>
      </c>
    </row>
    <row r="45">
      <c r="A45" s="6">
        <f>IFERROR(__xludf.DUMMYFUNCTION("""COMPUTED_VALUE"""),500049.0)</f>
        <v>500049</v>
      </c>
      <c r="B45" s="6" t="str">
        <f>IFERROR(__xludf.DUMMYFUNCTION("""COMPUTED_VALUE"""),"Bharat Electronics Ltd.")</f>
        <v>Bharat Electronics Ltd.</v>
      </c>
      <c r="C45" s="6" t="str">
        <f>IFERROR(__xludf.DUMMYFUNCTION("""COMPUTED_VALUE"""),"BEL")</f>
        <v>BEL</v>
      </c>
      <c r="D45" s="6" t="str">
        <f>IFERROR(__xludf.DUMMYFUNCTION("""COMPUTED_VALUE"""),"BHARAT ELECTRONICS LTD.")</f>
        <v>BHARAT ELECTRONICS LTD.</v>
      </c>
      <c r="E45" s="6" t="str">
        <f>IFERROR(__xludf.DUMMYFUNCTION("""COMPUTED_VALUE"""),"Active")</f>
        <v>Active</v>
      </c>
      <c r="F45" s="6" t="str">
        <f>IFERROR(__xludf.DUMMYFUNCTION("""COMPUTED_VALUE"""),"A")</f>
        <v>A</v>
      </c>
      <c r="G45" s="6">
        <f>IFERROR(__xludf.DUMMYFUNCTION("""COMPUTED_VALUE"""),1.0)</f>
        <v>1</v>
      </c>
      <c r="H45" s="6" t="str">
        <f>IFERROR(__xludf.DUMMYFUNCTION("""COMPUTED_VALUE"""),"INE263A01024")</f>
        <v>INE263A01024</v>
      </c>
      <c r="I45" s="6" t="str">
        <f>IFERROR(__xludf.DUMMYFUNCTION("""COMPUTED_VALUE"""),"Equity")</f>
        <v>Equity</v>
      </c>
      <c r="J45" s="6" t="str">
        <f>IFERROR(__xludf.DUMMYFUNCTION("""COMPUTED_VALUE"""),"Industrials")</f>
        <v>Industrials</v>
      </c>
      <c r="K45" s="6" t="str">
        <f>IFERROR(__xludf.DUMMYFUNCTION("""COMPUTED_VALUE"""),"Capital Goods")</f>
        <v>Capital Goods</v>
      </c>
      <c r="L45" s="6" t="str">
        <f>IFERROR(__xludf.DUMMYFUNCTION("""COMPUTED_VALUE"""),"Aerospace &amp; Defense")</f>
        <v>Aerospace &amp; Defense</v>
      </c>
      <c r="M45" s="6" t="str">
        <f>IFERROR(__xludf.DUMMYFUNCTION("""COMPUTED_VALUE"""),"Aerospace &amp; Defense")</f>
        <v>Aerospace &amp; Defense</v>
      </c>
      <c r="N45" s="5">
        <f>IFERROR(__xludf.DUMMYFUNCTION("""COMPUTED_VALUE"""),225566.9181925)</f>
        <v>225566.9182</v>
      </c>
      <c r="O45" s="6">
        <f t="shared" si="4"/>
        <v>110</v>
      </c>
      <c r="P45" s="6">
        <f t="shared" ref="P45:Q45" si="92">COUNTIFS(L:L,L45)</f>
        <v>11</v>
      </c>
      <c r="Q45" s="24">
        <f t="shared" si="92"/>
        <v>11</v>
      </c>
      <c r="R45" s="6" t="str">
        <f t="shared" si="6"/>
        <v>Capital Goods</v>
      </c>
      <c r="S45" s="6" t="str">
        <f t="shared" si="7"/>
        <v>Capital Goods</v>
      </c>
      <c r="T45" s="6">
        <f>IFERROR(__xludf.DUMMYFUNCTION("COUNTA(UNIQUE(query($A$2:$P$800,""select L where K='""&amp; K45&amp;""'"")))"),5.0)</f>
        <v>5</v>
      </c>
      <c r="U45" s="23">
        <f t="shared" si="8"/>
        <v>0.06818181818</v>
      </c>
      <c r="V45" s="23">
        <f t="shared" ref="V45:W45" si="93">P45/O45</f>
        <v>0.1</v>
      </c>
      <c r="W45" s="23">
        <f t="shared" si="93"/>
        <v>1</v>
      </c>
    </row>
    <row r="46">
      <c r="A46" s="6">
        <f>IFERROR(__xludf.DUMMYFUNCTION("""COMPUTED_VALUE"""),500470.0)</f>
        <v>500470</v>
      </c>
      <c r="B46" s="6" t="str">
        <f>IFERROR(__xludf.DUMMYFUNCTION("""COMPUTED_VALUE"""),"TATA STEEL LIMITED")</f>
        <v>TATA STEEL LIMITED</v>
      </c>
      <c r="C46" s="6" t="str">
        <f>IFERROR(__xludf.DUMMYFUNCTION("""COMPUTED_VALUE"""),"TATASTEEL")</f>
        <v>TATASTEEL</v>
      </c>
      <c r="D46" s="6" t="str">
        <f>IFERROR(__xludf.DUMMYFUNCTION("""COMPUTED_VALUE"""),"TATA STEEL LTD.")</f>
        <v>TATA STEEL LTD.</v>
      </c>
      <c r="E46" s="6" t="str">
        <f>IFERROR(__xludf.DUMMYFUNCTION("""COMPUTED_VALUE"""),"Active")</f>
        <v>Active</v>
      </c>
      <c r="F46" s="6" t="str">
        <f>IFERROR(__xludf.DUMMYFUNCTION("""COMPUTED_VALUE"""),"A")</f>
        <v>A</v>
      </c>
      <c r="G46" s="6">
        <f>IFERROR(__xludf.DUMMYFUNCTION("""COMPUTED_VALUE"""),1.0)</f>
        <v>1</v>
      </c>
      <c r="H46" s="6" t="str">
        <f>IFERROR(__xludf.DUMMYFUNCTION("""COMPUTED_VALUE"""),"INE081A01020")</f>
        <v>INE081A01020</v>
      </c>
      <c r="I46" s="6" t="str">
        <f>IFERROR(__xludf.DUMMYFUNCTION("""COMPUTED_VALUE"""),"Equity")</f>
        <v>Equity</v>
      </c>
      <c r="J46" s="6" t="str">
        <f>IFERROR(__xludf.DUMMYFUNCTION("""COMPUTED_VALUE"""),"Commodities")</f>
        <v>Commodities</v>
      </c>
      <c r="K46" s="6" t="str">
        <f>IFERROR(__xludf.DUMMYFUNCTION("""COMPUTED_VALUE"""),"Metals &amp; Mining")</f>
        <v>Metals &amp; Mining</v>
      </c>
      <c r="L46" s="6" t="str">
        <f>IFERROR(__xludf.DUMMYFUNCTION("""COMPUTED_VALUE"""),"Ferrous Metals")</f>
        <v>Ferrous Metals</v>
      </c>
      <c r="M46" s="6" t="str">
        <f>IFERROR(__xludf.DUMMYFUNCTION("""COMPUTED_VALUE"""),"Iron &amp; Steel")</f>
        <v>Iron &amp; Steel</v>
      </c>
      <c r="N46" s="5">
        <f>IFERROR(__xludf.DUMMYFUNCTION("""COMPUTED_VALUE"""),218922.9473199)</f>
        <v>218922.9473</v>
      </c>
      <c r="O46" s="6">
        <f t="shared" si="4"/>
        <v>20</v>
      </c>
      <c r="P46" s="6">
        <f t="shared" ref="P46:Q46" si="94">COUNTIFS(L:L,L46)</f>
        <v>10</v>
      </c>
      <c r="Q46" s="24">
        <f t="shared" si="94"/>
        <v>7</v>
      </c>
      <c r="R46" s="6" t="str">
        <f t="shared" si="6"/>
        <v>Metals &amp; Mining</v>
      </c>
      <c r="S46" s="6" t="str">
        <f t="shared" si="7"/>
        <v>Metals &amp; Mining</v>
      </c>
      <c r="T46" s="6">
        <f>IFERROR(__xludf.DUMMYFUNCTION("COUNTA(UNIQUE(query($A$2:$P$800,""select L where K='""&amp; K46&amp;""'"")))"),5.0)</f>
        <v>5</v>
      </c>
      <c r="U46" s="23">
        <f t="shared" si="8"/>
        <v>0.375</v>
      </c>
      <c r="V46" s="23">
        <f t="shared" ref="V46:W46" si="95">P46/O46</f>
        <v>0.5</v>
      </c>
      <c r="W46" s="23">
        <f t="shared" si="95"/>
        <v>0.7</v>
      </c>
    </row>
    <row r="47">
      <c r="A47" s="6">
        <f>IFERROR(__xludf.DUMMYFUNCTION("""COMPUTED_VALUE"""),540180.0)</f>
        <v>540180</v>
      </c>
      <c r="B47" s="6" t="str">
        <f>IFERROR(__xludf.DUMMYFUNCTION("""COMPUTED_VALUE"""),"Varun Beverages Limited")</f>
        <v>Varun Beverages Limited</v>
      </c>
      <c r="C47" s="6" t="str">
        <f>IFERROR(__xludf.DUMMYFUNCTION("""COMPUTED_VALUE"""),"VBL")</f>
        <v>VBL</v>
      </c>
      <c r="D47" s="6" t="str">
        <f>IFERROR(__xludf.DUMMYFUNCTION("""COMPUTED_VALUE"""),"Varun Beverages Ltd")</f>
        <v>Varun Beverages Ltd</v>
      </c>
      <c r="E47" s="6" t="str">
        <f>IFERROR(__xludf.DUMMYFUNCTION("""COMPUTED_VALUE"""),"Active")</f>
        <v>Active</v>
      </c>
      <c r="F47" s="6" t="str">
        <f>IFERROR(__xludf.DUMMYFUNCTION("""COMPUTED_VALUE"""),"A")</f>
        <v>A</v>
      </c>
      <c r="G47" s="6">
        <f>IFERROR(__xludf.DUMMYFUNCTION("""COMPUTED_VALUE"""),5.0)</f>
        <v>5</v>
      </c>
      <c r="H47" s="6" t="str">
        <f>IFERROR(__xludf.DUMMYFUNCTION("""COMPUTED_VALUE"""),"INE200M01021")</f>
        <v>INE200M01021</v>
      </c>
      <c r="I47" s="6" t="str">
        <f>IFERROR(__xludf.DUMMYFUNCTION("""COMPUTED_VALUE"""),"Equity")</f>
        <v>Equity</v>
      </c>
      <c r="J47" s="6" t="str">
        <f>IFERROR(__xludf.DUMMYFUNCTION("""COMPUTED_VALUE"""),"Fast Moving Consumer Goods")</f>
        <v>Fast Moving Consumer Goods</v>
      </c>
      <c r="K47" s="6" t="str">
        <f>IFERROR(__xludf.DUMMYFUNCTION("""COMPUTED_VALUE"""),"Fast Moving Consumer Goods")</f>
        <v>Fast Moving Consumer Goods</v>
      </c>
      <c r="L47" s="6" t="str">
        <f>IFERROR(__xludf.DUMMYFUNCTION("""COMPUTED_VALUE"""),"Beverages")</f>
        <v>Beverages</v>
      </c>
      <c r="M47" s="6" t="str">
        <f>IFERROR(__xludf.DUMMYFUNCTION("""COMPUTED_VALUE"""),"Other Beverages")</f>
        <v>Other Beverages</v>
      </c>
      <c r="N47" s="5">
        <f>IFERROR(__xludf.DUMMYFUNCTION("""COMPUTED_VALUE"""),208964.978475)</f>
        <v>208964.9785</v>
      </c>
      <c r="O47" s="6">
        <f t="shared" si="4"/>
        <v>44</v>
      </c>
      <c r="P47" s="6">
        <f t="shared" ref="P47:Q47" si="96">COUNTIFS(L:L,L47)</f>
        <v>5</v>
      </c>
      <c r="Q47" s="24">
        <f t="shared" si="96"/>
        <v>1</v>
      </c>
      <c r="R47" s="6" t="str">
        <f t="shared" si="6"/>
        <v>Fast Moving Consumer Goods</v>
      </c>
      <c r="S47" s="6" t="str">
        <f t="shared" si="7"/>
        <v>Fast Moving Consumer Goods</v>
      </c>
      <c r="T47" s="6">
        <f>IFERROR(__xludf.DUMMYFUNCTION("COUNTA(UNIQUE(query($A$2:$P$800,""select L where K='""&amp; K47&amp;""'"")))"),7.0)</f>
        <v>7</v>
      </c>
      <c r="U47" s="23">
        <f t="shared" si="8"/>
        <v>0.2386363636</v>
      </c>
      <c r="V47" s="23">
        <f t="shared" ref="V47:W47" si="97">P47/O47</f>
        <v>0.1136363636</v>
      </c>
      <c r="W47" s="23">
        <f t="shared" si="97"/>
        <v>0.2</v>
      </c>
    </row>
    <row r="48">
      <c r="A48" s="6">
        <f>IFERROR(__xludf.DUMMYFUNCTION("""COMPUTED_VALUE"""),532868.0)</f>
        <v>532868</v>
      </c>
      <c r="B48" s="6" t="str">
        <f>IFERROR(__xludf.DUMMYFUNCTION("""COMPUTED_VALUE"""),"DLF LIMITED")</f>
        <v>DLF LIMITED</v>
      </c>
      <c r="C48" s="6" t="str">
        <f>IFERROR(__xludf.DUMMYFUNCTION("""COMPUTED_VALUE"""),"DLF")</f>
        <v>DLF</v>
      </c>
      <c r="D48" s="6" t="str">
        <f>IFERROR(__xludf.DUMMYFUNCTION("""COMPUTED_VALUE"""),"DLF LTD.")</f>
        <v>DLF LTD.</v>
      </c>
      <c r="E48" s="6" t="str">
        <f>IFERROR(__xludf.DUMMYFUNCTION("""COMPUTED_VALUE"""),"Active")</f>
        <v>Active</v>
      </c>
      <c r="F48" s="6" t="str">
        <f>IFERROR(__xludf.DUMMYFUNCTION("""COMPUTED_VALUE"""),"A")</f>
        <v>A</v>
      </c>
      <c r="G48" s="6">
        <f>IFERROR(__xludf.DUMMYFUNCTION("""COMPUTED_VALUE"""),2.0)</f>
        <v>2</v>
      </c>
      <c r="H48" s="6" t="str">
        <f>IFERROR(__xludf.DUMMYFUNCTION("""COMPUTED_VALUE"""),"INE271C01023")</f>
        <v>INE271C01023</v>
      </c>
      <c r="I48" s="6" t="str">
        <f>IFERROR(__xludf.DUMMYFUNCTION("""COMPUTED_VALUE"""),"Equity")</f>
        <v>Equity</v>
      </c>
      <c r="J48" s="6" t="str">
        <f>IFERROR(__xludf.DUMMYFUNCTION("""COMPUTED_VALUE"""),"Consumer Discretionary")</f>
        <v>Consumer Discretionary</v>
      </c>
      <c r="K48" s="6" t="str">
        <f>IFERROR(__xludf.DUMMYFUNCTION("""COMPUTED_VALUE"""),"Realty")</f>
        <v>Realty</v>
      </c>
      <c r="L48" s="6" t="str">
        <f>IFERROR(__xludf.DUMMYFUNCTION("""COMPUTED_VALUE"""),"Realty")</f>
        <v>Realty</v>
      </c>
      <c r="M48" s="6" t="str">
        <f>IFERROR(__xludf.DUMMYFUNCTION("""COMPUTED_VALUE"""),"Residential, Commercial Projects")</f>
        <v>Residential, Commercial Projects</v>
      </c>
      <c r="N48" s="5">
        <f>IFERROR(__xludf.DUMMYFUNCTION("""COMPUTED_VALUE"""),206142.5333957)</f>
        <v>206142.5334</v>
      </c>
      <c r="O48" s="6">
        <f t="shared" si="4"/>
        <v>20</v>
      </c>
      <c r="P48" s="6">
        <f t="shared" ref="P48:Q48" si="98">COUNTIFS(L:L,L48)</f>
        <v>20</v>
      </c>
      <c r="Q48" s="24">
        <f t="shared" si="98"/>
        <v>20</v>
      </c>
      <c r="R48" s="6" t="str">
        <f t="shared" si="6"/>
        <v>Realty</v>
      </c>
      <c r="S48" s="6" t="str">
        <f t="shared" si="7"/>
        <v>Realty</v>
      </c>
      <c r="T48" s="6">
        <f>IFERROR(__xludf.DUMMYFUNCTION("COUNTA(UNIQUE(query($A$2:$P$800,""select L where K='""&amp; K48&amp;""'"")))"),1.0)</f>
        <v>1</v>
      </c>
      <c r="U48" s="23">
        <f t="shared" si="8"/>
        <v>0.075</v>
      </c>
      <c r="V48" s="23">
        <f t="shared" ref="V48:W48" si="99">P48/O48</f>
        <v>1</v>
      </c>
      <c r="W48" s="23">
        <f t="shared" si="99"/>
        <v>1</v>
      </c>
    </row>
    <row r="49">
      <c r="A49" s="6">
        <f>IFERROR(__xludf.DUMMYFUNCTION("""COMPUTED_VALUE"""),500251.0)</f>
        <v>500251</v>
      </c>
      <c r="B49" s="6" t="str">
        <f>IFERROR(__xludf.DUMMYFUNCTION("""COMPUTED_VALUE"""),"Trent Ltd [Lakme Ltd]")</f>
        <v>Trent Ltd [Lakme Ltd]</v>
      </c>
      <c r="C49" s="6" t="str">
        <f>IFERROR(__xludf.DUMMYFUNCTION("""COMPUTED_VALUE"""),"TRENT")</f>
        <v>TRENT</v>
      </c>
      <c r="D49" s="6" t="str">
        <f>IFERROR(__xludf.DUMMYFUNCTION("""COMPUTED_VALUE"""),"TRENT LTD.")</f>
        <v>TRENT LTD.</v>
      </c>
      <c r="E49" s="6" t="str">
        <f>IFERROR(__xludf.DUMMYFUNCTION("""COMPUTED_VALUE"""),"Active")</f>
        <v>Active</v>
      </c>
      <c r="F49" s="6" t="str">
        <f>IFERROR(__xludf.DUMMYFUNCTION("""COMPUTED_VALUE"""),"A")</f>
        <v>A</v>
      </c>
      <c r="G49" s="6">
        <f>IFERROR(__xludf.DUMMYFUNCTION("""COMPUTED_VALUE"""),1.0)</f>
        <v>1</v>
      </c>
      <c r="H49" s="6" t="str">
        <f>IFERROR(__xludf.DUMMYFUNCTION("""COMPUTED_VALUE"""),"INE849A01020")</f>
        <v>INE849A01020</v>
      </c>
      <c r="I49" s="6" t="str">
        <f>IFERROR(__xludf.DUMMYFUNCTION("""COMPUTED_VALUE"""),"Equity")</f>
        <v>Equity</v>
      </c>
      <c r="J49" s="6" t="str">
        <f>IFERROR(__xludf.DUMMYFUNCTION("""COMPUTED_VALUE"""),"Consumer Discretionary")</f>
        <v>Consumer Discretionary</v>
      </c>
      <c r="K49" s="6" t="str">
        <f>IFERROR(__xludf.DUMMYFUNCTION("""COMPUTED_VALUE"""),"Consumer Services")</f>
        <v>Consumer Services</v>
      </c>
      <c r="L49" s="6" t="str">
        <f>IFERROR(__xludf.DUMMYFUNCTION("""COMPUTED_VALUE"""),"Retailing")</f>
        <v>Retailing</v>
      </c>
      <c r="M49" s="6" t="str">
        <f>IFERROR(__xludf.DUMMYFUNCTION("""COMPUTED_VALUE"""),"Speciality Retail")</f>
        <v>Speciality Retail</v>
      </c>
      <c r="N49" s="5">
        <f>IFERROR(__xludf.DUMMYFUNCTION("""COMPUTED_VALUE"""),195097.95776)</f>
        <v>195097.9578</v>
      </c>
      <c r="O49" s="6">
        <f t="shared" si="4"/>
        <v>37</v>
      </c>
      <c r="P49" s="6">
        <f t="shared" ref="P49:Q49" si="100">COUNTIFS(L:L,L49)</f>
        <v>18</v>
      </c>
      <c r="Q49" s="24">
        <f t="shared" si="100"/>
        <v>6</v>
      </c>
      <c r="R49" s="6" t="str">
        <f t="shared" si="6"/>
        <v>Retailing</v>
      </c>
      <c r="S49" s="6" t="str">
        <f t="shared" si="7"/>
        <v>Retailing</v>
      </c>
      <c r="T49" s="6">
        <f>IFERROR(__xludf.DUMMYFUNCTION("COUNTA(UNIQUE(query($A$2:$P$800,""select L where K='""&amp; K49&amp;""'"")))"),3.0)</f>
        <v>3</v>
      </c>
      <c r="U49" s="23">
        <f t="shared" si="8"/>
        <v>0.1216216216</v>
      </c>
      <c r="V49" s="23">
        <f t="shared" ref="V49:W49" si="101">P49/O49</f>
        <v>0.4864864865</v>
      </c>
      <c r="W49" s="23">
        <f t="shared" si="101"/>
        <v>0.3333333333</v>
      </c>
    </row>
    <row r="50">
      <c r="A50" s="6">
        <f>IFERROR(__xludf.DUMMYFUNCTION("""COMPUTED_VALUE"""),500300.0)</f>
        <v>500300</v>
      </c>
      <c r="B50" s="6" t="str">
        <f>IFERROR(__xludf.DUMMYFUNCTION("""COMPUTED_VALUE"""),"Grasim Industries Ltd")</f>
        <v>Grasim Industries Ltd</v>
      </c>
      <c r="C50" s="6" t="str">
        <f>IFERROR(__xludf.DUMMYFUNCTION("""COMPUTED_VALUE"""),"GRASIM")</f>
        <v>GRASIM</v>
      </c>
      <c r="D50" s="6" t="str">
        <f>IFERROR(__xludf.DUMMYFUNCTION("""COMPUTED_VALUE"""),"GRASIM INDUSTRIES LTD.")</f>
        <v>GRASIM INDUSTRIES LTD.</v>
      </c>
      <c r="E50" s="6" t="str">
        <f>IFERROR(__xludf.DUMMYFUNCTION("""COMPUTED_VALUE"""),"Active")</f>
        <v>Active</v>
      </c>
      <c r="F50" s="6" t="str">
        <f>IFERROR(__xludf.DUMMYFUNCTION("""COMPUTED_VALUE"""),"A")</f>
        <v>A</v>
      </c>
      <c r="G50" s="6">
        <f>IFERROR(__xludf.DUMMYFUNCTION("""COMPUTED_VALUE"""),2.0)</f>
        <v>2</v>
      </c>
      <c r="H50" s="6" t="str">
        <f>IFERROR(__xludf.DUMMYFUNCTION("""COMPUTED_VALUE"""),"INE047A01021")</f>
        <v>INE047A01021</v>
      </c>
      <c r="I50" s="6" t="str">
        <f>IFERROR(__xludf.DUMMYFUNCTION("""COMPUTED_VALUE"""),"Equity")</f>
        <v>Equity</v>
      </c>
      <c r="J50" s="6" t="str">
        <f>IFERROR(__xludf.DUMMYFUNCTION("""COMPUTED_VALUE"""),"Commodities")</f>
        <v>Commodities</v>
      </c>
      <c r="K50" s="6" t="str">
        <f>IFERROR(__xludf.DUMMYFUNCTION("""COMPUTED_VALUE"""),"Construction Materials")</f>
        <v>Construction Materials</v>
      </c>
      <c r="L50" s="6" t="str">
        <f>IFERROR(__xludf.DUMMYFUNCTION("""COMPUTED_VALUE"""),"Cement &amp; Cement Products")</f>
        <v>Cement &amp; Cement Products</v>
      </c>
      <c r="M50" s="6" t="str">
        <f>IFERROR(__xludf.DUMMYFUNCTION("""COMPUTED_VALUE"""),"Cement &amp; Cement Products")</f>
        <v>Cement &amp; Cement Products</v>
      </c>
      <c r="N50" s="5">
        <f>IFERROR(__xludf.DUMMYFUNCTION("""COMPUTED_VALUE"""),185584.3107632)</f>
        <v>185584.3108</v>
      </c>
      <c r="O50" s="6">
        <f t="shared" si="4"/>
        <v>17</v>
      </c>
      <c r="P50" s="6">
        <f t="shared" ref="P50:Q50" si="102">COUNTIFS(L:L,L50)</f>
        <v>17</v>
      </c>
      <c r="Q50" s="24">
        <f t="shared" si="102"/>
        <v>17</v>
      </c>
      <c r="R50" s="6" t="str">
        <f t="shared" si="6"/>
        <v>Construction Materials</v>
      </c>
      <c r="S50" s="6" t="str">
        <f t="shared" si="7"/>
        <v>Construction Materials</v>
      </c>
      <c r="T50" s="6">
        <f>IFERROR(__xludf.DUMMYFUNCTION("COUNTA(UNIQUE(query($A$2:$P$800,""select L where K='""&amp; K50&amp;""'"")))"),1.0)</f>
        <v>1</v>
      </c>
      <c r="U50" s="23">
        <f t="shared" si="8"/>
        <v>0.08823529412</v>
      </c>
      <c r="V50" s="23">
        <f t="shared" ref="V50:W50" si="103">P50/O50</f>
        <v>1</v>
      </c>
      <c r="W50" s="23">
        <f t="shared" si="103"/>
        <v>1</v>
      </c>
    </row>
    <row r="51">
      <c r="A51" s="6">
        <f>IFERROR(__xludf.DUMMYFUNCTION("""COMPUTED_VALUE"""),543320.0)</f>
        <v>543320</v>
      </c>
      <c r="B51" s="6" t="str">
        <f>IFERROR(__xludf.DUMMYFUNCTION("""COMPUTED_VALUE"""),"Zomato Limited")</f>
        <v>Zomato Limited</v>
      </c>
      <c r="C51" s="6" t="str">
        <f>IFERROR(__xludf.DUMMYFUNCTION("""COMPUTED_VALUE"""),"ZOMATO")</f>
        <v>ZOMATO</v>
      </c>
      <c r="D51" s="6" t="str">
        <f>IFERROR(__xludf.DUMMYFUNCTION("""COMPUTED_VALUE"""),"Zomato Ltd")</f>
        <v>Zomato Ltd</v>
      </c>
      <c r="E51" s="6" t="str">
        <f>IFERROR(__xludf.DUMMYFUNCTION("""COMPUTED_VALUE"""),"Active")</f>
        <v>Active</v>
      </c>
      <c r="F51" s="6" t="str">
        <f>IFERROR(__xludf.DUMMYFUNCTION("""COMPUTED_VALUE"""),"A")</f>
        <v>A</v>
      </c>
      <c r="G51" s="6">
        <f>IFERROR(__xludf.DUMMYFUNCTION("""COMPUTED_VALUE"""),1.0)</f>
        <v>1</v>
      </c>
      <c r="H51" s="6" t="str">
        <f>IFERROR(__xludf.DUMMYFUNCTION("""COMPUTED_VALUE"""),"INE758T01015")</f>
        <v>INE758T01015</v>
      </c>
      <c r="I51" s="6" t="str">
        <f>IFERROR(__xludf.DUMMYFUNCTION("""COMPUTED_VALUE"""),"Equity")</f>
        <v>Equity</v>
      </c>
      <c r="J51" s="6" t="str">
        <f>IFERROR(__xludf.DUMMYFUNCTION("""COMPUTED_VALUE"""),"Consumer Discretionary")</f>
        <v>Consumer Discretionary</v>
      </c>
      <c r="K51" s="6" t="str">
        <f>IFERROR(__xludf.DUMMYFUNCTION("""COMPUTED_VALUE"""),"Consumer Services")</f>
        <v>Consumer Services</v>
      </c>
      <c r="L51" s="6" t="str">
        <f>IFERROR(__xludf.DUMMYFUNCTION("""COMPUTED_VALUE"""),"Retailing")</f>
        <v>Retailing</v>
      </c>
      <c r="M51" s="6" t="str">
        <f>IFERROR(__xludf.DUMMYFUNCTION("""COMPUTED_VALUE"""),"E-Retail/ E-Commerce")</f>
        <v>E-Retail/ E-Commerce</v>
      </c>
      <c r="N51" s="5">
        <f>IFERROR(__xludf.DUMMYFUNCTION("""COMPUTED_VALUE"""),181009.5518262)</f>
        <v>181009.5518</v>
      </c>
      <c r="O51" s="6">
        <f t="shared" si="4"/>
        <v>37</v>
      </c>
      <c r="P51" s="6">
        <f t="shared" ref="P51:Q51" si="104">COUNTIFS(L:L,L51)</f>
        <v>18</v>
      </c>
      <c r="Q51" s="24">
        <f t="shared" si="104"/>
        <v>3</v>
      </c>
      <c r="R51" s="6" t="str">
        <f t="shared" si="6"/>
        <v>Retailing</v>
      </c>
      <c r="S51" s="6" t="str">
        <f t="shared" si="7"/>
        <v>Retailing</v>
      </c>
      <c r="T51" s="6">
        <f>IFERROR(__xludf.DUMMYFUNCTION("COUNTA(UNIQUE(query($A$2:$P$800,""select L where K='""&amp; K51&amp;""'"")))"),3.0)</f>
        <v>3</v>
      </c>
      <c r="U51" s="23">
        <f t="shared" si="8"/>
        <v>0.1216216216</v>
      </c>
      <c r="V51" s="23">
        <f t="shared" ref="V51:W51" si="105">P51/O51</f>
        <v>0.4864864865</v>
      </c>
      <c r="W51" s="23">
        <f t="shared" si="105"/>
        <v>0.1666666667</v>
      </c>
    </row>
    <row r="52">
      <c r="A52" s="6">
        <f>IFERROR(__xludf.DUMMYFUNCTION("""COMPUTED_VALUE"""),500002.0)</f>
        <v>500002</v>
      </c>
      <c r="B52" s="6" t="str">
        <f>IFERROR(__xludf.DUMMYFUNCTION("""COMPUTED_VALUE"""),"ABB India Limited")</f>
        <v>ABB India Limited</v>
      </c>
      <c r="C52" s="6" t="str">
        <f>IFERROR(__xludf.DUMMYFUNCTION("""COMPUTED_VALUE"""),"ABB")</f>
        <v>ABB</v>
      </c>
      <c r="D52" s="6" t="str">
        <f>IFERROR(__xludf.DUMMYFUNCTION("""COMPUTED_VALUE"""),"ABB India Limited")</f>
        <v>ABB India Limited</v>
      </c>
      <c r="E52" s="6" t="str">
        <f>IFERROR(__xludf.DUMMYFUNCTION("""COMPUTED_VALUE"""),"Active")</f>
        <v>Active</v>
      </c>
      <c r="F52" s="6" t="str">
        <f>IFERROR(__xludf.DUMMYFUNCTION("""COMPUTED_VALUE"""),"A")</f>
        <v>A</v>
      </c>
      <c r="G52" s="6">
        <f>IFERROR(__xludf.DUMMYFUNCTION("""COMPUTED_VALUE"""),2.0)</f>
        <v>2</v>
      </c>
      <c r="H52" s="6" t="str">
        <f>IFERROR(__xludf.DUMMYFUNCTION("""COMPUTED_VALUE"""),"INE117A01022")</f>
        <v>INE117A01022</v>
      </c>
      <c r="I52" s="6" t="str">
        <f>IFERROR(__xludf.DUMMYFUNCTION("""COMPUTED_VALUE"""),"Equity")</f>
        <v>Equity</v>
      </c>
      <c r="J52" s="6" t="str">
        <f>IFERROR(__xludf.DUMMYFUNCTION("""COMPUTED_VALUE"""),"Industrials")</f>
        <v>Industrials</v>
      </c>
      <c r="K52" s="6" t="str">
        <f>IFERROR(__xludf.DUMMYFUNCTION("""COMPUTED_VALUE"""),"Capital Goods")</f>
        <v>Capital Goods</v>
      </c>
      <c r="L52" s="6" t="str">
        <f>IFERROR(__xludf.DUMMYFUNCTION("""COMPUTED_VALUE"""),"Electrical Equipment")</f>
        <v>Electrical Equipment</v>
      </c>
      <c r="M52" s="6" t="str">
        <f>IFERROR(__xludf.DUMMYFUNCTION("""COMPUTED_VALUE"""),"Heavy Electrical Equipment")</f>
        <v>Heavy Electrical Equipment</v>
      </c>
      <c r="N52" s="5">
        <f>IFERROR(__xludf.DUMMYFUNCTION("""COMPUTED_VALUE"""),180438.73172)</f>
        <v>180438.7317</v>
      </c>
      <c r="O52" s="6">
        <f t="shared" si="4"/>
        <v>110</v>
      </c>
      <c r="P52" s="6">
        <f t="shared" ref="P52:Q52" si="106">COUNTIFS(L:L,L52)</f>
        <v>22</v>
      </c>
      <c r="Q52" s="24">
        <f t="shared" si="106"/>
        <v>17</v>
      </c>
      <c r="R52" s="6" t="str">
        <f t="shared" si="6"/>
        <v>Electrical Equipment</v>
      </c>
      <c r="S52" s="6" t="str">
        <f t="shared" si="7"/>
        <v>Electrical Equipment</v>
      </c>
      <c r="T52" s="6">
        <f>IFERROR(__xludf.DUMMYFUNCTION("COUNTA(UNIQUE(query($A$2:$P$800,""select L where K='""&amp; K52&amp;""'"")))"),5.0)</f>
        <v>5</v>
      </c>
      <c r="U52" s="23">
        <f t="shared" si="8"/>
        <v>0.06818181818</v>
      </c>
      <c r="V52" s="23">
        <f t="shared" ref="V52:W52" si="107">P52/O52</f>
        <v>0.2</v>
      </c>
      <c r="W52" s="23">
        <f t="shared" si="107"/>
        <v>0.7727272727</v>
      </c>
    </row>
    <row r="53">
      <c r="A53" s="6">
        <f>IFERROR(__xludf.DUMMYFUNCTION("""COMPUTED_VALUE"""),532810.0)</f>
        <v>532810</v>
      </c>
      <c r="B53" s="6" t="str">
        <f>IFERROR(__xludf.DUMMYFUNCTION("""COMPUTED_VALUE"""),"Power Finance Corporation Ltd")</f>
        <v>Power Finance Corporation Ltd</v>
      </c>
      <c r="C53" s="6" t="str">
        <f>IFERROR(__xludf.DUMMYFUNCTION("""COMPUTED_VALUE"""),"PFC")</f>
        <v>PFC</v>
      </c>
      <c r="D53" s="6" t="str">
        <f>IFERROR(__xludf.DUMMYFUNCTION("""COMPUTED_VALUE"""),"POWER FINANCE CORPORATION LTD.")</f>
        <v>POWER FINANCE CORPORATION LTD.</v>
      </c>
      <c r="E53" s="6" t="str">
        <f>IFERROR(__xludf.DUMMYFUNCTION("""COMPUTED_VALUE"""),"Active")</f>
        <v>Active</v>
      </c>
      <c r="F53" s="6" t="str">
        <f>IFERROR(__xludf.DUMMYFUNCTION("""COMPUTED_VALUE"""),"A")</f>
        <v>A</v>
      </c>
      <c r="G53" s="6">
        <f>IFERROR(__xludf.DUMMYFUNCTION("""COMPUTED_VALUE"""),10.0)</f>
        <v>10</v>
      </c>
      <c r="H53" s="6" t="str">
        <f>IFERROR(__xludf.DUMMYFUNCTION("""COMPUTED_VALUE"""),"INE134E01011")</f>
        <v>INE134E01011</v>
      </c>
      <c r="I53" s="6" t="str">
        <f>IFERROR(__xludf.DUMMYFUNCTION("""COMPUTED_VALUE"""),"Equity")</f>
        <v>Equity</v>
      </c>
      <c r="J53" s="6" t="str">
        <f>IFERROR(__xludf.DUMMYFUNCTION("""COMPUTED_VALUE"""),"Financial Services")</f>
        <v>Financial Services</v>
      </c>
      <c r="K53" s="6" t="str">
        <f>IFERROR(__xludf.DUMMYFUNCTION("""COMPUTED_VALUE"""),"Financial Services")</f>
        <v>Financial Services</v>
      </c>
      <c r="L53" s="6" t="str">
        <f>IFERROR(__xludf.DUMMYFUNCTION("""COMPUTED_VALUE"""),"Finance")</f>
        <v>Finance</v>
      </c>
      <c r="M53" s="6" t="str">
        <f>IFERROR(__xludf.DUMMYFUNCTION("""COMPUTED_VALUE"""),"Financial Institution")</f>
        <v>Financial Institution</v>
      </c>
      <c r="N53" s="5">
        <f>IFERROR(__xludf.DUMMYFUNCTION("""COMPUTED_VALUE"""),167816.8061836)</f>
        <v>167816.8062</v>
      </c>
      <c r="O53" s="6">
        <f t="shared" si="4"/>
        <v>123</v>
      </c>
      <c r="P53" s="6">
        <f t="shared" ref="P53:Q53" si="108">COUNTIFS(L:L,L53)</f>
        <v>56</v>
      </c>
      <c r="Q53" s="24">
        <f t="shared" si="108"/>
        <v>6</v>
      </c>
      <c r="R53" s="6" t="str">
        <f t="shared" si="6"/>
        <v>Finance</v>
      </c>
      <c r="S53" s="6" t="str">
        <f t="shared" si="7"/>
        <v>Finance</v>
      </c>
      <c r="T53" s="6">
        <f>IFERROR(__xludf.DUMMYFUNCTION("COUNTA(UNIQUE(query($A$2:$P$800,""select L where K='""&amp; K53&amp;""'"")))"),5.0)</f>
        <v>5</v>
      </c>
      <c r="U53" s="23">
        <f t="shared" si="8"/>
        <v>0.06097560976</v>
      </c>
      <c r="V53" s="23">
        <f t="shared" ref="V53:W53" si="109">P53/O53</f>
        <v>0.4552845528</v>
      </c>
      <c r="W53" s="23">
        <f t="shared" si="109"/>
        <v>0.1071428571</v>
      </c>
    </row>
    <row r="54">
      <c r="A54" s="6">
        <f>IFERROR(__xludf.DUMMYFUNCTION("""COMPUTED_VALUE"""),500295.0)</f>
        <v>500295</v>
      </c>
      <c r="B54" s="6" t="str">
        <f>IFERROR(__xludf.DUMMYFUNCTION("""COMPUTED_VALUE"""),"Vedanta Limited")</f>
        <v>Vedanta Limited</v>
      </c>
      <c r="C54" s="6" t="str">
        <f>IFERROR(__xludf.DUMMYFUNCTION("""COMPUTED_VALUE"""),"VEDL")</f>
        <v>VEDL</v>
      </c>
      <c r="D54" s="6" t="str">
        <f>IFERROR(__xludf.DUMMYFUNCTION("""COMPUTED_VALUE"""),"Vedanta Limited")</f>
        <v>Vedanta Limited</v>
      </c>
      <c r="E54" s="6" t="str">
        <f>IFERROR(__xludf.DUMMYFUNCTION("""COMPUTED_VALUE"""),"Active")</f>
        <v>Active</v>
      </c>
      <c r="F54" s="6" t="str">
        <f>IFERROR(__xludf.DUMMYFUNCTION("""COMPUTED_VALUE"""),"A")</f>
        <v>A</v>
      </c>
      <c r="G54" s="6">
        <f>IFERROR(__xludf.DUMMYFUNCTION("""COMPUTED_VALUE"""),1.0)</f>
        <v>1</v>
      </c>
      <c r="H54" s="6" t="str">
        <f>IFERROR(__xludf.DUMMYFUNCTION("""COMPUTED_VALUE"""),"INE205A01025")</f>
        <v>INE205A01025</v>
      </c>
      <c r="I54" s="6" t="str">
        <f>IFERROR(__xludf.DUMMYFUNCTION("""COMPUTED_VALUE"""),"Equity")</f>
        <v>Equity</v>
      </c>
      <c r="J54" s="6" t="str">
        <f>IFERROR(__xludf.DUMMYFUNCTION("""COMPUTED_VALUE"""),"Commodities")</f>
        <v>Commodities</v>
      </c>
      <c r="K54" s="6" t="str">
        <f>IFERROR(__xludf.DUMMYFUNCTION("""COMPUTED_VALUE"""),"Metals &amp; Mining")</f>
        <v>Metals &amp; Mining</v>
      </c>
      <c r="L54" s="6" t="str">
        <f>IFERROR(__xludf.DUMMYFUNCTION("""COMPUTED_VALUE"""),"Diversified Metals")</f>
        <v>Diversified Metals</v>
      </c>
      <c r="M54" s="6" t="str">
        <f>IFERROR(__xludf.DUMMYFUNCTION("""COMPUTED_VALUE"""),"Diversified Metals")</f>
        <v>Diversified Metals</v>
      </c>
      <c r="N54" s="5">
        <f>IFERROR(__xludf.DUMMYFUNCTION("""COMPUTED_VALUE"""),167004.8104)</f>
        <v>167004.8104</v>
      </c>
      <c r="O54" s="6">
        <f t="shared" si="4"/>
        <v>20</v>
      </c>
      <c r="P54" s="6">
        <f t="shared" ref="P54:Q54" si="110">COUNTIFS(L:L,L54)</f>
        <v>1</v>
      </c>
      <c r="Q54" s="24">
        <f t="shared" si="110"/>
        <v>1</v>
      </c>
      <c r="R54" s="6" t="str">
        <f t="shared" si="6"/>
        <v>Metals &amp; Mining</v>
      </c>
      <c r="S54" s="6" t="str">
        <f t="shared" si="7"/>
        <v>Metals &amp; Mining</v>
      </c>
      <c r="T54" s="6">
        <f>IFERROR(__xludf.DUMMYFUNCTION("COUNTA(UNIQUE(query($A$2:$P$800,""select L where K='""&amp; K54&amp;""'"")))"),5.0)</f>
        <v>5</v>
      </c>
      <c r="U54" s="23">
        <f t="shared" si="8"/>
        <v>0.375</v>
      </c>
      <c r="V54" s="23">
        <f t="shared" ref="V54:W54" si="111">P54/O54</f>
        <v>0.05</v>
      </c>
      <c r="W54" s="23">
        <f t="shared" si="111"/>
        <v>1</v>
      </c>
    </row>
    <row r="55">
      <c r="A55" s="6">
        <f>IFERROR(__xludf.DUMMYFUNCTION("""COMPUTED_VALUE"""),539448.0)</f>
        <v>539448</v>
      </c>
      <c r="B55" s="6" t="str">
        <f>IFERROR(__xludf.DUMMYFUNCTION("""COMPUTED_VALUE"""),"InterGlobe Aviation Limited")</f>
        <v>InterGlobe Aviation Limited</v>
      </c>
      <c r="C55" s="6" t="str">
        <f>IFERROR(__xludf.DUMMYFUNCTION("""COMPUTED_VALUE"""),"INDIGO")</f>
        <v>INDIGO</v>
      </c>
      <c r="D55" s="6" t="str">
        <f>IFERROR(__xludf.DUMMYFUNCTION("""COMPUTED_VALUE"""),"InterGlobe Aviation Ltd")</f>
        <v>InterGlobe Aviation Ltd</v>
      </c>
      <c r="E55" s="6" t="str">
        <f>IFERROR(__xludf.DUMMYFUNCTION("""COMPUTED_VALUE"""),"Active")</f>
        <v>Active</v>
      </c>
      <c r="F55" s="6" t="str">
        <f>IFERROR(__xludf.DUMMYFUNCTION("""COMPUTED_VALUE"""),"A")</f>
        <v>A</v>
      </c>
      <c r="G55" s="6">
        <f>IFERROR(__xludf.DUMMYFUNCTION("""COMPUTED_VALUE"""),10.0)</f>
        <v>10</v>
      </c>
      <c r="H55" s="6" t="str">
        <f>IFERROR(__xludf.DUMMYFUNCTION("""COMPUTED_VALUE"""),"INE646L01027")</f>
        <v>INE646L01027</v>
      </c>
      <c r="I55" s="6" t="str">
        <f>IFERROR(__xludf.DUMMYFUNCTION("""COMPUTED_VALUE"""),"Equity")</f>
        <v>Equity</v>
      </c>
      <c r="J55" s="6" t="str">
        <f>IFERROR(__xludf.DUMMYFUNCTION("""COMPUTED_VALUE"""),"Services")</f>
        <v>Services</v>
      </c>
      <c r="K55" s="6" t="str">
        <f>IFERROR(__xludf.DUMMYFUNCTION("""COMPUTED_VALUE"""),"Services")</f>
        <v>Services</v>
      </c>
      <c r="L55" s="6" t="str">
        <f>IFERROR(__xludf.DUMMYFUNCTION("""COMPUTED_VALUE"""),"Transport Services")</f>
        <v>Transport Services</v>
      </c>
      <c r="M55" s="6" t="str">
        <f>IFERROR(__xludf.DUMMYFUNCTION("""COMPUTED_VALUE"""),"Airline")</f>
        <v>Airline</v>
      </c>
      <c r="N55" s="5">
        <f>IFERROR(__xludf.DUMMYFUNCTION("""COMPUTED_VALUE"""),164402.0945175)</f>
        <v>164402.0945</v>
      </c>
      <c r="O55" s="6">
        <f t="shared" si="4"/>
        <v>27</v>
      </c>
      <c r="P55" s="6">
        <f t="shared" ref="P55:Q55" si="112">COUNTIFS(L:L,L55)</f>
        <v>12</v>
      </c>
      <c r="Q55" s="24">
        <f t="shared" si="112"/>
        <v>1</v>
      </c>
      <c r="R55" s="6" t="str">
        <f t="shared" si="6"/>
        <v>Services</v>
      </c>
      <c r="S55" s="6" t="str">
        <f t="shared" si="7"/>
        <v>Services</v>
      </c>
      <c r="T55" s="6">
        <f>IFERROR(__xludf.DUMMYFUNCTION("COUNTA(UNIQUE(query($A$2:$P$800,""select L where K='""&amp; K55&amp;""'"")))"),3.0)</f>
        <v>3</v>
      </c>
      <c r="U55" s="23">
        <f t="shared" si="8"/>
        <v>0.1666666667</v>
      </c>
      <c r="V55" s="23">
        <f t="shared" ref="V55:W55" si="113">P55/O55</f>
        <v>0.4444444444</v>
      </c>
      <c r="W55" s="23">
        <f t="shared" si="113"/>
        <v>0.08333333333</v>
      </c>
    </row>
    <row r="56">
      <c r="A56" s="6">
        <f>IFERROR(__xludf.DUMMYFUNCTION("""COMPUTED_VALUE"""),500425.0)</f>
        <v>500425</v>
      </c>
      <c r="B56" s="6" t="str">
        <f>IFERROR(__xludf.DUMMYFUNCTION("""COMPUTED_VALUE"""),"Ambuja Cements Ltd.")</f>
        <v>Ambuja Cements Ltd.</v>
      </c>
      <c r="C56" s="6" t="str">
        <f>IFERROR(__xludf.DUMMYFUNCTION("""COMPUTED_VALUE"""),"AMBUJACEM")</f>
        <v>AMBUJACEM</v>
      </c>
      <c r="D56" s="6" t="str">
        <f>IFERROR(__xludf.DUMMYFUNCTION("""COMPUTED_VALUE"""),"AMBUJA CEMENTS LTD.")</f>
        <v>AMBUJA CEMENTS LTD.</v>
      </c>
      <c r="E56" s="6" t="str">
        <f>IFERROR(__xludf.DUMMYFUNCTION("""COMPUTED_VALUE"""),"Active")</f>
        <v>Active</v>
      </c>
      <c r="F56" s="6" t="str">
        <f>IFERROR(__xludf.DUMMYFUNCTION("""COMPUTED_VALUE"""),"A")</f>
        <v>A</v>
      </c>
      <c r="G56" s="6">
        <f>IFERROR(__xludf.DUMMYFUNCTION("""COMPUTED_VALUE"""),2.0)</f>
        <v>2</v>
      </c>
      <c r="H56" s="6" t="str">
        <f>IFERROR(__xludf.DUMMYFUNCTION("""COMPUTED_VALUE"""),"INE079A01024")</f>
        <v>INE079A01024</v>
      </c>
      <c r="I56" s="6" t="str">
        <f>IFERROR(__xludf.DUMMYFUNCTION("""COMPUTED_VALUE"""),"Equity")</f>
        <v>Equity</v>
      </c>
      <c r="J56" s="6" t="str">
        <f>IFERROR(__xludf.DUMMYFUNCTION("""COMPUTED_VALUE"""),"Commodities")</f>
        <v>Commodities</v>
      </c>
      <c r="K56" s="6" t="str">
        <f>IFERROR(__xludf.DUMMYFUNCTION("""COMPUTED_VALUE"""),"Construction Materials")</f>
        <v>Construction Materials</v>
      </c>
      <c r="L56" s="6" t="str">
        <f>IFERROR(__xludf.DUMMYFUNCTION("""COMPUTED_VALUE"""),"Cement &amp; Cement Products")</f>
        <v>Cement &amp; Cement Products</v>
      </c>
      <c r="M56" s="6" t="str">
        <f>IFERROR(__xludf.DUMMYFUNCTION("""COMPUTED_VALUE"""),"Cement &amp; Cement Products")</f>
        <v>Cement &amp; Cement Products</v>
      </c>
      <c r="N56" s="5">
        <f>IFERROR(__xludf.DUMMYFUNCTION("""COMPUTED_VALUE"""),163950.6630596)</f>
        <v>163950.6631</v>
      </c>
      <c r="O56" s="6">
        <f t="shared" si="4"/>
        <v>17</v>
      </c>
      <c r="P56" s="6">
        <f t="shared" ref="P56:Q56" si="114">COUNTIFS(L:L,L56)</f>
        <v>17</v>
      </c>
      <c r="Q56" s="24">
        <f t="shared" si="114"/>
        <v>17</v>
      </c>
      <c r="R56" s="6" t="str">
        <f t="shared" si="6"/>
        <v>Construction Materials</v>
      </c>
      <c r="S56" s="6" t="str">
        <f t="shared" si="7"/>
        <v>Construction Materials</v>
      </c>
      <c r="T56" s="6">
        <f>IFERROR(__xludf.DUMMYFUNCTION("COUNTA(UNIQUE(query($A$2:$P$800,""select L where K='""&amp; K56&amp;""'"")))"),1.0)</f>
        <v>1</v>
      </c>
      <c r="U56" s="23">
        <f t="shared" si="8"/>
        <v>0.08823529412</v>
      </c>
      <c r="V56" s="23">
        <f t="shared" ref="V56:W56" si="115">P56/O56</f>
        <v>1</v>
      </c>
      <c r="W56" s="23">
        <f t="shared" si="115"/>
        <v>1</v>
      </c>
    </row>
    <row r="57">
      <c r="A57" s="6">
        <f>IFERROR(__xludf.DUMMYFUNCTION("""COMPUTED_VALUE"""),500331.0)</f>
        <v>500331</v>
      </c>
      <c r="B57" s="6" t="str">
        <f>IFERROR(__xludf.DUMMYFUNCTION("""COMPUTED_VALUE"""),"Pidilite Industries Ltd.")</f>
        <v>Pidilite Industries Ltd.</v>
      </c>
      <c r="C57" s="6" t="str">
        <f>IFERROR(__xludf.DUMMYFUNCTION("""COMPUTED_VALUE"""),"PIDILITIND")</f>
        <v>PIDILITIND</v>
      </c>
      <c r="D57" s="6" t="str">
        <f>IFERROR(__xludf.DUMMYFUNCTION("""COMPUTED_VALUE"""),"PIDILITE INDUSTRIES LTD.")</f>
        <v>PIDILITE INDUSTRIES LTD.</v>
      </c>
      <c r="E57" s="6" t="str">
        <f>IFERROR(__xludf.DUMMYFUNCTION("""COMPUTED_VALUE"""),"Active")</f>
        <v>Active</v>
      </c>
      <c r="F57" s="6" t="str">
        <f>IFERROR(__xludf.DUMMYFUNCTION("""COMPUTED_VALUE"""),"A")</f>
        <v>A</v>
      </c>
      <c r="G57" s="6">
        <f>IFERROR(__xludf.DUMMYFUNCTION("""COMPUTED_VALUE"""),1.0)</f>
        <v>1</v>
      </c>
      <c r="H57" s="6" t="str">
        <f>IFERROR(__xludf.DUMMYFUNCTION("""COMPUTED_VALUE"""),"INE318A01026")</f>
        <v>INE318A01026</v>
      </c>
      <c r="I57" s="6" t="str">
        <f>IFERROR(__xludf.DUMMYFUNCTION("""COMPUTED_VALUE"""),"Equity")</f>
        <v>Equity</v>
      </c>
      <c r="J57" s="6" t="str">
        <f>IFERROR(__xludf.DUMMYFUNCTION("""COMPUTED_VALUE"""),"Commodities")</f>
        <v>Commodities</v>
      </c>
      <c r="K57" s="6" t="str">
        <f>IFERROR(__xludf.DUMMYFUNCTION("""COMPUTED_VALUE"""),"Chemicals")</f>
        <v>Chemicals</v>
      </c>
      <c r="L57" s="6" t="str">
        <f>IFERROR(__xludf.DUMMYFUNCTION("""COMPUTED_VALUE"""),"Chemicals &amp; Petrochemicals")</f>
        <v>Chemicals &amp; Petrochemicals</v>
      </c>
      <c r="M57" s="6" t="str">
        <f>IFERROR(__xludf.DUMMYFUNCTION("""COMPUTED_VALUE"""),"Specialty Chemicals")</f>
        <v>Specialty Chemicals</v>
      </c>
      <c r="N57" s="5">
        <f>IFERROR(__xludf.DUMMYFUNCTION("""COMPUTED_VALUE"""),160664.6293066)</f>
        <v>160664.6293</v>
      </c>
      <c r="O57" s="6">
        <f t="shared" si="4"/>
        <v>52</v>
      </c>
      <c r="P57" s="6">
        <f t="shared" ref="P57:Q57" si="116">COUNTIFS(L:L,L57)</f>
        <v>37</v>
      </c>
      <c r="Q57" s="24">
        <f t="shared" si="116"/>
        <v>25</v>
      </c>
      <c r="R57" s="6" t="str">
        <f t="shared" si="6"/>
        <v>Chemicals</v>
      </c>
      <c r="S57" s="6" t="str">
        <f t="shared" si="7"/>
        <v>Chemicals</v>
      </c>
      <c r="T57" s="6">
        <f>IFERROR(__xludf.DUMMYFUNCTION("COUNTA(UNIQUE(query($A$2:$P$800,""select L where K='""&amp; K57&amp;""'"")))"),2.0)</f>
        <v>2</v>
      </c>
      <c r="U57" s="23">
        <f t="shared" si="8"/>
        <v>0.05769230769</v>
      </c>
      <c r="V57" s="23">
        <f t="shared" ref="V57:W57" si="117">P57/O57</f>
        <v>0.7115384615</v>
      </c>
      <c r="W57" s="23">
        <f t="shared" si="117"/>
        <v>0.6756756757</v>
      </c>
    </row>
    <row r="58">
      <c r="A58" s="6">
        <f>IFERROR(__xludf.DUMMYFUNCTION("""COMPUTED_VALUE"""),540005.0)</f>
        <v>540005</v>
      </c>
      <c r="B58" s="6" t="str">
        <f>IFERROR(__xludf.DUMMYFUNCTION("""COMPUTED_VALUE"""),"LTIMindtree Limited")</f>
        <v>LTIMindtree Limited</v>
      </c>
      <c r="C58" s="6" t="str">
        <f>IFERROR(__xludf.DUMMYFUNCTION("""COMPUTED_VALUE"""),"LTIM")</f>
        <v>LTIM</v>
      </c>
      <c r="D58" s="6" t="str">
        <f>IFERROR(__xludf.DUMMYFUNCTION("""COMPUTED_VALUE"""),"LTIMindtree Ltd")</f>
        <v>LTIMindtree Ltd</v>
      </c>
      <c r="E58" s="6" t="str">
        <f>IFERROR(__xludf.DUMMYFUNCTION("""COMPUTED_VALUE"""),"Active")</f>
        <v>Active</v>
      </c>
      <c r="F58" s="6" t="str">
        <f>IFERROR(__xludf.DUMMYFUNCTION("""COMPUTED_VALUE"""),"A")</f>
        <v>A</v>
      </c>
      <c r="G58" s="6">
        <f>IFERROR(__xludf.DUMMYFUNCTION("""COMPUTED_VALUE"""),1.0)</f>
        <v>1</v>
      </c>
      <c r="H58" s="6" t="str">
        <f>IFERROR(__xludf.DUMMYFUNCTION("""COMPUTED_VALUE"""),"INE214T01019")</f>
        <v>INE214T01019</v>
      </c>
      <c r="I58" s="6" t="str">
        <f>IFERROR(__xludf.DUMMYFUNCTION("""COMPUTED_VALUE"""),"Equity")</f>
        <v>Equity</v>
      </c>
      <c r="J58" s="6" t="str">
        <f>IFERROR(__xludf.DUMMYFUNCTION("""COMPUTED_VALUE"""),"Information Technology")</f>
        <v>Information Technology</v>
      </c>
      <c r="K58" s="6" t="str">
        <f>IFERROR(__xludf.DUMMYFUNCTION("""COMPUTED_VALUE"""),"Information Technology")</f>
        <v>Information Technology</v>
      </c>
      <c r="L58" s="6" t="str">
        <f>IFERROR(__xludf.DUMMYFUNCTION("""COMPUTED_VALUE"""),"IT - Software")</f>
        <v>IT - Software</v>
      </c>
      <c r="M58" s="6" t="str">
        <f>IFERROR(__xludf.DUMMYFUNCTION("""COMPUTED_VALUE"""),"Computers - Software &amp; Consulting")</f>
        <v>Computers - Software &amp; Consulting</v>
      </c>
      <c r="N58" s="5">
        <f>IFERROR(__xludf.DUMMYFUNCTION("""COMPUTED_VALUE"""),159485.5)</f>
        <v>159485.5</v>
      </c>
      <c r="O58" s="6">
        <f t="shared" si="4"/>
        <v>36</v>
      </c>
      <c r="P58" s="6">
        <f t="shared" ref="P58:Q58" si="118">COUNTIFS(L:L,L58)</f>
        <v>27</v>
      </c>
      <c r="Q58" s="24">
        <f t="shared" si="118"/>
        <v>22</v>
      </c>
      <c r="R58" s="6" t="str">
        <f t="shared" si="6"/>
        <v>Information Technology</v>
      </c>
      <c r="S58" s="6" t="str">
        <f t="shared" si="7"/>
        <v>Information Technology</v>
      </c>
      <c r="T58" s="6">
        <f>IFERROR(__xludf.DUMMYFUNCTION("COUNTA(UNIQUE(query($A$2:$P$800,""select L where K='""&amp; K58&amp;""'"")))"),3.0)</f>
        <v>3</v>
      </c>
      <c r="U58" s="23">
        <f t="shared" si="8"/>
        <v>0.125</v>
      </c>
      <c r="V58" s="23">
        <f t="shared" ref="V58:W58" si="119">P58/O58</f>
        <v>0.75</v>
      </c>
      <c r="W58" s="23">
        <f t="shared" si="119"/>
        <v>0.8148148148</v>
      </c>
    </row>
    <row r="59">
      <c r="A59" s="6">
        <f>IFERROR(__xludf.DUMMYFUNCTION("""COMPUTED_VALUE"""),500440.0)</f>
        <v>500440</v>
      </c>
      <c r="B59" s="6" t="str">
        <f>IFERROR(__xludf.DUMMYFUNCTION("""COMPUTED_VALUE"""),"Hindalco Industries Ltd.")</f>
        <v>Hindalco Industries Ltd.</v>
      </c>
      <c r="C59" s="6" t="str">
        <f>IFERROR(__xludf.DUMMYFUNCTION("""COMPUTED_VALUE"""),"HINDALCO")</f>
        <v>HINDALCO</v>
      </c>
      <c r="D59" s="6" t="str">
        <f>IFERROR(__xludf.DUMMYFUNCTION("""COMPUTED_VALUE"""),"HINDALCO INDUSTRIES LTD.")</f>
        <v>HINDALCO INDUSTRIES LTD.</v>
      </c>
      <c r="E59" s="6" t="str">
        <f>IFERROR(__xludf.DUMMYFUNCTION("""COMPUTED_VALUE"""),"Active")</f>
        <v>Active</v>
      </c>
      <c r="F59" s="6" t="str">
        <f>IFERROR(__xludf.DUMMYFUNCTION("""COMPUTED_VALUE"""),"A")</f>
        <v>A</v>
      </c>
      <c r="G59" s="6">
        <f>IFERROR(__xludf.DUMMYFUNCTION("""COMPUTED_VALUE"""),1.0)</f>
        <v>1</v>
      </c>
      <c r="H59" s="6" t="str">
        <f>IFERROR(__xludf.DUMMYFUNCTION("""COMPUTED_VALUE"""),"INE038A01020")</f>
        <v>INE038A01020</v>
      </c>
      <c r="I59" s="6" t="str">
        <f>IFERROR(__xludf.DUMMYFUNCTION("""COMPUTED_VALUE"""),"Equity")</f>
        <v>Equity</v>
      </c>
      <c r="J59" s="6" t="str">
        <f>IFERROR(__xludf.DUMMYFUNCTION("""COMPUTED_VALUE"""),"Commodities")</f>
        <v>Commodities</v>
      </c>
      <c r="K59" s="6" t="str">
        <f>IFERROR(__xludf.DUMMYFUNCTION("""COMPUTED_VALUE"""),"Metals &amp; Mining")</f>
        <v>Metals &amp; Mining</v>
      </c>
      <c r="L59" s="6" t="str">
        <f>IFERROR(__xludf.DUMMYFUNCTION("""COMPUTED_VALUE"""),"Non - Ferrous Metals")</f>
        <v>Non - Ferrous Metals</v>
      </c>
      <c r="M59" s="6" t="str">
        <f>IFERROR(__xludf.DUMMYFUNCTION("""COMPUTED_VALUE"""),"Aluminium")</f>
        <v>Aluminium</v>
      </c>
      <c r="N59" s="5">
        <f>IFERROR(__xludf.DUMMYFUNCTION("""COMPUTED_VALUE"""),154049.6516)</f>
        <v>154049.6516</v>
      </c>
      <c r="O59" s="6">
        <f t="shared" si="4"/>
        <v>20</v>
      </c>
      <c r="P59" s="6">
        <f t="shared" ref="P59:Q59" si="120">COUNTIFS(L:L,L59)</f>
        <v>4</v>
      </c>
      <c r="Q59" s="24">
        <f t="shared" si="120"/>
        <v>2</v>
      </c>
      <c r="R59" s="6" t="str">
        <f t="shared" si="6"/>
        <v>Metals &amp; Mining</v>
      </c>
      <c r="S59" s="6" t="str">
        <f t="shared" si="7"/>
        <v>Metals &amp; Mining</v>
      </c>
      <c r="T59" s="6">
        <f>IFERROR(__xludf.DUMMYFUNCTION("COUNTA(UNIQUE(query($A$2:$P$800,""select L where K='""&amp; K59&amp;""'"")))"),5.0)</f>
        <v>5</v>
      </c>
      <c r="U59" s="23">
        <f t="shared" si="8"/>
        <v>0.375</v>
      </c>
      <c r="V59" s="23">
        <f t="shared" ref="V59:W59" si="121">P59/O59</f>
        <v>0.2</v>
      </c>
      <c r="W59" s="23">
        <f t="shared" si="121"/>
        <v>0.5</v>
      </c>
    </row>
    <row r="60">
      <c r="A60" s="6">
        <f>IFERROR(__xludf.DUMMYFUNCTION("""COMPUTED_VALUE"""),540719.0)</f>
        <v>540719</v>
      </c>
      <c r="B60" s="6" t="str">
        <f>IFERROR(__xludf.DUMMYFUNCTION("""COMPUTED_VALUE"""),"SBI Life Insurance Company Limited")</f>
        <v>SBI Life Insurance Company Limited</v>
      </c>
      <c r="C60" s="6" t="str">
        <f>IFERROR(__xludf.DUMMYFUNCTION("""COMPUTED_VALUE"""),"SBILIFE")</f>
        <v>SBILIFE</v>
      </c>
      <c r="D60" s="6" t="str">
        <f>IFERROR(__xludf.DUMMYFUNCTION("""COMPUTED_VALUE"""),"SBI Life Insurance Company Ltd")</f>
        <v>SBI Life Insurance Company Ltd</v>
      </c>
      <c r="E60" s="6" t="str">
        <f>IFERROR(__xludf.DUMMYFUNCTION("""COMPUTED_VALUE"""),"Active")</f>
        <v>Active</v>
      </c>
      <c r="F60" s="6" t="str">
        <f>IFERROR(__xludf.DUMMYFUNCTION("""COMPUTED_VALUE"""),"A")</f>
        <v>A</v>
      </c>
      <c r="G60" s="6">
        <f>IFERROR(__xludf.DUMMYFUNCTION("""COMPUTED_VALUE"""),10.0)</f>
        <v>10</v>
      </c>
      <c r="H60" s="6" t="str">
        <f>IFERROR(__xludf.DUMMYFUNCTION("""COMPUTED_VALUE"""),"INE123W01016")</f>
        <v>INE123W01016</v>
      </c>
      <c r="I60" s="6" t="str">
        <f>IFERROR(__xludf.DUMMYFUNCTION("""COMPUTED_VALUE"""),"Equity")</f>
        <v>Equity</v>
      </c>
      <c r="J60" s="6" t="str">
        <f>IFERROR(__xludf.DUMMYFUNCTION("""COMPUTED_VALUE"""),"Financial Services")</f>
        <v>Financial Services</v>
      </c>
      <c r="K60" s="6" t="str">
        <f>IFERROR(__xludf.DUMMYFUNCTION("""COMPUTED_VALUE"""),"Financial Services")</f>
        <v>Financial Services</v>
      </c>
      <c r="L60" s="6" t="str">
        <f>IFERROR(__xludf.DUMMYFUNCTION("""COMPUTED_VALUE"""),"Insurance")</f>
        <v>Insurance</v>
      </c>
      <c r="M60" s="6" t="str">
        <f>IFERROR(__xludf.DUMMYFUNCTION("""COMPUTED_VALUE"""),"Life Insurance")</f>
        <v>Life Insurance</v>
      </c>
      <c r="N60" s="5">
        <f>IFERROR(__xludf.DUMMYFUNCTION("""COMPUTED_VALUE"""),149057.3199972)</f>
        <v>149057.32</v>
      </c>
      <c r="O60" s="6">
        <f t="shared" si="4"/>
        <v>123</v>
      </c>
      <c r="P60" s="6">
        <f t="shared" ref="P60:Q60" si="122">COUNTIFS(L:L,L60)</f>
        <v>10</v>
      </c>
      <c r="Q60" s="24">
        <f t="shared" si="122"/>
        <v>5</v>
      </c>
      <c r="R60" s="6" t="str">
        <f t="shared" si="6"/>
        <v>Financial Services</v>
      </c>
      <c r="S60" s="6" t="str">
        <f t="shared" si="7"/>
        <v>Financial Services</v>
      </c>
      <c r="T60" s="6">
        <f>IFERROR(__xludf.DUMMYFUNCTION("COUNTA(UNIQUE(query($A$2:$P$800,""select L where K='""&amp; K60&amp;""'"")))"),5.0)</f>
        <v>5</v>
      </c>
      <c r="U60" s="23">
        <f t="shared" si="8"/>
        <v>0.06097560976</v>
      </c>
      <c r="V60" s="23">
        <f t="shared" ref="V60:W60" si="123">P60/O60</f>
        <v>0.08130081301</v>
      </c>
      <c r="W60" s="23">
        <f t="shared" si="123"/>
        <v>0.5</v>
      </c>
    </row>
    <row r="61">
      <c r="A61" s="6">
        <f>IFERROR(__xludf.DUMMYFUNCTION("""COMPUTED_VALUE"""),543287.0)</f>
        <v>543287</v>
      </c>
      <c r="B61" s="6" t="str">
        <f>IFERROR(__xludf.DUMMYFUNCTION("""COMPUTED_VALUE"""),"Macrotech Developers Limited")</f>
        <v>Macrotech Developers Limited</v>
      </c>
      <c r="C61" s="6" t="str">
        <f>IFERROR(__xludf.DUMMYFUNCTION("""COMPUTED_VALUE"""),"LODHA")</f>
        <v>LODHA</v>
      </c>
      <c r="D61" s="6" t="str">
        <f>IFERROR(__xludf.DUMMYFUNCTION("""COMPUTED_VALUE"""),"Macrotech Developers Ltd")</f>
        <v>Macrotech Developers Ltd</v>
      </c>
      <c r="E61" s="6" t="str">
        <f>IFERROR(__xludf.DUMMYFUNCTION("""COMPUTED_VALUE"""),"Active")</f>
        <v>Active</v>
      </c>
      <c r="F61" s="6" t="str">
        <f>IFERROR(__xludf.DUMMYFUNCTION("""COMPUTED_VALUE"""),"A")</f>
        <v>A</v>
      </c>
      <c r="G61" s="6">
        <f>IFERROR(__xludf.DUMMYFUNCTION("""COMPUTED_VALUE"""),10.0)</f>
        <v>10</v>
      </c>
      <c r="H61" s="6" t="str">
        <f>IFERROR(__xludf.DUMMYFUNCTION("""COMPUTED_VALUE"""),"INE670K01029")</f>
        <v>INE670K01029</v>
      </c>
      <c r="I61" s="6" t="str">
        <f>IFERROR(__xludf.DUMMYFUNCTION("""COMPUTED_VALUE"""),"Equity")</f>
        <v>Equity</v>
      </c>
      <c r="J61" s="6" t="str">
        <f>IFERROR(__xludf.DUMMYFUNCTION("""COMPUTED_VALUE"""),"Consumer Discretionary")</f>
        <v>Consumer Discretionary</v>
      </c>
      <c r="K61" s="6" t="str">
        <f>IFERROR(__xludf.DUMMYFUNCTION("""COMPUTED_VALUE"""),"Realty")</f>
        <v>Realty</v>
      </c>
      <c r="L61" s="6" t="str">
        <f>IFERROR(__xludf.DUMMYFUNCTION("""COMPUTED_VALUE"""),"Realty")</f>
        <v>Realty</v>
      </c>
      <c r="M61" s="6" t="str">
        <f>IFERROR(__xludf.DUMMYFUNCTION("""COMPUTED_VALUE"""),"Residential, Commercial Projects")</f>
        <v>Residential, Commercial Projects</v>
      </c>
      <c r="N61" s="5">
        <f>IFERROR(__xludf.DUMMYFUNCTION("""COMPUTED_VALUE"""),146655.1968598)</f>
        <v>146655.1969</v>
      </c>
      <c r="O61" s="6">
        <f t="shared" si="4"/>
        <v>20</v>
      </c>
      <c r="P61" s="6">
        <f t="shared" ref="P61:Q61" si="124">COUNTIFS(L:L,L61)</f>
        <v>20</v>
      </c>
      <c r="Q61" s="24">
        <f t="shared" si="124"/>
        <v>20</v>
      </c>
      <c r="R61" s="6" t="str">
        <f t="shared" si="6"/>
        <v>Realty</v>
      </c>
      <c r="S61" s="6" t="str">
        <f t="shared" si="7"/>
        <v>Realty</v>
      </c>
      <c r="T61" s="6">
        <f>IFERROR(__xludf.DUMMYFUNCTION("COUNTA(UNIQUE(query($A$2:$P$800,""select L where K='""&amp; K61&amp;""'"")))"),1.0)</f>
        <v>1</v>
      </c>
      <c r="U61" s="23">
        <f t="shared" si="8"/>
        <v>0.075</v>
      </c>
      <c r="V61" s="23">
        <f t="shared" ref="V61:W61" si="125">P61/O61</f>
        <v>1</v>
      </c>
      <c r="W61" s="23">
        <f t="shared" si="125"/>
        <v>1</v>
      </c>
    </row>
    <row r="62">
      <c r="A62" s="6">
        <f>IFERROR(__xludf.DUMMYFUNCTION("""COMPUTED_VALUE"""),532155.0)</f>
        <v>532155</v>
      </c>
      <c r="B62" s="6" t="str">
        <f>IFERROR(__xludf.DUMMYFUNCTION("""COMPUTED_VALUE"""),"Gail (India) Ltd.")</f>
        <v>Gail (India) Ltd.</v>
      </c>
      <c r="C62" s="6" t="str">
        <f>IFERROR(__xludf.DUMMYFUNCTION("""COMPUTED_VALUE"""),"GAIL")</f>
        <v>GAIL</v>
      </c>
      <c r="D62" s="6" t="str">
        <f>IFERROR(__xludf.DUMMYFUNCTION("""COMPUTED_VALUE"""),"GAIL (INDIA) LTD.")</f>
        <v>GAIL (INDIA) LTD.</v>
      </c>
      <c r="E62" s="6" t="str">
        <f>IFERROR(__xludf.DUMMYFUNCTION("""COMPUTED_VALUE"""),"Active")</f>
        <v>Active</v>
      </c>
      <c r="F62" s="6" t="str">
        <f>IFERROR(__xludf.DUMMYFUNCTION("""COMPUTED_VALUE"""),"A")</f>
        <v>A</v>
      </c>
      <c r="G62" s="6">
        <f>IFERROR(__xludf.DUMMYFUNCTION("""COMPUTED_VALUE"""),10.0)</f>
        <v>10</v>
      </c>
      <c r="H62" s="6" t="str">
        <f>IFERROR(__xludf.DUMMYFUNCTION("""COMPUTED_VALUE"""),"INE129A01019")</f>
        <v>INE129A01019</v>
      </c>
      <c r="I62" s="6" t="str">
        <f>IFERROR(__xludf.DUMMYFUNCTION("""COMPUTED_VALUE"""),"Equity")</f>
        <v>Equity</v>
      </c>
      <c r="J62" s="6" t="str">
        <f>IFERROR(__xludf.DUMMYFUNCTION("""COMPUTED_VALUE"""),"Energy")</f>
        <v>Energy</v>
      </c>
      <c r="K62" s="6" t="str">
        <f>IFERROR(__xludf.DUMMYFUNCTION("""COMPUTED_VALUE"""),"Oil, Gas &amp; Consumable, Fuels")</f>
        <v>Oil, Gas &amp; Consumable, Fuels</v>
      </c>
      <c r="L62" s="6" t="str">
        <f>IFERROR(__xludf.DUMMYFUNCTION("""COMPUTED_VALUE"""),"Gas")</f>
        <v>Gas</v>
      </c>
      <c r="M62" s="6" t="str">
        <f>IFERROR(__xludf.DUMMYFUNCTION("""COMPUTED_VALUE"""),"Gas Transmission/Marketing")</f>
        <v>Gas Transmission/Marketing</v>
      </c>
      <c r="N62" s="5">
        <f>IFERROR(__xludf.DUMMYFUNCTION("""COMPUTED_VALUE"""),143895.3378725)</f>
        <v>143895.3379</v>
      </c>
      <c r="O62" s="6">
        <f t="shared" si="4"/>
        <v>20</v>
      </c>
      <c r="P62" s="6">
        <f t="shared" ref="P62:Q62" si="126">COUNTIFS(L:L,L62)</f>
        <v>8</v>
      </c>
      <c r="Q62" s="24">
        <f t="shared" si="126"/>
        <v>2</v>
      </c>
      <c r="R62" s="6" t="str">
        <f t="shared" si="6"/>
        <v>Oil, Gas &amp; Consumable, Fuels</v>
      </c>
      <c r="S62" s="6" t="str">
        <f t="shared" si="7"/>
        <v>Oil, Gas &amp; Consumable, Fuels</v>
      </c>
      <c r="T62" s="6">
        <f>IFERROR(__xludf.DUMMYFUNCTION("COUNTA(UNIQUE(query($A$2:$P$800,""select L where K='""&amp; K62&amp;""'"")))"),4.0)</f>
        <v>4</v>
      </c>
      <c r="U62" s="23">
        <f t="shared" si="8"/>
        <v>0.3</v>
      </c>
      <c r="V62" s="23">
        <f t="shared" ref="V62:W62" si="127">P62/O62</f>
        <v>0.4</v>
      </c>
      <c r="W62" s="23">
        <f t="shared" si="127"/>
        <v>0.25</v>
      </c>
    </row>
    <row r="63">
      <c r="A63" s="6">
        <f>IFERROR(__xludf.DUMMYFUNCTION("""COMPUTED_VALUE"""),532955.0)</f>
        <v>532955</v>
      </c>
      <c r="B63" s="6" t="str">
        <f>IFERROR(__xludf.DUMMYFUNCTION("""COMPUTED_VALUE"""),"REC LIMITED")</f>
        <v>REC LIMITED</v>
      </c>
      <c r="C63" s="6" t="str">
        <f>IFERROR(__xludf.DUMMYFUNCTION("""COMPUTED_VALUE"""),"RECLTD")</f>
        <v>RECLTD</v>
      </c>
      <c r="D63" s="6" t="str">
        <f>IFERROR(__xludf.DUMMYFUNCTION("""COMPUTED_VALUE"""),"REC Ltd")</f>
        <v>REC Ltd</v>
      </c>
      <c r="E63" s="6" t="str">
        <f>IFERROR(__xludf.DUMMYFUNCTION("""COMPUTED_VALUE"""),"Active")</f>
        <v>Active</v>
      </c>
      <c r="F63" s="6" t="str">
        <f>IFERROR(__xludf.DUMMYFUNCTION("""COMPUTED_VALUE"""),"A")</f>
        <v>A</v>
      </c>
      <c r="G63" s="6">
        <f>IFERROR(__xludf.DUMMYFUNCTION("""COMPUTED_VALUE"""),10.0)</f>
        <v>10</v>
      </c>
      <c r="H63" s="6" t="str">
        <f>IFERROR(__xludf.DUMMYFUNCTION("""COMPUTED_VALUE"""),"INE020B01018")</f>
        <v>INE020B01018</v>
      </c>
      <c r="I63" s="6" t="str">
        <f>IFERROR(__xludf.DUMMYFUNCTION("""COMPUTED_VALUE"""),"Equity")</f>
        <v>Equity</v>
      </c>
      <c r="J63" s="6" t="str">
        <f>IFERROR(__xludf.DUMMYFUNCTION("""COMPUTED_VALUE"""),"Financial Services")</f>
        <v>Financial Services</v>
      </c>
      <c r="K63" s="6" t="str">
        <f>IFERROR(__xludf.DUMMYFUNCTION("""COMPUTED_VALUE"""),"Financial Services")</f>
        <v>Financial Services</v>
      </c>
      <c r="L63" s="6" t="str">
        <f>IFERROR(__xludf.DUMMYFUNCTION("""COMPUTED_VALUE"""),"Finance")</f>
        <v>Finance</v>
      </c>
      <c r="M63" s="6" t="str">
        <f>IFERROR(__xludf.DUMMYFUNCTION("""COMPUTED_VALUE"""),"Financial Institution")</f>
        <v>Financial Institution</v>
      </c>
      <c r="N63" s="5">
        <f>IFERROR(__xludf.DUMMYFUNCTION("""COMPUTED_VALUE"""),140133.404675)</f>
        <v>140133.4047</v>
      </c>
      <c r="O63" s="6">
        <f t="shared" si="4"/>
        <v>123</v>
      </c>
      <c r="P63" s="6">
        <f t="shared" ref="P63:Q63" si="128">COUNTIFS(L:L,L63)</f>
        <v>56</v>
      </c>
      <c r="Q63" s="24">
        <f t="shared" si="128"/>
        <v>6</v>
      </c>
      <c r="R63" s="6" t="str">
        <f t="shared" si="6"/>
        <v>Finance</v>
      </c>
      <c r="S63" s="6" t="str">
        <f t="shared" si="7"/>
        <v>Finance</v>
      </c>
      <c r="T63" s="6">
        <f>IFERROR(__xludf.DUMMYFUNCTION("COUNTA(UNIQUE(query($A$2:$P$800,""select L where K='""&amp; K63&amp;""'"")))"),5.0)</f>
        <v>5</v>
      </c>
      <c r="U63" s="23">
        <f t="shared" si="8"/>
        <v>0.06097560976</v>
      </c>
      <c r="V63" s="23">
        <f t="shared" ref="V63:W63" si="129">P63/O63</f>
        <v>0.4552845528</v>
      </c>
      <c r="W63" s="23">
        <f t="shared" si="129"/>
        <v>0.1071428571</v>
      </c>
    </row>
    <row r="64">
      <c r="A64" s="6">
        <f>IFERROR(__xludf.DUMMYFUNCTION("""COMPUTED_VALUE"""),532134.0)</f>
        <v>532134</v>
      </c>
      <c r="B64" s="6" t="str">
        <f>IFERROR(__xludf.DUMMYFUNCTION("""COMPUTED_VALUE"""),"Bank Of Baroda")</f>
        <v>Bank Of Baroda</v>
      </c>
      <c r="C64" s="6" t="str">
        <f>IFERROR(__xludf.DUMMYFUNCTION("""COMPUTED_VALUE"""),"BANKBARODA")</f>
        <v>BANKBARODA</v>
      </c>
      <c r="D64" s="6" t="str">
        <f>IFERROR(__xludf.DUMMYFUNCTION("""COMPUTED_VALUE"""),"BANK OF BARODA")</f>
        <v>BANK OF BARODA</v>
      </c>
      <c r="E64" s="6" t="str">
        <f>IFERROR(__xludf.DUMMYFUNCTION("""COMPUTED_VALUE"""),"Active")</f>
        <v>Active</v>
      </c>
      <c r="F64" s="6" t="str">
        <f>IFERROR(__xludf.DUMMYFUNCTION("""COMPUTED_VALUE"""),"A")</f>
        <v>A</v>
      </c>
      <c r="G64" s="6">
        <f>IFERROR(__xludf.DUMMYFUNCTION("""COMPUTED_VALUE"""),2.0)</f>
        <v>2</v>
      </c>
      <c r="H64" s="6" t="str">
        <f>IFERROR(__xludf.DUMMYFUNCTION("""COMPUTED_VALUE"""),"INE028A01039")</f>
        <v>INE028A01039</v>
      </c>
      <c r="I64" s="6" t="str">
        <f>IFERROR(__xludf.DUMMYFUNCTION("""COMPUTED_VALUE"""),"Equity")</f>
        <v>Equity</v>
      </c>
      <c r="J64" s="6" t="str">
        <f>IFERROR(__xludf.DUMMYFUNCTION("""COMPUTED_VALUE"""),"Financial Services")</f>
        <v>Financial Services</v>
      </c>
      <c r="K64" s="6" t="str">
        <f>IFERROR(__xludf.DUMMYFUNCTION("""COMPUTED_VALUE"""),"Financial Services")</f>
        <v>Financial Services</v>
      </c>
      <c r="L64" s="6" t="str">
        <f>IFERROR(__xludf.DUMMYFUNCTION("""COMPUTED_VALUE"""),"Banks")</f>
        <v>Banks</v>
      </c>
      <c r="M64" s="6" t="str">
        <f>IFERROR(__xludf.DUMMYFUNCTION("""COMPUTED_VALUE"""),"Public Sector Bank")</f>
        <v>Public Sector Bank</v>
      </c>
      <c r="N64" s="5">
        <f>IFERROR(__xludf.DUMMYFUNCTION("""COMPUTED_VALUE"""),140012.0389469)</f>
        <v>140012.0389</v>
      </c>
      <c r="O64" s="6">
        <f t="shared" si="4"/>
        <v>123</v>
      </c>
      <c r="P64" s="6">
        <f t="shared" ref="P64:Q64" si="130">COUNTIFS(L:L,L64)</f>
        <v>35</v>
      </c>
      <c r="Q64" s="24">
        <f t="shared" si="130"/>
        <v>12</v>
      </c>
      <c r="R64" s="6" t="str">
        <f t="shared" si="6"/>
        <v>Banks</v>
      </c>
      <c r="S64" s="6" t="str">
        <f t="shared" si="7"/>
        <v>Banks</v>
      </c>
      <c r="T64" s="6">
        <f>IFERROR(__xludf.DUMMYFUNCTION("COUNTA(UNIQUE(query($A$2:$P$800,""select L where K='""&amp; K64&amp;""'"")))"),5.0)</f>
        <v>5</v>
      </c>
      <c r="U64" s="23">
        <f t="shared" si="8"/>
        <v>0.06097560976</v>
      </c>
      <c r="V64" s="23">
        <f t="shared" ref="V64:W64" si="131">P64/O64</f>
        <v>0.2845528455</v>
      </c>
      <c r="W64" s="23">
        <f t="shared" si="131"/>
        <v>0.3428571429</v>
      </c>
    </row>
    <row r="65">
      <c r="A65" s="6">
        <f>IFERROR(__xludf.DUMMYFUNCTION("""COMPUTED_VALUE"""),500400.0)</f>
        <v>500400</v>
      </c>
      <c r="B65" s="6" t="str">
        <f>IFERROR(__xludf.DUMMYFUNCTION("""COMPUTED_VALUE"""),"Tata Power Co. Ltd")</f>
        <v>Tata Power Co. Ltd</v>
      </c>
      <c r="C65" s="6" t="str">
        <f>IFERROR(__xludf.DUMMYFUNCTION("""COMPUTED_VALUE"""),"TATAPOWER")</f>
        <v>TATAPOWER</v>
      </c>
      <c r="D65" s="6" t="str">
        <f>IFERROR(__xludf.DUMMYFUNCTION("""COMPUTED_VALUE"""),"TATA POWER CO.LTD.")</f>
        <v>TATA POWER CO.LTD.</v>
      </c>
      <c r="E65" s="6" t="str">
        <f>IFERROR(__xludf.DUMMYFUNCTION("""COMPUTED_VALUE"""),"Active")</f>
        <v>Active</v>
      </c>
      <c r="F65" s="6" t="str">
        <f>IFERROR(__xludf.DUMMYFUNCTION("""COMPUTED_VALUE"""),"A")</f>
        <v>A</v>
      </c>
      <c r="G65" s="6">
        <f>IFERROR(__xludf.DUMMYFUNCTION("""COMPUTED_VALUE"""),1.0)</f>
        <v>1</v>
      </c>
      <c r="H65" s="6" t="str">
        <f>IFERROR(__xludf.DUMMYFUNCTION("""COMPUTED_VALUE"""),"INE245A01021")</f>
        <v>INE245A01021</v>
      </c>
      <c r="I65" s="6" t="str">
        <f>IFERROR(__xludf.DUMMYFUNCTION("""COMPUTED_VALUE"""),"Equity")</f>
        <v>Equity</v>
      </c>
      <c r="J65" s="6" t="str">
        <f>IFERROR(__xludf.DUMMYFUNCTION("""COMPUTED_VALUE"""),"Utilities")</f>
        <v>Utilities</v>
      </c>
      <c r="K65" s="6" t="str">
        <f>IFERROR(__xludf.DUMMYFUNCTION("""COMPUTED_VALUE"""),"Power")</f>
        <v>Power</v>
      </c>
      <c r="L65" s="6" t="str">
        <f>IFERROR(__xludf.DUMMYFUNCTION("""COMPUTED_VALUE"""),"Power")</f>
        <v>Power</v>
      </c>
      <c r="M65" s="6" t="str">
        <f>IFERROR(__xludf.DUMMYFUNCTION("""COMPUTED_VALUE"""),"Integrated Power Utilities")</f>
        <v>Integrated Power Utilities</v>
      </c>
      <c r="N65" s="5">
        <f>IFERROR(__xludf.DUMMYFUNCTION("""COMPUTED_VALUE"""),139784.2875128)</f>
        <v>139784.2875</v>
      </c>
      <c r="O65" s="6">
        <f t="shared" si="4"/>
        <v>22</v>
      </c>
      <c r="P65" s="6">
        <f t="shared" ref="P65:Q65" si="132">COUNTIFS(L:L,L65)</f>
        <v>22</v>
      </c>
      <c r="Q65" s="24">
        <f t="shared" si="132"/>
        <v>6</v>
      </c>
      <c r="R65" s="6" t="str">
        <f t="shared" si="6"/>
        <v>Power</v>
      </c>
      <c r="S65" s="6" t="str">
        <f t="shared" si="7"/>
        <v>Power</v>
      </c>
      <c r="T65" s="6">
        <f>IFERROR(__xludf.DUMMYFUNCTION("COUNTA(UNIQUE(query($A$2:$P$800,""select L where K='""&amp; K65&amp;""'"")))"),1.0)</f>
        <v>1</v>
      </c>
      <c r="U65" s="23">
        <f t="shared" si="8"/>
        <v>0.06818181818</v>
      </c>
      <c r="V65" s="23">
        <f t="shared" ref="V65:W65" si="133">P65/O65</f>
        <v>1</v>
      </c>
      <c r="W65" s="23">
        <f t="shared" si="133"/>
        <v>0.2727272727</v>
      </c>
    </row>
    <row r="66">
      <c r="A66" s="6">
        <f>IFERROR(__xludf.DUMMYFUNCTION("""COMPUTED_VALUE"""),517334.0)</f>
        <v>517334</v>
      </c>
      <c r="B66" s="6" t="str">
        <f>IFERROR(__xludf.DUMMYFUNCTION("""COMPUTED_VALUE"""),"Samvardhana Motherson International Limited")</f>
        <v>Samvardhana Motherson International Limited</v>
      </c>
      <c r="C66" s="6" t="str">
        <f>IFERROR(__xludf.DUMMYFUNCTION("""COMPUTED_VALUE"""),"MOTHERSON")</f>
        <v>MOTHERSON</v>
      </c>
      <c r="D66" s="6" t="str">
        <f>IFERROR(__xludf.DUMMYFUNCTION("""COMPUTED_VALUE"""),"Samvardhana Motherson International Ltd")</f>
        <v>Samvardhana Motherson International Ltd</v>
      </c>
      <c r="E66" s="6" t="str">
        <f>IFERROR(__xludf.DUMMYFUNCTION("""COMPUTED_VALUE"""),"Active")</f>
        <v>Active</v>
      </c>
      <c r="F66" s="6" t="str">
        <f>IFERROR(__xludf.DUMMYFUNCTION("""COMPUTED_VALUE"""),"A")</f>
        <v>A</v>
      </c>
      <c r="G66" s="6">
        <f>IFERROR(__xludf.DUMMYFUNCTION("""COMPUTED_VALUE"""),1.0)</f>
        <v>1</v>
      </c>
      <c r="H66" s="6" t="str">
        <f>IFERROR(__xludf.DUMMYFUNCTION("""COMPUTED_VALUE"""),"INE775A01035")</f>
        <v>INE775A01035</v>
      </c>
      <c r="I66" s="6" t="str">
        <f>IFERROR(__xludf.DUMMYFUNCTION("""COMPUTED_VALUE"""),"Equity")</f>
        <v>Equity</v>
      </c>
      <c r="J66" s="6" t="str">
        <f>IFERROR(__xludf.DUMMYFUNCTION("""COMPUTED_VALUE"""),"Consumer Discretionary")</f>
        <v>Consumer Discretionary</v>
      </c>
      <c r="K66" s="6" t="str">
        <f>IFERROR(__xludf.DUMMYFUNCTION("""COMPUTED_VALUE"""),"Automobile and Auto Components")</f>
        <v>Automobile and Auto Components</v>
      </c>
      <c r="L66" s="6" t="str">
        <f>IFERROR(__xludf.DUMMYFUNCTION("""COMPUTED_VALUE"""),"Auto Components")</f>
        <v>Auto Components</v>
      </c>
      <c r="M66" s="6" t="str">
        <f>IFERROR(__xludf.DUMMYFUNCTION("""COMPUTED_VALUE"""),"Auto Components &amp; Equipments")</f>
        <v>Auto Components &amp; Equipments</v>
      </c>
      <c r="N66" s="5">
        <f>IFERROR(__xludf.DUMMYFUNCTION("""COMPUTED_VALUE"""),139721.6862877)</f>
        <v>139721.6863</v>
      </c>
      <c r="O66" s="6">
        <f t="shared" si="4"/>
        <v>47</v>
      </c>
      <c r="P66" s="6">
        <f t="shared" ref="P66:Q66" si="134">COUNTIFS(L:L,L66)</f>
        <v>37</v>
      </c>
      <c r="Q66" s="24">
        <f t="shared" si="134"/>
        <v>32</v>
      </c>
      <c r="R66" s="6" t="str">
        <f t="shared" si="6"/>
        <v>Automobile and Auto Components</v>
      </c>
      <c r="S66" s="6" t="str">
        <f t="shared" si="7"/>
        <v>Automobile and Auto Components</v>
      </c>
      <c r="T66" s="6">
        <f>IFERROR(__xludf.DUMMYFUNCTION("COUNTA(UNIQUE(query($A$2:$P$800,""select L where K='""&amp; K66&amp;""'"")))"),2.0)</f>
        <v>2</v>
      </c>
      <c r="U66" s="23">
        <f t="shared" si="8"/>
        <v>0.06382978723</v>
      </c>
      <c r="V66" s="23">
        <f t="shared" ref="V66:W66" si="135">P66/O66</f>
        <v>0.7872340426</v>
      </c>
      <c r="W66" s="23">
        <f t="shared" si="135"/>
        <v>0.8648648649</v>
      </c>
    </row>
    <row r="67">
      <c r="A67" s="6">
        <f>IFERROR(__xludf.DUMMYFUNCTION("""COMPUTED_VALUE"""),532755.0)</f>
        <v>532755</v>
      </c>
      <c r="B67" s="6" t="str">
        <f>IFERROR(__xludf.DUMMYFUNCTION("""COMPUTED_VALUE"""),"Tech Mahindra Limited")</f>
        <v>Tech Mahindra Limited</v>
      </c>
      <c r="C67" s="6" t="str">
        <f>IFERROR(__xludf.DUMMYFUNCTION("""COMPUTED_VALUE"""),"TECHM")</f>
        <v>TECHM</v>
      </c>
      <c r="D67" s="6" t="str">
        <f>IFERROR(__xludf.DUMMYFUNCTION("""COMPUTED_VALUE"""),"TECH MAHINDRA LTD.")</f>
        <v>TECH MAHINDRA LTD.</v>
      </c>
      <c r="E67" s="6" t="str">
        <f>IFERROR(__xludf.DUMMYFUNCTION("""COMPUTED_VALUE"""),"Active")</f>
        <v>Active</v>
      </c>
      <c r="F67" s="6" t="str">
        <f>IFERROR(__xludf.DUMMYFUNCTION("""COMPUTED_VALUE"""),"A")</f>
        <v>A</v>
      </c>
      <c r="G67" s="6">
        <f>IFERROR(__xludf.DUMMYFUNCTION("""COMPUTED_VALUE"""),5.0)</f>
        <v>5</v>
      </c>
      <c r="H67" s="6" t="str">
        <f>IFERROR(__xludf.DUMMYFUNCTION("""COMPUTED_VALUE"""),"INE669C01036")</f>
        <v>INE669C01036</v>
      </c>
      <c r="I67" s="6" t="str">
        <f>IFERROR(__xludf.DUMMYFUNCTION("""COMPUTED_VALUE"""),"Equity")</f>
        <v>Equity</v>
      </c>
      <c r="J67" s="6" t="str">
        <f>IFERROR(__xludf.DUMMYFUNCTION("""COMPUTED_VALUE"""),"Information Technology")</f>
        <v>Information Technology</v>
      </c>
      <c r="K67" s="6" t="str">
        <f>IFERROR(__xludf.DUMMYFUNCTION("""COMPUTED_VALUE"""),"Information Technology")</f>
        <v>Information Technology</v>
      </c>
      <c r="L67" s="6" t="str">
        <f>IFERROR(__xludf.DUMMYFUNCTION("""COMPUTED_VALUE"""),"IT - Software")</f>
        <v>IT - Software</v>
      </c>
      <c r="M67" s="6" t="str">
        <f>IFERROR(__xludf.DUMMYFUNCTION("""COMPUTED_VALUE"""),"Computers - Software &amp; Consulting")</f>
        <v>Computers - Software &amp; Consulting</v>
      </c>
      <c r="N67" s="5">
        <f>IFERROR(__xludf.DUMMYFUNCTION("""COMPUTED_VALUE"""),139671.8589)</f>
        <v>139671.8589</v>
      </c>
      <c r="O67" s="6">
        <f t="shared" si="4"/>
        <v>36</v>
      </c>
      <c r="P67" s="6">
        <f t="shared" ref="P67:Q67" si="136">COUNTIFS(L:L,L67)</f>
        <v>27</v>
      </c>
      <c r="Q67" s="24">
        <f t="shared" si="136"/>
        <v>22</v>
      </c>
      <c r="R67" s="6" t="str">
        <f t="shared" si="6"/>
        <v>Information Technology</v>
      </c>
      <c r="S67" s="6" t="str">
        <f t="shared" si="7"/>
        <v>Information Technology</v>
      </c>
      <c r="T67" s="6">
        <f>IFERROR(__xludf.DUMMYFUNCTION("COUNTA(UNIQUE(query($A$2:$P$800,""select L where K='""&amp; K67&amp;""'"")))"),3.0)</f>
        <v>3</v>
      </c>
      <c r="U67" s="23">
        <f t="shared" si="8"/>
        <v>0.125</v>
      </c>
      <c r="V67" s="23">
        <f t="shared" ref="V67:W67" si="137">P67/O67</f>
        <v>0.75</v>
      </c>
      <c r="W67" s="23">
        <f t="shared" si="137"/>
        <v>0.8148148148</v>
      </c>
    </row>
    <row r="68">
      <c r="A68" s="6">
        <f>IFERROR(__xludf.DUMMYFUNCTION("""COMPUTED_VALUE"""),532424.0)</f>
        <v>532424</v>
      </c>
      <c r="B68" s="6" t="str">
        <f>IFERROR(__xludf.DUMMYFUNCTION("""COMPUTED_VALUE"""),"Godrej Consumer Products Ltd.")</f>
        <v>Godrej Consumer Products Ltd.</v>
      </c>
      <c r="C68" s="6" t="str">
        <f>IFERROR(__xludf.DUMMYFUNCTION("""COMPUTED_VALUE"""),"GODREJCP")</f>
        <v>GODREJCP</v>
      </c>
      <c r="D68" s="6" t="str">
        <f>IFERROR(__xludf.DUMMYFUNCTION("""COMPUTED_VALUE"""),"GODREJ CONSUMER PRODUCTS LTD.")</f>
        <v>GODREJ CONSUMER PRODUCTS LTD.</v>
      </c>
      <c r="E68" s="6" t="str">
        <f>IFERROR(__xludf.DUMMYFUNCTION("""COMPUTED_VALUE"""),"Active")</f>
        <v>Active</v>
      </c>
      <c r="F68" s="6" t="str">
        <f>IFERROR(__xludf.DUMMYFUNCTION("""COMPUTED_VALUE"""),"A")</f>
        <v>A</v>
      </c>
      <c r="G68" s="6">
        <f>IFERROR(__xludf.DUMMYFUNCTION("""COMPUTED_VALUE"""),1.0)</f>
        <v>1</v>
      </c>
      <c r="H68" s="6" t="str">
        <f>IFERROR(__xludf.DUMMYFUNCTION("""COMPUTED_VALUE"""),"INE102D01028")</f>
        <v>INE102D01028</v>
      </c>
      <c r="I68" s="6" t="str">
        <f>IFERROR(__xludf.DUMMYFUNCTION("""COMPUTED_VALUE"""),"Equity")</f>
        <v>Equity</v>
      </c>
      <c r="J68" s="6" t="str">
        <f>IFERROR(__xludf.DUMMYFUNCTION("""COMPUTED_VALUE"""),"Fast Moving Consumer Goods")</f>
        <v>Fast Moving Consumer Goods</v>
      </c>
      <c r="K68" s="6" t="str">
        <f>IFERROR(__xludf.DUMMYFUNCTION("""COMPUTED_VALUE"""),"Fast Moving Consumer Goods")</f>
        <v>Fast Moving Consumer Goods</v>
      </c>
      <c r="L68" s="6" t="str">
        <f>IFERROR(__xludf.DUMMYFUNCTION("""COMPUTED_VALUE"""),"Personal Products")</f>
        <v>Personal Products</v>
      </c>
      <c r="M68" s="6" t="str">
        <f>IFERROR(__xludf.DUMMYFUNCTION("""COMPUTED_VALUE"""),"Personal Care")</f>
        <v>Personal Care</v>
      </c>
      <c r="N68" s="5">
        <f>IFERROR(__xludf.DUMMYFUNCTION("""COMPUTED_VALUE"""),137825.69265)</f>
        <v>137825.6927</v>
      </c>
      <c r="O68" s="6">
        <f t="shared" si="4"/>
        <v>44</v>
      </c>
      <c r="P68" s="6">
        <f t="shared" ref="P68:Q68" si="138">COUNTIFS(L:L,L68)</f>
        <v>7</v>
      </c>
      <c r="Q68" s="24">
        <f t="shared" si="138"/>
        <v>7</v>
      </c>
      <c r="R68" s="6" t="str">
        <f t="shared" si="6"/>
        <v>Fast Moving Consumer Goods</v>
      </c>
      <c r="S68" s="6" t="str">
        <f t="shared" si="7"/>
        <v>Fast Moving Consumer Goods</v>
      </c>
      <c r="T68" s="6">
        <f>IFERROR(__xludf.DUMMYFUNCTION("COUNTA(UNIQUE(query($A$2:$P$800,""select L where K='""&amp; K68&amp;""'"")))"),7.0)</f>
        <v>7</v>
      </c>
      <c r="U68" s="23">
        <f t="shared" si="8"/>
        <v>0.2386363636</v>
      </c>
      <c r="V68" s="23">
        <f t="shared" ref="V68:W68" si="139">P68/O68</f>
        <v>0.1590909091</v>
      </c>
      <c r="W68" s="23">
        <f t="shared" si="139"/>
        <v>1</v>
      </c>
    </row>
    <row r="69">
      <c r="A69" s="6">
        <f>IFERROR(__xludf.DUMMYFUNCTION("""COMPUTED_VALUE"""),532461.0)</f>
        <v>532461</v>
      </c>
      <c r="B69" s="6" t="str">
        <f>IFERROR(__xludf.DUMMYFUNCTION("""COMPUTED_VALUE"""),"Punjab National Bank")</f>
        <v>Punjab National Bank</v>
      </c>
      <c r="C69" s="6" t="str">
        <f>IFERROR(__xludf.DUMMYFUNCTION("""COMPUTED_VALUE"""),"PNB")</f>
        <v>PNB</v>
      </c>
      <c r="D69" s="6" t="str">
        <f>IFERROR(__xludf.DUMMYFUNCTION("""COMPUTED_VALUE"""),"PUNJAB NATIONAL BANK")</f>
        <v>PUNJAB NATIONAL BANK</v>
      </c>
      <c r="E69" s="6" t="str">
        <f>IFERROR(__xludf.DUMMYFUNCTION("""COMPUTED_VALUE"""),"Active")</f>
        <v>Active</v>
      </c>
      <c r="F69" s="6" t="str">
        <f>IFERROR(__xludf.DUMMYFUNCTION("""COMPUTED_VALUE"""),"A")</f>
        <v>A</v>
      </c>
      <c r="G69" s="6">
        <f>IFERROR(__xludf.DUMMYFUNCTION("""COMPUTED_VALUE"""),2.0)</f>
        <v>2</v>
      </c>
      <c r="H69" s="6" t="str">
        <f>IFERROR(__xludf.DUMMYFUNCTION("""COMPUTED_VALUE"""),"INE160A01022")</f>
        <v>INE160A01022</v>
      </c>
      <c r="I69" s="6" t="str">
        <f>IFERROR(__xludf.DUMMYFUNCTION("""COMPUTED_VALUE"""),"Equity")</f>
        <v>Equity</v>
      </c>
      <c r="J69" s="6" t="str">
        <f>IFERROR(__xludf.DUMMYFUNCTION("""COMPUTED_VALUE"""),"Financial Services")</f>
        <v>Financial Services</v>
      </c>
      <c r="K69" s="6" t="str">
        <f>IFERROR(__xludf.DUMMYFUNCTION("""COMPUTED_VALUE"""),"Financial Services")</f>
        <v>Financial Services</v>
      </c>
      <c r="L69" s="6" t="str">
        <f>IFERROR(__xludf.DUMMYFUNCTION("""COMPUTED_VALUE"""),"Banks")</f>
        <v>Banks</v>
      </c>
      <c r="M69" s="6" t="str">
        <f>IFERROR(__xludf.DUMMYFUNCTION("""COMPUTED_VALUE"""),"Public Sector Bank")</f>
        <v>Public Sector Bank</v>
      </c>
      <c r="N69" s="5">
        <f>IFERROR(__xludf.DUMMYFUNCTION("""COMPUTED_VALUE"""),134380.6475)</f>
        <v>134380.6475</v>
      </c>
      <c r="O69" s="6">
        <f t="shared" si="4"/>
        <v>123</v>
      </c>
      <c r="P69" s="6">
        <f t="shared" ref="P69:Q69" si="140">COUNTIFS(L:L,L69)</f>
        <v>35</v>
      </c>
      <c r="Q69" s="24">
        <f t="shared" si="140"/>
        <v>12</v>
      </c>
      <c r="R69" s="6" t="str">
        <f t="shared" si="6"/>
        <v>Banks</v>
      </c>
      <c r="S69" s="6" t="str">
        <f t="shared" si="7"/>
        <v>Banks</v>
      </c>
      <c r="T69" s="6">
        <f>IFERROR(__xludf.DUMMYFUNCTION("COUNTA(UNIQUE(query($A$2:$P$800,""select L where K='""&amp; K69&amp;""'"")))"),5.0)</f>
        <v>5</v>
      </c>
      <c r="U69" s="23">
        <f t="shared" si="8"/>
        <v>0.06097560976</v>
      </c>
      <c r="V69" s="23">
        <f t="shared" ref="V69:W69" si="141">P69/O69</f>
        <v>0.2845528455</v>
      </c>
      <c r="W69" s="23">
        <f t="shared" si="141"/>
        <v>0.3428571429</v>
      </c>
    </row>
    <row r="70">
      <c r="A70" s="6">
        <f>IFERROR(__xludf.DUMMYFUNCTION("""COMPUTED_VALUE"""),500825.0)</f>
        <v>500825</v>
      </c>
      <c r="B70" s="6" t="str">
        <f>IFERROR(__xludf.DUMMYFUNCTION("""COMPUTED_VALUE"""),"Britannia Industries Ltd.")</f>
        <v>Britannia Industries Ltd.</v>
      </c>
      <c r="C70" s="6" t="str">
        <f>IFERROR(__xludf.DUMMYFUNCTION("""COMPUTED_VALUE"""),"BRITANNIA")</f>
        <v>BRITANNIA</v>
      </c>
      <c r="D70" s="6" t="str">
        <f>IFERROR(__xludf.DUMMYFUNCTION("""COMPUTED_VALUE"""),"BRITANNIA INDUSTRIES LTD.")</f>
        <v>BRITANNIA INDUSTRIES LTD.</v>
      </c>
      <c r="E70" s="6" t="str">
        <f>IFERROR(__xludf.DUMMYFUNCTION("""COMPUTED_VALUE"""),"Active")</f>
        <v>Active</v>
      </c>
      <c r="F70" s="6" t="str">
        <f>IFERROR(__xludf.DUMMYFUNCTION("""COMPUTED_VALUE"""),"A")</f>
        <v>A</v>
      </c>
      <c r="G70" s="6">
        <f>IFERROR(__xludf.DUMMYFUNCTION("""COMPUTED_VALUE"""),1.0)</f>
        <v>1</v>
      </c>
      <c r="H70" s="6" t="str">
        <f>IFERROR(__xludf.DUMMYFUNCTION("""COMPUTED_VALUE"""),"INE216A01030")</f>
        <v>INE216A01030</v>
      </c>
      <c r="I70" s="6" t="str">
        <f>IFERROR(__xludf.DUMMYFUNCTION("""COMPUTED_VALUE"""),"Equity")</f>
        <v>Equity</v>
      </c>
      <c r="J70" s="6" t="str">
        <f>IFERROR(__xludf.DUMMYFUNCTION("""COMPUTED_VALUE"""),"Fast Moving Consumer Goods")</f>
        <v>Fast Moving Consumer Goods</v>
      </c>
      <c r="K70" s="6" t="str">
        <f>IFERROR(__xludf.DUMMYFUNCTION("""COMPUTED_VALUE"""),"Fast Moving Consumer Goods")</f>
        <v>Fast Moving Consumer Goods</v>
      </c>
      <c r="L70" s="6" t="str">
        <f>IFERROR(__xludf.DUMMYFUNCTION("""COMPUTED_VALUE"""),"Food Products")</f>
        <v>Food Products</v>
      </c>
      <c r="M70" s="6" t="str">
        <f>IFERROR(__xludf.DUMMYFUNCTION("""COMPUTED_VALUE"""),"Packaged Foods")</f>
        <v>Packaged Foods</v>
      </c>
      <c r="N70" s="5">
        <f>IFERROR(__xludf.DUMMYFUNCTION("""COMPUTED_VALUE"""),132299.60016)</f>
        <v>132299.6002</v>
      </c>
      <c r="O70" s="6">
        <f t="shared" si="4"/>
        <v>44</v>
      </c>
      <c r="P70" s="6">
        <f t="shared" ref="P70:Q70" si="142">COUNTIFS(L:L,L70)</f>
        <v>11</v>
      </c>
      <c r="Q70" s="24">
        <f t="shared" si="142"/>
        <v>6</v>
      </c>
      <c r="R70" s="6" t="str">
        <f t="shared" si="6"/>
        <v>Fast Moving Consumer Goods</v>
      </c>
      <c r="S70" s="6" t="str">
        <f t="shared" si="7"/>
        <v>Fast Moving Consumer Goods</v>
      </c>
      <c r="T70" s="6">
        <f>IFERROR(__xludf.DUMMYFUNCTION("COUNTA(UNIQUE(query($A$2:$P$800,""select L where K='""&amp; K70&amp;""'"")))"),7.0)</f>
        <v>7</v>
      </c>
      <c r="U70" s="23">
        <f t="shared" si="8"/>
        <v>0.2386363636</v>
      </c>
      <c r="V70" s="23">
        <f t="shared" ref="V70:W70" si="143">P70/O70</f>
        <v>0.25</v>
      </c>
      <c r="W70" s="23">
        <f t="shared" si="143"/>
        <v>0.5454545455</v>
      </c>
    </row>
    <row r="71">
      <c r="A71" s="6">
        <f>IFERROR(__xludf.DUMMYFUNCTION("""COMPUTED_VALUE"""),505200.0)</f>
        <v>505200</v>
      </c>
      <c r="B71" s="6" t="str">
        <f>IFERROR(__xludf.DUMMYFUNCTION("""COMPUTED_VALUE"""),"Eicher Motors Ltd.")</f>
        <v>Eicher Motors Ltd.</v>
      </c>
      <c r="C71" s="6" t="str">
        <f>IFERROR(__xludf.DUMMYFUNCTION("""COMPUTED_VALUE"""),"EICHERMOT")</f>
        <v>EICHERMOT</v>
      </c>
      <c r="D71" s="6" t="str">
        <f>IFERROR(__xludf.DUMMYFUNCTION("""COMPUTED_VALUE"""),"EICHER MOTORS LTD.")</f>
        <v>EICHER MOTORS LTD.</v>
      </c>
      <c r="E71" s="6" t="str">
        <f>IFERROR(__xludf.DUMMYFUNCTION("""COMPUTED_VALUE"""),"Active")</f>
        <v>Active</v>
      </c>
      <c r="F71" s="6" t="str">
        <f>IFERROR(__xludf.DUMMYFUNCTION("""COMPUTED_VALUE"""),"A")</f>
        <v>A</v>
      </c>
      <c r="G71" s="6">
        <f>IFERROR(__xludf.DUMMYFUNCTION("""COMPUTED_VALUE"""),1.0)</f>
        <v>1</v>
      </c>
      <c r="H71" s="6" t="str">
        <f>IFERROR(__xludf.DUMMYFUNCTION("""COMPUTED_VALUE"""),"INE066A01021")</f>
        <v>INE066A01021</v>
      </c>
      <c r="I71" s="6" t="str">
        <f>IFERROR(__xludf.DUMMYFUNCTION("""COMPUTED_VALUE"""),"Equity")</f>
        <v>Equity</v>
      </c>
      <c r="J71" s="6" t="str">
        <f>IFERROR(__xludf.DUMMYFUNCTION("""COMPUTED_VALUE"""),"Consumer Discretionary")</f>
        <v>Consumer Discretionary</v>
      </c>
      <c r="K71" s="6" t="str">
        <f>IFERROR(__xludf.DUMMYFUNCTION("""COMPUTED_VALUE"""),"Automobile and Auto Components")</f>
        <v>Automobile and Auto Components</v>
      </c>
      <c r="L71" s="6" t="str">
        <f>IFERROR(__xludf.DUMMYFUNCTION("""COMPUTED_VALUE"""),"Automobiles")</f>
        <v>Automobiles</v>
      </c>
      <c r="M71" s="6" t="str">
        <f>IFERROR(__xludf.DUMMYFUNCTION("""COMPUTED_VALUE"""),"2/3 Wheelers")</f>
        <v>2/3 Wheelers</v>
      </c>
      <c r="N71" s="5">
        <f>IFERROR(__xludf.DUMMYFUNCTION("""COMPUTED_VALUE"""),129244.986)</f>
        <v>129244.986</v>
      </c>
      <c r="O71" s="6">
        <f t="shared" si="4"/>
        <v>47</v>
      </c>
      <c r="P71" s="6">
        <f t="shared" ref="P71:Q71" si="144">COUNTIFS(L:L,L71)</f>
        <v>10</v>
      </c>
      <c r="Q71" s="24">
        <f t="shared" si="144"/>
        <v>4</v>
      </c>
      <c r="R71" s="6" t="str">
        <f t="shared" si="6"/>
        <v>Automobile and Auto Components</v>
      </c>
      <c r="S71" s="6" t="str">
        <f t="shared" si="7"/>
        <v>Automobile and Auto Components</v>
      </c>
      <c r="T71" s="6">
        <f>IFERROR(__xludf.DUMMYFUNCTION("COUNTA(UNIQUE(query($A$2:$P$800,""select L where K='""&amp; K71&amp;""'"")))"),2.0)</f>
        <v>2</v>
      </c>
      <c r="U71" s="23">
        <f t="shared" si="8"/>
        <v>0.06382978723</v>
      </c>
      <c r="V71" s="23">
        <f t="shared" ref="V71:W71" si="145">P71/O71</f>
        <v>0.2127659574</v>
      </c>
      <c r="W71" s="23">
        <f t="shared" si="145"/>
        <v>0.4</v>
      </c>
    </row>
    <row r="72">
      <c r="A72" s="6">
        <f>IFERROR(__xludf.DUMMYFUNCTION("""COMPUTED_VALUE"""),540777.0)</f>
        <v>540777</v>
      </c>
      <c r="B72" s="6" t="str">
        <f>IFERROR(__xludf.DUMMYFUNCTION("""COMPUTED_VALUE"""),"HDFC LIFE INSURANCE COMPANY LIMITED")</f>
        <v>HDFC LIFE INSURANCE COMPANY LIMITED</v>
      </c>
      <c r="C72" s="6" t="str">
        <f>IFERROR(__xludf.DUMMYFUNCTION("""COMPUTED_VALUE"""),"HDFCLIFE")</f>
        <v>HDFCLIFE</v>
      </c>
      <c r="D72" s="6" t="str">
        <f>IFERROR(__xludf.DUMMYFUNCTION("""COMPUTED_VALUE"""),"HDFC Life Insurance Company Ltd")</f>
        <v>HDFC Life Insurance Company Ltd</v>
      </c>
      <c r="E72" s="6" t="str">
        <f>IFERROR(__xludf.DUMMYFUNCTION("""COMPUTED_VALUE"""),"Active")</f>
        <v>Active</v>
      </c>
      <c r="F72" s="6" t="str">
        <f>IFERROR(__xludf.DUMMYFUNCTION("""COMPUTED_VALUE"""),"A")</f>
        <v>A</v>
      </c>
      <c r="G72" s="6">
        <f>IFERROR(__xludf.DUMMYFUNCTION("""COMPUTED_VALUE"""),10.0)</f>
        <v>10</v>
      </c>
      <c r="H72" s="6" t="str">
        <f>IFERROR(__xludf.DUMMYFUNCTION("""COMPUTED_VALUE"""),"INE795G01014")</f>
        <v>INE795G01014</v>
      </c>
      <c r="I72" s="6" t="str">
        <f>IFERROR(__xludf.DUMMYFUNCTION("""COMPUTED_VALUE"""),"Equity")</f>
        <v>Equity</v>
      </c>
      <c r="J72" s="6" t="str">
        <f>IFERROR(__xludf.DUMMYFUNCTION("""COMPUTED_VALUE"""),"Financial Services")</f>
        <v>Financial Services</v>
      </c>
      <c r="K72" s="6" t="str">
        <f>IFERROR(__xludf.DUMMYFUNCTION("""COMPUTED_VALUE"""),"Financial Services")</f>
        <v>Financial Services</v>
      </c>
      <c r="L72" s="6" t="str">
        <f>IFERROR(__xludf.DUMMYFUNCTION("""COMPUTED_VALUE"""),"Insurance")</f>
        <v>Insurance</v>
      </c>
      <c r="M72" s="6" t="str">
        <f>IFERROR(__xludf.DUMMYFUNCTION("""COMPUTED_VALUE"""),"Life Insurance")</f>
        <v>Life Insurance</v>
      </c>
      <c r="N72" s="5">
        <f>IFERROR(__xludf.DUMMYFUNCTION("""COMPUTED_VALUE"""),126342.4891624)</f>
        <v>126342.4892</v>
      </c>
      <c r="O72" s="6">
        <f t="shared" si="4"/>
        <v>123</v>
      </c>
      <c r="P72" s="6">
        <f t="shared" ref="P72:Q72" si="146">COUNTIFS(L:L,L72)</f>
        <v>10</v>
      </c>
      <c r="Q72" s="24">
        <f t="shared" si="146"/>
        <v>5</v>
      </c>
      <c r="R72" s="6" t="str">
        <f t="shared" si="6"/>
        <v>Financial Services</v>
      </c>
      <c r="S72" s="6" t="str">
        <f t="shared" si="7"/>
        <v>Financial Services</v>
      </c>
      <c r="T72" s="6">
        <f>IFERROR(__xludf.DUMMYFUNCTION("COUNTA(UNIQUE(query($A$2:$P$800,""select L where K='""&amp; K72&amp;""'"")))"),5.0)</f>
        <v>5</v>
      </c>
      <c r="U72" s="23">
        <f t="shared" si="8"/>
        <v>0.06097560976</v>
      </c>
      <c r="V72" s="23">
        <f t="shared" ref="V72:W72" si="147">P72/O72</f>
        <v>0.08130081301</v>
      </c>
      <c r="W72" s="23">
        <f t="shared" si="147"/>
        <v>0.5</v>
      </c>
    </row>
    <row r="73">
      <c r="A73" s="6">
        <f>IFERROR(__xludf.DUMMYFUNCTION("""COMPUTED_VALUE"""),533148.0)</f>
        <v>533148</v>
      </c>
      <c r="B73" s="6" t="str">
        <f>IFERROR(__xludf.DUMMYFUNCTION("""COMPUTED_VALUE"""),"JSW Energy Limited")</f>
        <v>JSW Energy Limited</v>
      </c>
      <c r="C73" s="6" t="str">
        <f>IFERROR(__xludf.DUMMYFUNCTION("""COMPUTED_VALUE"""),"JSWENERGY")</f>
        <v>JSWENERGY</v>
      </c>
      <c r="D73" s="6" t="str">
        <f>IFERROR(__xludf.DUMMYFUNCTION("""COMPUTED_VALUE"""),"JSW Energy Ltd")</f>
        <v>JSW Energy Ltd</v>
      </c>
      <c r="E73" s="6" t="str">
        <f>IFERROR(__xludf.DUMMYFUNCTION("""COMPUTED_VALUE"""),"Active")</f>
        <v>Active</v>
      </c>
      <c r="F73" s="6" t="str">
        <f>IFERROR(__xludf.DUMMYFUNCTION("""COMPUTED_VALUE"""),"A")</f>
        <v>A</v>
      </c>
      <c r="G73" s="6">
        <f>IFERROR(__xludf.DUMMYFUNCTION("""COMPUTED_VALUE"""),10.0)</f>
        <v>10</v>
      </c>
      <c r="H73" s="6" t="str">
        <f>IFERROR(__xludf.DUMMYFUNCTION("""COMPUTED_VALUE"""),"INE121E01018")</f>
        <v>INE121E01018</v>
      </c>
      <c r="I73" s="6" t="str">
        <f>IFERROR(__xludf.DUMMYFUNCTION("""COMPUTED_VALUE"""),"Equity")</f>
        <v>Equity</v>
      </c>
      <c r="J73" s="6" t="str">
        <f>IFERROR(__xludf.DUMMYFUNCTION("""COMPUTED_VALUE"""),"Utilities")</f>
        <v>Utilities</v>
      </c>
      <c r="K73" s="6" t="str">
        <f>IFERROR(__xludf.DUMMYFUNCTION("""COMPUTED_VALUE"""),"Power")</f>
        <v>Power</v>
      </c>
      <c r="L73" s="6" t="str">
        <f>IFERROR(__xludf.DUMMYFUNCTION("""COMPUTED_VALUE"""),"Power")</f>
        <v>Power</v>
      </c>
      <c r="M73" s="6" t="str">
        <f>IFERROR(__xludf.DUMMYFUNCTION("""COMPUTED_VALUE"""),"Power Generation")</f>
        <v>Power Generation</v>
      </c>
      <c r="N73" s="5">
        <f>IFERROR(__xludf.DUMMYFUNCTION("""COMPUTED_VALUE"""),123926.5111694)</f>
        <v>123926.5112</v>
      </c>
      <c r="O73" s="6">
        <f t="shared" si="4"/>
        <v>22</v>
      </c>
      <c r="P73" s="6">
        <f t="shared" ref="P73:Q73" si="148">COUNTIFS(L:L,L73)</f>
        <v>22</v>
      </c>
      <c r="Q73" s="24">
        <f t="shared" si="148"/>
        <v>13</v>
      </c>
      <c r="R73" s="6" t="str">
        <f t="shared" si="6"/>
        <v>Power</v>
      </c>
      <c r="S73" s="6" t="str">
        <f t="shared" si="7"/>
        <v>Power</v>
      </c>
      <c r="T73" s="6">
        <f>IFERROR(__xludf.DUMMYFUNCTION("COUNTA(UNIQUE(query($A$2:$P$800,""select L where K='""&amp; K73&amp;""'"")))"),1.0)</f>
        <v>1</v>
      </c>
      <c r="U73" s="23">
        <f t="shared" si="8"/>
        <v>0.06818181818</v>
      </c>
      <c r="V73" s="23">
        <f t="shared" ref="V73:W73" si="149">P73/O73</f>
        <v>1</v>
      </c>
      <c r="W73" s="23">
        <f t="shared" si="149"/>
        <v>0.5909090909</v>
      </c>
    </row>
    <row r="74">
      <c r="A74" s="6">
        <f>IFERROR(__xludf.DUMMYFUNCTION("""COMPUTED_VALUE"""),532388.0)</f>
        <v>532388</v>
      </c>
      <c r="B74" s="6" t="str">
        <f>IFERROR(__xludf.DUMMYFUNCTION("""COMPUTED_VALUE"""),"Indian Overseas Bank")</f>
        <v>Indian Overseas Bank</v>
      </c>
      <c r="C74" s="6" t="str">
        <f>IFERROR(__xludf.DUMMYFUNCTION("""COMPUTED_VALUE"""),"IOB")</f>
        <v>IOB</v>
      </c>
      <c r="D74" s="6" t="str">
        <f>IFERROR(__xludf.DUMMYFUNCTION("""COMPUTED_VALUE"""),"INDIAN OVERSEAS BANK")</f>
        <v>INDIAN OVERSEAS BANK</v>
      </c>
      <c r="E74" s="6" t="str">
        <f>IFERROR(__xludf.DUMMYFUNCTION("""COMPUTED_VALUE"""),"Active")</f>
        <v>Active</v>
      </c>
      <c r="F74" s="6" t="str">
        <f>IFERROR(__xludf.DUMMYFUNCTION("""COMPUTED_VALUE"""),"A")</f>
        <v>A</v>
      </c>
      <c r="G74" s="6">
        <f>IFERROR(__xludf.DUMMYFUNCTION("""COMPUTED_VALUE"""),10.0)</f>
        <v>10</v>
      </c>
      <c r="H74" s="6" t="str">
        <f>IFERROR(__xludf.DUMMYFUNCTION("""COMPUTED_VALUE"""),"INE565A01014")</f>
        <v>INE565A01014</v>
      </c>
      <c r="I74" s="6" t="str">
        <f>IFERROR(__xludf.DUMMYFUNCTION("""COMPUTED_VALUE"""),"Equity")</f>
        <v>Equity</v>
      </c>
      <c r="J74" s="6" t="str">
        <f>IFERROR(__xludf.DUMMYFUNCTION("""COMPUTED_VALUE"""),"Financial Services")</f>
        <v>Financial Services</v>
      </c>
      <c r="K74" s="6" t="str">
        <f>IFERROR(__xludf.DUMMYFUNCTION("""COMPUTED_VALUE"""),"Financial Services")</f>
        <v>Financial Services</v>
      </c>
      <c r="L74" s="6" t="str">
        <f>IFERROR(__xludf.DUMMYFUNCTION("""COMPUTED_VALUE"""),"Banks")</f>
        <v>Banks</v>
      </c>
      <c r="M74" s="6" t="str">
        <f>IFERROR(__xludf.DUMMYFUNCTION("""COMPUTED_VALUE"""),"Public Sector Bank")</f>
        <v>Public Sector Bank</v>
      </c>
      <c r="N74" s="5">
        <f>IFERROR(__xludf.DUMMYFUNCTION("""COMPUTED_VALUE"""),121542.8501557)</f>
        <v>121542.8502</v>
      </c>
      <c r="O74" s="6">
        <f t="shared" si="4"/>
        <v>123</v>
      </c>
      <c r="P74" s="6">
        <f t="shared" ref="P74:Q74" si="150">COUNTIFS(L:L,L74)</f>
        <v>35</v>
      </c>
      <c r="Q74" s="24">
        <f t="shared" si="150"/>
        <v>12</v>
      </c>
      <c r="R74" s="6" t="str">
        <f t="shared" si="6"/>
        <v>Banks</v>
      </c>
      <c r="S74" s="6" t="str">
        <f t="shared" si="7"/>
        <v>Banks</v>
      </c>
      <c r="T74" s="6">
        <f>IFERROR(__xludf.DUMMYFUNCTION("COUNTA(UNIQUE(query($A$2:$P$800,""select L where K='""&amp; K74&amp;""'"")))"),5.0)</f>
        <v>5</v>
      </c>
      <c r="U74" s="23">
        <f t="shared" si="8"/>
        <v>0.06097560976</v>
      </c>
      <c r="V74" s="23">
        <f t="shared" ref="V74:W74" si="151">P74/O74</f>
        <v>0.2845528455</v>
      </c>
      <c r="W74" s="23">
        <f t="shared" si="151"/>
        <v>0.3428571429</v>
      </c>
    </row>
    <row r="75">
      <c r="A75" s="6">
        <f>IFERROR(__xludf.DUMMYFUNCTION("""COMPUTED_VALUE"""),532488.0)</f>
        <v>532488</v>
      </c>
      <c r="B75" s="6" t="str">
        <f>IFERROR(__xludf.DUMMYFUNCTION("""COMPUTED_VALUE"""),"Divi's Laboratories Ltd.")</f>
        <v>Divi's Laboratories Ltd.</v>
      </c>
      <c r="C75" s="6" t="str">
        <f>IFERROR(__xludf.DUMMYFUNCTION("""COMPUTED_VALUE"""),"DIVISLAB")</f>
        <v>DIVISLAB</v>
      </c>
      <c r="D75" s="6" t="str">
        <f>IFERROR(__xludf.DUMMYFUNCTION("""COMPUTED_VALUE"""),"DIVI'S LABORATORIES LTD.")</f>
        <v>DIVI'S LABORATORIES LTD.</v>
      </c>
      <c r="E75" s="6" t="str">
        <f>IFERROR(__xludf.DUMMYFUNCTION("""COMPUTED_VALUE"""),"Active")</f>
        <v>Active</v>
      </c>
      <c r="F75" s="6" t="str">
        <f>IFERROR(__xludf.DUMMYFUNCTION("""COMPUTED_VALUE"""),"A")</f>
        <v>A</v>
      </c>
      <c r="G75" s="6">
        <f>IFERROR(__xludf.DUMMYFUNCTION("""COMPUTED_VALUE"""),2.0)</f>
        <v>2</v>
      </c>
      <c r="H75" s="6" t="str">
        <f>IFERROR(__xludf.DUMMYFUNCTION("""COMPUTED_VALUE"""),"INE361B01024")</f>
        <v>INE361B01024</v>
      </c>
      <c r="I75" s="6" t="str">
        <f>IFERROR(__xludf.DUMMYFUNCTION("""COMPUTED_VALUE"""),"Equity")</f>
        <v>Equity</v>
      </c>
      <c r="J75" s="6" t="str">
        <f>IFERROR(__xludf.DUMMYFUNCTION("""COMPUTED_VALUE"""),"Healthcare")</f>
        <v>Healthcare</v>
      </c>
      <c r="K75" s="6" t="str">
        <f>IFERROR(__xludf.DUMMYFUNCTION("""COMPUTED_VALUE"""),"Healthcare")</f>
        <v>Healthcare</v>
      </c>
      <c r="L75" s="6" t="str">
        <f>IFERROR(__xludf.DUMMYFUNCTION("""COMPUTED_VALUE"""),"Pharmaceuticals &amp; Biotechnology")</f>
        <v>Pharmaceuticals &amp; Biotechnology</v>
      </c>
      <c r="M75" s="6" t="str">
        <f>IFERROR(__xludf.DUMMYFUNCTION("""COMPUTED_VALUE"""),"Pharmaceuticals")</f>
        <v>Pharmaceuticals</v>
      </c>
      <c r="N75" s="5">
        <f>IFERROR(__xludf.DUMMYFUNCTION("""COMPUTED_VALUE"""),121384.9362952)</f>
        <v>121384.9363</v>
      </c>
      <c r="O75" s="6">
        <f t="shared" si="4"/>
        <v>62</v>
      </c>
      <c r="P75" s="6">
        <f t="shared" ref="P75:Q75" si="152">COUNTIFS(L:L,L75)</f>
        <v>45</v>
      </c>
      <c r="Q75" s="24">
        <f t="shared" si="152"/>
        <v>45</v>
      </c>
      <c r="R75" s="6" t="str">
        <f t="shared" si="6"/>
        <v>Healthcare</v>
      </c>
      <c r="S75" s="6" t="str">
        <f t="shared" si="7"/>
        <v>Healthcare</v>
      </c>
      <c r="T75" s="6">
        <f>IFERROR(__xludf.DUMMYFUNCTION("COUNTA(UNIQUE(query($A$2:$P$800,""select L where K='""&amp; K75&amp;""'"")))"),3.0)</f>
        <v>3</v>
      </c>
      <c r="U75" s="23">
        <f t="shared" si="8"/>
        <v>0.07258064516</v>
      </c>
      <c r="V75" s="23">
        <f t="shared" ref="V75:W75" si="153">P75/O75</f>
        <v>0.7258064516</v>
      </c>
      <c r="W75" s="23">
        <f t="shared" si="153"/>
        <v>1</v>
      </c>
    </row>
    <row r="76">
      <c r="A76" s="6">
        <f>IFERROR(__xludf.DUMMYFUNCTION("""COMPUTED_VALUE"""),532822.0)</f>
        <v>532822</v>
      </c>
      <c r="B76" s="6" t="str">
        <f>IFERROR(__xludf.DUMMYFUNCTION("""COMPUTED_VALUE"""),"VODAFONE IDEA LIMITED")</f>
        <v>VODAFONE IDEA LIMITED</v>
      </c>
      <c r="C76" s="6" t="str">
        <f>IFERROR(__xludf.DUMMYFUNCTION("""COMPUTED_VALUE"""),"IDEA")</f>
        <v>IDEA</v>
      </c>
      <c r="D76" s="6" t="str">
        <f>IFERROR(__xludf.DUMMYFUNCTION("""COMPUTED_VALUE"""),"Vodafone Idea Ltd")</f>
        <v>Vodafone Idea Ltd</v>
      </c>
      <c r="E76" s="6" t="str">
        <f>IFERROR(__xludf.DUMMYFUNCTION("""COMPUTED_VALUE"""),"Active")</f>
        <v>Active</v>
      </c>
      <c r="F76" s="6" t="str">
        <f>IFERROR(__xludf.DUMMYFUNCTION("""COMPUTED_VALUE"""),"A")</f>
        <v>A</v>
      </c>
      <c r="G76" s="6">
        <f>IFERROR(__xludf.DUMMYFUNCTION("""COMPUTED_VALUE"""),10.0)</f>
        <v>10</v>
      </c>
      <c r="H76" s="6" t="str">
        <f>IFERROR(__xludf.DUMMYFUNCTION("""COMPUTED_VALUE"""),"INE669E01016")</f>
        <v>INE669E01016</v>
      </c>
      <c r="I76" s="6" t="str">
        <f>IFERROR(__xludf.DUMMYFUNCTION("""COMPUTED_VALUE"""),"Equity")</f>
        <v>Equity</v>
      </c>
      <c r="J76" s="6" t="str">
        <f>IFERROR(__xludf.DUMMYFUNCTION("""COMPUTED_VALUE"""),"Telecommunication")</f>
        <v>Telecommunication</v>
      </c>
      <c r="K76" s="6" t="str">
        <f>IFERROR(__xludf.DUMMYFUNCTION("""COMPUTED_VALUE"""),"Telecommunication")</f>
        <v>Telecommunication</v>
      </c>
      <c r="L76" s="6" t="str">
        <f>IFERROR(__xludf.DUMMYFUNCTION("""COMPUTED_VALUE"""),"Telecom - Services")</f>
        <v>Telecom - Services</v>
      </c>
      <c r="M76" s="6" t="str">
        <f>IFERROR(__xludf.DUMMYFUNCTION("""COMPUTED_VALUE"""),"Telecom - Cellular &amp; Fixed line services")</f>
        <v>Telecom - Cellular &amp; Fixed line services</v>
      </c>
      <c r="N76" s="5">
        <f>IFERROR(__xludf.DUMMYFUNCTION("""COMPUTED_VALUE"""),120402.0970069)</f>
        <v>120402.097</v>
      </c>
      <c r="O76" s="6">
        <f t="shared" si="4"/>
        <v>14</v>
      </c>
      <c r="P76" s="6">
        <f t="shared" ref="P76:Q76" si="154">COUNTIFS(L:L,L76)</f>
        <v>11</v>
      </c>
      <c r="Q76" s="24">
        <f t="shared" si="154"/>
        <v>5</v>
      </c>
      <c r="R76" s="6" t="str">
        <f t="shared" si="6"/>
        <v>Telecommunication</v>
      </c>
      <c r="S76" s="6" t="str">
        <f t="shared" si="7"/>
        <v>Telecommunication</v>
      </c>
      <c r="T76" s="6">
        <f>IFERROR(__xludf.DUMMYFUNCTION("COUNTA(UNIQUE(query($A$2:$P$800,""select L where K='""&amp; K76&amp;""'"")))"),2.0)</f>
        <v>2</v>
      </c>
      <c r="U76" s="23">
        <f t="shared" si="8"/>
        <v>0.2142857143</v>
      </c>
      <c r="V76" s="23">
        <f t="shared" ref="V76:W76" si="155">P76/O76</f>
        <v>0.7857142857</v>
      </c>
      <c r="W76" s="23">
        <f t="shared" si="155"/>
        <v>0.4545454545</v>
      </c>
    </row>
    <row r="77">
      <c r="A77" s="6">
        <f>IFERROR(__xludf.DUMMYFUNCTION("""COMPUTED_VALUE"""),500087.0)</f>
        <v>500087</v>
      </c>
      <c r="B77" s="6" t="str">
        <f>IFERROR(__xludf.DUMMYFUNCTION("""COMPUTED_VALUE"""),"Cipla Ltd.")</f>
        <v>Cipla Ltd.</v>
      </c>
      <c r="C77" s="6" t="str">
        <f>IFERROR(__xludf.DUMMYFUNCTION("""COMPUTED_VALUE"""),"CIPLA")</f>
        <v>CIPLA</v>
      </c>
      <c r="D77" s="6" t="str">
        <f>IFERROR(__xludf.DUMMYFUNCTION("""COMPUTED_VALUE"""),"CIPLA LTD.")</f>
        <v>CIPLA LTD.</v>
      </c>
      <c r="E77" s="6" t="str">
        <f>IFERROR(__xludf.DUMMYFUNCTION("""COMPUTED_VALUE"""),"Active")</f>
        <v>Active</v>
      </c>
      <c r="F77" s="6" t="str">
        <f>IFERROR(__xludf.DUMMYFUNCTION("""COMPUTED_VALUE"""),"A")</f>
        <v>A</v>
      </c>
      <c r="G77" s="6">
        <f>IFERROR(__xludf.DUMMYFUNCTION("""COMPUTED_VALUE"""),2.0)</f>
        <v>2</v>
      </c>
      <c r="H77" s="6" t="str">
        <f>IFERROR(__xludf.DUMMYFUNCTION("""COMPUTED_VALUE"""),"INE059A01026")</f>
        <v>INE059A01026</v>
      </c>
      <c r="I77" s="6" t="str">
        <f>IFERROR(__xludf.DUMMYFUNCTION("""COMPUTED_VALUE"""),"Equity")</f>
        <v>Equity</v>
      </c>
      <c r="J77" s="6" t="str">
        <f>IFERROR(__xludf.DUMMYFUNCTION("""COMPUTED_VALUE"""),"Healthcare")</f>
        <v>Healthcare</v>
      </c>
      <c r="K77" s="6" t="str">
        <f>IFERROR(__xludf.DUMMYFUNCTION("""COMPUTED_VALUE"""),"Healthcare")</f>
        <v>Healthcare</v>
      </c>
      <c r="L77" s="6" t="str">
        <f>IFERROR(__xludf.DUMMYFUNCTION("""COMPUTED_VALUE"""),"Pharmaceuticals &amp; Biotechnology")</f>
        <v>Pharmaceuticals &amp; Biotechnology</v>
      </c>
      <c r="M77" s="6" t="str">
        <f>IFERROR(__xludf.DUMMYFUNCTION("""COMPUTED_VALUE"""),"Pharmaceuticals")</f>
        <v>Pharmaceuticals</v>
      </c>
      <c r="N77" s="5">
        <f>IFERROR(__xludf.DUMMYFUNCTION("""COMPUTED_VALUE"""),120094.697865)</f>
        <v>120094.6979</v>
      </c>
      <c r="O77" s="6">
        <f t="shared" si="4"/>
        <v>62</v>
      </c>
      <c r="P77" s="6">
        <f t="shared" ref="P77:Q77" si="156">COUNTIFS(L:L,L77)</f>
        <v>45</v>
      </c>
      <c r="Q77" s="24">
        <f t="shared" si="156"/>
        <v>45</v>
      </c>
      <c r="R77" s="6" t="str">
        <f t="shared" si="6"/>
        <v>Healthcare</v>
      </c>
      <c r="S77" s="6" t="str">
        <f t="shared" si="7"/>
        <v>Healthcare</v>
      </c>
      <c r="T77" s="6">
        <f>IFERROR(__xludf.DUMMYFUNCTION("COUNTA(UNIQUE(query($A$2:$P$800,""select L where K='""&amp; K77&amp;""'"")))"),3.0)</f>
        <v>3</v>
      </c>
      <c r="U77" s="23">
        <f t="shared" si="8"/>
        <v>0.07258064516</v>
      </c>
      <c r="V77" s="23">
        <f t="shared" ref="V77:W77" si="157">P77/O77</f>
        <v>0.7258064516</v>
      </c>
      <c r="W77" s="23">
        <f t="shared" si="157"/>
        <v>1</v>
      </c>
    </row>
    <row r="78">
      <c r="A78" s="6">
        <f>IFERROR(__xludf.DUMMYFUNCTION("""COMPUTED_VALUE"""),511243.0)</f>
        <v>511243</v>
      </c>
      <c r="B78" s="6" t="str">
        <f>IFERROR(__xludf.DUMMYFUNCTION("""COMPUTED_VALUE"""),"Cholamandalam Investment and Finance Company Ltd")</f>
        <v>Cholamandalam Investment and Finance Company Ltd</v>
      </c>
      <c r="C78" s="6" t="str">
        <f>IFERROR(__xludf.DUMMYFUNCTION("""COMPUTED_VALUE"""),"CHOLAFIN")</f>
        <v>CHOLAFIN</v>
      </c>
      <c r="D78" s="6" t="str">
        <f>IFERROR(__xludf.DUMMYFUNCTION("""COMPUTED_VALUE"""),"Cholamandalam Investment and Finance Company Ltd")</f>
        <v>Cholamandalam Investment and Finance Company Ltd</v>
      </c>
      <c r="E78" s="6" t="str">
        <f>IFERROR(__xludf.DUMMYFUNCTION("""COMPUTED_VALUE"""),"Active")</f>
        <v>Active</v>
      </c>
      <c r="F78" s="6" t="str">
        <f>IFERROR(__xludf.DUMMYFUNCTION("""COMPUTED_VALUE"""),"A")</f>
        <v>A</v>
      </c>
      <c r="G78" s="6">
        <f>IFERROR(__xludf.DUMMYFUNCTION("""COMPUTED_VALUE"""),2.0)</f>
        <v>2</v>
      </c>
      <c r="H78" s="6" t="str">
        <f>IFERROR(__xludf.DUMMYFUNCTION("""COMPUTED_VALUE"""),"INE121A01024")</f>
        <v>INE121A01024</v>
      </c>
      <c r="I78" s="6" t="str">
        <f>IFERROR(__xludf.DUMMYFUNCTION("""COMPUTED_VALUE"""),"Equity")</f>
        <v>Equity</v>
      </c>
      <c r="J78" s="6" t="str">
        <f>IFERROR(__xludf.DUMMYFUNCTION("""COMPUTED_VALUE"""),"Financial Services")</f>
        <v>Financial Services</v>
      </c>
      <c r="K78" s="6" t="str">
        <f>IFERROR(__xludf.DUMMYFUNCTION("""COMPUTED_VALUE"""),"Financial Services")</f>
        <v>Financial Services</v>
      </c>
      <c r="L78" s="6" t="str">
        <f>IFERROR(__xludf.DUMMYFUNCTION("""COMPUTED_VALUE"""),"Finance")</f>
        <v>Finance</v>
      </c>
      <c r="M78" s="6" t="str">
        <f>IFERROR(__xludf.DUMMYFUNCTION("""COMPUTED_VALUE"""),"Non Banking Financial Company (NBFC)")</f>
        <v>Non Banking Financial Company (NBFC)</v>
      </c>
      <c r="N78" s="5">
        <f>IFERROR(__xludf.DUMMYFUNCTION("""COMPUTED_VALUE"""),118100.6508586)</f>
        <v>118100.6509</v>
      </c>
      <c r="O78" s="6">
        <f t="shared" si="4"/>
        <v>123</v>
      </c>
      <c r="P78" s="6">
        <f t="shared" ref="P78:Q78" si="158">COUNTIFS(L:L,L78)</f>
        <v>56</v>
      </c>
      <c r="Q78" s="24">
        <f t="shared" si="158"/>
        <v>21</v>
      </c>
      <c r="R78" s="6" t="str">
        <f t="shared" si="6"/>
        <v>Non Banking Financial Company (NBFC)</v>
      </c>
      <c r="S78" s="6" t="str">
        <f t="shared" si="7"/>
        <v>Non Banking Financial Company (NBFC)</v>
      </c>
      <c r="T78" s="6">
        <f>IFERROR(__xludf.DUMMYFUNCTION("COUNTA(UNIQUE(query($A$2:$P$800,""select L where K='""&amp; K78&amp;""'"")))"),5.0)</f>
        <v>5</v>
      </c>
      <c r="U78" s="23">
        <f t="shared" si="8"/>
        <v>0.06097560976</v>
      </c>
      <c r="V78" s="23">
        <f t="shared" ref="V78:W78" si="159">P78/O78</f>
        <v>0.4552845528</v>
      </c>
      <c r="W78" s="23">
        <f t="shared" si="159"/>
        <v>0.375</v>
      </c>
    </row>
    <row r="79">
      <c r="A79" s="6">
        <f>IFERROR(__xludf.DUMMYFUNCTION("""COMPUTED_VALUE"""),517354.0)</f>
        <v>517354</v>
      </c>
      <c r="B79" s="6" t="str">
        <f>IFERROR(__xludf.DUMMYFUNCTION("""COMPUTED_VALUE"""),"Havells India Limited")</f>
        <v>Havells India Limited</v>
      </c>
      <c r="C79" s="6" t="str">
        <f>IFERROR(__xludf.DUMMYFUNCTION("""COMPUTED_VALUE"""),"HAVELLS")</f>
        <v>HAVELLS</v>
      </c>
      <c r="D79" s="6" t="str">
        <f>IFERROR(__xludf.DUMMYFUNCTION("""COMPUTED_VALUE"""),"HAVELLS INDIA LTD.")</f>
        <v>HAVELLS INDIA LTD.</v>
      </c>
      <c r="E79" s="6" t="str">
        <f>IFERROR(__xludf.DUMMYFUNCTION("""COMPUTED_VALUE"""),"Active")</f>
        <v>Active</v>
      </c>
      <c r="F79" s="6" t="str">
        <f>IFERROR(__xludf.DUMMYFUNCTION("""COMPUTED_VALUE"""),"A")</f>
        <v>A</v>
      </c>
      <c r="G79" s="6">
        <f>IFERROR(__xludf.DUMMYFUNCTION("""COMPUTED_VALUE"""),1.0)</f>
        <v>1</v>
      </c>
      <c r="H79" s="6" t="str">
        <f>IFERROR(__xludf.DUMMYFUNCTION("""COMPUTED_VALUE"""),"INE176B01034")</f>
        <v>INE176B01034</v>
      </c>
      <c r="I79" s="6" t="str">
        <f>IFERROR(__xludf.DUMMYFUNCTION("""COMPUTED_VALUE"""),"Equity")</f>
        <v>Equity</v>
      </c>
      <c r="J79" s="6" t="str">
        <f>IFERROR(__xludf.DUMMYFUNCTION("""COMPUTED_VALUE"""),"Consumer Discretionary")</f>
        <v>Consumer Discretionary</v>
      </c>
      <c r="K79" s="6" t="str">
        <f>IFERROR(__xludf.DUMMYFUNCTION("""COMPUTED_VALUE"""),"Consumer Durables")</f>
        <v>Consumer Durables</v>
      </c>
      <c r="L79" s="6" t="str">
        <f>IFERROR(__xludf.DUMMYFUNCTION("""COMPUTED_VALUE"""),"Consumer Durables")</f>
        <v>Consumer Durables</v>
      </c>
      <c r="M79" s="6" t="str">
        <f>IFERROR(__xludf.DUMMYFUNCTION("""COMPUTED_VALUE"""),"Consumer Electronics")</f>
        <v>Consumer Electronics</v>
      </c>
      <c r="N79" s="5">
        <f>IFERROR(__xludf.DUMMYFUNCTION("""COMPUTED_VALUE"""),115308.3225226)</f>
        <v>115308.3225</v>
      </c>
      <c r="O79" s="6">
        <f t="shared" si="4"/>
        <v>42</v>
      </c>
      <c r="P79" s="6">
        <f t="shared" ref="P79:Q79" si="160">COUNTIFS(L:L,L79)</f>
        <v>42</v>
      </c>
      <c r="Q79" s="24">
        <f t="shared" si="160"/>
        <v>3</v>
      </c>
      <c r="R79" s="6" t="str">
        <f t="shared" si="6"/>
        <v>Consumer Durables</v>
      </c>
      <c r="S79" s="6" t="str">
        <f t="shared" si="7"/>
        <v>Consumer Durables</v>
      </c>
      <c r="T79" s="6">
        <f>IFERROR(__xludf.DUMMYFUNCTION("COUNTA(UNIQUE(query($A$2:$P$800,""select L where K='""&amp; K79&amp;""'"")))"),1.0)</f>
        <v>1</v>
      </c>
      <c r="U79" s="23">
        <f t="shared" si="8"/>
        <v>0.03571428571</v>
      </c>
      <c r="V79" s="23">
        <f t="shared" ref="V79:W79" si="161">P79/O79</f>
        <v>1</v>
      </c>
      <c r="W79" s="23">
        <f t="shared" si="161"/>
        <v>0.07142857143</v>
      </c>
    </row>
    <row r="80">
      <c r="A80" s="6">
        <f>IFERROR(__xludf.DUMMYFUNCTION("""COMPUTED_VALUE"""),539254.0)</f>
        <v>539254</v>
      </c>
      <c r="B80" s="6" t="str">
        <f>IFERROR(__xludf.DUMMYFUNCTION("""COMPUTED_VALUE"""),"Adani Energy Solutions Limited")</f>
        <v>Adani Energy Solutions Limited</v>
      </c>
      <c r="C80" s="6" t="str">
        <f>IFERROR(__xludf.DUMMYFUNCTION("""COMPUTED_VALUE"""),"ADANIENSOL")</f>
        <v>ADANIENSOL</v>
      </c>
      <c r="D80" s="6" t="str">
        <f>IFERROR(__xludf.DUMMYFUNCTION("""COMPUTED_VALUE"""),"Adani Energy Solutions Ltd")</f>
        <v>Adani Energy Solutions Ltd</v>
      </c>
      <c r="E80" s="6" t="str">
        <f>IFERROR(__xludf.DUMMYFUNCTION("""COMPUTED_VALUE"""),"Active")</f>
        <v>Active</v>
      </c>
      <c r="F80" s="6" t="str">
        <f>IFERROR(__xludf.DUMMYFUNCTION("""COMPUTED_VALUE"""),"A")</f>
        <v>A</v>
      </c>
      <c r="G80" s="6">
        <f>IFERROR(__xludf.DUMMYFUNCTION("""COMPUTED_VALUE"""),10.0)</f>
        <v>10</v>
      </c>
      <c r="H80" s="6" t="str">
        <f>IFERROR(__xludf.DUMMYFUNCTION("""COMPUTED_VALUE"""),"INE931S01010")</f>
        <v>INE931S01010</v>
      </c>
      <c r="I80" s="6" t="str">
        <f>IFERROR(__xludf.DUMMYFUNCTION("""COMPUTED_VALUE"""),"Equity")</f>
        <v>Equity</v>
      </c>
      <c r="J80" s="6" t="str">
        <f>IFERROR(__xludf.DUMMYFUNCTION("""COMPUTED_VALUE"""),"Utilities")</f>
        <v>Utilities</v>
      </c>
      <c r="K80" s="6" t="str">
        <f>IFERROR(__xludf.DUMMYFUNCTION("""COMPUTED_VALUE"""),"Power")</f>
        <v>Power</v>
      </c>
      <c r="L80" s="6" t="str">
        <f>IFERROR(__xludf.DUMMYFUNCTION("""COMPUTED_VALUE"""),"Power")</f>
        <v>Power</v>
      </c>
      <c r="M80" s="6" t="str">
        <f>IFERROR(__xludf.DUMMYFUNCTION("""COMPUTED_VALUE"""),"Power Distribution")</f>
        <v>Power Distribution</v>
      </c>
      <c r="N80" s="5">
        <f>IFERROR(__xludf.DUMMYFUNCTION("""COMPUTED_VALUE"""),114048.3330466)</f>
        <v>114048.333</v>
      </c>
      <c r="O80" s="6">
        <f t="shared" si="4"/>
        <v>22</v>
      </c>
      <c r="P80" s="6">
        <f t="shared" ref="P80:Q80" si="162">COUNTIFS(L:L,L80)</f>
        <v>22</v>
      </c>
      <c r="Q80" s="24">
        <f t="shared" si="162"/>
        <v>1</v>
      </c>
      <c r="R80" s="6" t="str">
        <f t="shared" si="6"/>
        <v>Power</v>
      </c>
      <c r="S80" s="6" t="str">
        <f t="shared" si="7"/>
        <v>Power</v>
      </c>
      <c r="T80" s="6">
        <f>IFERROR(__xludf.DUMMYFUNCTION("COUNTA(UNIQUE(query($A$2:$P$800,""select L where K='""&amp; K80&amp;""'"")))"),1.0)</f>
        <v>1</v>
      </c>
      <c r="U80" s="23">
        <f t="shared" si="8"/>
        <v>0.06818181818</v>
      </c>
      <c r="V80" s="23">
        <f t="shared" ref="V80:W80" si="163">P80/O80</f>
        <v>1</v>
      </c>
      <c r="W80" s="23">
        <f t="shared" si="163"/>
        <v>0.04545454545</v>
      </c>
    </row>
    <row r="81">
      <c r="A81" s="6">
        <f>IFERROR(__xludf.DUMMYFUNCTION("""COMPUTED_VALUE"""),532343.0)</f>
        <v>532343</v>
      </c>
      <c r="B81" s="6" t="str">
        <f>IFERROR(__xludf.DUMMYFUNCTION("""COMPUTED_VALUE"""),"TVS Motor Company Ltd.")</f>
        <v>TVS Motor Company Ltd.</v>
      </c>
      <c r="C81" s="6" t="str">
        <f>IFERROR(__xludf.DUMMYFUNCTION("""COMPUTED_VALUE"""),"TVSMOTOR")</f>
        <v>TVSMOTOR</v>
      </c>
      <c r="D81" s="6" t="str">
        <f>IFERROR(__xludf.DUMMYFUNCTION("""COMPUTED_VALUE"""),"TVS MOTOR COMPANY LTD.")</f>
        <v>TVS MOTOR COMPANY LTD.</v>
      </c>
      <c r="E81" s="6" t="str">
        <f>IFERROR(__xludf.DUMMYFUNCTION("""COMPUTED_VALUE"""),"Active")</f>
        <v>Active</v>
      </c>
      <c r="F81" s="6" t="str">
        <f>IFERROR(__xludf.DUMMYFUNCTION("""COMPUTED_VALUE"""),"A")</f>
        <v>A</v>
      </c>
      <c r="G81" s="6">
        <f>IFERROR(__xludf.DUMMYFUNCTION("""COMPUTED_VALUE"""),1.0)</f>
        <v>1</v>
      </c>
      <c r="H81" s="6" t="str">
        <f>IFERROR(__xludf.DUMMYFUNCTION("""COMPUTED_VALUE"""),"INE494B01023")</f>
        <v>INE494B01023</v>
      </c>
      <c r="I81" s="6" t="str">
        <f>IFERROR(__xludf.DUMMYFUNCTION("""COMPUTED_VALUE"""),"Equity")</f>
        <v>Equity</v>
      </c>
      <c r="J81" s="6" t="str">
        <f>IFERROR(__xludf.DUMMYFUNCTION("""COMPUTED_VALUE"""),"Consumer Discretionary")</f>
        <v>Consumer Discretionary</v>
      </c>
      <c r="K81" s="6" t="str">
        <f>IFERROR(__xludf.DUMMYFUNCTION("""COMPUTED_VALUE"""),"Automobile and Auto Components")</f>
        <v>Automobile and Auto Components</v>
      </c>
      <c r="L81" s="6" t="str">
        <f>IFERROR(__xludf.DUMMYFUNCTION("""COMPUTED_VALUE"""),"Automobiles")</f>
        <v>Automobiles</v>
      </c>
      <c r="M81" s="6" t="str">
        <f>IFERROR(__xludf.DUMMYFUNCTION("""COMPUTED_VALUE"""),"2/3 Wheelers")</f>
        <v>2/3 Wheelers</v>
      </c>
      <c r="N81" s="5">
        <f>IFERROR(__xludf.DUMMYFUNCTION("""COMPUTED_VALUE"""),112804.2891327)</f>
        <v>112804.2891</v>
      </c>
      <c r="O81" s="6">
        <f t="shared" si="4"/>
        <v>47</v>
      </c>
      <c r="P81" s="6">
        <f t="shared" ref="P81:Q81" si="164">COUNTIFS(L:L,L81)</f>
        <v>10</v>
      </c>
      <c r="Q81" s="24">
        <f t="shared" si="164"/>
        <v>4</v>
      </c>
      <c r="R81" s="6" t="str">
        <f t="shared" si="6"/>
        <v>Automobile and Auto Components</v>
      </c>
      <c r="S81" s="6" t="str">
        <f t="shared" si="7"/>
        <v>Automobile and Auto Components</v>
      </c>
      <c r="T81" s="6">
        <f>IFERROR(__xludf.DUMMYFUNCTION("COUNTA(UNIQUE(query($A$2:$P$800,""select L where K='""&amp; K81&amp;""'"")))"),2.0)</f>
        <v>2</v>
      </c>
      <c r="U81" s="23">
        <f t="shared" si="8"/>
        <v>0.06382978723</v>
      </c>
      <c r="V81" s="23">
        <f t="shared" ref="V81:W81" si="165">P81/O81</f>
        <v>0.2127659574</v>
      </c>
      <c r="W81" s="23">
        <f t="shared" si="165"/>
        <v>0.4</v>
      </c>
    </row>
    <row r="82">
      <c r="A82" s="6">
        <f>IFERROR(__xludf.DUMMYFUNCTION("""COMPUTED_VALUE"""),532187.0)</f>
        <v>532187</v>
      </c>
      <c r="B82" s="6" t="str">
        <f>IFERROR(__xludf.DUMMYFUNCTION("""COMPUTED_VALUE"""),"IndusInd Bank Ltd.")</f>
        <v>IndusInd Bank Ltd.</v>
      </c>
      <c r="C82" s="6" t="str">
        <f>IFERROR(__xludf.DUMMYFUNCTION("""COMPUTED_VALUE"""),"INDUSINDBK")</f>
        <v>INDUSINDBK</v>
      </c>
      <c r="D82" s="6" t="str">
        <f>IFERROR(__xludf.DUMMYFUNCTION("""COMPUTED_VALUE"""),"INDUSIND BANK LTD.")</f>
        <v>INDUSIND BANK LTD.</v>
      </c>
      <c r="E82" s="6" t="str">
        <f>IFERROR(__xludf.DUMMYFUNCTION("""COMPUTED_VALUE"""),"Active")</f>
        <v>Active</v>
      </c>
      <c r="F82" s="6" t="str">
        <f>IFERROR(__xludf.DUMMYFUNCTION("""COMPUTED_VALUE"""),"A")</f>
        <v>A</v>
      </c>
      <c r="G82" s="6">
        <f>IFERROR(__xludf.DUMMYFUNCTION("""COMPUTED_VALUE"""),10.0)</f>
        <v>10</v>
      </c>
      <c r="H82" s="6" t="str">
        <f>IFERROR(__xludf.DUMMYFUNCTION("""COMPUTED_VALUE"""),"INE095A01012")</f>
        <v>INE095A01012</v>
      </c>
      <c r="I82" s="6" t="str">
        <f>IFERROR(__xludf.DUMMYFUNCTION("""COMPUTED_VALUE"""),"Equity")</f>
        <v>Equity</v>
      </c>
      <c r="J82" s="6" t="str">
        <f>IFERROR(__xludf.DUMMYFUNCTION("""COMPUTED_VALUE"""),"Financial Services")</f>
        <v>Financial Services</v>
      </c>
      <c r="K82" s="6" t="str">
        <f>IFERROR(__xludf.DUMMYFUNCTION("""COMPUTED_VALUE"""),"Financial Services")</f>
        <v>Financial Services</v>
      </c>
      <c r="L82" s="6" t="str">
        <f>IFERROR(__xludf.DUMMYFUNCTION("""COMPUTED_VALUE"""),"Banks")</f>
        <v>Banks</v>
      </c>
      <c r="M82" s="6" t="str">
        <f>IFERROR(__xludf.DUMMYFUNCTION("""COMPUTED_VALUE"""),"Private Sector Bank")</f>
        <v>Private Sector Bank</v>
      </c>
      <c r="N82" s="5">
        <f>IFERROR(__xludf.DUMMYFUNCTION("""COMPUTED_VALUE"""),112733.3544347)</f>
        <v>112733.3544</v>
      </c>
      <c r="O82" s="6">
        <f t="shared" si="4"/>
        <v>123</v>
      </c>
      <c r="P82" s="6">
        <f t="shared" ref="P82:Q82" si="166">COUNTIFS(L:L,L82)</f>
        <v>35</v>
      </c>
      <c r="Q82" s="24">
        <f t="shared" si="166"/>
        <v>23</v>
      </c>
      <c r="R82" s="6" t="str">
        <f t="shared" si="6"/>
        <v>Banks</v>
      </c>
      <c r="S82" s="6" t="str">
        <f t="shared" si="7"/>
        <v>Banks</v>
      </c>
      <c r="T82" s="6">
        <f>IFERROR(__xludf.DUMMYFUNCTION("COUNTA(UNIQUE(query($A$2:$P$800,""select L where K='""&amp; K82&amp;""'"")))"),5.0)</f>
        <v>5</v>
      </c>
      <c r="U82" s="23">
        <f t="shared" si="8"/>
        <v>0.06097560976</v>
      </c>
      <c r="V82" s="23">
        <f t="shared" ref="V82:W82" si="167">P82/O82</f>
        <v>0.2845528455</v>
      </c>
      <c r="W82" s="23">
        <f t="shared" si="167"/>
        <v>0.6571428571</v>
      </c>
    </row>
    <row r="83">
      <c r="A83" s="6">
        <f>IFERROR(__xludf.DUMMYFUNCTION("""COMPUTED_VALUE"""),532321.0)</f>
        <v>532321</v>
      </c>
      <c r="B83" s="6" t="str">
        <f>IFERROR(__xludf.DUMMYFUNCTION("""COMPUTED_VALUE"""),"Zydus Lifesciences Limited")</f>
        <v>Zydus Lifesciences Limited</v>
      </c>
      <c r="C83" s="6" t="str">
        <f>IFERROR(__xludf.DUMMYFUNCTION("""COMPUTED_VALUE"""),"ZYDUSLIFE")</f>
        <v>ZYDUSLIFE</v>
      </c>
      <c r="D83" s="6" t="str">
        <f>IFERROR(__xludf.DUMMYFUNCTION("""COMPUTED_VALUE"""),"Zydus Lifesciences Ltd")</f>
        <v>Zydus Lifesciences Ltd</v>
      </c>
      <c r="E83" s="6" t="str">
        <f>IFERROR(__xludf.DUMMYFUNCTION("""COMPUTED_VALUE"""),"Active")</f>
        <v>Active</v>
      </c>
      <c r="F83" s="6" t="str">
        <f>IFERROR(__xludf.DUMMYFUNCTION("""COMPUTED_VALUE"""),"A")</f>
        <v>A</v>
      </c>
      <c r="G83" s="6">
        <f>IFERROR(__xludf.DUMMYFUNCTION("""COMPUTED_VALUE"""),1.0)</f>
        <v>1</v>
      </c>
      <c r="H83" s="6" t="str">
        <f>IFERROR(__xludf.DUMMYFUNCTION("""COMPUTED_VALUE"""),"INE010B01027")</f>
        <v>INE010B01027</v>
      </c>
      <c r="I83" s="6" t="str">
        <f>IFERROR(__xludf.DUMMYFUNCTION("""COMPUTED_VALUE"""),"Equity")</f>
        <v>Equity</v>
      </c>
      <c r="J83" s="6" t="str">
        <f>IFERROR(__xludf.DUMMYFUNCTION("""COMPUTED_VALUE"""),"Healthcare")</f>
        <v>Healthcare</v>
      </c>
      <c r="K83" s="6" t="str">
        <f>IFERROR(__xludf.DUMMYFUNCTION("""COMPUTED_VALUE"""),"Healthcare")</f>
        <v>Healthcare</v>
      </c>
      <c r="L83" s="6" t="str">
        <f>IFERROR(__xludf.DUMMYFUNCTION("""COMPUTED_VALUE"""),"Pharmaceuticals &amp; Biotechnology")</f>
        <v>Pharmaceuticals &amp; Biotechnology</v>
      </c>
      <c r="M83" s="6" t="str">
        <f>IFERROR(__xludf.DUMMYFUNCTION("""COMPUTED_VALUE"""),"Pharmaceuticals")</f>
        <v>Pharmaceuticals</v>
      </c>
      <c r="N83" s="5">
        <f>IFERROR(__xludf.DUMMYFUNCTION("""COMPUTED_VALUE"""),111881.5815)</f>
        <v>111881.5815</v>
      </c>
      <c r="O83" s="6">
        <f t="shared" si="4"/>
        <v>62</v>
      </c>
      <c r="P83" s="6">
        <f t="shared" ref="P83:Q83" si="168">COUNTIFS(L:L,L83)</f>
        <v>45</v>
      </c>
      <c r="Q83" s="24">
        <f t="shared" si="168"/>
        <v>45</v>
      </c>
      <c r="R83" s="6" t="str">
        <f t="shared" si="6"/>
        <v>Healthcare</v>
      </c>
      <c r="S83" s="6" t="str">
        <f t="shared" si="7"/>
        <v>Healthcare</v>
      </c>
      <c r="T83" s="6">
        <f>IFERROR(__xludf.DUMMYFUNCTION("COUNTA(UNIQUE(query($A$2:$P$800,""select L where K='""&amp; K83&amp;""'"")))"),3.0)</f>
        <v>3</v>
      </c>
      <c r="U83" s="23">
        <f t="shared" si="8"/>
        <v>0.07258064516</v>
      </c>
      <c r="V83" s="23">
        <f t="shared" ref="V83:W83" si="169">P83/O83</f>
        <v>0.7258064516</v>
      </c>
      <c r="W83" s="23">
        <f t="shared" si="169"/>
        <v>1</v>
      </c>
    </row>
    <row r="84">
      <c r="A84" s="6">
        <f>IFERROR(__xludf.DUMMYFUNCTION("""COMPUTED_VALUE"""),500182.0)</f>
        <v>500182</v>
      </c>
      <c r="B84" s="6" t="str">
        <f>IFERROR(__xludf.DUMMYFUNCTION("""COMPUTED_VALUE"""),"Hero MotoCorp Limited")</f>
        <v>Hero MotoCorp Limited</v>
      </c>
      <c r="C84" s="6" t="str">
        <f>IFERROR(__xludf.DUMMYFUNCTION("""COMPUTED_VALUE"""),"HEROMOTOCO")</f>
        <v>HEROMOTOCO</v>
      </c>
      <c r="D84" s="6" t="str">
        <f>IFERROR(__xludf.DUMMYFUNCTION("""COMPUTED_VALUE"""),"HERO MOTOCORP LTD.")</f>
        <v>HERO MOTOCORP LTD.</v>
      </c>
      <c r="E84" s="6" t="str">
        <f>IFERROR(__xludf.DUMMYFUNCTION("""COMPUTED_VALUE"""),"Active")</f>
        <v>Active</v>
      </c>
      <c r="F84" s="6" t="str">
        <f>IFERROR(__xludf.DUMMYFUNCTION("""COMPUTED_VALUE"""),"A")</f>
        <v>A</v>
      </c>
      <c r="G84" s="6">
        <f>IFERROR(__xludf.DUMMYFUNCTION("""COMPUTED_VALUE"""),2.0)</f>
        <v>2</v>
      </c>
      <c r="H84" s="6" t="str">
        <f>IFERROR(__xludf.DUMMYFUNCTION("""COMPUTED_VALUE"""),"INE158A01026")</f>
        <v>INE158A01026</v>
      </c>
      <c r="I84" s="6" t="str">
        <f>IFERROR(__xludf.DUMMYFUNCTION("""COMPUTED_VALUE"""),"Equity")</f>
        <v>Equity</v>
      </c>
      <c r="J84" s="6" t="str">
        <f>IFERROR(__xludf.DUMMYFUNCTION("""COMPUTED_VALUE"""),"Consumer Discretionary")</f>
        <v>Consumer Discretionary</v>
      </c>
      <c r="K84" s="6" t="str">
        <f>IFERROR(__xludf.DUMMYFUNCTION("""COMPUTED_VALUE"""),"Automobile and Auto Components")</f>
        <v>Automobile and Auto Components</v>
      </c>
      <c r="L84" s="6" t="str">
        <f>IFERROR(__xludf.DUMMYFUNCTION("""COMPUTED_VALUE"""),"Automobiles")</f>
        <v>Automobiles</v>
      </c>
      <c r="M84" s="6" t="str">
        <f>IFERROR(__xludf.DUMMYFUNCTION("""COMPUTED_VALUE"""),"2/3 Wheelers")</f>
        <v>2/3 Wheelers</v>
      </c>
      <c r="N84" s="5">
        <f>IFERROR(__xludf.DUMMYFUNCTION("""COMPUTED_VALUE"""),111268.8683994)</f>
        <v>111268.8684</v>
      </c>
      <c r="O84" s="6">
        <f t="shared" si="4"/>
        <v>47</v>
      </c>
      <c r="P84" s="6">
        <f t="shared" ref="P84:Q84" si="170">COUNTIFS(L:L,L84)</f>
        <v>10</v>
      </c>
      <c r="Q84" s="24">
        <f t="shared" si="170"/>
        <v>4</v>
      </c>
      <c r="R84" s="6" t="str">
        <f t="shared" si="6"/>
        <v>Automobile and Auto Components</v>
      </c>
      <c r="S84" s="6" t="str">
        <f t="shared" si="7"/>
        <v>Automobile and Auto Components</v>
      </c>
      <c r="T84" s="6">
        <f>IFERROR(__xludf.DUMMYFUNCTION("COUNTA(UNIQUE(query($A$2:$P$800,""select L where K='""&amp; K84&amp;""'"")))"),2.0)</f>
        <v>2</v>
      </c>
      <c r="U84" s="23">
        <f t="shared" si="8"/>
        <v>0.06382978723</v>
      </c>
      <c r="V84" s="23">
        <f t="shared" ref="V84:W84" si="171">P84/O84</f>
        <v>0.2127659574</v>
      </c>
      <c r="W84" s="23">
        <f t="shared" si="171"/>
        <v>0.4</v>
      </c>
    </row>
    <row r="85">
      <c r="A85" s="6">
        <f>IFERROR(__xludf.DUMMYFUNCTION("""COMPUTED_VALUE"""),500480.0)</f>
        <v>500480</v>
      </c>
      <c r="B85" s="6" t="str">
        <f>IFERROR(__xludf.DUMMYFUNCTION("""COMPUTED_VALUE"""),"Cummins India Ltd.")</f>
        <v>Cummins India Ltd.</v>
      </c>
      <c r="C85" s="6" t="str">
        <f>IFERROR(__xludf.DUMMYFUNCTION("""COMPUTED_VALUE"""),"CUMMINSIND")</f>
        <v>CUMMINSIND</v>
      </c>
      <c r="D85" s="6" t="str">
        <f>IFERROR(__xludf.DUMMYFUNCTION("""COMPUTED_VALUE"""),"CUMMINS INDIA LTD.")</f>
        <v>CUMMINS INDIA LTD.</v>
      </c>
      <c r="E85" s="6" t="str">
        <f>IFERROR(__xludf.DUMMYFUNCTION("""COMPUTED_VALUE"""),"Active")</f>
        <v>Active</v>
      </c>
      <c r="F85" s="6" t="str">
        <f>IFERROR(__xludf.DUMMYFUNCTION("""COMPUTED_VALUE"""),"A")</f>
        <v>A</v>
      </c>
      <c r="G85" s="6">
        <f>IFERROR(__xludf.DUMMYFUNCTION("""COMPUTED_VALUE"""),2.0)</f>
        <v>2</v>
      </c>
      <c r="H85" s="6" t="str">
        <f>IFERROR(__xludf.DUMMYFUNCTION("""COMPUTED_VALUE"""),"INE298A01020")</f>
        <v>INE298A01020</v>
      </c>
      <c r="I85" s="6" t="str">
        <f>IFERROR(__xludf.DUMMYFUNCTION("""COMPUTED_VALUE"""),"Equity")</f>
        <v>Equity</v>
      </c>
      <c r="J85" s="6" t="str">
        <f>IFERROR(__xludf.DUMMYFUNCTION("""COMPUTED_VALUE"""),"Industrials")</f>
        <v>Industrials</v>
      </c>
      <c r="K85" s="6" t="str">
        <f>IFERROR(__xludf.DUMMYFUNCTION("""COMPUTED_VALUE"""),"Capital Goods")</f>
        <v>Capital Goods</v>
      </c>
      <c r="L85" s="6" t="str">
        <f>IFERROR(__xludf.DUMMYFUNCTION("""COMPUTED_VALUE"""),"Industrial Products")</f>
        <v>Industrial Products</v>
      </c>
      <c r="M85" s="6" t="str">
        <f>IFERROR(__xludf.DUMMYFUNCTION("""COMPUTED_VALUE"""),"Compressors, Pumps &amp; Diesel Engines")</f>
        <v>Compressors, Pumps &amp; Diesel Engines</v>
      </c>
      <c r="N85" s="5">
        <f>IFERROR(__xludf.DUMMYFUNCTION("""COMPUTED_VALUE"""),109109.9897924)</f>
        <v>109109.9898</v>
      </c>
      <c r="O85" s="6">
        <f t="shared" si="4"/>
        <v>110</v>
      </c>
      <c r="P85" s="6">
        <f t="shared" ref="P85:Q85" si="172">COUNTIFS(L:L,L85)</f>
        <v>51</v>
      </c>
      <c r="Q85" s="24">
        <f t="shared" si="172"/>
        <v>7</v>
      </c>
      <c r="R85" s="6" t="str">
        <f t="shared" si="6"/>
        <v>Industrial Products</v>
      </c>
      <c r="S85" s="6" t="str">
        <f t="shared" si="7"/>
        <v>Industrial Products</v>
      </c>
      <c r="T85" s="6">
        <f>IFERROR(__xludf.DUMMYFUNCTION("COUNTA(UNIQUE(query($A$2:$P$800,""select L where K='""&amp; K85&amp;""'"")))"),5.0)</f>
        <v>5</v>
      </c>
      <c r="U85" s="23">
        <f t="shared" si="8"/>
        <v>0.06818181818</v>
      </c>
      <c r="V85" s="23">
        <f t="shared" ref="V85:W85" si="173">P85/O85</f>
        <v>0.4636363636</v>
      </c>
      <c r="W85" s="23">
        <f t="shared" si="173"/>
        <v>0.137254902</v>
      </c>
    </row>
    <row r="86">
      <c r="A86" s="6">
        <f>IFERROR(__xludf.DUMMYFUNCTION("""COMPUTED_VALUE"""),500124.0)</f>
        <v>500124</v>
      </c>
      <c r="B86" s="6" t="str">
        <f>IFERROR(__xludf.DUMMYFUNCTION("""COMPUTED_VALUE"""),"Dr. Reddy's Laboratories Ltd.")</f>
        <v>Dr. Reddy's Laboratories Ltd.</v>
      </c>
      <c r="C86" s="6" t="str">
        <f>IFERROR(__xludf.DUMMYFUNCTION("""COMPUTED_VALUE"""),"DRREDDY")</f>
        <v>DRREDDY</v>
      </c>
      <c r="D86" s="6" t="str">
        <f>IFERROR(__xludf.DUMMYFUNCTION("""COMPUTED_VALUE"""),"DR.REDDY'S LABORATORIES LTD.")</f>
        <v>DR.REDDY'S LABORATORIES LTD.</v>
      </c>
      <c r="E86" s="6" t="str">
        <f>IFERROR(__xludf.DUMMYFUNCTION("""COMPUTED_VALUE"""),"Active")</f>
        <v>Active</v>
      </c>
      <c r="F86" s="6" t="str">
        <f>IFERROR(__xludf.DUMMYFUNCTION("""COMPUTED_VALUE"""),"A")</f>
        <v>A</v>
      </c>
      <c r="G86" s="6">
        <f>IFERROR(__xludf.DUMMYFUNCTION("""COMPUTED_VALUE"""),5.0)</f>
        <v>5</v>
      </c>
      <c r="H86" s="6" t="str">
        <f>IFERROR(__xludf.DUMMYFUNCTION("""COMPUTED_VALUE"""),"INE089A01023")</f>
        <v>INE089A01023</v>
      </c>
      <c r="I86" s="6" t="str">
        <f>IFERROR(__xludf.DUMMYFUNCTION("""COMPUTED_VALUE"""),"Equity")</f>
        <v>Equity</v>
      </c>
      <c r="J86" s="6" t="str">
        <f>IFERROR(__xludf.DUMMYFUNCTION("""COMPUTED_VALUE"""),"Healthcare")</f>
        <v>Healthcare</v>
      </c>
      <c r="K86" s="6" t="str">
        <f>IFERROR(__xludf.DUMMYFUNCTION("""COMPUTED_VALUE"""),"Healthcare")</f>
        <v>Healthcare</v>
      </c>
      <c r="L86" s="6" t="str">
        <f>IFERROR(__xludf.DUMMYFUNCTION("""COMPUTED_VALUE"""),"Pharmaceuticals &amp; Biotechnology")</f>
        <v>Pharmaceuticals &amp; Biotechnology</v>
      </c>
      <c r="M86" s="6" t="str">
        <f>IFERROR(__xludf.DUMMYFUNCTION("""COMPUTED_VALUE"""),"Pharmaceuticals")</f>
        <v>Pharmaceuticals</v>
      </c>
      <c r="N86" s="5">
        <f>IFERROR(__xludf.DUMMYFUNCTION("""COMPUTED_VALUE"""),108512.6032396)</f>
        <v>108512.6032</v>
      </c>
      <c r="O86" s="6">
        <f t="shared" si="4"/>
        <v>62</v>
      </c>
      <c r="P86" s="6">
        <f t="shared" ref="P86:Q86" si="174">COUNTIFS(L:L,L86)</f>
        <v>45</v>
      </c>
      <c r="Q86" s="24">
        <f t="shared" si="174"/>
        <v>45</v>
      </c>
      <c r="R86" s="6" t="str">
        <f t="shared" si="6"/>
        <v>Healthcare</v>
      </c>
      <c r="S86" s="6" t="str">
        <f t="shared" si="7"/>
        <v>Healthcare</v>
      </c>
      <c r="T86" s="6">
        <f>IFERROR(__xludf.DUMMYFUNCTION("COUNTA(UNIQUE(query($A$2:$P$800,""select L where K='""&amp; K86&amp;""'"")))"),3.0)</f>
        <v>3</v>
      </c>
      <c r="U86" s="23">
        <f t="shared" si="8"/>
        <v>0.07258064516</v>
      </c>
      <c r="V86" s="23">
        <f t="shared" ref="V86:W86" si="175">P86/O86</f>
        <v>0.7258064516</v>
      </c>
      <c r="W86" s="23">
        <f t="shared" si="175"/>
        <v>1</v>
      </c>
    </row>
    <row r="87">
      <c r="A87" s="6">
        <f>IFERROR(__xludf.DUMMYFUNCTION("""COMPUTED_VALUE"""),500800.0)</f>
        <v>500800</v>
      </c>
      <c r="B87" s="6" t="str">
        <f>IFERROR(__xludf.DUMMYFUNCTION("""COMPUTED_VALUE"""),"TATA CONSUMER PRODUCTS LIMITED")</f>
        <v>TATA CONSUMER PRODUCTS LIMITED</v>
      </c>
      <c r="C87" s="6" t="str">
        <f>IFERROR(__xludf.DUMMYFUNCTION("""COMPUTED_VALUE"""),"TATACONSUM")</f>
        <v>TATACONSUM</v>
      </c>
      <c r="D87" s="6" t="str">
        <f>IFERROR(__xludf.DUMMYFUNCTION("""COMPUTED_VALUE"""),"Tata Consumer Products Ltd")</f>
        <v>Tata Consumer Products Ltd</v>
      </c>
      <c r="E87" s="6" t="str">
        <f>IFERROR(__xludf.DUMMYFUNCTION("""COMPUTED_VALUE"""),"Active")</f>
        <v>Active</v>
      </c>
      <c r="F87" s="6" t="str">
        <f>IFERROR(__xludf.DUMMYFUNCTION("""COMPUTED_VALUE"""),"A")</f>
        <v>A</v>
      </c>
      <c r="G87" s="6">
        <f>IFERROR(__xludf.DUMMYFUNCTION("""COMPUTED_VALUE"""),1.0)</f>
        <v>1</v>
      </c>
      <c r="H87" s="6" t="str">
        <f>IFERROR(__xludf.DUMMYFUNCTION("""COMPUTED_VALUE"""),"INE192A01025")</f>
        <v>INE192A01025</v>
      </c>
      <c r="I87" s="6" t="str">
        <f>IFERROR(__xludf.DUMMYFUNCTION("""COMPUTED_VALUE"""),"Equity")</f>
        <v>Equity</v>
      </c>
      <c r="J87" s="6" t="str">
        <f>IFERROR(__xludf.DUMMYFUNCTION("""COMPUTED_VALUE"""),"Fast Moving Consumer Goods")</f>
        <v>Fast Moving Consumer Goods</v>
      </c>
      <c r="K87" s="6" t="str">
        <f>IFERROR(__xludf.DUMMYFUNCTION("""COMPUTED_VALUE"""),"Fast Moving Consumer Goods")</f>
        <v>Fast Moving Consumer Goods</v>
      </c>
      <c r="L87" s="6" t="str">
        <f>IFERROR(__xludf.DUMMYFUNCTION("""COMPUTED_VALUE"""),"Agricultural Food &amp; other Products")</f>
        <v>Agricultural Food &amp; other Products</v>
      </c>
      <c r="M87" s="6" t="str">
        <f>IFERROR(__xludf.DUMMYFUNCTION("""COMPUTED_VALUE"""),"Tea &amp; Coffee")</f>
        <v>Tea &amp; Coffee</v>
      </c>
      <c r="N87" s="5">
        <f>IFERROR(__xludf.DUMMYFUNCTION("""COMPUTED_VALUE"""),107583.0534845)</f>
        <v>107583.0535</v>
      </c>
      <c r="O87" s="6">
        <f t="shared" si="4"/>
        <v>44</v>
      </c>
      <c r="P87" s="6">
        <f t="shared" ref="P87:Q87" si="176">COUNTIFS(L:L,L87)</f>
        <v>14</v>
      </c>
      <c r="Q87" s="24">
        <f t="shared" si="176"/>
        <v>2</v>
      </c>
      <c r="R87" s="6" t="str">
        <f t="shared" si="6"/>
        <v>Fast Moving Consumer Goods</v>
      </c>
      <c r="S87" s="6" t="str">
        <f t="shared" si="7"/>
        <v>Fast Moving Consumer Goods</v>
      </c>
      <c r="T87" s="6">
        <f>IFERROR(__xludf.DUMMYFUNCTION("COUNTA(UNIQUE(query($A$2:$P$800,""select L where K='""&amp; K87&amp;""'"")))"),7.0)</f>
        <v>7</v>
      </c>
      <c r="U87" s="23">
        <f t="shared" si="8"/>
        <v>0.2386363636</v>
      </c>
      <c r="V87" s="23">
        <f t="shared" ref="V87:W87" si="177">P87/O87</f>
        <v>0.3181818182</v>
      </c>
      <c r="W87" s="23">
        <f t="shared" si="177"/>
        <v>0.1428571429</v>
      </c>
    </row>
    <row r="88">
      <c r="A88" s="6">
        <f>IFERROR(__xludf.DUMMYFUNCTION("""COMPUTED_VALUE"""),511218.0)</f>
        <v>511218</v>
      </c>
      <c r="B88" s="6" t="str">
        <f>IFERROR(__xludf.DUMMYFUNCTION("""COMPUTED_VALUE"""),"Shriram Finance Limited")</f>
        <v>Shriram Finance Limited</v>
      </c>
      <c r="C88" s="6" t="str">
        <f>IFERROR(__xludf.DUMMYFUNCTION("""COMPUTED_VALUE"""),"SHRIRAMFIN")</f>
        <v>SHRIRAMFIN</v>
      </c>
      <c r="D88" s="6" t="str">
        <f>IFERROR(__xludf.DUMMYFUNCTION("""COMPUTED_VALUE"""),"Shriram Finance Ltd")</f>
        <v>Shriram Finance Ltd</v>
      </c>
      <c r="E88" s="6" t="str">
        <f>IFERROR(__xludf.DUMMYFUNCTION("""COMPUTED_VALUE"""),"Active")</f>
        <v>Active</v>
      </c>
      <c r="F88" s="6" t="str">
        <f>IFERROR(__xludf.DUMMYFUNCTION("""COMPUTED_VALUE"""),"A")</f>
        <v>A</v>
      </c>
      <c r="G88" s="6">
        <f>IFERROR(__xludf.DUMMYFUNCTION("""COMPUTED_VALUE"""),10.0)</f>
        <v>10</v>
      </c>
      <c r="H88" s="6" t="str">
        <f>IFERROR(__xludf.DUMMYFUNCTION("""COMPUTED_VALUE"""),"INE721A01013")</f>
        <v>INE721A01013</v>
      </c>
      <c r="I88" s="6" t="str">
        <f>IFERROR(__xludf.DUMMYFUNCTION("""COMPUTED_VALUE"""),"Equity")</f>
        <v>Equity</v>
      </c>
      <c r="J88" s="6" t="str">
        <f>IFERROR(__xludf.DUMMYFUNCTION("""COMPUTED_VALUE"""),"Financial Services")</f>
        <v>Financial Services</v>
      </c>
      <c r="K88" s="6" t="str">
        <f>IFERROR(__xludf.DUMMYFUNCTION("""COMPUTED_VALUE"""),"Financial Services")</f>
        <v>Financial Services</v>
      </c>
      <c r="L88" s="6" t="str">
        <f>IFERROR(__xludf.DUMMYFUNCTION("""COMPUTED_VALUE"""),"Finance")</f>
        <v>Finance</v>
      </c>
      <c r="M88" s="6" t="str">
        <f>IFERROR(__xludf.DUMMYFUNCTION("""COMPUTED_VALUE"""),"Non Banking Financial Company (NBFC)")</f>
        <v>Non Banking Financial Company (NBFC)</v>
      </c>
      <c r="N88" s="5">
        <f>IFERROR(__xludf.DUMMYFUNCTION("""COMPUTED_VALUE"""),107569.3633283)</f>
        <v>107569.3633</v>
      </c>
      <c r="O88" s="6">
        <f t="shared" si="4"/>
        <v>123</v>
      </c>
      <c r="P88" s="6">
        <f t="shared" ref="P88:Q88" si="178">COUNTIFS(L:L,L88)</f>
        <v>56</v>
      </c>
      <c r="Q88" s="24">
        <f t="shared" si="178"/>
        <v>21</v>
      </c>
      <c r="R88" s="6" t="str">
        <f t="shared" si="6"/>
        <v>Non Banking Financial Company (NBFC)</v>
      </c>
      <c r="S88" s="6" t="str">
        <f t="shared" si="7"/>
        <v>Non Banking Financial Company (NBFC)</v>
      </c>
      <c r="T88" s="6">
        <f>IFERROR(__xludf.DUMMYFUNCTION("COUNTA(UNIQUE(query($A$2:$P$800,""select L where K='""&amp; K88&amp;""'"")))"),5.0)</f>
        <v>5</v>
      </c>
      <c r="U88" s="23">
        <f t="shared" si="8"/>
        <v>0.06097560976</v>
      </c>
      <c r="V88" s="23">
        <f t="shared" ref="V88:W88" si="179">P88/O88</f>
        <v>0.4552845528</v>
      </c>
      <c r="W88" s="23">
        <f t="shared" si="179"/>
        <v>0.375</v>
      </c>
    </row>
    <row r="89">
      <c r="A89" s="6">
        <f>IFERROR(__xludf.DUMMYFUNCTION("""COMPUTED_VALUE"""),500093.0)</f>
        <v>500093</v>
      </c>
      <c r="B89" s="6" t="str">
        <f>IFERROR(__xludf.DUMMYFUNCTION("""COMPUTED_VALUE"""),"CG Power and Industrial Solutions Limited")</f>
        <v>CG Power and Industrial Solutions Limited</v>
      </c>
      <c r="C89" s="6" t="str">
        <f>IFERROR(__xludf.DUMMYFUNCTION("""COMPUTED_VALUE"""),"CGPOWER")</f>
        <v>CGPOWER</v>
      </c>
      <c r="D89" s="6" t="str">
        <f>IFERROR(__xludf.DUMMYFUNCTION("""COMPUTED_VALUE"""),"CG Power and Industrial Solutions Ltd")</f>
        <v>CG Power and Industrial Solutions Ltd</v>
      </c>
      <c r="E89" s="6" t="str">
        <f>IFERROR(__xludf.DUMMYFUNCTION("""COMPUTED_VALUE"""),"Active")</f>
        <v>Active</v>
      </c>
      <c r="F89" s="6" t="str">
        <f>IFERROR(__xludf.DUMMYFUNCTION("""COMPUTED_VALUE"""),"A")</f>
        <v>A</v>
      </c>
      <c r="G89" s="6">
        <f>IFERROR(__xludf.DUMMYFUNCTION("""COMPUTED_VALUE"""),2.0)</f>
        <v>2</v>
      </c>
      <c r="H89" s="6" t="str">
        <f>IFERROR(__xludf.DUMMYFUNCTION("""COMPUTED_VALUE"""),"INE067A01029")</f>
        <v>INE067A01029</v>
      </c>
      <c r="I89" s="6" t="str">
        <f>IFERROR(__xludf.DUMMYFUNCTION("""COMPUTED_VALUE"""),"Equity")</f>
        <v>Equity</v>
      </c>
      <c r="J89" s="6" t="str">
        <f>IFERROR(__xludf.DUMMYFUNCTION("""COMPUTED_VALUE"""),"Industrials")</f>
        <v>Industrials</v>
      </c>
      <c r="K89" s="6" t="str">
        <f>IFERROR(__xludf.DUMMYFUNCTION("""COMPUTED_VALUE"""),"Capital Goods")</f>
        <v>Capital Goods</v>
      </c>
      <c r="L89" s="6" t="str">
        <f>IFERROR(__xludf.DUMMYFUNCTION("""COMPUTED_VALUE"""),"Electrical Equipment")</f>
        <v>Electrical Equipment</v>
      </c>
      <c r="M89" s="6" t="str">
        <f>IFERROR(__xludf.DUMMYFUNCTION("""COMPUTED_VALUE"""),"Heavy Electrical Equipment")</f>
        <v>Heavy Electrical Equipment</v>
      </c>
      <c r="N89" s="5">
        <f>IFERROR(__xludf.DUMMYFUNCTION("""COMPUTED_VALUE"""),107236.3663813)</f>
        <v>107236.3664</v>
      </c>
      <c r="O89" s="6">
        <f t="shared" si="4"/>
        <v>110</v>
      </c>
      <c r="P89" s="6">
        <f t="shared" ref="P89:Q89" si="180">COUNTIFS(L:L,L89)</f>
        <v>22</v>
      </c>
      <c r="Q89" s="24">
        <f t="shared" si="180"/>
        <v>17</v>
      </c>
      <c r="R89" s="6" t="str">
        <f t="shared" si="6"/>
        <v>Electrical Equipment</v>
      </c>
      <c r="S89" s="6" t="str">
        <f t="shared" si="7"/>
        <v>Electrical Equipment</v>
      </c>
      <c r="T89" s="6">
        <f>IFERROR(__xludf.DUMMYFUNCTION("COUNTA(UNIQUE(query($A$2:$P$800,""select L where K='""&amp; K89&amp;""'"")))"),5.0)</f>
        <v>5</v>
      </c>
      <c r="U89" s="23">
        <f t="shared" si="8"/>
        <v>0.06818181818</v>
      </c>
      <c r="V89" s="23">
        <f t="shared" ref="V89:W89" si="181">P89/O89</f>
        <v>0.2</v>
      </c>
      <c r="W89" s="23">
        <f t="shared" si="181"/>
        <v>0.7727272727</v>
      </c>
    </row>
    <row r="90">
      <c r="A90" s="6">
        <f>IFERROR(__xludf.DUMMYFUNCTION("""COMPUTED_VALUE"""),532483.0)</f>
        <v>532483</v>
      </c>
      <c r="B90" s="6" t="str">
        <f>IFERROR(__xludf.DUMMYFUNCTION("""COMPUTED_VALUE"""),"Canara Bank")</f>
        <v>Canara Bank</v>
      </c>
      <c r="C90" s="6" t="str">
        <f>IFERROR(__xludf.DUMMYFUNCTION("""COMPUTED_VALUE"""),"CANBK")</f>
        <v>CANBK</v>
      </c>
      <c r="D90" s="6" t="str">
        <f>IFERROR(__xludf.DUMMYFUNCTION("""COMPUTED_VALUE"""),"CANARA BANK")</f>
        <v>CANARA BANK</v>
      </c>
      <c r="E90" s="6" t="str">
        <f>IFERROR(__xludf.DUMMYFUNCTION("""COMPUTED_VALUE"""),"Active")</f>
        <v>Active</v>
      </c>
      <c r="F90" s="6" t="str">
        <f>IFERROR(__xludf.DUMMYFUNCTION("""COMPUTED_VALUE"""),"A")</f>
        <v>A</v>
      </c>
      <c r="G90" s="6">
        <f>IFERROR(__xludf.DUMMYFUNCTION("""COMPUTED_VALUE"""),2.0)</f>
        <v>2</v>
      </c>
      <c r="H90" s="6" t="str">
        <f>IFERROR(__xludf.DUMMYFUNCTION("""COMPUTED_VALUE"""),"INE476A01022")</f>
        <v>INE476A01022</v>
      </c>
      <c r="I90" s="6" t="str">
        <f>IFERROR(__xludf.DUMMYFUNCTION("""COMPUTED_VALUE"""),"Equity")</f>
        <v>Equity</v>
      </c>
      <c r="J90" s="6" t="str">
        <f>IFERROR(__xludf.DUMMYFUNCTION("""COMPUTED_VALUE"""),"Financial Services")</f>
        <v>Financial Services</v>
      </c>
      <c r="K90" s="6" t="str">
        <f>IFERROR(__xludf.DUMMYFUNCTION("""COMPUTED_VALUE"""),"Financial Services")</f>
        <v>Financial Services</v>
      </c>
      <c r="L90" s="6" t="str">
        <f>IFERROR(__xludf.DUMMYFUNCTION("""COMPUTED_VALUE"""),"Banks")</f>
        <v>Banks</v>
      </c>
      <c r="M90" s="6" t="str">
        <f>IFERROR(__xludf.DUMMYFUNCTION("""COMPUTED_VALUE"""),"Public Sector Bank")</f>
        <v>Public Sector Bank</v>
      </c>
      <c r="N90" s="5">
        <f>IFERROR(__xludf.DUMMYFUNCTION("""COMPUTED_VALUE"""),107195.1597284)</f>
        <v>107195.1597</v>
      </c>
      <c r="O90" s="6">
        <f t="shared" si="4"/>
        <v>123</v>
      </c>
      <c r="P90" s="6">
        <f t="shared" ref="P90:Q90" si="182">COUNTIFS(L:L,L90)</f>
        <v>35</v>
      </c>
      <c r="Q90" s="24">
        <f t="shared" si="182"/>
        <v>12</v>
      </c>
      <c r="R90" s="6" t="str">
        <f t="shared" si="6"/>
        <v>Banks</v>
      </c>
      <c r="S90" s="6" t="str">
        <f t="shared" si="7"/>
        <v>Banks</v>
      </c>
      <c r="T90" s="6">
        <f>IFERROR(__xludf.DUMMYFUNCTION("COUNTA(UNIQUE(query($A$2:$P$800,""select L where K='""&amp; K90&amp;""'"")))"),5.0)</f>
        <v>5</v>
      </c>
      <c r="U90" s="23">
        <f t="shared" si="8"/>
        <v>0.06097560976</v>
      </c>
      <c r="V90" s="23">
        <f t="shared" ref="V90:W90" si="183">P90/O90</f>
        <v>0.2845528455</v>
      </c>
      <c r="W90" s="23">
        <f t="shared" si="183"/>
        <v>0.3428571429</v>
      </c>
    </row>
    <row r="91">
      <c r="A91" s="6">
        <f>IFERROR(__xludf.DUMMYFUNCTION("""COMPUTED_VALUE"""),500096.0)</f>
        <v>500096</v>
      </c>
      <c r="B91" s="6" t="str">
        <f>IFERROR(__xludf.DUMMYFUNCTION("""COMPUTED_VALUE"""),"Dabur India Ltd.")</f>
        <v>Dabur India Ltd.</v>
      </c>
      <c r="C91" s="6" t="str">
        <f>IFERROR(__xludf.DUMMYFUNCTION("""COMPUTED_VALUE"""),"DABUR")</f>
        <v>DABUR</v>
      </c>
      <c r="D91" s="6" t="str">
        <f>IFERROR(__xludf.DUMMYFUNCTION("""COMPUTED_VALUE"""),"DABUR INDIA LTD.")</f>
        <v>DABUR INDIA LTD.</v>
      </c>
      <c r="E91" s="6" t="str">
        <f>IFERROR(__xludf.DUMMYFUNCTION("""COMPUTED_VALUE"""),"Active")</f>
        <v>Active</v>
      </c>
      <c r="F91" s="6" t="str">
        <f>IFERROR(__xludf.DUMMYFUNCTION("""COMPUTED_VALUE"""),"A")</f>
        <v>A</v>
      </c>
      <c r="G91" s="6">
        <f>IFERROR(__xludf.DUMMYFUNCTION("""COMPUTED_VALUE"""),1.0)</f>
        <v>1</v>
      </c>
      <c r="H91" s="6" t="str">
        <f>IFERROR(__xludf.DUMMYFUNCTION("""COMPUTED_VALUE"""),"INE016A01026")</f>
        <v>INE016A01026</v>
      </c>
      <c r="I91" s="6" t="str">
        <f>IFERROR(__xludf.DUMMYFUNCTION("""COMPUTED_VALUE"""),"Equity")</f>
        <v>Equity</v>
      </c>
      <c r="J91" s="6" t="str">
        <f>IFERROR(__xludf.DUMMYFUNCTION("""COMPUTED_VALUE"""),"Fast Moving Consumer Goods")</f>
        <v>Fast Moving Consumer Goods</v>
      </c>
      <c r="K91" s="6" t="str">
        <f>IFERROR(__xludf.DUMMYFUNCTION("""COMPUTED_VALUE"""),"Fast Moving Consumer Goods")</f>
        <v>Fast Moving Consumer Goods</v>
      </c>
      <c r="L91" s="6" t="str">
        <f>IFERROR(__xludf.DUMMYFUNCTION("""COMPUTED_VALUE"""),"Personal Products")</f>
        <v>Personal Products</v>
      </c>
      <c r="M91" s="6" t="str">
        <f>IFERROR(__xludf.DUMMYFUNCTION("""COMPUTED_VALUE"""),"Personal Care")</f>
        <v>Personal Care</v>
      </c>
      <c r="N91" s="5">
        <f>IFERROR(__xludf.DUMMYFUNCTION("""COMPUTED_VALUE"""),105800.4035)</f>
        <v>105800.4035</v>
      </c>
      <c r="O91" s="6">
        <f t="shared" si="4"/>
        <v>44</v>
      </c>
      <c r="P91" s="6">
        <f t="shared" ref="P91:Q91" si="184">COUNTIFS(L:L,L91)</f>
        <v>7</v>
      </c>
      <c r="Q91" s="24">
        <f t="shared" si="184"/>
        <v>7</v>
      </c>
      <c r="R91" s="6" t="str">
        <f t="shared" si="6"/>
        <v>Fast Moving Consumer Goods</v>
      </c>
      <c r="S91" s="6" t="str">
        <f t="shared" si="7"/>
        <v>Fast Moving Consumer Goods</v>
      </c>
      <c r="T91" s="6">
        <f>IFERROR(__xludf.DUMMYFUNCTION("COUNTA(UNIQUE(query($A$2:$P$800,""select L where K='""&amp; K91&amp;""'"")))"),7.0)</f>
        <v>7</v>
      </c>
      <c r="U91" s="23">
        <f t="shared" si="8"/>
        <v>0.2386363636</v>
      </c>
      <c r="V91" s="23">
        <f t="shared" ref="V91:W91" si="185">P91/O91</f>
        <v>0.1590909091</v>
      </c>
      <c r="W91" s="23">
        <f t="shared" si="185"/>
        <v>1</v>
      </c>
    </row>
    <row r="92">
      <c r="A92" s="6">
        <f>IFERROR(__xludf.DUMMYFUNCTION("""COMPUTED_VALUE"""),532286.0)</f>
        <v>532286</v>
      </c>
      <c r="B92" s="6" t="str">
        <f>IFERROR(__xludf.DUMMYFUNCTION("""COMPUTED_VALUE"""),"Jindal Steel &amp; Power Ltd")</f>
        <v>Jindal Steel &amp; Power Ltd</v>
      </c>
      <c r="C92" s="6" t="str">
        <f>IFERROR(__xludf.DUMMYFUNCTION("""COMPUTED_VALUE"""),"JINDALSTEL")</f>
        <v>JINDALSTEL</v>
      </c>
      <c r="D92" s="6" t="str">
        <f>IFERROR(__xludf.DUMMYFUNCTION("""COMPUTED_VALUE"""),"JINDAL STEEL &amp; POWER LTD.")</f>
        <v>JINDAL STEEL &amp; POWER LTD.</v>
      </c>
      <c r="E92" s="6" t="str">
        <f>IFERROR(__xludf.DUMMYFUNCTION("""COMPUTED_VALUE"""),"Active")</f>
        <v>Active</v>
      </c>
      <c r="F92" s="6" t="str">
        <f>IFERROR(__xludf.DUMMYFUNCTION("""COMPUTED_VALUE"""),"A")</f>
        <v>A</v>
      </c>
      <c r="G92" s="6">
        <f>IFERROR(__xludf.DUMMYFUNCTION("""COMPUTED_VALUE"""),1.0)</f>
        <v>1</v>
      </c>
      <c r="H92" s="6" t="str">
        <f>IFERROR(__xludf.DUMMYFUNCTION("""COMPUTED_VALUE"""),"INE749A01030")</f>
        <v>INE749A01030</v>
      </c>
      <c r="I92" s="6" t="str">
        <f>IFERROR(__xludf.DUMMYFUNCTION("""COMPUTED_VALUE"""),"Equity")</f>
        <v>Equity</v>
      </c>
      <c r="J92" s="6" t="str">
        <f>IFERROR(__xludf.DUMMYFUNCTION("""COMPUTED_VALUE"""),"Commodities")</f>
        <v>Commodities</v>
      </c>
      <c r="K92" s="6" t="str">
        <f>IFERROR(__xludf.DUMMYFUNCTION("""COMPUTED_VALUE"""),"Metals &amp; Mining")</f>
        <v>Metals &amp; Mining</v>
      </c>
      <c r="L92" s="6" t="str">
        <f>IFERROR(__xludf.DUMMYFUNCTION("""COMPUTED_VALUE"""),"Ferrous Metals")</f>
        <v>Ferrous Metals</v>
      </c>
      <c r="M92" s="6" t="str">
        <f>IFERROR(__xludf.DUMMYFUNCTION("""COMPUTED_VALUE"""),"Iron &amp; Steel")</f>
        <v>Iron &amp; Steel</v>
      </c>
      <c r="N92" s="5">
        <f>IFERROR(__xludf.DUMMYFUNCTION("""COMPUTED_VALUE"""),104134.0040424)</f>
        <v>104134.004</v>
      </c>
      <c r="O92" s="6">
        <f t="shared" si="4"/>
        <v>20</v>
      </c>
      <c r="P92" s="6">
        <f t="shared" ref="P92:Q92" si="186">COUNTIFS(L:L,L92)</f>
        <v>10</v>
      </c>
      <c r="Q92" s="24">
        <f t="shared" si="186"/>
        <v>7</v>
      </c>
      <c r="R92" s="6" t="str">
        <f t="shared" si="6"/>
        <v>Metals &amp; Mining</v>
      </c>
      <c r="S92" s="6" t="str">
        <f t="shared" si="7"/>
        <v>Metals &amp; Mining</v>
      </c>
      <c r="T92" s="6">
        <f>IFERROR(__xludf.DUMMYFUNCTION("COUNTA(UNIQUE(query($A$2:$P$800,""select L where K='""&amp; K92&amp;""'"")))"),5.0)</f>
        <v>5</v>
      </c>
      <c r="U92" s="23">
        <f t="shared" si="8"/>
        <v>0.375</v>
      </c>
      <c r="V92" s="23">
        <f t="shared" ref="V92:W92" si="187">P92/O92</f>
        <v>0.5</v>
      </c>
      <c r="W92" s="23">
        <f t="shared" si="187"/>
        <v>0.7</v>
      </c>
    </row>
    <row r="93">
      <c r="A93" s="6">
        <f>IFERROR(__xludf.DUMMYFUNCTION("""COMPUTED_VALUE"""),532477.0)</f>
        <v>532477</v>
      </c>
      <c r="B93" s="6" t="str">
        <f>IFERROR(__xludf.DUMMYFUNCTION("""COMPUTED_VALUE"""),"Union Bank of India")</f>
        <v>Union Bank of India</v>
      </c>
      <c r="C93" s="6" t="str">
        <f>IFERROR(__xludf.DUMMYFUNCTION("""COMPUTED_VALUE"""),"UNIONBANK")</f>
        <v>UNIONBANK</v>
      </c>
      <c r="D93" s="6" t="str">
        <f>IFERROR(__xludf.DUMMYFUNCTION("""COMPUTED_VALUE"""),"UNION BANK OF INDIA")</f>
        <v>UNION BANK OF INDIA</v>
      </c>
      <c r="E93" s="6" t="str">
        <f>IFERROR(__xludf.DUMMYFUNCTION("""COMPUTED_VALUE"""),"Active")</f>
        <v>Active</v>
      </c>
      <c r="F93" s="6" t="str">
        <f>IFERROR(__xludf.DUMMYFUNCTION("""COMPUTED_VALUE"""),"A")</f>
        <v>A</v>
      </c>
      <c r="G93" s="6">
        <f>IFERROR(__xludf.DUMMYFUNCTION("""COMPUTED_VALUE"""),10.0)</f>
        <v>10</v>
      </c>
      <c r="H93" s="6" t="str">
        <f>IFERROR(__xludf.DUMMYFUNCTION("""COMPUTED_VALUE"""),"INE692A01016")</f>
        <v>INE692A01016</v>
      </c>
      <c r="I93" s="6" t="str">
        <f>IFERROR(__xludf.DUMMYFUNCTION("""COMPUTED_VALUE"""),"Equity")</f>
        <v>Equity</v>
      </c>
      <c r="J93" s="6" t="str">
        <f>IFERROR(__xludf.DUMMYFUNCTION("""COMPUTED_VALUE"""),"Financial Services")</f>
        <v>Financial Services</v>
      </c>
      <c r="K93" s="6" t="str">
        <f>IFERROR(__xludf.DUMMYFUNCTION("""COMPUTED_VALUE"""),"Financial Services")</f>
        <v>Financial Services</v>
      </c>
      <c r="L93" s="6" t="str">
        <f>IFERROR(__xludf.DUMMYFUNCTION("""COMPUTED_VALUE"""),"Banks")</f>
        <v>Banks</v>
      </c>
      <c r="M93" s="6" t="str">
        <f>IFERROR(__xludf.DUMMYFUNCTION("""COMPUTED_VALUE"""),"Public Sector Bank")</f>
        <v>Public Sector Bank</v>
      </c>
      <c r="N93" s="5">
        <f>IFERROR(__xludf.DUMMYFUNCTION("""COMPUTED_VALUE"""),104003.6251896)</f>
        <v>104003.6252</v>
      </c>
      <c r="O93" s="6">
        <f t="shared" si="4"/>
        <v>123</v>
      </c>
      <c r="P93" s="6">
        <f t="shared" ref="P93:Q93" si="188">COUNTIFS(L:L,L93)</f>
        <v>35</v>
      </c>
      <c r="Q93" s="24">
        <f t="shared" si="188"/>
        <v>12</v>
      </c>
      <c r="R93" s="6" t="str">
        <f t="shared" si="6"/>
        <v>Banks</v>
      </c>
      <c r="S93" s="6" t="str">
        <f t="shared" si="7"/>
        <v>Banks</v>
      </c>
      <c r="T93" s="6">
        <f>IFERROR(__xludf.DUMMYFUNCTION("COUNTA(UNIQUE(query($A$2:$P$800,""select L where K='""&amp; K93&amp;""'"")))"),5.0)</f>
        <v>5</v>
      </c>
      <c r="U93" s="23">
        <f t="shared" si="8"/>
        <v>0.06097560976</v>
      </c>
      <c r="V93" s="23">
        <f t="shared" ref="V93:W93" si="189">P93/O93</f>
        <v>0.2845528455</v>
      </c>
      <c r="W93" s="23">
        <f t="shared" si="189"/>
        <v>0.3428571429</v>
      </c>
    </row>
    <row r="94">
      <c r="A94" s="6">
        <f>IFERROR(__xludf.DUMMYFUNCTION("""COMPUTED_VALUE"""),500103.0)</f>
        <v>500103</v>
      </c>
      <c r="B94" s="6" t="str">
        <f>IFERROR(__xludf.DUMMYFUNCTION("""COMPUTED_VALUE"""),"Bharat Heavy Electricals Ltd.")</f>
        <v>Bharat Heavy Electricals Ltd.</v>
      </c>
      <c r="C94" s="6" t="str">
        <f>IFERROR(__xludf.DUMMYFUNCTION("""COMPUTED_VALUE"""),"BHEL")</f>
        <v>BHEL</v>
      </c>
      <c r="D94" s="6" t="str">
        <f>IFERROR(__xludf.DUMMYFUNCTION("""COMPUTED_VALUE"""),"BHARAT HEAVY ELECTRICALS LTD.")</f>
        <v>BHARAT HEAVY ELECTRICALS LTD.</v>
      </c>
      <c r="E94" s="6" t="str">
        <f>IFERROR(__xludf.DUMMYFUNCTION("""COMPUTED_VALUE"""),"Active")</f>
        <v>Active</v>
      </c>
      <c r="F94" s="6" t="str">
        <f>IFERROR(__xludf.DUMMYFUNCTION("""COMPUTED_VALUE"""),"A")</f>
        <v>A</v>
      </c>
      <c r="G94" s="6">
        <f>IFERROR(__xludf.DUMMYFUNCTION("""COMPUTED_VALUE"""),2.0)</f>
        <v>2</v>
      </c>
      <c r="H94" s="6" t="str">
        <f>IFERROR(__xludf.DUMMYFUNCTION("""COMPUTED_VALUE"""),"INE257A01026")</f>
        <v>INE257A01026</v>
      </c>
      <c r="I94" s="6" t="str">
        <f>IFERROR(__xludf.DUMMYFUNCTION("""COMPUTED_VALUE"""),"Equity")</f>
        <v>Equity</v>
      </c>
      <c r="J94" s="6" t="str">
        <f>IFERROR(__xludf.DUMMYFUNCTION("""COMPUTED_VALUE"""),"Industrials")</f>
        <v>Industrials</v>
      </c>
      <c r="K94" s="6" t="str">
        <f>IFERROR(__xludf.DUMMYFUNCTION("""COMPUTED_VALUE"""),"Capital Goods")</f>
        <v>Capital Goods</v>
      </c>
      <c r="L94" s="6" t="str">
        <f>IFERROR(__xludf.DUMMYFUNCTION("""COMPUTED_VALUE"""),"Electrical Equipment")</f>
        <v>Electrical Equipment</v>
      </c>
      <c r="M94" s="6" t="str">
        <f>IFERROR(__xludf.DUMMYFUNCTION("""COMPUTED_VALUE"""),"Heavy Electrical Equipment")</f>
        <v>Heavy Electrical Equipment</v>
      </c>
      <c r="N94" s="5">
        <f>IFERROR(__xludf.DUMMYFUNCTION("""COMPUTED_VALUE"""),103510.7698512)</f>
        <v>103510.7699</v>
      </c>
      <c r="O94" s="6">
        <f t="shared" si="4"/>
        <v>110</v>
      </c>
      <c r="P94" s="6">
        <f t="shared" ref="P94:Q94" si="190">COUNTIFS(L:L,L94)</f>
        <v>22</v>
      </c>
      <c r="Q94" s="24">
        <f t="shared" si="190"/>
        <v>17</v>
      </c>
      <c r="R94" s="6" t="str">
        <f t="shared" si="6"/>
        <v>Electrical Equipment</v>
      </c>
      <c r="S94" s="6" t="str">
        <f t="shared" si="7"/>
        <v>Electrical Equipment</v>
      </c>
      <c r="T94" s="6">
        <f>IFERROR(__xludf.DUMMYFUNCTION("COUNTA(UNIQUE(query($A$2:$P$800,""select L where K='""&amp; K94&amp;""'"")))"),5.0)</f>
        <v>5</v>
      </c>
      <c r="U94" s="23">
        <f t="shared" si="8"/>
        <v>0.06818181818</v>
      </c>
      <c r="V94" s="23">
        <f t="shared" ref="V94:W94" si="191">P94/O94</f>
        <v>0.2</v>
      </c>
      <c r="W94" s="23">
        <f t="shared" si="191"/>
        <v>0.7727272727</v>
      </c>
    </row>
    <row r="95">
      <c r="A95" s="6">
        <f>IFERROR(__xludf.DUMMYFUNCTION("""COMPUTED_VALUE"""),500530.0)</f>
        <v>500530</v>
      </c>
      <c r="B95" s="6" t="str">
        <f>IFERROR(__xludf.DUMMYFUNCTION("""COMPUTED_VALUE"""),"Bosch Ltd")</f>
        <v>Bosch Ltd</v>
      </c>
      <c r="C95" s="6" t="str">
        <f>IFERROR(__xludf.DUMMYFUNCTION("""COMPUTED_VALUE"""),"BOSCHLTD")</f>
        <v>BOSCHLTD</v>
      </c>
      <c r="D95" s="6" t="str">
        <f>IFERROR(__xludf.DUMMYFUNCTION("""COMPUTED_VALUE"""),"BOSCH LTD.")</f>
        <v>BOSCH LTD.</v>
      </c>
      <c r="E95" s="6" t="str">
        <f>IFERROR(__xludf.DUMMYFUNCTION("""COMPUTED_VALUE"""),"Active")</f>
        <v>Active</v>
      </c>
      <c r="F95" s="6" t="str">
        <f>IFERROR(__xludf.DUMMYFUNCTION("""COMPUTED_VALUE"""),"A")</f>
        <v>A</v>
      </c>
      <c r="G95" s="6">
        <f>IFERROR(__xludf.DUMMYFUNCTION("""COMPUTED_VALUE"""),10.0)</f>
        <v>10</v>
      </c>
      <c r="H95" s="6" t="str">
        <f>IFERROR(__xludf.DUMMYFUNCTION("""COMPUTED_VALUE"""),"INE323A01026")</f>
        <v>INE323A01026</v>
      </c>
      <c r="I95" s="6" t="str">
        <f>IFERROR(__xludf.DUMMYFUNCTION("""COMPUTED_VALUE"""),"Equity")</f>
        <v>Equity</v>
      </c>
      <c r="J95" s="6" t="str">
        <f>IFERROR(__xludf.DUMMYFUNCTION("""COMPUTED_VALUE"""),"Consumer Discretionary")</f>
        <v>Consumer Discretionary</v>
      </c>
      <c r="K95" s="6" t="str">
        <f>IFERROR(__xludf.DUMMYFUNCTION("""COMPUTED_VALUE"""),"Automobile and Auto Components")</f>
        <v>Automobile and Auto Components</v>
      </c>
      <c r="L95" s="6" t="str">
        <f>IFERROR(__xludf.DUMMYFUNCTION("""COMPUTED_VALUE"""),"Auto Components")</f>
        <v>Auto Components</v>
      </c>
      <c r="M95" s="6" t="str">
        <f>IFERROR(__xludf.DUMMYFUNCTION("""COMPUTED_VALUE"""),"Auto Components &amp; Equipments")</f>
        <v>Auto Components &amp; Equipments</v>
      </c>
      <c r="N95" s="5">
        <f>IFERROR(__xludf.DUMMYFUNCTION("""COMPUTED_VALUE"""),102678.412501)</f>
        <v>102678.4125</v>
      </c>
      <c r="O95" s="6">
        <f t="shared" si="4"/>
        <v>47</v>
      </c>
      <c r="P95" s="6">
        <f t="shared" ref="P95:Q95" si="192">COUNTIFS(L:L,L95)</f>
        <v>37</v>
      </c>
      <c r="Q95" s="24">
        <f t="shared" si="192"/>
        <v>32</v>
      </c>
      <c r="R95" s="6" t="str">
        <f t="shared" si="6"/>
        <v>Automobile and Auto Components</v>
      </c>
      <c r="S95" s="6" t="str">
        <f t="shared" si="7"/>
        <v>Automobile and Auto Components</v>
      </c>
      <c r="T95" s="6">
        <f>IFERROR(__xludf.DUMMYFUNCTION("COUNTA(UNIQUE(query($A$2:$P$800,""select L where K='""&amp; K95&amp;""'"")))"),2.0)</f>
        <v>2</v>
      </c>
      <c r="U95" s="23">
        <f t="shared" si="8"/>
        <v>0.06382978723</v>
      </c>
      <c r="V95" s="23">
        <f t="shared" ref="V95:W95" si="193">P95/O95</f>
        <v>0.7872340426</v>
      </c>
      <c r="W95" s="23">
        <f t="shared" si="193"/>
        <v>0.8648648649</v>
      </c>
    </row>
    <row r="96">
      <c r="A96" s="6">
        <f>IFERROR(__xludf.DUMMYFUNCTION("""COMPUTED_VALUE"""),534816.0)</f>
        <v>534816</v>
      </c>
      <c r="B96" s="6" t="str">
        <f>IFERROR(__xludf.DUMMYFUNCTION("""COMPUTED_VALUE"""),"INDUS TOWERS LIMITED")</f>
        <v>INDUS TOWERS LIMITED</v>
      </c>
      <c r="C96" s="6" t="str">
        <f>IFERROR(__xludf.DUMMYFUNCTION("""COMPUTED_VALUE"""),"INDUSTOWER")</f>
        <v>INDUSTOWER</v>
      </c>
      <c r="D96" s="6" t="str">
        <f>IFERROR(__xludf.DUMMYFUNCTION("""COMPUTED_VALUE"""),"Indus Towers Ltd")</f>
        <v>Indus Towers Ltd</v>
      </c>
      <c r="E96" s="6" t="str">
        <f>IFERROR(__xludf.DUMMYFUNCTION("""COMPUTED_VALUE"""),"Active")</f>
        <v>Active</v>
      </c>
      <c r="F96" s="6" t="str">
        <f>IFERROR(__xludf.DUMMYFUNCTION("""COMPUTED_VALUE"""),"A")</f>
        <v>A</v>
      </c>
      <c r="G96" s="6">
        <f>IFERROR(__xludf.DUMMYFUNCTION("""COMPUTED_VALUE"""),10.0)</f>
        <v>10</v>
      </c>
      <c r="H96" s="6" t="str">
        <f>IFERROR(__xludf.DUMMYFUNCTION("""COMPUTED_VALUE"""),"INE121J01017")</f>
        <v>INE121J01017</v>
      </c>
      <c r="I96" s="6" t="str">
        <f>IFERROR(__xludf.DUMMYFUNCTION("""COMPUTED_VALUE"""),"Equity")</f>
        <v>Equity</v>
      </c>
      <c r="J96" s="6" t="str">
        <f>IFERROR(__xludf.DUMMYFUNCTION("""COMPUTED_VALUE"""),"Telecommunication")</f>
        <v>Telecommunication</v>
      </c>
      <c r="K96" s="6" t="str">
        <f>IFERROR(__xludf.DUMMYFUNCTION("""COMPUTED_VALUE"""),"Telecommunication")</f>
        <v>Telecommunication</v>
      </c>
      <c r="L96" s="6" t="str">
        <f>IFERROR(__xludf.DUMMYFUNCTION("""COMPUTED_VALUE"""),"Telecom - Services")</f>
        <v>Telecom - Services</v>
      </c>
      <c r="M96" s="6" t="str">
        <f>IFERROR(__xludf.DUMMYFUNCTION("""COMPUTED_VALUE"""),"Telecom - Infrastructure")</f>
        <v>Telecom - Infrastructure</v>
      </c>
      <c r="N96" s="5">
        <f>IFERROR(__xludf.DUMMYFUNCTION("""COMPUTED_VALUE"""),100910.1399)</f>
        <v>100910.1399</v>
      </c>
      <c r="O96" s="6">
        <f t="shared" si="4"/>
        <v>14</v>
      </c>
      <c r="P96" s="6">
        <f t="shared" ref="P96:Q96" si="194">COUNTIFS(L:L,L96)</f>
        <v>11</v>
      </c>
      <c r="Q96" s="24">
        <f t="shared" si="194"/>
        <v>4</v>
      </c>
      <c r="R96" s="6" t="str">
        <f t="shared" si="6"/>
        <v>Telecommunication</v>
      </c>
      <c r="S96" s="6" t="str">
        <f t="shared" si="7"/>
        <v>Telecommunication</v>
      </c>
      <c r="T96" s="6">
        <f>IFERROR(__xludf.DUMMYFUNCTION("COUNTA(UNIQUE(query($A$2:$P$800,""select L where K='""&amp; K96&amp;""'"")))"),2.0)</f>
        <v>2</v>
      </c>
      <c r="U96" s="23">
        <f t="shared" si="8"/>
        <v>0.2142857143</v>
      </c>
      <c r="V96" s="23">
        <f t="shared" ref="V96:W96" si="195">P96/O96</f>
        <v>0.7857142857</v>
      </c>
      <c r="W96" s="23">
        <f t="shared" si="195"/>
        <v>0.3636363636</v>
      </c>
    </row>
    <row r="97">
      <c r="A97" s="6">
        <f>IFERROR(__xludf.DUMMYFUNCTION("""COMPUTED_VALUE"""),533098.0)</f>
        <v>533098</v>
      </c>
      <c r="B97" s="6" t="str">
        <f>IFERROR(__xludf.DUMMYFUNCTION("""COMPUTED_VALUE"""),"NHPC Limited")</f>
        <v>NHPC Limited</v>
      </c>
      <c r="C97" s="6" t="str">
        <f>IFERROR(__xludf.DUMMYFUNCTION("""COMPUTED_VALUE"""),"NHPC")</f>
        <v>NHPC</v>
      </c>
      <c r="D97" s="6" t="str">
        <f>IFERROR(__xludf.DUMMYFUNCTION("""COMPUTED_VALUE"""),"NHPC LTD.")</f>
        <v>NHPC LTD.</v>
      </c>
      <c r="E97" s="6" t="str">
        <f>IFERROR(__xludf.DUMMYFUNCTION("""COMPUTED_VALUE"""),"Active")</f>
        <v>Active</v>
      </c>
      <c r="F97" s="6" t="str">
        <f>IFERROR(__xludf.DUMMYFUNCTION("""COMPUTED_VALUE"""),"A")</f>
        <v>A</v>
      </c>
      <c r="G97" s="6">
        <f>IFERROR(__xludf.DUMMYFUNCTION("""COMPUTED_VALUE"""),10.0)</f>
        <v>10</v>
      </c>
      <c r="H97" s="6" t="str">
        <f>IFERROR(__xludf.DUMMYFUNCTION("""COMPUTED_VALUE"""),"INE848E01016")</f>
        <v>INE848E01016</v>
      </c>
      <c r="I97" s="6" t="str">
        <f>IFERROR(__xludf.DUMMYFUNCTION("""COMPUTED_VALUE"""),"Equity")</f>
        <v>Equity</v>
      </c>
      <c r="J97" s="6" t="str">
        <f>IFERROR(__xludf.DUMMYFUNCTION("""COMPUTED_VALUE"""),"Utilities")</f>
        <v>Utilities</v>
      </c>
      <c r="K97" s="6" t="str">
        <f>IFERROR(__xludf.DUMMYFUNCTION("""COMPUTED_VALUE"""),"Power")</f>
        <v>Power</v>
      </c>
      <c r="L97" s="6" t="str">
        <f>IFERROR(__xludf.DUMMYFUNCTION("""COMPUTED_VALUE"""),"Power")</f>
        <v>Power</v>
      </c>
      <c r="M97" s="6" t="str">
        <f>IFERROR(__xludf.DUMMYFUNCTION("""COMPUTED_VALUE"""),"Power Generation")</f>
        <v>Power Generation</v>
      </c>
      <c r="N97" s="5">
        <f>IFERROR(__xludf.DUMMYFUNCTION("""COMPUTED_VALUE"""),100476.4016283)</f>
        <v>100476.4016</v>
      </c>
      <c r="O97" s="6">
        <f t="shared" si="4"/>
        <v>22</v>
      </c>
      <c r="P97" s="6">
        <f t="shared" ref="P97:Q97" si="196">COUNTIFS(L:L,L97)</f>
        <v>22</v>
      </c>
      <c r="Q97" s="24">
        <f t="shared" si="196"/>
        <v>13</v>
      </c>
      <c r="R97" s="6" t="str">
        <f t="shared" si="6"/>
        <v>Power</v>
      </c>
      <c r="S97" s="6" t="str">
        <f t="shared" si="7"/>
        <v>Power</v>
      </c>
      <c r="T97" s="6">
        <f>IFERROR(__xludf.DUMMYFUNCTION("COUNTA(UNIQUE(query($A$2:$P$800,""select L where K='""&amp; K97&amp;""'"")))"),1.0)</f>
        <v>1</v>
      </c>
      <c r="U97" s="23">
        <f t="shared" si="8"/>
        <v>0.06818181818</v>
      </c>
      <c r="V97" s="23">
        <f t="shared" ref="V97:W97" si="197">P97/O97</f>
        <v>1</v>
      </c>
      <c r="W97" s="23">
        <f t="shared" si="197"/>
        <v>0.5909090909</v>
      </c>
    </row>
    <row r="98">
      <c r="A98" s="6">
        <f>IFERROR(__xludf.DUMMYFUNCTION("""COMPUTED_VALUE"""),542652.0)</f>
        <v>542652</v>
      </c>
      <c r="B98" s="6" t="str">
        <f>IFERROR(__xludf.DUMMYFUNCTION("""COMPUTED_VALUE"""),"Polycab India Limited")</f>
        <v>Polycab India Limited</v>
      </c>
      <c r="C98" s="6" t="str">
        <f>IFERROR(__xludf.DUMMYFUNCTION("""COMPUTED_VALUE"""),"POLYCAB")</f>
        <v>POLYCAB</v>
      </c>
      <c r="D98" s="6" t="str">
        <f>IFERROR(__xludf.DUMMYFUNCTION("""COMPUTED_VALUE"""),"Polycab India Ltd")</f>
        <v>Polycab India Ltd</v>
      </c>
      <c r="E98" s="6" t="str">
        <f>IFERROR(__xludf.DUMMYFUNCTION("""COMPUTED_VALUE"""),"Active")</f>
        <v>Active</v>
      </c>
      <c r="F98" s="6" t="str">
        <f>IFERROR(__xludf.DUMMYFUNCTION("""COMPUTED_VALUE"""),"A")</f>
        <v>A</v>
      </c>
      <c r="G98" s="6">
        <f>IFERROR(__xludf.DUMMYFUNCTION("""COMPUTED_VALUE"""),10.0)</f>
        <v>10</v>
      </c>
      <c r="H98" s="6" t="str">
        <f>IFERROR(__xludf.DUMMYFUNCTION("""COMPUTED_VALUE"""),"INE455K01017")</f>
        <v>INE455K01017</v>
      </c>
      <c r="I98" s="6" t="str">
        <f>IFERROR(__xludf.DUMMYFUNCTION("""COMPUTED_VALUE"""),"Equity")</f>
        <v>Equity</v>
      </c>
      <c r="J98" s="6" t="str">
        <f>IFERROR(__xludf.DUMMYFUNCTION("""COMPUTED_VALUE"""),"Industrials")</f>
        <v>Industrials</v>
      </c>
      <c r="K98" s="6" t="str">
        <f>IFERROR(__xludf.DUMMYFUNCTION("""COMPUTED_VALUE"""),"Capital Goods")</f>
        <v>Capital Goods</v>
      </c>
      <c r="L98" s="6" t="str">
        <f>IFERROR(__xludf.DUMMYFUNCTION("""COMPUTED_VALUE"""),"Industrial Products")</f>
        <v>Industrial Products</v>
      </c>
      <c r="M98" s="6" t="str">
        <f>IFERROR(__xludf.DUMMYFUNCTION("""COMPUTED_VALUE"""),"Cables - Electricals")</f>
        <v>Cables - Electricals</v>
      </c>
      <c r="N98" s="5">
        <f>IFERROR(__xludf.DUMMYFUNCTION("""COMPUTED_VALUE"""),100455.8184)</f>
        <v>100455.8184</v>
      </c>
      <c r="O98" s="6">
        <f t="shared" si="4"/>
        <v>110</v>
      </c>
      <c r="P98" s="6">
        <f t="shared" ref="P98:Q98" si="198">COUNTIFS(L:L,L98)</f>
        <v>51</v>
      </c>
      <c r="Q98" s="24">
        <f t="shared" si="198"/>
        <v>4</v>
      </c>
      <c r="R98" s="6" t="str">
        <f t="shared" si="6"/>
        <v>Industrial Products</v>
      </c>
      <c r="S98" s="6" t="str">
        <f t="shared" si="7"/>
        <v>Industrial Products</v>
      </c>
      <c r="T98" s="6">
        <f>IFERROR(__xludf.DUMMYFUNCTION("COUNTA(UNIQUE(query($A$2:$P$800,""select L where K='""&amp; K98&amp;""'"")))"),5.0)</f>
        <v>5</v>
      </c>
      <c r="U98" s="23">
        <f t="shared" si="8"/>
        <v>0.06818181818</v>
      </c>
      <c r="V98" s="23">
        <f t="shared" ref="V98:W98" si="199">P98/O98</f>
        <v>0.4636363636</v>
      </c>
      <c r="W98" s="23">
        <f t="shared" si="199"/>
        <v>0.07843137255</v>
      </c>
    </row>
    <row r="99">
      <c r="A99" s="6">
        <f>IFERROR(__xludf.DUMMYFUNCTION("""COMPUTED_VALUE"""),542066.0)</f>
        <v>542066</v>
      </c>
      <c r="B99" s="6" t="str">
        <f>IFERROR(__xludf.DUMMYFUNCTION("""COMPUTED_VALUE"""),"ADANI TOTAL GAS LIMITED")</f>
        <v>ADANI TOTAL GAS LIMITED</v>
      </c>
      <c r="C99" s="6" t="str">
        <f>IFERROR(__xludf.DUMMYFUNCTION("""COMPUTED_VALUE"""),"ATGL")</f>
        <v>ATGL</v>
      </c>
      <c r="D99" s="6" t="str">
        <f>IFERROR(__xludf.DUMMYFUNCTION("""COMPUTED_VALUE"""),"Adani Total Gas Ltd")</f>
        <v>Adani Total Gas Ltd</v>
      </c>
      <c r="E99" s="6" t="str">
        <f>IFERROR(__xludf.DUMMYFUNCTION("""COMPUTED_VALUE"""),"Active")</f>
        <v>Active</v>
      </c>
      <c r="F99" s="6" t="str">
        <f>IFERROR(__xludf.DUMMYFUNCTION("""COMPUTED_VALUE"""),"A")</f>
        <v>A</v>
      </c>
      <c r="G99" s="6">
        <f>IFERROR(__xludf.DUMMYFUNCTION("""COMPUTED_VALUE"""),1.0)</f>
        <v>1</v>
      </c>
      <c r="H99" s="6" t="str">
        <f>IFERROR(__xludf.DUMMYFUNCTION("""COMPUTED_VALUE"""),"INE399L01023")</f>
        <v>INE399L01023</v>
      </c>
      <c r="I99" s="6" t="str">
        <f>IFERROR(__xludf.DUMMYFUNCTION("""COMPUTED_VALUE"""),"Equity")</f>
        <v>Equity</v>
      </c>
      <c r="J99" s="6" t="str">
        <f>IFERROR(__xludf.DUMMYFUNCTION("""COMPUTED_VALUE"""),"Energy")</f>
        <v>Energy</v>
      </c>
      <c r="K99" s="6" t="str">
        <f>IFERROR(__xludf.DUMMYFUNCTION("""COMPUTED_VALUE"""),"Oil, Gas &amp; Consumable, Fuels")</f>
        <v>Oil, Gas &amp; Consumable, Fuels</v>
      </c>
      <c r="L99" s="6" t="str">
        <f>IFERROR(__xludf.DUMMYFUNCTION("""COMPUTED_VALUE"""),"Gas")</f>
        <v>Gas</v>
      </c>
      <c r="M99" s="6" t="str">
        <f>IFERROR(__xludf.DUMMYFUNCTION("""COMPUTED_VALUE"""),"LPG/CNG/PNG/LNG Supplier")</f>
        <v>LPG/CNG/PNG/LNG Supplier</v>
      </c>
      <c r="N99" s="5">
        <f>IFERROR(__xludf.DUMMYFUNCTION("""COMPUTED_VALUE"""),100343.5258)</f>
        <v>100343.5258</v>
      </c>
      <c r="O99" s="6">
        <f t="shared" si="4"/>
        <v>20</v>
      </c>
      <c r="P99" s="6">
        <f t="shared" ref="P99:Q99" si="200">COUNTIFS(L:L,L99)</f>
        <v>8</v>
      </c>
      <c r="Q99" s="24">
        <f t="shared" si="200"/>
        <v>5</v>
      </c>
      <c r="R99" s="6" t="str">
        <f t="shared" si="6"/>
        <v>Oil, Gas &amp; Consumable, Fuels</v>
      </c>
      <c r="S99" s="6" t="str">
        <f t="shared" si="7"/>
        <v>Oil, Gas &amp; Consumable, Fuels</v>
      </c>
      <c r="T99" s="6">
        <f>IFERROR(__xludf.DUMMYFUNCTION("COUNTA(UNIQUE(query($A$2:$P$800,""select L where K='""&amp; K99&amp;""'"")))"),4.0)</f>
        <v>4</v>
      </c>
      <c r="U99" s="23">
        <f t="shared" si="8"/>
        <v>0.3</v>
      </c>
      <c r="V99" s="23">
        <f t="shared" ref="V99:W99" si="201">P99/O99</f>
        <v>0.4</v>
      </c>
      <c r="W99" s="23">
        <f t="shared" si="201"/>
        <v>0.625</v>
      </c>
    </row>
    <row r="100">
      <c r="A100" s="6">
        <f>IFERROR(__xludf.DUMMYFUNCTION("""COMPUTED_VALUE"""),500387.0)</f>
        <v>500387</v>
      </c>
      <c r="B100" s="6" t="str">
        <f>IFERROR(__xludf.DUMMYFUNCTION("""COMPUTED_VALUE"""),"Shree Cements Ltd.")</f>
        <v>Shree Cements Ltd.</v>
      </c>
      <c r="C100" s="6" t="str">
        <f>IFERROR(__xludf.DUMMYFUNCTION("""COMPUTED_VALUE"""),"SHREECEM")</f>
        <v>SHREECEM</v>
      </c>
      <c r="D100" s="6" t="str">
        <f>IFERROR(__xludf.DUMMYFUNCTION("""COMPUTED_VALUE"""),"SHREE CEMENT LTD.")</f>
        <v>SHREE CEMENT LTD.</v>
      </c>
      <c r="E100" s="6" t="str">
        <f>IFERROR(__xludf.DUMMYFUNCTION("""COMPUTED_VALUE"""),"Active")</f>
        <v>Active</v>
      </c>
      <c r="F100" s="6" t="str">
        <f>IFERROR(__xludf.DUMMYFUNCTION("""COMPUTED_VALUE"""),"A")</f>
        <v>A</v>
      </c>
      <c r="G100" s="6">
        <f>IFERROR(__xludf.DUMMYFUNCTION("""COMPUTED_VALUE"""),10.0)</f>
        <v>10</v>
      </c>
      <c r="H100" s="6" t="str">
        <f>IFERROR(__xludf.DUMMYFUNCTION("""COMPUTED_VALUE"""),"INE070A01015")</f>
        <v>INE070A01015</v>
      </c>
      <c r="I100" s="6" t="str">
        <f>IFERROR(__xludf.DUMMYFUNCTION("""COMPUTED_VALUE"""),"Equity")</f>
        <v>Equity</v>
      </c>
      <c r="J100" s="6" t="str">
        <f>IFERROR(__xludf.DUMMYFUNCTION("""COMPUTED_VALUE"""),"Commodities")</f>
        <v>Commodities</v>
      </c>
      <c r="K100" s="6" t="str">
        <f>IFERROR(__xludf.DUMMYFUNCTION("""COMPUTED_VALUE"""),"Construction Materials")</f>
        <v>Construction Materials</v>
      </c>
      <c r="L100" s="6" t="str">
        <f>IFERROR(__xludf.DUMMYFUNCTION("""COMPUTED_VALUE"""),"Cement &amp; Cement Products")</f>
        <v>Cement &amp; Cement Products</v>
      </c>
      <c r="M100" s="6" t="str">
        <f>IFERROR(__xludf.DUMMYFUNCTION("""COMPUTED_VALUE"""),"Cement &amp; Cement Products")</f>
        <v>Cement &amp; Cement Products</v>
      </c>
      <c r="N100" s="5">
        <f>IFERROR(__xludf.DUMMYFUNCTION("""COMPUTED_VALUE"""),97575.0602819)</f>
        <v>97575.06028</v>
      </c>
      <c r="O100" s="6">
        <f t="shared" si="4"/>
        <v>17</v>
      </c>
      <c r="P100" s="6">
        <f t="shared" ref="P100:Q100" si="202">COUNTIFS(L:L,L100)</f>
        <v>17</v>
      </c>
      <c r="Q100" s="24">
        <f t="shared" si="202"/>
        <v>17</v>
      </c>
      <c r="R100" s="6" t="str">
        <f t="shared" si="6"/>
        <v>Construction Materials</v>
      </c>
      <c r="S100" s="6" t="str">
        <f t="shared" si="7"/>
        <v>Construction Materials</v>
      </c>
      <c r="T100" s="6">
        <f>IFERROR(__xludf.DUMMYFUNCTION("COUNTA(UNIQUE(query($A$2:$P$800,""select L where K='""&amp; K100&amp;""'"")))"),1.0)</f>
        <v>1</v>
      </c>
      <c r="U100" s="23">
        <f t="shared" si="8"/>
        <v>0.08823529412</v>
      </c>
      <c r="V100" s="23">
        <f t="shared" ref="V100:W100" si="203">P100/O100</f>
        <v>1</v>
      </c>
      <c r="W100" s="23">
        <f t="shared" si="203"/>
        <v>1</v>
      </c>
    </row>
    <row r="101">
      <c r="A101" s="6">
        <f>IFERROR(__xludf.DUMMYFUNCTION("""COMPUTED_VALUE"""),532725.0)</f>
        <v>532725</v>
      </c>
      <c r="B101" s="6" t="str">
        <f>IFERROR(__xludf.DUMMYFUNCTION("""COMPUTED_VALUE"""),"Solar Industries India Limited")</f>
        <v>Solar Industries India Limited</v>
      </c>
      <c r="C101" s="6" t="str">
        <f>IFERROR(__xludf.DUMMYFUNCTION("""COMPUTED_VALUE"""),"SOLARINDS")</f>
        <v>SOLARINDS</v>
      </c>
      <c r="D101" s="6" t="str">
        <f>IFERROR(__xludf.DUMMYFUNCTION("""COMPUTED_VALUE"""),"SOLAR INDUSTRIES INDIA LTD.")</f>
        <v>SOLAR INDUSTRIES INDIA LTD.</v>
      </c>
      <c r="E101" s="6" t="str">
        <f>IFERROR(__xludf.DUMMYFUNCTION("""COMPUTED_VALUE"""),"Active")</f>
        <v>Active</v>
      </c>
      <c r="F101" s="6" t="str">
        <f>IFERROR(__xludf.DUMMYFUNCTION("""COMPUTED_VALUE"""),"A")</f>
        <v>A</v>
      </c>
      <c r="G101" s="6">
        <f>IFERROR(__xludf.DUMMYFUNCTION("""COMPUTED_VALUE"""),2.0)</f>
        <v>2</v>
      </c>
      <c r="H101" s="6" t="str">
        <f>IFERROR(__xludf.DUMMYFUNCTION("""COMPUTED_VALUE"""),"INE343H01029")</f>
        <v>INE343H01029</v>
      </c>
      <c r="I101" s="6" t="str">
        <f>IFERROR(__xludf.DUMMYFUNCTION("""COMPUTED_VALUE"""),"Equity")</f>
        <v>Equity</v>
      </c>
      <c r="J101" s="6" t="str">
        <f>IFERROR(__xludf.DUMMYFUNCTION("""COMPUTED_VALUE"""),"Commodities")</f>
        <v>Commodities</v>
      </c>
      <c r="K101" s="6" t="str">
        <f>IFERROR(__xludf.DUMMYFUNCTION("""COMPUTED_VALUE"""),"Chemicals")</f>
        <v>Chemicals</v>
      </c>
      <c r="L101" s="6" t="str">
        <f>IFERROR(__xludf.DUMMYFUNCTION("""COMPUTED_VALUE"""),"Chemicals &amp; Petrochemicals")</f>
        <v>Chemicals &amp; Petrochemicals</v>
      </c>
      <c r="M101" s="6" t="str">
        <f>IFERROR(__xludf.DUMMYFUNCTION("""COMPUTED_VALUE"""),"Explosives")</f>
        <v>Explosives</v>
      </c>
      <c r="N101" s="5">
        <f>IFERROR(__xludf.DUMMYFUNCTION("""COMPUTED_VALUE"""),97569.4340828)</f>
        <v>97569.43408</v>
      </c>
      <c r="O101" s="6">
        <f t="shared" si="4"/>
        <v>52</v>
      </c>
      <c r="P101" s="6">
        <f t="shared" ref="P101:Q101" si="204">COUNTIFS(L:L,L101)</f>
        <v>37</v>
      </c>
      <c r="Q101" s="24">
        <f t="shared" si="204"/>
        <v>1</v>
      </c>
      <c r="R101" s="6" t="str">
        <f t="shared" si="6"/>
        <v>Chemicals</v>
      </c>
      <c r="S101" s="6" t="str">
        <f t="shared" si="7"/>
        <v>Chemicals</v>
      </c>
      <c r="T101" s="6">
        <f>IFERROR(__xludf.DUMMYFUNCTION("COUNTA(UNIQUE(query($A$2:$P$800,""select L where K='""&amp; K101&amp;""'"")))"),2.0)</f>
        <v>2</v>
      </c>
      <c r="U101" s="23">
        <f t="shared" si="8"/>
        <v>0.05769230769</v>
      </c>
      <c r="V101" s="23">
        <f t="shared" ref="V101:W101" si="205">P101/O101</f>
        <v>0.7115384615</v>
      </c>
      <c r="W101" s="23">
        <f t="shared" si="205"/>
        <v>0.02702702703</v>
      </c>
    </row>
    <row r="102">
      <c r="A102" s="6">
        <f>IFERROR(__xludf.DUMMYFUNCTION("""COMPUTED_VALUE"""),500420.0)</f>
        <v>500420</v>
      </c>
      <c r="B102" s="6" t="str">
        <f>IFERROR(__xludf.DUMMYFUNCTION("""COMPUTED_VALUE"""),"Torrent Pharmaceuticals Ltd.")</f>
        <v>Torrent Pharmaceuticals Ltd.</v>
      </c>
      <c r="C102" s="6" t="str">
        <f>IFERROR(__xludf.DUMMYFUNCTION("""COMPUTED_VALUE"""),"TORNTPHARM")</f>
        <v>TORNTPHARM</v>
      </c>
      <c r="D102" s="6" t="str">
        <f>IFERROR(__xludf.DUMMYFUNCTION("""COMPUTED_VALUE"""),"TORRENT PHARMACEUTICALS LTD.")</f>
        <v>TORRENT PHARMACEUTICALS LTD.</v>
      </c>
      <c r="E102" s="6" t="str">
        <f>IFERROR(__xludf.DUMMYFUNCTION("""COMPUTED_VALUE"""),"Active")</f>
        <v>Active</v>
      </c>
      <c r="F102" s="6" t="str">
        <f>IFERROR(__xludf.DUMMYFUNCTION("""COMPUTED_VALUE"""),"A")</f>
        <v>A</v>
      </c>
      <c r="G102" s="6">
        <f>IFERROR(__xludf.DUMMYFUNCTION("""COMPUTED_VALUE"""),5.0)</f>
        <v>5</v>
      </c>
      <c r="H102" s="6" t="str">
        <f>IFERROR(__xludf.DUMMYFUNCTION("""COMPUTED_VALUE"""),"INE685A01028")</f>
        <v>INE685A01028</v>
      </c>
      <c r="I102" s="6" t="str">
        <f>IFERROR(__xludf.DUMMYFUNCTION("""COMPUTED_VALUE"""),"Equity")</f>
        <v>Equity</v>
      </c>
      <c r="J102" s="6" t="str">
        <f>IFERROR(__xludf.DUMMYFUNCTION("""COMPUTED_VALUE"""),"Healthcare")</f>
        <v>Healthcare</v>
      </c>
      <c r="K102" s="6" t="str">
        <f>IFERROR(__xludf.DUMMYFUNCTION("""COMPUTED_VALUE"""),"Healthcare")</f>
        <v>Healthcare</v>
      </c>
      <c r="L102" s="6" t="str">
        <f>IFERROR(__xludf.DUMMYFUNCTION("""COMPUTED_VALUE"""),"Pharmaceuticals &amp; Biotechnology")</f>
        <v>Pharmaceuticals &amp; Biotechnology</v>
      </c>
      <c r="M102" s="6" t="str">
        <f>IFERROR(__xludf.DUMMYFUNCTION("""COMPUTED_VALUE"""),"Pharmaceuticals")</f>
        <v>Pharmaceuticals</v>
      </c>
      <c r="N102" s="5">
        <f>IFERROR(__xludf.DUMMYFUNCTION("""COMPUTED_VALUE"""),96413.2067628)</f>
        <v>96413.20676</v>
      </c>
      <c r="O102" s="6">
        <f t="shared" si="4"/>
        <v>62</v>
      </c>
      <c r="P102" s="6">
        <f t="shared" ref="P102:Q102" si="206">COUNTIFS(L:L,L102)</f>
        <v>45</v>
      </c>
      <c r="Q102" s="24">
        <f t="shared" si="206"/>
        <v>45</v>
      </c>
      <c r="R102" s="6" t="str">
        <f t="shared" si="6"/>
        <v>Healthcare</v>
      </c>
      <c r="S102" s="6" t="str">
        <f t="shared" si="7"/>
        <v>Healthcare</v>
      </c>
      <c r="T102" s="6">
        <f>IFERROR(__xludf.DUMMYFUNCTION("COUNTA(UNIQUE(query($A$2:$P$800,""select L where K='""&amp; K102&amp;""'"")))"),3.0)</f>
        <v>3</v>
      </c>
      <c r="U102" s="23">
        <f t="shared" si="8"/>
        <v>0.07258064516</v>
      </c>
      <c r="V102" s="23">
        <f t="shared" ref="V102:W102" si="207">P102/O102</f>
        <v>0.7258064516</v>
      </c>
      <c r="W102" s="23">
        <f t="shared" si="207"/>
        <v>1</v>
      </c>
    </row>
    <row r="103">
      <c r="A103" s="6">
        <f>IFERROR(__xludf.DUMMYFUNCTION("""COMPUTED_VALUE"""),500490.0)</f>
        <v>500490</v>
      </c>
      <c r="B103" s="6" t="str">
        <f>IFERROR(__xludf.DUMMYFUNCTION("""COMPUTED_VALUE"""),"Bajaj Holdings &amp; Investment Limited")</f>
        <v>Bajaj Holdings &amp; Investment Limited</v>
      </c>
      <c r="C103" s="6" t="str">
        <f>IFERROR(__xludf.DUMMYFUNCTION("""COMPUTED_VALUE"""),"BAJAJHLDNG")</f>
        <v>BAJAJHLDNG</v>
      </c>
      <c r="D103" s="6" t="str">
        <f>IFERROR(__xludf.DUMMYFUNCTION("""COMPUTED_VALUE"""),"BAJAJ HOLDINGS &amp; INVESTMENT LTD.")</f>
        <v>BAJAJ HOLDINGS &amp; INVESTMENT LTD.</v>
      </c>
      <c r="E103" s="6" t="str">
        <f>IFERROR(__xludf.DUMMYFUNCTION("""COMPUTED_VALUE"""),"Active")</f>
        <v>Active</v>
      </c>
      <c r="F103" s="6" t="str">
        <f>IFERROR(__xludf.DUMMYFUNCTION("""COMPUTED_VALUE"""),"A")</f>
        <v>A</v>
      </c>
      <c r="G103" s="6">
        <f>IFERROR(__xludf.DUMMYFUNCTION("""COMPUTED_VALUE"""),10.0)</f>
        <v>10</v>
      </c>
      <c r="H103" s="6" t="str">
        <f>IFERROR(__xludf.DUMMYFUNCTION("""COMPUTED_VALUE"""),"INE118A01012")</f>
        <v>INE118A01012</v>
      </c>
      <c r="I103" s="6" t="str">
        <f>IFERROR(__xludf.DUMMYFUNCTION("""COMPUTED_VALUE"""),"Equity")</f>
        <v>Equity</v>
      </c>
      <c r="J103" s="6" t="str">
        <f>IFERROR(__xludf.DUMMYFUNCTION("""COMPUTED_VALUE"""),"Financial Services")</f>
        <v>Financial Services</v>
      </c>
      <c r="K103" s="6" t="str">
        <f>IFERROR(__xludf.DUMMYFUNCTION("""COMPUTED_VALUE"""),"Financial Services")</f>
        <v>Financial Services</v>
      </c>
      <c r="L103" s="6" t="str">
        <f>IFERROR(__xludf.DUMMYFUNCTION("""COMPUTED_VALUE"""),"Finance")</f>
        <v>Finance</v>
      </c>
      <c r="M103" s="6" t="str">
        <f>IFERROR(__xludf.DUMMYFUNCTION("""COMPUTED_VALUE"""),"Holding Company")</f>
        <v>Holding Company</v>
      </c>
      <c r="N103" s="5">
        <f>IFERROR(__xludf.DUMMYFUNCTION("""COMPUTED_VALUE"""),96278.81796)</f>
        <v>96278.81796</v>
      </c>
      <c r="O103" s="6">
        <f t="shared" si="4"/>
        <v>123</v>
      </c>
      <c r="P103" s="6">
        <f t="shared" ref="P103:Q103" si="208">COUNTIFS(L:L,L103)</f>
        <v>56</v>
      </c>
      <c r="Q103" s="24">
        <f t="shared" si="208"/>
        <v>8</v>
      </c>
      <c r="R103" s="6" t="str">
        <f t="shared" si="6"/>
        <v>Finance</v>
      </c>
      <c r="S103" s="6" t="str">
        <f t="shared" si="7"/>
        <v>Finance</v>
      </c>
      <c r="T103" s="6">
        <f>IFERROR(__xludf.DUMMYFUNCTION("COUNTA(UNIQUE(query($A$2:$P$800,""select L where K='""&amp; K103&amp;""'"")))"),5.0)</f>
        <v>5</v>
      </c>
      <c r="U103" s="23">
        <f t="shared" si="8"/>
        <v>0.06097560976</v>
      </c>
      <c r="V103" s="23">
        <f t="shared" ref="V103:W103" si="209">P103/O103</f>
        <v>0.4552845528</v>
      </c>
      <c r="W103" s="23">
        <f t="shared" si="209"/>
        <v>0.1428571429</v>
      </c>
    </row>
    <row r="104">
      <c r="A104" s="6">
        <f>IFERROR(__xludf.DUMMYFUNCTION("""COMPUTED_VALUE"""),532432.0)</f>
        <v>532432</v>
      </c>
      <c r="B104" s="6" t="str">
        <f>IFERROR(__xludf.DUMMYFUNCTION("""COMPUTED_VALUE"""),"United Spirits Limited")</f>
        <v>United Spirits Limited</v>
      </c>
      <c r="C104" s="6" t="str">
        <f>IFERROR(__xludf.DUMMYFUNCTION("""COMPUTED_VALUE"""),"UNITDSPR")</f>
        <v>UNITDSPR</v>
      </c>
      <c r="D104" s="6" t="str">
        <f>IFERROR(__xludf.DUMMYFUNCTION("""COMPUTED_VALUE"""),"UNITED SPIRITS LTD.")</f>
        <v>UNITED SPIRITS LTD.</v>
      </c>
      <c r="E104" s="6" t="str">
        <f>IFERROR(__xludf.DUMMYFUNCTION("""COMPUTED_VALUE"""),"Active")</f>
        <v>Active</v>
      </c>
      <c r="F104" s="6" t="str">
        <f>IFERROR(__xludf.DUMMYFUNCTION("""COMPUTED_VALUE"""),"A")</f>
        <v>A</v>
      </c>
      <c r="G104" s="6">
        <f>IFERROR(__xludf.DUMMYFUNCTION("""COMPUTED_VALUE"""),2.0)</f>
        <v>2</v>
      </c>
      <c r="H104" s="6" t="str">
        <f>IFERROR(__xludf.DUMMYFUNCTION("""COMPUTED_VALUE"""),"INE854D01024")</f>
        <v>INE854D01024</v>
      </c>
      <c r="I104" s="6" t="str">
        <f>IFERROR(__xludf.DUMMYFUNCTION("""COMPUTED_VALUE"""),"Equity")</f>
        <v>Equity</v>
      </c>
      <c r="J104" s="6" t="str">
        <f>IFERROR(__xludf.DUMMYFUNCTION("""COMPUTED_VALUE"""),"Fast Moving Consumer Goods")</f>
        <v>Fast Moving Consumer Goods</v>
      </c>
      <c r="K104" s="6" t="str">
        <f>IFERROR(__xludf.DUMMYFUNCTION("""COMPUTED_VALUE"""),"Fast Moving Consumer Goods")</f>
        <v>Fast Moving Consumer Goods</v>
      </c>
      <c r="L104" s="6" t="str">
        <f>IFERROR(__xludf.DUMMYFUNCTION("""COMPUTED_VALUE"""),"Beverages")</f>
        <v>Beverages</v>
      </c>
      <c r="M104" s="6" t="str">
        <f>IFERROR(__xludf.DUMMYFUNCTION("""COMPUTED_VALUE"""),"Breweries &amp; Distilleries")</f>
        <v>Breweries &amp; Distilleries</v>
      </c>
      <c r="N104" s="5">
        <f>IFERROR(__xludf.DUMMYFUNCTION("""COMPUTED_VALUE"""),93953.83053)</f>
        <v>93953.83053</v>
      </c>
      <c r="O104" s="6">
        <f t="shared" si="4"/>
        <v>44</v>
      </c>
      <c r="P104" s="6">
        <f t="shared" ref="P104:Q104" si="210">COUNTIFS(L:L,L104)</f>
        <v>5</v>
      </c>
      <c r="Q104" s="24">
        <f t="shared" si="210"/>
        <v>4</v>
      </c>
      <c r="R104" s="6" t="str">
        <f t="shared" si="6"/>
        <v>Fast Moving Consumer Goods</v>
      </c>
      <c r="S104" s="6" t="str">
        <f t="shared" si="7"/>
        <v>Fast Moving Consumer Goods</v>
      </c>
      <c r="T104" s="6">
        <f>IFERROR(__xludf.DUMMYFUNCTION("COUNTA(UNIQUE(query($A$2:$P$800,""select L where K='""&amp; K104&amp;""'"")))"),7.0)</f>
        <v>7</v>
      </c>
      <c r="U104" s="23">
        <f t="shared" si="8"/>
        <v>0.2386363636</v>
      </c>
      <c r="V104" s="23">
        <f t="shared" ref="V104:W104" si="211">P104/O104</f>
        <v>0.1136363636</v>
      </c>
      <c r="W104" s="23">
        <f t="shared" si="211"/>
        <v>0.8</v>
      </c>
    </row>
    <row r="105">
      <c r="A105" s="6">
        <f>IFERROR(__xludf.DUMMYFUNCTION("""COMPUTED_VALUE"""),533150.0)</f>
        <v>533150</v>
      </c>
      <c r="B105" s="6" t="str">
        <f>IFERROR(__xludf.DUMMYFUNCTION("""COMPUTED_VALUE"""),"Godrej Properties Limited")</f>
        <v>Godrej Properties Limited</v>
      </c>
      <c r="C105" s="6" t="str">
        <f>IFERROR(__xludf.DUMMYFUNCTION("""COMPUTED_VALUE"""),"GODREJPROP")</f>
        <v>GODREJPROP</v>
      </c>
      <c r="D105" s="6" t="str">
        <f>IFERROR(__xludf.DUMMYFUNCTION("""COMPUTED_VALUE"""),"Godrej Properties Ltd")</f>
        <v>Godrej Properties Ltd</v>
      </c>
      <c r="E105" s="6" t="str">
        <f>IFERROR(__xludf.DUMMYFUNCTION("""COMPUTED_VALUE"""),"Active")</f>
        <v>Active</v>
      </c>
      <c r="F105" s="6" t="str">
        <f>IFERROR(__xludf.DUMMYFUNCTION("""COMPUTED_VALUE"""),"A")</f>
        <v>A</v>
      </c>
      <c r="G105" s="6">
        <f>IFERROR(__xludf.DUMMYFUNCTION("""COMPUTED_VALUE"""),5.0)</f>
        <v>5</v>
      </c>
      <c r="H105" s="6" t="str">
        <f>IFERROR(__xludf.DUMMYFUNCTION("""COMPUTED_VALUE"""),"INE484J01027")</f>
        <v>INE484J01027</v>
      </c>
      <c r="I105" s="6" t="str">
        <f>IFERROR(__xludf.DUMMYFUNCTION("""COMPUTED_VALUE"""),"Equity")</f>
        <v>Equity</v>
      </c>
      <c r="J105" s="6" t="str">
        <f>IFERROR(__xludf.DUMMYFUNCTION("""COMPUTED_VALUE"""),"Consumer Discretionary")</f>
        <v>Consumer Discretionary</v>
      </c>
      <c r="K105" s="6" t="str">
        <f>IFERROR(__xludf.DUMMYFUNCTION("""COMPUTED_VALUE"""),"Realty")</f>
        <v>Realty</v>
      </c>
      <c r="L105" s="6" t="str">
        <f>IFERROR(__xludf.DUMMYFUNCTION("""COMPUTED_VALUE"""),"Realty")</f>
        <v>Realty</v>
      </c>
      <c r="M105" s="6" t="str">
        <f>IFERROR(__xludf.DUMMYFUNCTION("""COMPUTED_VALUE"""),"Residential, Commercial Projects")</f>
        <v>Residential, Commercial Projects</v>
      </c>
      <c r="N105" s="5">
        <f>IFERROR(__xludf.DUMMYFUNCTION("""COMPUTED_VALUE"""),93903.6945404)</f>
        <v>93903.69454</v>
      </c>
      <c r="O105" s="6">
        <f t="shared" si="4"/>
        <v>20</v>
      </c>
      <c r="P105" s="6">
        <f t="shared" ref="P105:Q105" si="212">COUNTIFS(L:L,L105)</f>
        <v>20</v>
      </c>
      <c r="Q105" s="24">
        <f t="shared" si="212"/>
        <v>20</v>
      </c>
      <c r="R105" s="6" t="str">
        <f t="shared" si="6"/>
        <v>Realty</v>
      </c>
      <c r="S105" s="6" t="str">
        <f t="shared" si="7"/>
        <v>Realty</v>
      </c>
      <c r="T105" s="6">
        <f>IFERROR(__xludf.DUMMYFUNCTION("COUNTA(UNIQUE(query($A$2:$P$800,""select L where K='""&amp; K105&amp;""'"")))"),1.0)</f>
        <v>1</v>
      </c>
      <c r="U105" s="23">
        <f t="shared" si="8"/>
        <v>0.075</v>
      </c>
      <c r="V105" s="23">
        <f t="shared" ref="V105:W105" si="213">P105/O105</f>
        <v>1</v>
      </c>
      <c r="W105" s="23">
        <f t="shared" si="213"/>
        <v>1</v>
      </c>
    </row>
    <row r="106">
      <c r="A106" s="6">
        <f>IFERROR(__xludf.DUMMYFUNCTION("""COMPUTED_VALUE"""),500116.0)</f>
        <v>500116</v>
      </c>
      <c r="B106" s="6" t="str">
        <f>IFERROR(__xludf.DUMMYFUNCTION("""COMPUTED_VALUE"""),"IDBI Bank Ltd")</f>
        <v>IDBI Bank Ltd</v>
      </c>
      <c r="C106" s="6" t="str">
        <f>IFERROR(__xludf.DUMMYFUNCTION("""COMPUTED_VALUE"""),"IDBI")</f>
        <v>IDBI</v>
      </c>
      <c r="D106" s="6" t="str">
        <f>IFERROR(__xludf.DUMMYFUNCTION("""COMPUTED_VALUE"""),"IDBI BANK LTD.")</f>
        <v>IDBI BANK LTD.</v>
      </c>
      <c r="E106" s="6" t="str">
        <f>IFERROR(__xludf.DUMMYFUNCTION("""COMPUTED_VALUE"""),"Active")</f>
        <v>Active</v>
      </c>
      <c r="F106" s="6" t="str">
        <f>IFERROR(__xludf.DUMMYFUNCTION("""COMPUTED_VALUE"""),"A")</f>
        <v>A</v>
      </c>
      <c r="G106" s="6">
        <f>IFERROR(__xludf.DUMMYFUNCTION("""COMPUTED_VALUE"""),10.0)</f>
        <v>10</v>
      </c>
      <c r="H106" s="6" t="str">
        <f>IFERROR(__xludf.DUMMYFUNCTION("""COMPUTED_VALUE"""),"INE008A01015")</f>
        <v>INE008A01015</v>
      </c>
      <c r="I106" s="6" t="str">
        <f>IFERROR(__xludf.DUMMYFUNCTION("""COMPUTED_VALUE"""),"Equity")</f>
        <v>Equity</v>
      </c>
      <c r="J106" s="6" t="str">
        <f>IFERROR(__xludf.DUMMYFUNCTION("""COMPUTED_VALUE"""),"Financial Services")</f>
        <v>Financial Services</v>
      </c>
      <c r="K106" s="6" t="str">
        <f>IFERROR(__xludf.DUMMYFUNCTION("""COMPUTED_VALUE"""),"Financial Services")</f>
        <v>Financial Services</v>
      </c>
      <c r="L106" s="6" t="str">
        <f>IFERROR(__xludf.DUMMYFUNCTION("""COMPUTED_VALUE"""),"Banks")</f>
        <v>Banks</v>
      </c>
      <c r="M106" s="6" t="str">
        <f>IFERROR(__xludf.DUMMYFUNCTION("""COMPUTED_VALUE"""),"Private Sector Bank")</f>
        <v>Private Sector Bank</v>
      </c>
      <c r="N106" s="5">
        <f>IFERROR(__xludf.DUMMYFUNCTION("""COMPUTED_VALUE"""),90041.961465)</f>
        <v>90041.96147</v>
      </c>
      <c r="O106" s="6">
        <f t="shared" si="4"/>
        <v>123</v>
      </c>
      <c r="P106" s="6">
        <f t="shared" ref="P106:Q106" si="214">COUNTIFS(L:L,L106)</f>
        <v>35</v>
      </c>
      <c r="Q106" s="24">
        <f t="shared" si="214"/>
        <v>23</v>
      </c>
      <c r="R106" s="6" t="str">
        <f t="shared" si="6"/>
        <v>Banks</v>
      </c>
      <c r="S106" s="6" t="str">
        <f t="shared" si="7"/>
        <v>Banks</v>
      </c>
      <c r="T106" s="6">
        <f>IFERROR(__xludf.DUMMYFUNCTION("COUNTA(UNIQUE(query($A$2:$P$800,""select L where K='""&amp; K106&amp;""'"")))"),5.0)</f>
        <v>5</v>
      </c>
      <c r="U106" s="23">
        <f t="shared" si="8"/>
        <v>0.06097560976</v>
      </c>
      <c r="V106" s="23">
        <f t="shared" ref="V106:W106" si="215">P106/O106</f>
        <v>0.2845528455</v>
      </c>
      <c r="W106" s="23">
        <f t="shared" si="215"/>
        <v>0.6571428571</v>
      </c>
    </row>
    <row r="107">
      <c r="A107" s="6">
        <f>IFERROR(__xludf.DUMMYFUNCTION("""COMPUTED_VALUE"""),540716.0)</f>
        <v>540716</v>
      </c>
      <c r="B107" s="6" t="str">
        <f>IFERROR(__xludf.DUMMYFUNCTION("""COMPUTED_VALUE"""),"ICICI Lombard General Insurance Company Limited")</f>
        <v>ICICI Lombard General Insurance Company Limited</v>
      </c>
      <c r="C107" s="6" t="str">
        <f>IFERROR(__xludf.DUMMYFUNCTION("""COMPUTED_VALUE"""),"ICICIGI")</f>
        <v>ICICIGI</v>
      </c>
      <c r="D107" s="6" t="str">
        <f>IFERROR(__xludf.DUMMYFUNCTION("""COMPUTED_VALUE"""),"ICICI Lombard General Insurance Company Ltd")</f>
        <v>ICICI Lombard General Insurance Company Ltd</v>
      </c>
      <c r="E107" s="6" t="str">
        <f>IFERROR(__xludf.DUMMYFUNCTION("""COMPUTED_VALUE"""),"Active")</f>
        <v>Active</v>
      </c>
      <c r="F107" s="6" t="str">
        <f>IFERROR(__xludf.DUMMYFUNCTION("""COMPUTED_VALUE"""),"A")</f>
        <v>A</v>
      </c>
      <c r="G107" s="6">
        <f>IFERROR(__xludf.DUMMYFUNCTION("""COMPUTED_VALUE"""),10.0)</f>
        <v>10</v>
      </c>
      <c r="H107" s="6" t="str">
        <f>IFERROR(__xludf.DUMMYFUNCTION("""COMPUTED_VALUE"""),"INE765G01017")</f>
        <v>INE765G01017</v>
      </c>
      <c r="I107" s="6" t="str">
        <f>IFERROR(__xludf.DUMMYFUNCTION("""COMPUTED_VALUE"""),"Equity")</f>
        <v>Equity</v>
      </c>
      <c r="J107" s="6" t="str">
        <f>IFERROR(__xludf.DUMMYFUNCTION("""COMPUTED_VALUE"""),"Financial Services")</f>
        <v>Financial Services</v>
      </c>
      <c r="K107" s="6" t="str">
        <f>IFERROR(__xludf.DUMMYFUNCTION("""COMPUTED_VALUE"""),"Financial Services")</f>
        <v>Financial Services</v>
      </c>
      <c r="L107" s="6" t="str">
        <f>IFERROR(__xludf.DUMMYFUNCTION("""COMPUTED_VALUE"""),"Insurance")</f>
        <v>Insurance</v>
      </c>
      <c r="M107" s="6" t="str">
        <f>IFERROR(__xludf.DUMMYFUNCTION("""COMPUTED_VALUE"""),"General Insurance")</f>
        <v>General Insurance</v>
      </c>
      <c r="N107" s="5">
        <f>IFERROR(__xludf.DUMMYFUNCTION("""COMPUTED_VALUE"""),89900.7743215)</f>
        <v>89900.77432</v>
      </c>
      <c r="O107" s="6">
        <f t="shared" si="4"/>
        <v>123</v>
      </c>
      <c r="P107" s="6">
        <f t="shared" ref="P107:Q107" si="216">COUNTIFS(L:L,L107)</f>
        <v>10</v>
      </c>
      <c r="Q107" s="24">
        <f t="shared" si="216"/>
        <v>5</v>
      </c>
      <c r="R107" s="6" t="str">
        <f t="shared" si="6"/>
        <v>Financial Services</v>
      </c>
      <c r="S107" s="6" t="str">
        <f t="shared" si="7"/>
        <v>Financial Services</v>
      </c>
      <c r="T107" s="6">
        <f>IFERROR(__xludf.DUMMYFUNCTION("COUNTA(UNIQUE(query($A$2:$P$800,""select L where K='""&amp; K107&amp;""'"")))"),5.0)</f>
        <v>5</v>
      </c>
      <c r="U107" s="23">
        <f t="shared" si="8"/>
        <v>0.06097560976</v>
      </c>
      <c r="V107" s="23">
        <f t="shared" ref="V107:W107" si="217">P107/O107</f>
        <v>0.08130081301</v>
      </c>
      <c r="W107" s="23">
        <f t="shared" si="217"/>
        <v>0.5</v>
      </c>
    </row>
    <row r="108">
      <c r="A108" s="6">
        <f>IFERROR(__xludf.DUMMYFUNCTION("""COMPUTED_VALUE"""),508869.0)</f>
        <v>508869</v>
      </c>
      <c r="B108" s="6" t="str">
        <f>IFERROR(__xludf.DUMMYFUNCTION("""COMPUTED_VALUE"""),"Apollo Hospitals Enterprises Ltd.")</f>
        <v>Apollo Hospitals Enterprises Ltd.</v>
      </c>
      <c r="C108" s="6" t="str">
        <f>IFERROR(__xludf.DUMMYFUNCTION("""COMPUTED_VALUE"""),"APOLLOHOSP")</f>
        <v>APOLLOHOSP</v>
      </c>
      <c r="D108" s="6" t="str">
        <f>IFERROR(__xludf.DUMMYFUNCTION("""COMPUTED_VALUE"""),"APOLLO HOSPITALS ENTERPRISE LTD.")</f>
        <v>APOLLO HOSPITALS ENTERPRISE LTD.</v>
      </c>
      <c r="E108" s="6" t="str">
        <f>IFERROR(__xludf.DUMMYFUNCTION("""COMPUTED_VALUE"""),"Active")</f>
        <v>Active</v>
      </c>
      <c r="F108" s="6" t="str">
        <f>IFERROR(__xludf.DUMMYFUNCTION("""COMPUTED_VALUE"""),"A")</f>
        <v>A</v>
      </c>
      <c r="G108" s="6">
        <f>IFERROR(__xludf.DUMMYFUNCTION("""COMPUTED_VALUE"""),5.0)</f>
        <v>5</v>
      </c>
      <c r="H108" s="6" t="str">
        <f>IFERROR(__xludf.DUMMYFUNCTION("""COMPUTED_VALUE"""),"INE437A01024")</f>
        <v>INE437A01024</v>
      </c>
      <c r="I108" s="6" t="str">
        <f>IFERROR(__xludf.DUMMYFUNCTION("""COMPUTED_VALUE"""),"Equity")</f>
        <v>Equity</v>
      </c>
      <c r="J108" s="6" t="str">
        <f>IFERROR(__xludf.DUMMYFUNCTION("""COMPUTED_VALUE"""),"Healthcare")</f>
        <v>Healthcare</v>
      </c>
      <c r="K108" s="6" t="str">
        <f>IFERROR(__xludf.DUMMYFUNCTION("""COMPUTED_VALUE"""),"Healthcare")</f>
        <v>Healthcare</v>
      </c>
      <c r="L108" s="6" t="str">
        <f>IFERROR(__xludf.DUMMYFUNCTION("""COMPUTED_VALUE"""),"Healthcare Services")</f>
        <v>Healthcare Services</v>
      </c>
      <c r="M108" s="6" t="str">
        <f>IFERROR(__xludf.DUMMYFUNCTION("""COMPUTED_VALUE"""),"Hospital")</f>
        <v>Hospital</v>
      </c>
      <c r="N108" s="5">
        <f>IFERROR(__xludf.DUMMYFUNCTION("""COMPUTED_VALUE"""),88933.602)</f>
        <v>88933.602</v>
      </c>
      <c r="O108" s="6">
        <f t="shared" si="4"/>
        <v>62</v>
      </c>
      <c r="P108" s="6">
        <f t="shared" ref="P108:Q108" si="218">COUNTIFS(L:L,L108)</f>
        <v>16</v>
      </c>
      <c r="Q108" s="24">
        <f t="shared" si="218"/>
        <v>11</v>
      </c>
      <c r="R108" s="6" t="str">
        <f t="shared" si="6"/>
        <v>Healthcare Services</v>
      </c>
      <c r="S108" s="6" t="str">
        <f t="shared" si="7"/>
        <v>Healthcare Services</v>
      </c>
      <c r="T108" s="6">
        <f>IFERROR(__xludf.DUMMYFUNCTION("COUNTA(UNIQUE(query($A$2:$P$800,""select L where K='""&amp; K108&amp;""'"")))"),3.0)</f>
        <v>3</v>
      </c>
      <c r="U108" s="23">
        <f t="shared" si="8"/>
        <v>0.07258064516</v>
      </c>
      <c r="V108" s="23">
        <f t="shared" ref="V108:W108" si="219">P108/O108</f>
        <v>0.2580645161</v>
      </c>
      <c r="W108" s="23">
        <f t="shared" si="219"/>
        <v>0.6875</v>
      </c>
    </row>
    <row r="109">
      <c r="A109" s="6">
        <f>IFERROR(__xludf.DUMMYFUNCTION("""COMPUTED_VALUE"""),540133.0)</f>
        <v>540133</v>
      </c>
      <c r="B109" s="6" t="str">
        <f>IFERROR(__xludf.DUMMYFUNCTION("""COMPUTED_VALUE"""),"ICICI Prudential Life Insurance Company Limited")</f>
        <v>ICICI Prudential Life Insurance Company Limited</v>
      </c>
      <c r="C109" s="6" t="str">
        <f>IFERROR(__xludf.DUMMYFUNCTION("""COMPUTED_VALUE"""),"ICICIPRULI")</f>
        <v>ICICIPRULI</v>
      </c>
      <c r="D109" s="6" t="str">
        <f>IFERROR(__xludf.DUMMYFUNCTION("""COMPUTED_VALUE"""),"ICICI Prudential Life Insurance Company Ltd")</f>
        <v>ICICI Prudential Life Insurance Company Ltd</v>
      </c>
      <c r="E109" s="6" t="str">
        <f>IFERROR(__xludf.DUMMYFUNCTION("""COMPUTED_VALUE"""),"Active")</f>
        <v>Active</v>
      </c>
      <c r="F109" s="6" t="str">
        <f>IFERROR(__xludf.DUMMYFUNCTION("""COMPUTED_VALUE"""),"A")</f>
        <v>A</v>
      </c>
      <c r="G109" s="6">
        <f>IFERROR(__xludf.DUMMYFUNCTION("""COMPUTED_VALUE"""),10.0)</f>
        <v>10</v>
      </c>
      <c r="H109" s="6" t="str">
        <f>IFERROR(__xludf.DUMMYFUNCTION("""COMPUTED_VALUE"""),"INE726G01019")</f>
        <v>INE726G01019</v>
      </c>
      <c r="I109" s="6" t="str">
        <f>IFERROR(__xludf.DUMMYFUNCTION("""COMPUTED_VALUE"""),"Equity")</f>
        <v>Equity</v>
      </c>
      <c r="J109" s="6" t="str">
        <f>IFERROR(__xludf.DUMMYFUNCTION("""COMPUTED_VALUE"""),"Financial Services")</f>
        <v>Financial Services</v>
      </c>
      <c r="K109" s="6" t="str">
        <f>IFERROR(__xludf.DUMMYFUNCTION("""COMPUTED_VALUE"""),"Financial Services")</f>
        <v>Financial Services</v>
      </c>
      <c r="L109" s="6" t="str">
        <f>IFERROR(__xludf.DUMMYFUNCTION("""COMPUTED_VALUE"""),"Insurance")</f>
        <v>Insurance</v>
      </c>
      <c r="M109" s="6" t="str">
        <f>IFERROR(__xludf.DUMMYFUNCTION("""COMPUTED_VALUE"""),"Life Insurance")</f>
        <v>Life Insurance</v>
      </c>
      <c r="N109" s="5">
        <f>IFERROR(__xludf.DUMMYFUNCTION("""COMPUTED_VALUE"""),87874.27925)</f>
        <v>87874.27925</v>
      </c>
      <c r="O109" s="6">
        <f t="shared" si="4"/>
        <v>123</v>
      </c>
      <c r="P109" s="6">
        <f t="shared" ref="P109:Q109" si="220">COUNTIFS(L:L,L109)</f>
        <v>10</v>
      </c>
      <c r="Q109" s="24">
        <f t="shared" si="220"/>
        <v>5</v>
      </c>
      <c r="R109" s="6" t="str">
        <f t="shared" si="6"/>
        <v>Financial Services</v>
      </c>
      <c r="S109" s="6" t="str">
        <f t="shared" si="7"/>
        <v>Financial Services</v>
      </c>
      <c r="T109" s="6">
        <f>IFERROR(__xludf.DUMMYFUNCTION("COUNTA(UNIQUE(query($A$2:$P$800,""select L where K='""&amp; K109&amp;""'"")))"),5.0)</f>
        <v>5</v>
      </c>
      <c r="U109" s="23">
        <f t="shared" si="8"/>
        <v>0.06097560976</v>
      </c>
      <c r="V109" s="23">
        <f t="shared" ref="V109:W109" si="221">P109/O109</f>
        <v>0.08130081301</v>
      </c>
      <c r="W109" s="23">
        <f t="shared" si="221"/>
        <v>0.5</v>
      </c>
    </row>
    <row r="110">
      <c r="A110" s="6">
        <f>IFERROR(__xludf.DUMMYFUNCTION("""COMPUTED_VALUE"""),543220.0)</f>
        <v>543220</v>
      </c>
      <c r="B110" s="6" t="str">
        <f>IFERROR(__xludf.DUMMYFUNCTION("""COMPUTED_VALUE"""),"Max Healthcare Institute Limited")</f>
        <v>Max Healthcare Institute Limited</v>
      </c>
      <c r="C110" s="6" t="str">
        <f>IFERROR(__xludf.DUMMYFUNCTION("""COMPUTED_VALUE"""),"MAXHEALTH")</f>
        <v>MAXHEALTH</v>
      </c>
      <c r="D110" s="6" t="str">
        <f>IFERROR(__xludf.DUMMYFUNCTION("""COMPUTED_VALUE"""),"Max Healthcare Institute Ltd")</f>
        <v>Max Healthcare Institute Ltd</v>
      </c>
      <c r="E110" s="6" t="str">
        <f>IFERROR(__xludf.DUMMYFUNCTION("""COMPUTED_VALUE"""),"Active")</f>
        <v>Active</v>
      </c>
      <c r="F110" s="6" t="str">
        <f>IFERROR(__xludf.DUMMYFUNCTION("""COMPUTED_VALUE"""),"A")</f>
        <v>A</v>
      </c>
      <c r="G110" s="6">
        <f>IFERROR(__xludf.DUMMYFUNCTION("""COMPUTED_VALUE"""),10.0)</f>
        <v>10</v>
      </c>
      <c r="H110" s="6" t="str">
        <f>IFERROR(__xludf.DUMMYFUNCTION("""COMPUTED_VALUE"""),"INE027H01010")</f>
        <v>INE027H01010</v>
      </c>
      <c r="I110" s="6" t="str">
        <f>IFERROR(__xludf.DUMMYFUNCTION("""COMPUTED_VALUE"""),"Equity")</f>
        <v>Equity</v>
      </c>
      <c r="J110" s="6" t="str">
        <f>IFERROR(__xludf.DUMMYFUNCTION("""COMPUTED_VALUE"""),"Healthcare")</f>
        <v>Healthcare</v>
      </c>
      <c r="K110" s="6" t="str">
        <f>IFERROR(__xludf.DUMMYFUNCTION("""COMPUTED_VALUE"""),"Healthcare")</f>
        <v>Healthcare</v>
      </c>
      <c r="L110" s="6" t="str">
        <f>IFERROR(__xludf.DUMMYFUNCTION("""COMPUTED_VALUE"""),"Healthcare Services")</f>
        <v>Healthcare Services</v>
      </c>
      <c r="M110" s="6" t="str">
        <f>IFERROR(__xludf.DUMMYFUNCTION("""COMPUTED_VALUE"""),"Hospital")</f>
        <v>Hospital</v>
      </c>
      <c r="N110" s="5">
        <f>IFERROR(__xludf.DUMMYFUNCTION("""COMPUTED_VALUE"""),87596.9098923)</f>
        <v>87596.90989</v>
      </c>
      <c r="O110" s="6">
        <f t="shared" si="4"/>
        <v>62</v>
      </c>
      <c r="P110" s="6">
        <f t="shared" ref="P110:Q110" si="222">COUNTIFS(L:L,L110)</f>
        <v>16</v>
      </c>
      <c r="Q110" s="24">
        <f t="shared" si="222"/>
        <v>11</v>
      </c>
      <c r="R110" s="6" t="str">
        <f t="shared" si="6"/>
        <v>Healthcare Services</v>
      </c>
      <c r="S110" s="6" t="str">
        <f t="shared" si="7"/>
        <v>Healthcare Services</v>
      </c>
      <c r="T110" s="6">
        <f>IFERROR(__xludf.DUMMYFUNCTION("COUNTA(UNIQUE(query($A$2:$P$800,""select L where K='""&amp; K110&amp;""'"")))"),3.0)</f>
        <v>3</v>
      </c>
      <c r="U110" s="23">
        <f t="shared" si="8"/>
        <v>0.07258064516</v>
      </c>
      <c r="V110" s="23">
        <f t="shared" ref="V110:W110" si="223">P110/O110</f>
        <v>0.2580645161</v>
      </c>
      <c r="W110" s="23">
        <f t="shared" si="223"/>
        <v>0.6875</v>
      </c>
    </row>
    <row r="111">
      <c r="A111" s="6">
        <f>IFERROR(__xludf.DUMMYFUNCTION("""COMPUTED_VALUE"""),500850.0)</f>
        <v>500850</v>
      </c>
      <c r="B111" s="6" t="str">
        <f>IFERROR(__xludf.DUMMYFUNCTION("""COMPUTED_VALUE"""),"Indian Hotels Co. Ltd")</f>
        <v>Indian Hotels Co. Ltd</v>
      </c>
      <c r="C111" s="6" t="str">
        <f>IFERROR(__xludf.DUMMYFUNCTION("""COMPUTED_VALUE"""),"INDHOTEL")</f>
        <v>INDHOTEL</v>
      </c>
      <c r="D111" s="6" t="str">
        <f>IFERROR(__xludf.DUMMYFUNCTION("""COMPUTED_VALUE"""),"INDIAN HOTELS CO.LTD.")</f>
        <v>INDIAN HOTELS CO.LTD.</v>
      </c>
      <c r="E111" s="6" t="str">
        <f>IFERROR(__xludf.DUMMYFUNCTION("""COMPUTED_VALUE"""),"Active")</f>
        <v>Active</v>
      </c>
      <c r="F111" s="6" t="str">
        <f>IFERROR(__xludf.DUMMYFUNCTION("""COMPUTED_VALUE"""),"A")</f>
        <v>A</v>
      </c>
      <c r="G111" s="6">
        <f>IFERROR(__xludf.DUMMYFUNCTION("""COMPUTED_VALUE"""),1.0)</f>
        <v>1</v>
      </c>
      <c r="H111" s="6" t="str">
        <f>IFERROR(__xludf.DUMMYFUNCTION("""COMPUTED_VALUE"""),"INE053A01029")</f>
        <v>INE053A01029</v>
      </c>
      <c r="I111" s="6" t="str">
        <f>IFERROR(__xludf.DUMMYFUNCTION("""COMPUTED_VALUE"""),"Equity")</f>
        <v>Equity</v>
      </c>
      <c r="J111" s="6" t="str">
        <f>IFERROR(__xludf.DUMMYFUNCTION("""COMPUTED_VALUE"""),"Consumer Discretionary")</f>
        <v>Consumer Discretionary</v>
      </c>
      <c r="K111" s="6" t="str">
        <f>IFERROR(__xludf.DUMMYFUNCTION("""COMPUTED_VALUE"""),"Consumer Services")</f>
        <v>Consumer Services</v>
      </c>
      <c r="L111" s="6" t="str">
        <f>IFERROR(__xludf.DUMMYFUNCTION("""COMPUTED_VALUE"""),"Leisure Services")</f>
        <v>Leisure Services</v>
      </c>
      <c r="M111" s="6" t="str">
        <f>IFERROR(__xludf.DUMMYFUNCTION("""COMPUTED_VALUE"""),"Hotels &amp; Resorts")</f>
        <v>Hotels &amp; Resorts</v>
      </c>
      <c r="N111" s="5">
        <f>IFERROR(__xludf.DUMMYFUNCTION("""COMPUTED_VALUE"""),87553.3615)</f>
        <v>87553.3615</v>
      </c>
      <c r="O111" s="6">
        <f t="shared" si="4"/>
        <v>37</v>
      </c>
      <c r="P111" s="6">
        <f t="shared" ref="P111:Q111" si="224">COUNTIFS(L:L,L111)</f>
        <v>18</v>
      </c>
      <c r="Q111" s="24">
        <f t="shared" si="224"/>
        <v>7</v>
      </c>
      <c r="R111" s="6" t="str">
        <f t="shared" si="6"/>
        <v>Leisure Services</v>
      </c>
      <c r="S111" s="6" t="str">
        <f t="shared" si="7"/>
        <v>Leisure Services</v>
      </c>
      <c r="T111" s="6">
        <f>IFERROR(__xludf.DUMMYFUNCTION("COUNTA(UNIQUE(query($A$2:$P$800,""select L where K='""&amp; K111&amp;""'"")))"),3.0)</f>
        <v>3</v>
      </c>
      <c r="U111" s="23">
        <f t="shared" si="8"/>
        <v>0.1216216216</v>
      </c>
      <c r="V111" s="23">
        <f t="shared" ref="V111:W111" si="225">P111/O111</f>
        <v>0.4864864865</v>
      </c>
      <c r="W111" s="23">
        <f t="shared" si="225"/>
        <v>0.3888888889</v>
      </c>
    </row>
    <row r="112">
      <c r="A112" s="6">
        <f>IFERROR(__xludf.DUMMYFUNCTION("""COMPUTED_VALUE"""),542649.0)</f>
        <v>542649</v>
      </c>
      <c r="B112" s="6" t="str">
        <f>IFERROR(__xludf.DUMMYFUNCTION("""COMPUTED_VALUE"""),"Rail Vikas Nigam Limited")</f>
        <v>Rail Vikas Nigam Limited</v>
      </c>
      <c r="C112" s="6" t="str">
        <f>IFERROR(__xludf.DUMMYFUNCTION("""COMPUTED_VALUE"""),"RVNL")</f>
        <v>RVNL</v>
      </c>
      <c r="D112" s="6" t="str">
        <f>IFERROR(__xludf.DUMMYFUNCTION("""COMPUTED_VALUE"""),"Rail Vikas Nigam Ltd")</f>
        <v>Rail Vikas Nigam Ltd</v>
      </c>
      <c r="E112" s="6" t="str">
        <f>IFERROR(__xludf.DUMMYFUNCTION("""COMPUTED_VALUE"""),"Active")</f>
        <v>Active</v>
      </c>
      <c r="F112" s="6" t="str">
        <f>IFERROR(__xludf.DUMMYFUNCTION("""COMPUTED_VALUE"""),"A")</f>
        <v>A</v>
      </c>
      <c r="G112" s="6">
        <f>IFERROR(__xludf.DUMMYFUNCTION("""COMPUTED_VALUE"""),10.0)</f>
        <v>10</v>
      </c>
      <c r="H112" s="6" t="str">
        <f>IFERROR(__xludf.DUMMYFUNCTION("""COMPUTED_VALUE"""),"INE415G01027")</f>
        <v>INE415G01027</v>
      </c>
      <c r="I112" s="6" t="str">
        <f>IFERROR(__xludf.DUMMYFUNCTION("""COMPUTED_VALUE"""),"Equity")</f>
        <v>Equity</v>
      </c>
      <c r="J112" s="6" t="str">
        <f>IFERROR(__xludf.DUMMYFUNCTION("""COMPUTED_VALUE"""),"Industrials")</f>
        <v>Industrials</v>
      </c>
      <c r="K112" s="6" t="str">
        <f>IFERROR(__xludf.DUMMYFUNCTION("""COMPUTED_VALUE"""),"Construction")</f>
        <v>Construction</v>
      </c>
      <c r="L112" s="6" t="str">
        <f>IFERROR(__xludf.DUMMYFUNCTION("""COMPUTED_VALUE"""),"Construction")</f>
        <v>Construction</v>
      </c>
      <c r="M112" s="6" t="str">
        <f>IFERROR(__xludf.DUMMYFUNCTION("""COMPUTED_VALUE"""),"Civil Construction")</f>
        <v>Civil Construction</v>
      </c>
      <c r="N112" s="5">
        <f>IFERROR(__xludf.DUMMYFUNCTION("""COMPUTED_VALUE"""),87333.0249279)</f>
        <v>87333.02493</v>
      </c>
      <c r="O112" s="6">
        <f t="shared" si="4"/>
        <v>27</v>
      </c>
      <c r="P112" s="6">
        <f t="shared" ref="P112:Q112" si="226">COUNTIFS(L:L,L112)</f>
        <v>27</v>
      </c>
      <c r="Q112" s="24">
        <f t="shared" si="226"/>
        <v>27</v>
      </c>
      <c r="R112" s="6" t="str">
        <f t="shared" si="6"/>
        <v>Construction</v>
      </c>
      <c r="S112" s="6" t="str">
        <f t="shared" si="7"/>
        <v>Construction</v>
      </c>
      <c r="T112" s="6">
        <f>IFERROR(__xludf.DUMMYFUNCTION("COUNTA(UNIQUE(query($A$2:$P$800,""select L where K='""&amp; K112&amp;""'"")))"),1.0)</f>
        <v>1</v>
      </c>
      <c r="U112" s="23">
        <f t="shared" si="8"/>
        <v>0.05555555556</v>
      </c>
      <c r="V112" s="23">
        <f t="shared" ref="V112:W112" si="227">P112/O112</f>
        <v>1</v>
      </c>
      <c r="W112" s="23">
        <f t="shared" si="227"/>
        <v>1</v>
      </c>
    </row>
    <row r="113">
      <c r="A113" s="6">
        <f>IFERROR(__xludf.DUMMYFUNCTION("""COMPUTED_VALUE"""),541729.0)</f>
        <v>541729</v>
      </c>
      <c r="B113" s="6" t="str">
        <f>IFERROR(__xludf.DUMMYFUNCTION("""COMPUTED_VALUE"""),"HDFC Asset Management Company Limited")</f>
        <v>HDFC Asset Management Company Limited</v>
      </c>
      <c r="C113" s="6" t="str">
        <f>IFERROR(__xludf.DUMMYFUNCTION("""COMPUTED_VALUE"""),"HDFCAMC")</f>
        <v>HDFCAMC</v>
      </c>
      <c r="D113" s="6" t="str">
        <f>IFERROR(__xludf.DUMMYFUNCTION("""COMPUTED_VALUE"""),"HDFC Asset Management Company Ltd")</f>
        <v>HDFC Asset Management Company Ltd</v>
      </c>
      <c r="E113" s="6" t="str">
        <f>IFERROR(__xludf.DUMMYFUNCTION("""COMPUTED_VALUE"""),"Active")</f>
        <v>Active</v>
      </c>
      <c r="F113" s="6" t="str">
        <f>IFERROR(__xludf.DUMMYFUNCTION("""COMPUTED_VALUE"""),"A")</f>
        <v>A</v>
      </c>
      <c r="G113" s="6">
        <f>IFERROR(__xludf.DUMMYFUNCTION("""COMPUTED_VALUE"""),5.0)</f>
        <v>5</v>
      </c>
      <c r="H113" s="6" t="str">
        <f>IFERROR(__xludf.DUMMYFUNCTION("""COMPUTED_VALUE"""),"INE127D01025")</f>
        <v>INE127D01025</v>
      </c>
      <c r="I113" s="6" t="str">
        <f>IFERROR(__xludf.DUMMYFUNCTION("""COMPUTED_VALUE"""),"Equity")</f>
        <v>Equity</v>
      </c>
      <c r="J113" s="6" t="str">
        <f>IFERROR(__xludf.DUMMYFUNCTION("""COMPUTED_VALUE"""),"Financial Services")</f>
        <v>Financial Services</v>
      </c>
      <c r="K113" s="6" t="str">
        <f>IFERROR(__xludf.DUMMYFUNCTION("""COMPUTED_VALUE"""),"Financial Services")</f>
        <v>Financial Services</v>
      </c>
      <c r="L113" s="6" t="str">
        <f>IFERROR(__xludf.DUMMYFUNCTION("""COMPUTED_VALUE"""),"Capital Markets")</f>
        <v>Capital Markets</v>
      </c>
      <c r="M113" s="6" t="str">
        <f>IFERROR(__xludf.DUMMYFUNCTION("""COMPUTED_VALUE"""),"Asset Management Company")</f>
        <v>Asset Management Company</v>
      </c>
      <c r="N113" s="5">
        <f>IFERROR(__xludf.DUMMYFUNCTION("""COMPUTED_VALUE"""),86663.2438463)</f>
        <v>86663.24385</v>
      </c>
      <c r="O113" s="6">
        <f t="shared" si="4"/>
        <v>123</v>
      </c>
      <c r="P113" s="6">
        <f t="shared" ref="P113:Q113" si="228">COUNTIFS(L:L,L113)</f>
        <v>19</v>
      </c>
      <c r="Q113" s="24">
        <f t="shared" si="228"/>
        <v>4</v>
      </c>
      <c r="R113" s="6" t="str">
        <f t="shared" si="6"/>
        <v>Capital Markets</v>
      </c>
      <c r="S113" s="6" t="str">
        <f t="shared" si="7"/>
        <v>Capital Markets</v>
      </c>
      <c r="T113" s="6">
        <f>IFERROR(__xludf.DUMMYFUNCTION("COUNTA(UNIQUE(query($A$2:$P$800,""select L where K='""&amp; K113&amp;""'"")))"),5.0)</f>
        <v>5</v>
      </c>
      <c r="U113" s="23">
        <f t="shared" si="8"/>
        <v>0.06097560976</v>
      </c>
      <c r="V113" s="23">
        <f t="shared" ref="V113:W113" si="229">P113/O113</f>
        <v>0.1544715447</v>
      </c>
      <c r="W113" s="23">
        <f t="shared" si="229"/>
        <v>0.2105263158</v>
      </c>
    </row>
    <row r="114">
      <c r="A114" s="6">
        <f>IFERROR(__xludf.DUMMYFUNCTION("""COMPUTED_VALUE"""),532466.0)</f>
        <v>532466</v>
      </c>
      <c r="B114" s="6" t="str">
        <f>IFERROR(__xludf.DUMMYFUNCTION("""COMPUTED_VALUE"""),"Oracle Financial Services Software Limited")</f>
        <v>Oracle Financial Services Software Limited</v>
      </c>
      <c r="C114" s="6" t="str">
        <f>IFERROR(__xludf.DUMMYFUNCTION("""COMPUTED_VALUE"""),"OFSS")</f>
        <v>OFSS</v>
      </c>
      <c r="D114" s="6" t="str">
        <f>IFERROR(__xludf.DUMMYFUNCTION("""COMPUTED_VALUE"""),"ORACLE FINANCIAL SERVICES SOFTWARE LTD.")</f>
        <v>ORACLE FINANCIAL SERVICES SOFTWARE LTD.</v>
      </c>
      <c r="E114" s="6" t="str">
        <f>IFERROR(__xludf.DUMMYFUNCTION("""COMPUTED_VALUE"""),"Active")</f>
        <v>Active</v>
      </c>
      <c r="F114" s="6" t="str">
        <f>IFERROR(__xludf.DUMMYFUNCTION("""COMPUTED_VALUE"""),"A")</f>
        <v>A</v>
      </c>
      <c r="G114" s="6">
        <f>IFERROR(__xludf.DUMMYFUNCTION("""COMPUTED_VALUE"""),5.0)</f>
        <v>5</v>
      </c>
      <c r="H114" s="6" t="str">
        <f>IFERROR(__xludf.DUMMYFUNCTION("""COMPUTED_VALUE"""),"INE881D01027")</f>
        <v>INE881D01027</v>
      </c>
      <c r="I114" s="6" t="str">
        <f>IFERROR(__xludf.DUMMYFUNCTION("""COMPUTED_VALUE"""),"Equity")</f>
        <v>Equity</v>
      </c>
      <c r="J114" s="6" t="str">
        <f>IFERROR(__xludf.DUMMYFUNCTION("""COMPUTED_VALUE"""),"Information Technology")</f>
        <v>Information Technology</v>
      </c>
      <c r="K114" s="6" t="str">
        <f>IFERROR(__xludf.DUMMYFUNCTION("""COMPUTED_VALUE"""),"Information Technology")</f>
        <v>Information Technology</v>
      </c>
      <c r="L114" s="6" t="str">
        <f>IFERROR(__xludf.DUMMYFUNCTION("""COMPUTED_VALUE"""),"IT - Software")</f>
        <v>IT - Software</v>
      </c>
      <c r="M114" s="6" t="str">
        <f>IFERROR(__xludf.DUMMYFUNCTION("""COMPUTED_VALUE"""),"Software Products")</f>
        <v>Software Products</v>
      </c>
      <c r="N114" s="5">
        <f>IFERROR(__xludf.DUMMYFUNCTION("""COMPUTED_VALUE"""),86327.53519)</f>
        <v>86327.53519</v>
      </c>
      <c r="O114" s="6">
        <f t="shared" si="4"/>
        <v>36</v>
      </c>
      <c r="P114" s="6">
        <f t="shared" ref="P114:Q114" si="230">COUNTIFS(L:L,L114)</f>
        <v>27</v>
      </c>
      <c r="Q114" s="24">
        <f t="shared" si="230"/>
        <v>5</v>
      </c>
      <c r="R114" s="6" t="str">
        <f t="shared" si="6"/>
        <v>Information Technology</v>
      </c>
      <c r="S114" s="6" t="str">
        <f t="shared" si="7"/>
        <v>Information Technology</v>
      </c>
      <c r="T114" s="6">
        <f>IFERROR(__xludf.DUMMYFUNCTION("COUNTA(UNIQUE(query($A$2:$P$800,""select L where K='""&amp; K114&amp;""'"")))"),3.0)</f>
        <v>3</v>
      </c>
      <c r="U114" s="23">
        <f t="shared" si="8"/>
        <v>0.125</v>
      </c>
      <c r="V114" s="23">
        <f t="shared" ref="V114:W114" si="231">P114/O114</f>
        <v>0.75</v>
      </c>
      <c r="W114" s="23">
        <f t="shared" si="231"/>
        <v>0.1851851852</v>
      </c>
    </row>
    <row r="115">
      <c r="A115" s="6">
        <f>IFERROR(__xludf.DUMMYFUNCTION("""COMPUTED_VALUE"""),543237.0)</f>
        <v>543237</v>
      </c>
      <c r="B115" s="6" t="str">
        <f>IFERROR(__xludf.DUMMYFUNCTION("""COMPUTED_VALUE"""),"Mazagon Dock Shipbuilders Limited")</f>
        <v>Mazagon Dock Shipbuilders Limited</v>
      </c>
      <c r="C115" s="6" t="str">
        <f>IFERROR(__xludf.DUMMYFUNCTION("""COMPUTED_VALUE"""),"MAZDOCK")</f>
        <v>MAZDOCK</v>
      </c>
      <c r="D115" s="6" t="str">
        <f>IFERROR(__xludf.DUMMYFUNCTION("""COMPUTED_VALUE"""),"Mazagon Dock Shipbuilders Ltd")</f>
        <v>Mazagon Dock Shipbuilders Ltd</v>
      </c>
      <c r="E115" s="6" t="str">
        <f>IFERROR(__xludf.DUMMYFUNCTION("""COMPUTED_VALUE"""),"Active")</f>
        <v>Active</v>
      </c>
      <c r="F115" s="6" t="str">
        <f>IFERROR(__xludf.DUMMYFUNCTION("""COMPUTED_VALUE"""),"A")</f>
        <v>A</v>
      </c>
      <c r="G115" s="6">
        <f>IFERROR(__xludf.DUMMYFUNCTION("""COMPUTED_VALUE"""),10.0)</f>
        <v>10</v>
      </c>
      <c r="H115" s="6" t="str">
        <f>IFERROR(__xludf.DUMMYFUNCTION("""COMPUTED_VALUE"""),"INE249Z01012")</f>
        <v>INE249Z01012</v>
      </c>
      <c r="I115" s="6" t="str">
        <f>IFERROR(__xludf.DUMMYFUNCTION("""COMPUTED_VALUE"""),"Equity")</f>
        <v>Equity</v>
      </c>
      <c r="J115" s="6" t="str">
        <f>IFERROR(__xludf.DUMMYFUNCTION("""COMPUTED_VALUE"""),"Industrials")</f>
        <v>Industrials</v>
      </c>
      <c r="K115" s="6" t="str">
        <f>IFERROR(__xludf.DUMMYFUNCTION("""COMPUTED_VALUE"""),"Capital Goods")</f>
        <v>Capital Goods</v>
      </c>
      <c r="L115" s="6" t="str">
        <f>IFERROR(__xludf.DUMMYFUNCTION("""COMPUTED_VALUE"""),"Industrial Manufacturing")</f>
        <v>Industrial Manufacturing</v>
      </c>
      <c r="M115" s="6" t="str">
        <f>IFERROR(__xludf.DUMMYFUNCTION("""COMPUTED_VALUE"""),"Ship Building &amp; Allied Services")</f>
        <v>Ship Building &amp; Allied Services</v>
      </c>
      <c r="N115" s="5">
        <f>IFERROR(__xludf.DUMMYFUNCTION("""COMPUTED_VALUE"""),86020.39314)</f>
        <v>86020.39314</v>
      </c>
      <c r="O115" s="6">
        <f t="shared" si="4"/>
        <v>110</v>
      </c>
      <c r="P115" s="6">
        <f t="shared" ref="P115:Q115" si="232">COUNTIFS(L:L,L115)</f>
        <v>21</v>
      </c>
      <c r="Q115" s="24">
        <f t="shared" si="232"/>
        <v>2</v>
      </c>
      <c r="R115" s="6" t="str">
        <f t="shared" si="6"/>
        <v>Industrial Manufacturing</v>
      </c>
      <c r="S115" s="6" t="str">
        <f t="shared" si="7"/>
        <v>Industrial Manufacturing</v>
      </c>
      <c r="T115" s="6">
        <f>IFERROR(__xludf.DUMMYFUNCTION("COUNTA(UNIQUE(query($A$2:$P$800,""select L where K='""&amp; K115&amp;""'"")))"),5.0)</f>
        <v>5</v>
      </c>
      <c r="U115" s="23">
        <f t="shared" si="8"/>
        <v>0.06818181818</v>
      </c>
      <c r="V115" s="23">
        <f t="shared" ref="V115:W115" si="233">P115/O115</f>
        <v>0.1909090909</v>
      </c>
      <c r="W115" s="23">
        <f t="shared" si="233"/>
        <v>0.09523809524</v>
      </c>
    </row>
    <row r="116">
      <c r="A116" s="6">
        <f>IFERROR(__xludf.DUMMYFUNCTION("""COMPUTED_VALUE"""),532777.0)</f>
        <v>532777</v>
      </c>
      <c r="B116" s="6" t="str">
        <f>IFERROR(__xludf.DUMMYFUNCTION("""COMPUTED_VALUE"""),"Info Edge(India) Ltd.")</f>
        <v>Info Edge(India) Ltd.</v>
      </c>
      <c r="C116" s="6" t="str">
        <f>IFERROR(__xludf.DUMMYFUNCTION("""COMPUTED_VALUE"""),"NAUKRI")</f>
        <v>NAUKRI</v>
      </c>
      <c r="D116" s="6" t="str">
        <f>IFERROR(__xludf.DUMMYFUNCTION("""COMPUTED_VALUE"""),"INFO EDGE (INDIA) LTD.")</f>
        <v>INFO EDGE (INDIA) LTD.</v>
      </c>
      <c r="E116" s="6" t="str">
        <f>IFERROR(__xludf.DUMMYFUNCTION("""COMPUTED_VALUE"""),"Active")</f>
        <v>Active</v>
      </c>
      <c r="F116" s="6" t="str">
        <f>IFERROR(__xludf.DUMMYFUNCTION("""COMPUTED_VALUE"""),"A")</f>
        <v>A</v>
      </c>
      <c r="G116" s="6">
        <f>IFERROR(__xludf.DUMMYFUNCTION("""COMPUTED_VALUE"""),10.0)</f>
        <v>10</v>
      </c>
      <c r="H116" s="6" t="str">
        <f>IFERROR(__xludf.DUMMYFUNCTION("""COMPUTED_VALUE"""),"INE663F01024")</f>
        <v>INE663F01024</v>
      </c>
      <c r="I116" s="6" t="str">
        <f>IFERROR(__xludf.DUMMYFUNCTION("""COMPUTED_VALUE"""),"Equity")</f>
        <v>Equity</v>
      </c>
      <c r="J116" s="6" t="str">
        <f>IFERROR(__xludf.DUMMYFUNCTION("""COMPUTED_VALUE"""),"Consumer Discretionary")</f>
        <v>Consumer Discretionary</v>
      </c>
      <c r="K116" s="6" t="str">
        <f>IFERROR(__xludf.DUMMYFUNCTION("""COMPUTED_VALUE"""),"Consumer Services")</f>
        <v>Consumer Services</v>
      </c>
      <c r="L116" s="6" t="str">
        <f>IFERROR(__xludf.DUMMYFUNCTION("""COMPUTED_VALUE"""),"Retailing")</f>
        <v>Retailing</v>
      </c>
      <c r="M116" s="6" t="str">
        <f>IFERROR(__xludf.DUMMYFUNCTION("""COMPUTED_VALUE"""),"Internet &amp; Catalogue Retail")</f>
        <v>Internet &amp; Catalogue Retail</v>
      </c>
      <c r="N116" s="5">
        <f>IFERROR(__xludf.DUMMYFUNCTION("""COMPUTED_VALUE"""),85781.195305)</f>
        <v>85781.19531</v>
      </c>
      <c r="O116" s="6">
        <f t="shared" si="4"/>
        <v>37</v>
      </c>
      <c r="P116" s="6">
        <f t="shared" ref="P116:Q116" si="234">COUNTIFS(L:L,L116)</f>
        <v>18</v>
      </c>
      <c r="Q116" s="24">
        <f t="shared" si="234"/>
        <v>3</v>
      </c>
      <c r="R116" s="6" t="str">
        <f t="shared" si="6"/>
        <v>Retailing</v>
      </c>
      <c r="S116" s="6" t="str">
        <f t="shared" si="7"/>
        <v>Retailing</v>
      </c>
      <c r="T116" s="6">
        <f>IFERROR(__xludf.DUMMYFUNCTION("COUNTA(UNIQUE(query($A$2:$P$800,""select L where K='""&amp; K116&amp;""'"")))"),3.0)</f>
        <v>3</v>
      </c>
      <c r="U116" s="23">
        <f t="shared" si="8"/>
        <v>0.1216216216</v>
      </c>
      <c r="V116" s="23">
        <f t="shared" ref="V116:W116" si="235">P116/O116</f>
        <v>0.4864864865</v>
      </c>
      <c r="W116" s="23">
        <f t="shared" si="235"/>
        <v>0.1666666667</v>
      </c>
    </row>
    <row r="117">
      <c r="A117" s="6">
        <f>IFERROR(__xludf.DUMMYFUNCTION("""COMPUTED_VALUE"""),543904.0)</f>
        <v>543904</v>
      </c>
      <c r="B117" s="6" t="str">
        <f>IFERROR(__xludf.DUMMYFUNCTION("""COMPUTED_VALUE"""),"Mankind Pharma Limited")</f>
        <v>Mankind Pharma Limited</v>
      </c>
      <c r="C117" s="6" t="str">
        <f>IFERROR(__xludf.DUMMYFUNCTION("""COMPUTED_VALUE"""),"MANKIND")</f>
        <v>MANKIND</v>
      </c>
      <c r="D117" s="6" t="str">
        <f>IFERROR(__xludf.DUMMYFUNCTION("""COMPUTED_VALUE"""),"Mankind Pharma Ltd")</f>
        <v>Mankind Pharma Ltd</v>
      </c>
      <c r="E117" s="6" t="str">
        <f>IFERROR(__xludf.DUMMYFUNCTION("""COMPUTED_VALUE"""),"Active")</f>
        <v>Active</v>
      </c>
      <c r="F117" s="6" t="str">
        <f>IFERROR(__xludf.DUMMYFUNCTION("""COMPUTED_VALUE"""),"B")</f>
        <v>B</v>
      </c>
      <c r="G117" s="6">
        <f>IFERROR(__xludf.DUMMYFUNCTION("""COMPUTED_VALUE"""),1.0)</f>
        <v>1</v>
      </c>
      <c r="H117" s="6" t="str">
        <f>IFERROR(__xludf.DUMMYFUNCTION("""COMPUTED_VALUE"""),"INE634S01028")</f>
        <v>INE634S01028</v>
      </c>
      <c r="I117" s="6" t="str">
        <f>IFERROR(__xludf.DUMMYFUNCTION("""COMPUTED_VALUE"""),"Equity")</f>
        <v>Equity</v>
      </c>
      <c r="J117" s="6" t="str">
        <f>IFERROR(__xludf.DUMMYFUNCTION("""COMPUTED_VALUE"""),"Healthcare")</f>
        <v>Healthcare</v>
      </c>
      <c r="K117" s="6" t="str">
        <f>IFERROR(__xludf.DUMMYFUNCTION("""COMPUTED_VALUE"""),"Healthcare")</f>
        <v>Healthcare</v>
      </c>
      <c r="L117" s="6" t="str">
        <f>IFERROR(__xludf.DUMMYFUNCTION("""COMPUTED_VALUE"""),"Pharmaceuticals &amp; Biotechnology")</f>
        <v>Pharmaceuticals &amp; Biotechnology</v>
      </c>
      <c r="M117" s="6" t="str">
        <f>IFERROR(__xludf.DUMMYFUNCTION("""COMPUTED_VALUE"""),"Pharmaceuticals")</f>
        <v>Pharmaceuticals</v>
      </c>
      <c r="N117" s="5">
        <f>IFERROR(__xludf.DUMMYFUNCTION("""COMPUTED_VALUE"""),84454.4820001)</f>
        <v>84454.482</v>
      </c>
      <c r="O117" s="6">
        <f t="shared" si="4"/>
        <v>62</v>
      </c>
      <c r="P117" s="6">
        <f t="shared" ref="P117:Q117" si="236">COUNTIFS(L:L,L117)</f>
        <v>45</v>
      </c>
      <c r="Q117" s="24">
        <f t="shared" si="236"/>
        <v>45</v>
      </c>
      <c r="R117" s="6" t="str">
        <f t="shared" si="6"/>
        <v>Healthcare</v>
      </c>
      <c r="S117" s="6" t="str">
        <f t="shared" si="7"/>
        <v>Healthcare</v>
      </c>
      <c r="T117" s="6">
        <f>IFERROR(__xludf.DUMMYFUNCTION("COUNTA(UNIQUE(query($A$2:$P$800,""select L where K='""&amp; K117&amp;""'"")))"),3.0)</f>
        <v>3</v>
      </c>
      <c r="U117" s="23">
        <f t="shared" si="8"/>
        <v>0.07258064516</v>
      </c>
      <c r="V117" s="23">
        <f t="shared" ref="V117:W117" si="237">P117/O117</f>
        <v>0.7258064516</v>
      </c>
      <c r="W117" s="23">
        <f t="shared" si="237"/>
        <v>1</v>
      </c>
    </row>
    <row r="118">
      <c r="A118" s="6">
        <f>IFERROR(__xludf.DUMMYFUNCTION("""COMPUTED_VALUE"""),540762.0)</f>
        <v>540762</v>
      </c>
      <c r="B118" s="6" t="str">
        <f>IFERROR(__xludf.DUMMYFUNCTION("""COMPUTED_VALUE"""),"Tube Investments of India Ltd")</f>
        <v>Tube Investments of India Ltd</v>
      </c>
      <c r="C118" s="6" t="str">
        <f>IFERROR(__xludf.DUMMYFUNCTION("""COMPUTED_VALUE"""),"TIINDIA")</f>
        <v>TIINDIA</v>
      </c>
      <c r="D118" s="6" t="str">
        <f>IFERROR(__xludf.DUMMYFUNCTION("""COMPUTED_VALUE"""),"Tube Investments of India Ltd")</f>
        <v>Tube Investments of India Ltd</v>
      </c>
      <c r="E118" s="6" t="str">
        <f>IFERROR(__xludf.DUMMYFUNCTION("""COMPUTED_VALUE"""),"Active")</f>
        <v>Active</v>
      </c>
      <c r="F118" s="6" t="str">
        <f>IFERROR(__xludf.DUMMYFUNCTION("""COMPUTED_VALUE"""),"A")</f>
        <v>A</v>
      </c>
      <c r="G118" s="6">
        <f>IFERROR(__xludf.DUMMYFUNCTION("""COMPUTED_VALUE"""),1.0)</f>
        <v>1</v>
      </c>
      <c r="H118" s="6" t="str">
        <f>IFERROR(__xludf.DUMMYFUNCTION("""COMPUTED_VALUE"""),"INE974X01010")</f>
        <v>INE974X01010</v>
      </c>
      <c r="I118" s="6" t="str">
        <f>IFERROR(__xludf.DUMMYFUNCTION("""COMPUTED_VALUE"""),"Equity")</f>
        <v>Equity</v>
      </c>
      <c r="J118" s="6" t="str">
        <f>IFERROR(__xludf.DUMMYFUNCTION("""COMPUTED_VALUE"""),"Consumer Discretionary")</f>
        <v>Consumer Discretionary</v>
      </c>
      <c r="K118" s="6" t="str">
        <f>IFERROR(__xludf.DUMMYFUNCTION("""COMPUTED_VALUE"""),"Automobile and Auto Components")</f>
        <v>Automobile and Auto Components</v>
      </c>
      <c r="L118" s="6" t="str">
        <f>IFERROR(__xludf.DUMMYFUNCTION("""COMPUTED_VALUE"""),"Auto Components")</f>
        <v>Auto Components</v>
      </c>
      <c r="M118" s="6" t="str">
        <f>IFERROR(__xludf.DUMMYFUNCTION("""COMPUTED_VALUE"""),"Auto Components &amp; Equipments")</f>
        <v>Auto Components &amp; Equipments</v>
      </c>
      <c r="N118" s="5">
        <f>IFERROR(__xludf.DUMMYFUNCTION("""COMPUTED_VALUE"""),80725.302)</f>
        <v>80725.302</v>
      </c>
      <c r="O118" s="6">
        <f t="shared" si="4"/>
        <v>47</v>
      </c>
      <c r="P118" s="6">
        <f t="shared" ref="P118:Q118" si="238">COUNTIFS(L:L,L118)</f>
        <v>37</v>
      </c>
      <c r="Q118" s="24">
        <f t="shared" si="238"/>
        <v>32</v>
      </c>
      <c r="R118" s="6" t="str">
        <f t="shared" si="6"/>
        <v>Automobile and Auto Components</v>
      </c>
      <c r="S118" s="6" t="str">
        <f t="shared" si="7"/>
        <v>Automobile and Auto Components</v>
      </c>
      <c r="T118" s="6">
        <f>IFERROR(__xludf.DUMMYFUNCTION("COUNTA(UNIQUE(query($A$2:$P$800,""select L where K='""&amp; K118&amp;""'"")))"),2.0)</f>
        <v>2</v>
      </c>
      <c r="U118" s="23">
        <f t="shared" si="8"/>
        <v>0.06382978723</v>
      </c>
      <c r="V118" s="23">
        <f t="shared" ref="V118:W118" si="239">P118/O118</f>
        <v>0.7872340426</v>
      </c>
      <c r="W118" s="23">
        <f t="shared" si="239"/>
        <v>0.8648648649</v>
      </c>
    </row>
    <row r="119">
      <c r="A119" s="6">
        <f>IFERROR(__xludf.DUMMYFUNCTION("""COMPUTED_VALUE"""),542830.0)</f>
        <v>542830</v>
      </c>
      <c r="B119" s="6" t="str">
        <f>IFERROR(__xludf.DUMMYFUNCTION("""COMPUTED_VALUE"""),"Indian Railway Catering &amp; Tourism Corporation Ltd")</f>
        <v>Indian Railway Catering &amp; Tourism Corporation Ltd</v>
      </c>
      <c r="C119" s="6" t="str">
        <f>IFERROR(__xludf.DUMMYFUNCTION("""COMPUTED_VALUE"""),"IRCTC")</f>
        <v>IRCTC</v>
      </c>
      <c r="D119" s="6" t="str">
        <f>IFERROR(__xludf.DUMMYFUNCTION("""COMPUTED_VALUE"""),"Indian Railway Catering and Tourism Corporation Ltd")</f>
        <v>Indian Railway Catering and Tourism Corporation Ltd</v>
      </c>
      <c r="E119" s="6" t="str">
        <f>IFERROR(__xludf.DUMMYFUNCTION("""COMPUTED_VALUE"""),"Active")</f>
        <v>Active</v>
      </c>
      <c r="F119" s="6" t="str">
        <f>IFERROR(__xludf.DUMMYFUNCTION("""COMPUTED_VALUE"""),"A")</f>
        <v>A</v>
      </c>
      <c r="G119" s="6">
        <f>IFERROR(__xludf.DUMMYFUNCTION("""COMPUTED_VALUE"""),2.0)</f>
        <v>2</v>
      </c>
      <c r="H119" s="6" t="str">
        <f>IFERROR(__xludf.DUMMYFUNCTION("""COMPUTED_VALUE"""),"INE335Y01020")</f>
        <v>INE335Y01020</v>
      </c>
      <c r="I119" s="6" t="str">
        <f>IFERROR(__xludf.DUMMYFUNCTION("""COMPUTED_VALUE"""),"Equity")</f>
        <v>Equity</v>
      </c>
      <c r="J119" s="6" t="str">
        <f>IFERROR(__xludf.DUMMYFUNCTION("""COMPUTED_VALUE"""),"Consumer Discretionary")</f>
        <v>Consumer Discretionary</v>
      </c>
      <c r="K119" s="6" t="str">
        <f>IFERROR(__xludf.DUMMYFUNCTION("""COMPUTED_VALUE"""),"Consumer Services")</f>
        <v>Consumer Services</v>
      </c>
      <c r="L119" s="6" t="str">
        <f>IFERROR(__xludf.DUMMYFUNCTION("""COMPUTED_VALUE"""),"Leisure Services")</f>
        <v>Leisure Services</v>
      </c>
      <c r="M119" s="6" t="str">
        <f>IFERROR(__xludf.DUMMYFUNCTION("""COMPUTED_VALUE"""),"Tour, Travel Related Services")</f>
        <v>Tour, Travel Related Services</v>
      </c>
      <c r="N119" s="5">
        <f>IFERROR(__xludf.DUMMYFUNCTION("""COMPUTED_VALUE"""),80100.500554)</f>
        <v>80100.50055</v>
      </c>
      <c r="O119" s="6">
        <f t="shared" si="4"/>
        <v>37</v>
      </c>
      <c r="P119" s="6">
        <f t="shared" ref="P119:Q119" si="240">COUNTIFS(L:L,L119)</f>
        <v>18</v>
      </c>
      <c r="Q119" s="24">
        <f t="shared" si="240"/>
        <v>5</v>
      </c>
      <c r="R119" s="6" t="str">
        <f t="shared" si="6"/>
        <v>Leisure Services</v>
      </c>
      <c r="S119" s="6" t="str">
        <f t="shared" si="7"/>
        <v>Leisure Services</v>
      </c>
      <c r="T119" s="6">
        <f>IFERROR(__xludf.DUMMYFUNCTION("COUNTA(UNIQUE(query($A$2:$P$800,""select L where K='""&amp; K119&amp;""'"")))"),3.0)</f>
        <v>3</v>
      </c>
      <c r="U119" s="23">
        <f t="shared" si="8"/>
        <v>0.1216216216</v>
      </c>
      <c r="V119" s="23">
        <f t="shared" ref="V119:W119" si="241">P119/O119</f>
        <v>0.4864864865</v>
      </c>
      <c r="W119" s="23">
        <f t="shared" si="241"/>
        <v>0.2777777778</v>
      </c>
    </row>
    <row r="120">
      <c r="A120" s="6">
        <f>IFERROR(__xludf.DUMMYFUNCTION("""COMPUTED_VALUE"""),533106.0)</f>
        <v>533106</v>
      </c>
      <c r="B120" s="6" t="str">
        <f>IFERROR(__xludf.DUMMYFUNCTION("""COMPUTED_VALUE"""),"Oil India Limited")</f>
        <v>Oil India Limited</v>
      </c>
      <c r="C120" s="6" t="str">
        <f>IFERROR(__xludf.DUMMYFUNCTION("""COMPUTED_VALUE"""),"OIL")</f>
        <v>OIL</v>
      </c>
      <c r="D120" s="6" t="str">
        <f>IFERROR(__xludf.DUMMYFUNCTION("""COMPUTED_VALUE"""),"OIL INDIA LTD.")</f>
        <v>OIL INDIA LTD.</v>
      </c>
      <c r="E120" s="6" t="str">
        <f>IFERROR(__xludf.DUMMYFUNCTION("""COMPUTED_VALUE"""),"Active")</f>
        <v>Active</v>
      </c>
      <c r="F120" s="6" t="str">
        <f>IFERROR(__xludf.DUMMYFUNCTION("""COMPUTED_VALUE"""),"A")</f>
        <v>A</v>
      </c>
      <c r="G120" s="6">
        <f>IFERROR(__xludf.DUMMYFUNCTION("""COMPUTED_VALUE"""),10.0)</f>
        <v>10</v>
      </c>
      <c r="H120" s="6" t="str">
        <f>IFERROR(__xludf.DUMMYFUNCTION("""COMPUTED_VALUE"""),"INE274J01014")</f>
        <v>INE274J01014</v>
      </c>
      <c r="I120" s="6" t="str">
        <f>IFERROR(__xludf.DUMMYFUNCTION("""COMPUTED_VALUE"""),"Equity")</f>
        <v>Equity</v>
      </c>
      <c r="J120" s="6" t="str">
        <f>IFERROR(__xludf.DUMMYFUNCTION("""COMPUTED_VALUE"""),"Energy")</f>
        <v>Energy</v>
      </c>
      <c r="K120" s="6" t="str">
        <f>IFERROR(__xludf.DUMMYFUNCTION("""COMPUTED_VALUE"""),"Oil, Gas &amp; Consumable, Fuels")</f>
        <v>Oil, Gas &amp; Consumable, Fuels</v>
      </c>
      <c r="L120" s="6" t="str">
        <f>IFERROR(__xludf.DUMMYFUNCTION("""COMPUTED_VALUE"""),"Oil")</f>
        <v>Oil</v>
      </c>
      <c r="M120" s="6" t="str">
        <f>IFERROR(__xludf.DUMMYFUNCTION("""COMPUTED_VALUE"""),"Oil Exploration &amp; Production")</f>
        <v>Oil Exploration &amp; Production</v>
      </c>
      <c r="N120" s="5">
        <f>IFERROR(__xludf.DUMMYFUNCTION("""COMPUTED_VALUE"""),79478.8240344)</f>
        <v>79478.82403</v>
      </c>
      <c r="O120" s="6">
        <f t="shared" si="4"/>
        <v>20</v>
      </c>
      <c r="P120" s="6">
        <f t="shared" ref="P120:Q120" si="242">COUNTIFS(L:L,L120)</f>
        <v>2</v>
      </c>
      <c r="Q120" s="24">
        <f t="shared" si="242"/>
        <v>2</v>
      </c>
      <c r="R120" s="6" t="str">
        <f t="shared" si="6"/>
        <v>Oil, Gas &amp; Consumable, Fuels</v>
      </c>
      <c r="S120" s="6" t="str">
        <f t="shared" si="7"/>
        <v>Oil, Gas &amp; Consumable, Fuels</v>
      </c>
      <c r="T120" s="6">
        <f>IFERROR(__xludf.DUMMYFUNCTION("COUNTA(UNIQUE(query($A$2:$P$800,""select L where K='""&amp; K120&amp;""'"")))"),4.0)</f>
        <v>4</v>
      </c>
      <c r="U120" s="23">
        <f t="shared" si="8"/>
        <v>0.3</v>
      </c>
      <c r="V120" s="23">
        <f t="shared" ref="V120:W120" si="243">P120/O120</f>
        <v>0.1</v>
      </c>
      <c r="W120" s="23">
        <f t="shared" si="243"/>
        <v>1</v>
      </c>
    </row>
    <row r="121">
      <c r="A121" s="6">
        <f>IFERROR(__xludf.DUMMYFUNCTION("""COMPUTED_VALUE"""),500830.0)</f>
        <v>500830</v>
      </c>
      <c r="B121" s="6" t="str">
        <f>IFERROR(__xludf.DUMMYFUNCTION("""COMPUTED_VALUE"""),"Colgate-Palmolive (India) Ltd.")</f>
        <v>Colgate-Palmolive (India) Ltd.</v>
      </c>
      <c r="C121" s="6" t="str">
        <f>IFERROR(__xludf.DUMMYFUNCTION("""COMPUTED_VALUE"""),"COLPAL")</f>
        <v>COLPAL</v>
      </c>
      <c r="D121" s="6" t="str">
        <f>IFERROR(__xludf.DUMMYFUNCTION("""COMPUTED_VALUE"""),"COLGATE-PALMOLIVE (INDIA) LTD.")</f>
        <v>COLGATE-PALMOLIVE (INDIA) LTD.</v>
      </c>
      <c r="E121" s="6" t="str">
        <f>IFERROR(__xludf.DUMMYFUNCTION("""COMPUTED_VALUE"""),"Active")</f>
        <v>Active</v>
      </c>
      <c r="F121" s="6" t="str">
        <f>IFERROR(__xludf.DUMMYFUNCTION("""COMPUTED_VALUE"""),"A")</f>
        <v>A</v>
      </c>
      <c r="G121" s="6">
        <f>IFERROR(__xludf.DUMMYFUNCTION("""COMPUTED_VALUE"""),1.0)</f>
        <v>1</v>
      </c>
      <c r="H121" s="6" t="str">
        <f>IFERROR(__xludf.DUMMYFUNCTION("""COMPUTED_VALUE"""),"INE259A01022")</f>
        <v>INE259A01022</v>
      </c>
      <c r="I121" s="6" t="str">
        <f>IFERROR(__xludf.DUMMYFUNCTION("""COMPUTED_VALUE"""),"Equity")</f>
        <v>Equity</v>
      </c>
      <c r="J121" s="6" t="str">
        <f>IFERROR(__xludf.DUMMYFUNCTION("""COMPUTED_VALUE"""),"Fast Moving Consumer Goods")</f>
        <v>Fast Moving Consumer Goods</v>
      </c>
      <c r="K121" s="6" t="str">
        <f>IFERROR(__xludf.DUMMYFUNCTION("""COMPUTED_VALUE"""),"Fast Moving Consumer Goods")</f>
        <v>Fast Moving Consumer Goods</v>
      </c>
      <c r="L121" s="6" t="str">
        <f>IFERROR(__xludf.DUMMYFUNCTION("""COMPUTED_VALUE"""),"Personal Products")</f>
        <v>Personal Products</v>
      </c>
      <c r="M121" s="6" t="str">
        <f>IFERROR(__xludf.DUMMYFUNCTION("""COMPUTED_VALUE"""),"Personal Care")</f>
        <v>Personal Care</v>
      </c>
      <c r="N121" s="5">
        <f>IFERROR(__xludf.DUMMYFUNCTION("""COMPUTED_VALUE"""),77767.3663273)</f>
        <v>77767.36633</v>
      </c>
      <c r="O121" s="6">
        <f t="shared" si="4"/>
        <v>44</v>
      </c>
      <c r="P121" s="6">
        <f t="shared" ref="P121:Q121" si="244">COUNTIFS(L:L,L121)</f>
        <v>7</v>
      </c>
      <c r="Q121" s="24">
        <f t="shared" si="244"/>
        <v>7</v>
      </c>
      <c r="R121" s="6" t="str">
        <f t="shared" si="6"/>
        <v>Fast Moving Consumer Goods</v>
      </c>
      <c r="S121" s="6" t="str">
        <f t="shared" si="7"/>
        <v>Fast Moving Consumer Goods</v>
      </c>
      <c r="T121" s="6">
        <f>IFERROR(__xludf.DUMMYFUNCTION("COUNTA(UNIQUE(query($A$2:$P$800,""select L where K='""&amp; K121&amp;""'"")))"),7.0)</f>
        <v>7</v>
      </c>
      <c r="U121" s="23">
        <f t="shared" si="8"/>
        <v>0.2386363636</v>
      </c>
      <c r="V121" s="23">
        <f t="shared" ref="V121:W121" si="245">P121/O121</f>
        <v>0.1590909091</v>
      </c>
      <c r="W121" s="23">
        <f t="shared" si="245"/>
        <v>1</v>
      </c>
    </row>
    <row r="122">
      <c r="A122" s="6">
        <f>IFERROR(__xludf.DUMMYFUNCTION("""COMPUTED_VALUE"""),531642.0)</f>
        <v>531642</v>
      </c>
      <c r="B122" s="6" t="str">
        <f>IFERROR(__xludf.DUMMYFUNCTION("""COMPUTED_VALUE"""),"Marico Limited")</f>
        <v>Marico Limited</v>
      </c>
      <c r="C122" s="6" t="str">
        <f>IFERROR(__xludf.DUMMYFUNCTION("""COMPUTED_VALUE"""),"MARICO")</f>
        <v>MARICO</v>
      </c>
      <c r="D122" s="6" t="str">
        <f>IFERROR(__xludf.DUMMYFUNCTION("""COMPUTED_VALUE"""),"MARICO LTD.")</f>
        <v>MARICO LTD.</v>
      </c>
      <c r="E122" s="6" t="str">
        <f>IFERROR(__xludf.DUMMYFUNCTION("""COMPUTED_VALUE"""),"Active")</f>
        <v>Active</v>
      </c>
      <c r="F122" s="6" t="str">
        <f>IFERROR(__xludf.DUMMYFUNCTION("""COMPUTED_VALUE"""),"A")</f>
        <v>A</v>
      </c>
      <c r="G122" s="6">
        <f>IFERROR(__xludf.DUMMYFUNCTION("""COMPUTED_VALUE"""),1.0)</f>
        <v>1</v>
      </c>
      <c r="H122" s="6" t="str">
        <f>IFERROR(__xludf.DUMMYFUNCTION("""COMPUTED_VALUE"""),"INE196A01026")</f>
        <v>INE196A01026</v>
      </c>
      <c r="I122" s="6" t="str">
        <f>IFERROR(__xludf.DUMMYFUNCTION("""COMPUTED_VALUE"""),"Equity")</f>
        <v>Equity</v>
      </c>
      <c r="J122" s="6" t="str">
        <f>IFERROR(__xludf.DUMMYFUNCTION("""COMPUTED_VALUE"""),"Fast Moving Consumer Goods")</f>
        <v>Fast Moving Consumer Goods</v>
      </c>
      <c r="K122" s="6" t="str">
        <f>IFERROR(__xludf.DUMMYFUNCTION("""COMPUTED_VALUE"""),"Fast Moving Consumer Goods")</f>
        <v>Fast Moving Consumer Goods</v>
      </c>
      <c r="L122" s="6" t="str">
        <f>IFERROR(__xludf.DUMMYFUNCTION("""COMPUTED_VALUE"""),"Agricultural Food &amp; other Products")</f>
        <v>Agricultural Food &amp; other Products</v>
      </c>
      <c r="M122" s="6" t="str">
        <f>IFERROR(__xludf.DUMMYFUNCTION("""COMPUTED_VALUE"""),"Edible Oil")</f>
        <v>Edible Oil</v>
      </c>
      <c r="N122" s="5">
        <f>IFERROR(__xludf.DUMMYFUNCTION("""COMPUTED_VALUE"""),77512.9449687)</f>
        <v>77512.94497</v>
      </c>
      <c r="O122" s="6">
        <f t="shared" si="4"/>
        <v>44</v>
      </c>
      <c r="P122" s="6">
        <f t="shared" ref="P122:Q122" si="246">COUNTIFS(L:L,L122)</f>
        <v>14</v>
      </c>
      <c r="Q122" s="24">
        <f t="shared" si="246"/>
        <v>3</v>
      </c>
      <c r="R122" s="6" t="str">
        <f t="shared" si="6"/>
        <v>Fast Moving Consumer Goods</v>
      </c>
      <c r="S122" s="6" t="str">
        <f t="shared" si="7"/>
        <v>Fast Moving Consumer Goods</v>
      </c>
      <c r="T122" s="6">
        <f>IFERROR(__xludf.DUMMYFUNCTION("COUNTA(UNIQUE(query($A$2:$P$800,""select L where K='""&amp; K122&amp;""'"")))"),7.0)</f>
        <v>7</v>
      </c>
      <c r="U122" s="23">
        <f t="shared" si="8"/>
        <v>0.2386363636</v>
      </c>
      <c r="V122" s="23">
        <f t="shared" ref="V122:W122" si="247">P122/O122</f>
        <v>0.3181818182</v>
      </c>
      <c r="W122" s="23">
        <f t="shared" si="247"/>
        <v>0.2142857143</v>
      </c>
    </row>
    <row r="123">
      <c r="A123" s="6">
        <f>IFERROR(__xludf.DUMMYFUNCTION("""COMPUTED_VALUE"""),500493.0)</f>
        <v>500493</v>
      </c>
      <c r="B123" s="6" t="str">
        <f>IFERROR(__xludf.DUMMYFUNCTION("""COMPUTED_VALUE"""),"Bharat Forge Ltd")</f>
        <v>Bharat Forge Ltd</v>
      </c>
      <c r="C123" s="6" t="str">
        <f>IFERROR(__xludf.DUMMYFUNCTION("""COMPUTED_VALUE"""),"BHARATFORG")</f>
        <v>BHARATFORG</v>
      </c>
      <c r="D123" s="6" t="str">
        <f>IFERROR(__xludf.DUMMYFUNCTION("""COMPUTED_VALUE"""),"BHARAT FORGE LTD.")</f>
        <v>BHARAT FORGE LTD.</v>
      </c>
      <c r="E123" s="6" t="str">
        <f>IFERROR(__xludf.DUMMYFUNCTION("""COMPUTED_VALUE"""),"Active")</f>
        <v>Active</v>
      </c>
      <c r="F123" s="6" t="str">
        <f>IFERROR(__xludf.DUMMYFUNCTION("""COMPUTED_VALUE"""),"A")</f>
        <v>A</v>
      </c>
      <c r="G123" s="6">
        <f>IFERROR(__xludf.DUMMYFUNCTION("""COMPUTED_VALUE"""),2.0)</f>
        <v>2</v>
      </c>
      <c r="H123" s="6" t="str">
        <f>IFERROR(__xludf.DUMMYFUNCTION("""COMPUTED_VALUE"""),"INE465A01025")</f>
        <v>INE465A01025</v>
      </c>
      <c r="I123" s="6" t="str">
        <f>IFERROR(__xludf.DUMMYFUNCTION("""COMPUTED_VALUE"""),"Equity")</f>
        <v>Equity</v>
      </c>
      <c r="J123" s="6" t="str">
        <f>IFERROR(__xludf.DUMMYFUNCTION("""COMPUTED_VALUE"""),"Consumer Discretionary")</f>
        <v>Consumer Discretionary</v>
      </c>
      <c r="K123" s="6" t="str">
        <f>IFERROR(__xludf.DUMMYFUNCTION("""COMPUTED_VALUE"""),"Automobile and Auto Components")</f>
        <v>Automobile and Auto Components</v>
      </c>
      <c r="L123" s="6" t="str">
        <f>IFERROR(__xludf.DUMMYFUNCTION("""COMPUTED_VALUE"""),"Auto Components")</f>
        <v>Auto Components</v>
      </c>
      <c r="M123" s="6" t="str">
        <f>IFERROR(__xludf.DUMMYFUNCTION("""COMPUTED_VALUE"""),"Auto Components &amp; Equipments")</f>
        <v>Auto Components &amp; Equipments</v>
      </c>
      <c r="N123" s="5">
        <f>IFERROR(__xludf.DUMMYFUNCTION("""COMPUTED_VALUE"""),77237.4241058)</f>
        <v>77237.42411</v>
      </c>
      <c r="O123" s="6">
        <f t="shared" si="4"/>
        <v>47</v>
      </c>
      <c r="P123" s="6">
        <f t="shared" ref="P123:Q123" si="248">COUNTIFS(L:L,L123)</f>
        <v>37</v>
      </c>
      <c r="Q123" s="24">
        <f t="shared" si="248"/>
        <v>32</v>
      </c>
      <c r="R123" s="6" t="str">
        <f t="shared" si="6"/>
        <v>Automobile and Auto Components</v>
      </c>
      <c r="S123" s="6" t="str">
        <f t="shared" si="7"/>
        <v>Automobile and Auto Components</v>
      </c>
      <c r="T123" s="6">
        <f>IFERROR(__xludf.DUMMYFUNCTION("COUNTA(UNIQUE(query($A$2:$P$800,""select L where K='""&amp; K123&amp;""'"")))"),2.0)</f>
        <v>2</v>
      </c>
      <c r="U123" s="23">
        <f t="shared" si="8"/>
        <v>0.06382978723</v>
      </c>
      <c r="V123" s="23">
        <f t="shared" ref="V123:W123" si="249">P123/O123</f>
        <v>0.7872340426</v>
      </c>
      <c r="W123" s="23">
        <f t="shared" si="249"/>
        <v>0.8648648649</v>
      </c>
    </row>
    <row r="124">
      <c r="A124" s="6">
        <f>IFERROR(__xludf.DUMMYFUNCTION("""COMPUTED_VALUE"""),509930.0)</f>
        <v>509930</v>
      </c>
      <c r="B124" s="6" t="str">
        <f>IFERROR(__xludf.DUMMYFUNCTION("""COMPUTED_VALUE"""),"Supreme Industries Ltd.")</f>
        <v>Supreme Industries Ltd.</v>
      </c>
      <c r="C124" s="6" t="str">
        <f>IFERROR(__xludf.DUMMYFUNCTION("""COMPUTED_VALUE"""),"SUPREMEIND")</f>
        <v>SUPREMEIND</v>
      </c>
      <c r="D124" s="6" t="str">
        <f>IFERROR(__xludf.DUMMYFUNCTION("""COMPUTED_VALUE"""),"SUPREME INDUSTRIES LTD.")</f>
        <v>SUPREME INDUSTRIES LTD.</v>
      </c>
      <c r="E124" s="6" t="str">
        <f>IFERROR(__xludf.DUMMYFUNCTION("""COMPUTED_VALUE"""),"Active")</f>
        <v>Active</v>
      </c>
      <c r="F124" s="6" t="str">
        <f>IFERROR(__xludf.DUMMYFUNCTION("""COMPUTED_VALUE"""),"A")</f>
        <v>A</v>
      </c>
      <c r="G124" s="6">
        <f>IFERROR(__xludf.DUMMYFUNCTION("""COMPUTED_VALUE"""),2.0)</f>
        <v>2</v>
      </c>
      <c r="H124" s="6" t="str">
        <f>IFERROR(__xludf.DUMMYFUNCTION("""COMPUTED_VALUE"""),"INE195A01028")</f>
        <v>INE195A01028</v>
      </c>
      <c r="I124" s="6" t="str">
        <f>IFERROR(__xludf.DUMMYFUNCTION("""COMPUTED_VALUE"""),"Equity")</f>
        <v>Equity</v>
      </c>
      <c r="J124" s="6" t="str">
        <f>IFERROR(__xludf.DUMMYFUNCTION("""COMPUTED_VALUE"""),"Industrials")</f>
        <v>Industrials</v>
      </c>
      <c r="K124" s="6" t="str">
        <f>IFERROR(__xludf.DUMMYFUNCTION("""COMPUTED_VALUE"""),"Capital Goods")</f>
        <v>Capital Goods</v>
      </c>
      <c r="L124" s="6" t="str">
        <f>IFERROR(__xludf.DUMMYFUNCTION("""COMPUTED_VALUE"""),"Industrial Products")</f>
        <v>Industrial Products</v>
      </c>
      <c r="M124" s="6" t="str">
        <f>IFERROR(__xludf.DUMMYFUNCTION("""COMPUTED_VALUE"""),"Plastic Products - Industrial")</f>
        <v>Plastic Products - Industrial</v>
      </c>
      <c r="N124" s="5">
        <f>IFERROR(__xludf.DUMMYFUNCTION("""COMPUTED_VALUE"""),76703.9200403)</f>
        <v>76703.92004</v>
      </c>
      <c r="O124" s="6">
        <f t="shared" si="4"/>
        <v>110</v>
      </c>
      <c r="P124" s="6">
        <f t="shared" ref="P124:Q124" si="250">COUNTIFS(L:L,L124)</f>
        <v>51</v>
      </c>
      <c r="Q124" s="24">
        <f t="shared" si="250"/>
        <v>9</v>
      </c>
      <c r="R124" s="6" t="str">
        <f t="shared" si="6"/>
        <v>Industrial Products</v>
      </c>
      <c r="S124" s="6" t="str">
        <f t="shared" si="7"/>
        <v>Industrial Products</v>
      </c>
      <c r="T124" s="6">
        <f>IFERROR(__xludf.DUMMYFUNCTION("COUNTA(UNIQUE(query($A$2:$P$800,""select L where K='""&amp; K124&amp;""'"")))"),5.0)</f>
        <v>5</v>
      </c>
      <c r="U124" s="23">
        <f t="shared" si="8"/>
        <v>0.06818181818</v>
      </c>
      <c r="V124" s="23">
        <f t="shared" ref="V124:W124" si="251">P124/O124</f>
        <v>0.4636363636</v>
      </c>
      <c r="W124" s="23">
        <f t="shared" si="251"/>
        <v>0.1764705882</v>
      </c>
    </row>
    <row r="125">
      <c r="A125" s="6">
        <f>IFERROR(__xludf.DUMMYFUNCTION("""COMPUTED_VALUE"""),533274.0)</f>
        <v>533274</v>
      </c>
      <c r="B125" s="6" t="str">
        <f>IFERROR(__xludf.DUMMYFUNCTION("""COMPUTED_VALUE"""),"Prestige Estates Projects Limited")</f>
        <v>Prestige Estates Projects Limited</v>
      </c>
      <c r="C125" s="6" t="str">
        <f>IFERROR(__xludf.DUMMYFUNCTION("""COMPUTED_VALUE"""),"PRESTIGE")</f>
        <v>PRESTIGE</v>
      </c>
      <c r="D125" s="6" t="str">
        <f>IFERROR(__xludf.DUMMYFUNCTION("""COMPUTED_VALUE"""),"PRESTIGE ESTATES PROJECTS LTD.")</f>
        <v>PRESTIGE ESTATES PROJECTS LTD.</v>
      </c>
      <c r="E125" s="6" t="str">
        <f>IFERROR(__xludf.DUMMYFUNCTION("""COMPUTED_VALUE"""),"Active")</f>
        <v>Active</v>
      </c>
      <c r="F125" s="6" t="str">
        <f>IFERROR(__xludf.DUMMYFUNCTION("""COMPUTED_VALUE"""),"A")</f>
        <v>A</v>
      </c>
      <c r="G125" s="6">
        <f>IFERROR(__xludf.DUMMYFUNCTION("""COMPUTED_VALUE"""),10.0)</f>
        <v>10</v>
      </c>
      <c r="H125" s="6" t="str">
        <f>IFERROR(__xludf.DUMMYFUNCTION("""COMPUTED_VALUE"""),"INE811K01011")</f>
        <v>INE811K01011</v>
      </c>
      <c r="I125" s="6" t="str">
        <f>IFERROR(__xludf.DUMMYFUNCTION("""COMPUTED_VALUE"""),"Equity")</f>
        <v>Equity</v>
      </c>
      <c r="J125" s="6" t="str">
        <f>IFERROR(__xludf.DUMMYFUNCTION("""COMPUTED_VALUE"""),"Consumer Discretionary")</f>
        <v>Consumer Discretionary</v>
      </c>
      <c r="K125" s="6" t="str">
        <f>IFERROR(__xludf.DUMMYFUNCTION("""COMPUTED_VALUE"""),"Realty")</f>
        <v>Realty</v>
      </c>
      <c r="L125" s="6" t="str">
        <f>IFERROR(__xludf.DUMMYFUNCTION("""COMPUTED_VALUE"""),"Realty")</f>
        <v>Realty</v>
      </c>
      <c r="M125" s="6" t="str">
        <f>IFERROR(__xludf.DUMMYFUNCTION("""COMPUTED_VALUE"""),"Residential, Commercial Projects")</f>
        <v>Residential, Commercial Projects</v>
      </c>
      <c r="N125" s="5">
        <f>IFERROR(__xludf.DUMMYFUNCTION("""COMPUTED_VALUE"""),76019.5914675)</f>
        <v>76019.59147</v>
      </c>
      <c r="O125" s="6">
        <f t="shared" si="4"/>
        <v>20</v>
      </c>
      <c r="P125" s="6">
        <f t="shared" ref="P125:Q125" si="252">COUNTIFS(L:L,L125)</f>
        <v>20</v>
      </c>
      <c r="Q125" s="24">
        <f t="shared" si="252"/>
        <v>20</v>
      </c>
      <c r="R125" s="6" t="str">
        <f t="shared" si="6"/>
        <v>Realty</v>
      </c>
      <c r="S125" s="6" t="str">
        <f t="shared" si="7"/>
        <v>Realty</v>
      </c>
      <c r="T125" s="6">
        <f>IFERROR(__xludf.DUMMYFUNCTION("COUNTA(UNIQUE(query($A$2:$P$800,""select L where K='""&amp; K125&amp;""'"")))"),1.0)</f>
        <v>1</v>
      </c>
      <c r="U125" s="23">
        <f t="shared" si="8"/>
        <v>0.075</v>
      </c>
      <c r="V125" s="23">
        <f t="shared" ref="V125:W125" si="253">P125/O125</f>
        <v>1</v>
      </c>
      <c r="W125" s="23">
        <f t="shared" si="253"/>
        <v>1</v>
      </c>
    </row>
    <row r="126">
      <c r="A126" s="6">
        <f>IFERROR(__xludf.DUMMYFUNCTION("""COMPUTED_VALUE"""),500257.0)</f>
        <v>500257</v>
      </c>
      <c r="B126" s="6" t="str">
        <f>IFERROR(__xludf.DUMMYFUNCTION("""COMPUTED_VALUE"""),"Lupin Ltd")</f>
        <v>Lupin Ltd</v>
      </c>
      <c r="C126" s="6" t="str">
        <f>IFERROR(__xludf.DUMMYFUNCTION("""COMPUTED_VALUE"""),"LUPIN")</f>
        <v>LUPIN</v>
      </c>
      <c r="D126" s="6" t="str">
        <f>IFERROR(__xludf.DUMMYFUNCTION("""COMPUTED_VALUE"""),"LUPIN LTD.")</f>
        <v>LUPIN LTD.</v>
      </c>
      <c r="E126" s="6" t="str">
        <f>IFERROR(__xludf.DUMMYFUNCTION("""COMPUTED_VALUE"""),"Active")</f>
        <v>Active</v>
      </c>
      <c r="F126" s="6" t="str">
        <f>IFERROR(__xludf.DUMMYFUNCTION("""COMPUTED_VALUE"""),"A")</f>
        <v>A</v>
      </c>
      <c r="G126" s="6">
        <f>IFERROR(__xludf.DUMMYFUNCTION("""COMPUTED_VALUE"""),2.0)</f>
        <v>2</v>
      </c>
      <c r="H126" s="6" t="str">
        <f>IFERROR(__xludf.DUMMYFUNCTION("""COMPUTED_VALUE"""),"INE326A01037")</f>
        <v>INE326A01037</v>
      </c>
      <c r="I126" s="6" t="str">
        <f>IFERROR(__xludf.DUMMYFUNCTION("""COMPUTED_VALUE"""),"Equity")</f>
        <v>Equity</v>
      </c>
      <c r="J126" s="6" t="str">
        <f>IFERROR(__xludf.DUMMYFUNCTION("""COMPUTED_VALUE"""),"Healthcare")</f>
        <v>Healthcare</v>
      </c>
      <c r="K126" s="6" t="str">
        <f>IFERROR(__xludf.DUMMYFUNCTION("""COMPUTED_VALUE"""),"Healthcare")</f>
        <v>Healthcare</v>
      </c>
      <c r="L126" s="6" t="str">
        <f>IFERROR(__xludf.DUMMYFUNCTION("""COMPUTED_VALUE"""),"Pharmaceuticals &amp; Biotechnology")</f>
        <v>Pharmaceuticals &amp; Biotechnology</v>
      </c>
      <c r="M126" s="6" t="str">
        <f>IFERROR(__xludf.DUMMYFUNCTION("""COMPUTED_VALUE"""),"Pharmaceuticals")</f>
        <v>Pharmaceuticals</v>
      </c>
      <c r="N126" s="5">
        <f>IFERROR(__xludf.DUMMYFUNCTION("""COMPUTED_VALUE"""),75159.4007042)</f>
        <v>75159.4007</v>
      </c>
      <c r="O126" s="6">
        <f t="shared" si="4"/>
        <v>62</v>
      </c>
      <c r="P126" s="6">
        <f t="shared" ref="P126:Q126" si="254">COUNTIFS(L:L,L126)</f>
        <v>45</v>
      </c>
      <c r="Q126" s="24">
        <f t="shared" si="254"/>
        <v>45</v>
      </c>
      <c r="R126" s="6" t="str">
        <f t="shared" si="6"/>
        <v>Healthcare</v>
      </c>
      <c r="S126" s="6" t="str">
        <f t="shared" si="7"/>
        <v>Healthcare</v>
      </c>
      <c r="T126" s="6">
        <f>IFERROR(__xludf.DUMMYFUNCTION("COUNTA(UNIQUE(query($A$2:$P$800,""select L where K='""&amp; K126&amp;""'"")))"),3.0)</f>
        <v>3</v>
      </c>
      <c r="U126" s="23">
        <f t="shared" si="8"/>
        <v>0.07258064516</v>
      </c>
      <c r="V126" s="23">
        <f t="shared" ref="V126:W126" si="255">P126/O126</f>
        <v>0.7258064516</v>
      </c>
      <c r="W126" s="23">
        <f t="shared" si="255"/>
        <v>1</v>
      </c>
    </row>
    <row r="127">
      <c r="A127" s="6">
        <f>IFERROR(__xludf.DUMMYFUNCTION("""COMPUTED_VALUE"""),505790.0)</f>
        <v>505790</v>
      </c>
      <c r="B127" s="6" t="str">
        <f>IFERROR(__xludf.DUMMYFUNCTION("""COMPUTED_VALUE"""),"Schaeffler India Limited")</f>
        <v>Schaeffler India Limited</v>
      </c>
      <c r="C127" s="6" t="str">
        <f>IFERROR(__xludf.DUMMYFUNCTION("""COMPUTED_VALUE"""),"SCHAEFFLER")</f>
        <v>SCHAEFFLER</v>
      </c>
      <c r="D127" s="6" t="str">
        <f>IFERROR(__xludf.DUMMYFUNCTION("""COMPUTED_VALUE"""),"Schaeffler India Ltd")</f>
        <v>Schaeffler India Ltd</v>
      </c>
      <c r="E127" s="6" t="str">
        <f>IFERROR(__xludf.DUMMYFUNCTION("""COMPUTED_VALUE"""),"Active")</f>
        <v>Active</v>
      </c>
      <c r="F127" s="6" t="str">
        <f>IFERROR(__xludf.DUMMYFUNCTION("""COMPUTED_VALUE"""),"A")</f>
        <v>A</v>
      </c>
      <c r="G127" s="6">
        <f>IFERROR(__xludf.DUMMYFUNCTION("""COMPUTED_VALUE"""),2.0)</f>
        <v>2</v>
      </c>
      <c r="H127" s="6" t="str">
        <f>IFERROR(__xludf.DUMMYFUNCTION("""COMPUTED_VALUE"""),"INE513A01022")</f>
        <v>INE513A01022</v>
      </c>
      <c r="I127" s="6" t="str">
        <f>IFERROR(__xludf.DUMMYFUNCTION("""COMPUTED_VALUE"""),"Equity")</f>
        <v>Equity</v>
      </c>
      <c r="J127" s="6" t="str">
        <f>IFERROR(__xludf.DUMMYFUNCTION("""COMPUTED_VALUE"""),"Consumer Discretionary")</f>
        <v>Consumer Discretionary</v>
      </c>
      <c r="K127" s="6" t="str">
        <f>IFERROR(__xludf.DUMMYFUNCTION("""COMPUTED_VALUE"""),"Automobile and Auto Components")</f>
        <v>Automobile and Auto Components</v>
      </c>
      <c r="L127" s="6" t="str">
        <f>IFERROR(__xludf.DUMMYFUNCTION("""COMPUTED_VALUE"""),"Auto Components")</f>
        <v>Auto Components</v>
      </c>
      <c r="M127" s="6" t="str">
        <f>IFERROR(__xludf.DUMMYFUNCTION("""COMPUTED_VALUE"""),"Auto Components &amp; Equipments")</f>
        <v>Auto Components &amp; Equipments</v>
      </c>
      <c r="N127" s="5">
        <f>IFERROR(__xludf.DUMMYFUNCTION("""COMPUTED_VALUE"""),74585.147911)</f>
        <v>74585.14791</v>
      </c>
      <c r="O127" s="6">
        <f t="shared" si="4"/>
        <v>47</v>
      </c>
      <c r="P127" s="6">
        <f t="shared" ref="P127:Q127" si="256">COUNTIFS(L:L,L127)</f>
        <v>37</v>
      </c>
      <c r="Q127" s="24">
        <f t="shared" si="256"/>
        <v>32</v>
      </c>
      <c r="R127" s="6" t="str">
        <f t="shared" si="6"/>
        <v>Automobile and Auto Components</v>
      </c>
      <c r="S127" s="6" t="str">
        <f t="shared" si="7"/>
        <v>Automobile and Auto Components</v>
      </c>
      <c r="T127" s="6">
        <f>IFERROR(__xludf.DUMMYFUNCTION("COUNTA(UNIQUE(query($A$2:$P$800,""select L where K='""&amp; K127&amp;""'"")))"),2.0)</f>
        <v>2</v>
      </c>
      <c r="U127" s="23">
        <f t="shared" si="8"/>
        <v>0.06382978723</v>
      </c>
      <c r="V127" s="23">
        <f t="shared" ref="V127:W127" si="257">P127/O127</f>
        <v>0.7872340426</v>
      </c>
      <c r="W127" s="23">
        <f t="shared" si="257"/>
        <v>0.8648648649</v>
      </c>
    </row>
    <row r="128">
      <c r="A128" s="6">
        <f>IFERROR(__xludf.DUMMYFUNCTION("""COMPUTED_VALUE"""),532648.0)</f>
        <v>532648</v>
      </c>
      <c r="B128" s="6" t="str">
        <f>IFERROR(__xludf.DUMMYFUNCTION("""COMPUTED_VALUE"""),"Yes Bank Ltd.")</f>
        <v>Yes Bank Ltd.</v>
      </c>
      <c r="C128" s="6" t="str">
        <f>IFERROR(__xludf.DUMMYFUNCTION("""COMPUTED_VALUE"""),"YESBANK")</f>
        <v>YESBANK</v>
      </c>
      <c r="D128" s="6" t="str">
        <f>IFERROR(__xludf.DUMMYFUNCTION("""COMPUTED_VALUE"""),"YES BANK LTD.")</f>
        <v>YES BANK LTD.</v>
      </c>
      <c r="E128" s="6" t="str">
        <f>IFERROR(__xludf.DUMMYFUNCTION("""COMPUTED_VALUE"""),"Active")</f>
        <v>Active</v>
      </c>
      <c r="F128" s="6" t="str">
        <f>IFERROR(__xludf.DUMMYFUNCTION("""COMPUTED_VALUE"""),"A")</f>
        <v>A</v>
      </c>
      <c r="G128" s="6">
        <f>IFERROR(__xludf.DUMMYFUNCTION("""COMPUTED_VALUE"""),2.0)</f>
        <v>2</v>
      </c>
      <c r="H128" s="6" t="str">
        <f>IFERROR(__xludf.DUMMYFUNCTION("""COMPUTED_VALUE"""),"INE528G01035")</f>
        <v>INE528G01035</v>
      </c>
      <c r="I128" s="6" t="str">
        <f>IFERROR(__xludf.DUMMYFUNCTION("""COMPUTED_VALUE"""),"Equity")</f>
        <v>Equity</v>
      </c>
      <c r="J128" s="6" t="str">
        <f>IFERROR(__xludf.DUMMYFUNCTION("""COMPUTED_VALUE"""),"Financial Services")</f>
        <v>Financial Services</v>
      </c>
      <c r="K128" s="6" t="str">
        <f>IFERROR(__xludf.DUMMYFUNCTION("""COMPUTED_VALUE"""),"Financial Services")</f>
        <v>Financial Services</v>
      </c>
      <c r="L128" s="6" t="str">
        <f>IFERROR(__xludf.DUMMYFUNCTION("""COMPUTED_VALUE"""),"Banks")</f>
        <v>Banks</v>
      </c>
      <c r="M128" s="6" t="str">
        <f>IFERROR(__xludf.DUMMYFUNCTION("""COMPUTED_VALUE"""),"Private Sector Bank")</f>
        <v>Private Sector Bank</v>
      </c>
      <c r="N128" s="5">
        <f>IFERROR(__xludf.DUMMYFUNCTION("""COMPUTED_VALUE"""),73956.4845714)</f>
        <v>73956.48457</v>
      </c>
      <c r="O128" s="6">
        <f t="shared" si="4"/>
        <v>123</v>
      </c>
      <c r="P128" s="6">
        <f t="shared" ref="P128:Q128" si="258">COUNTIFS(L:L,L128)</f>
        <v>35</v>
      </c>
      <c r="Q128" s="24">
        <f t="shared" si="258"/>
        <v>23</v>
      </c>
      <c r="R128" s="6" t="str">
        <f t="shared" si="6"/>
        <v>Banks</v>
      </c>
      <c r="S128" s="6" t="str">
        <f t="shared" si="7"/>
        <v>Banks</v>
      </c>
      <c r="T128" s="6">
        <f>IFERROR(__xludf.DUMMYFUNCTION("COUNTA(UNIQUE(query($A$2:$P$800,""select L where K='""&amp; K128&amp;""'"")))"),5.0)</f>
        <v>5</v>
      </c>
      <c r="U128" s="23">
        <f t="shared" si="8"/>
        <v>0.06097560976</v>
      </c>
      <c r="V128" s="23">
        <f t="shared" ref="V128:W128" si="259">P128/O128</f>
        <v>0.2845528455</v>
      </c>
      <c r="W128" s="23">
        <f t="shared" si="259"/>
        <v>0.6571428571</v>
      </c>
    </row>
    <row r="129">
      <c r="A129" s="6">
        <f>IFERROR(__xludf.DUMMYFUNCTION("""COMPUTED_VALUE"""),540699.0)</f>
        <v>540699</v>
      </c>
      <c r="B129" s="6" t="str">
        <f>IFERROR(__xludf.DUMMYFUNCTION("""COMPUTED_VALUE"""),"Dixon Technologies (India) Limited")</f>
        <v>Dixon Technologies (India) Limited</v>
      </c>
      <c r="C129" s="6" t="str">
        <f>IFERROR(__xludf.DUMMYFUNCTION("""COMPUTED_VALUE"""),"DIXON")</f>
        <v>DIXON</v>
      </c>
      <c r="D129" s="6" t="str">
        <f>IFERROR(__xludf.DUMMYFUNCTION("""COMPUTED_VALUE"""),"Dixon Technologies (India) Ltd")</f>
        <v>Dixon Technologies (India) Ltd</v>
      </c>
      <c r="E129" s="6" t="str">
        <f>IFERROR(__xludf.DUMMYFUNCTION("""COMPUTED_VALUE"""),"Active")</f>
        <v>Active</v>
      </c>
      <c r="F129" s="6" t="str">
        <f>IFERROR(__xludf.DUMMYFUNCTION("""COMPUTED_VALUE"""),"A")</f>
        <v>A</v>
      </c>
      <c r="G129" s="6">
        <f>IFERROR(__xludf.DUMMYFUNCTION("""COMPUTED_VALUE"""),2.0)</f>
        <v>2</v>
      </c>
      <c r="H129" s="6" t="str">
        <f>IFERROR(__xludf.DUMMYFUNCTION("""COMPUTED_VALUE"""),"INE935N01020")</f>
        <v>INE935N01020</v>
      </c>
      <c r="I129" s="6" t="str">
        <f>IFERROR(__xludf.DUMMYFUNCTION("""COMPUTED_VALUE"""),"Equity")</f>
        <v>Equity</v>
      </c>
      <c r="J129" s="6" t="str">
        <f>IFERROR(__xludf.DUMMYFUNCTION("""COMPUTED_VALUE"""),"Consumer Discretionary")</f>
        <v>Consumer Discretionary</v>
      </c>
      <c r="K129" s="6" t="str">
        <f>IFERROR(__xludf.DUMMYFUNCTION("""COMPUTED_VALUE"""),"Consumer Durables")</f>
        <v>Consumer Durables</v>
      </c>
      <c r="L129" s="6" t="str">
        <f>IFERROR(__xludf.DUMMYFUNCTION("""COMPUTED_VALUE"""),"Consumer Durables")</f>
        <v>Consumer Durables</v>
      </c>
      <c r="M129" s="6" t="str">
        <f>IFERROR(__xludf.DUMMYFUNCTION("""COMPUTED_VALUE"""),"Consumer Electronics")</f>
        <v>Consumer Electronics</v>
      </c>
      <c r="N129" s="5">
        <f>IFERROR(__xludf.DUMMYFUNCTION("""COMPUTED_VALUE"""),73806.0875825)</f>
        <v>73806.08758</v>
      </c>
      <c r="O129" s="6">
        <f t="shared" si="4"/>
        <v>42</v>
      </c>
      <c r="P129" s="6">
        <f t="shared" ref="P129:Q129" si="260">COUNTIFS(L:L,L129)</f>
        <v>42</v>
      </c>
      <c r="Q129" s="24">
        <f t="shared" si="260"/>
        <v>3</v>
      </c>
      <c r="R129" s="6" t="str">
        <f t="shared" si="6"/>
        <v>Consumer Durables</v>
      </c>
      <c r="S129" s="6" t="str">
        <f t="shared" si="7"/>
        <v>Consumer Durables</v>
      </c>
      <c r="T129" s="6">
        <f>IFERROR(__xludf.DUMMYFUNCTION("COUNTA(UNIQUE(query($A$2:$P$800,""select L where K='""&amp; K129&amp;""'"")))"),1.0)</f>
        <v>1</v>
      </c>
      <c r="U129" s="23">
        <f t="shared" si="8"/>
        <v>0.03571428571</v>
      </c>
      <c r="V129" s="23">
        <f t="shared" ref="V129:W129" si="261">P129/O129</f>
        <v>1</v>
      </c>
      <c r="W129" s="23">
        <f t="shared" si="261"/>
        <v>0.07142857143</v>
      </c>
    </row>
    <row r="130">
      <c r="A130" s="6">
        <f>IFERROR(__xludf.DUMMYFUNCTION("""COMPUTED_VALUE"""),532779.0)</f>
        <v>532779</v>
      </c>
      <c r="B130" s="6" t="str">
        <f>IFERROR(__xludf.DUMMYFUNCTION("""COMPUTED_VALUE"""),"TORRENT POWER LIMITED")</f>
        <v>TORRENT POWER LIMITED</v>
      </c>
      <c r="C130" s="6" t="str">
        <f>IFERROR(__xludf.DUMMYFUNCTION("""COMPUTED_VALUE"""),"TORNTPOWER")</f>
        <v>TORNTPOWER</v>
      </c>
      <c r="D130" s="6" t="str">
        <f>IFERROR(__xludf.DUMMYFUNCTION("""COMPUTED_VALUE"""),"TORRENT POWER LTD.")</f>
        <v>TORRENT POWER LTD.</v>
      </c>
      <c r="E130" s="6" t="str">
        <f>IFERROR(__xludf.DUMMYFUNCTION("""COMPUTED_VALUE"""),"Active")</f>
        <v>Active</v>
      </c>
      <c r="F130" s="6" t="str">
        <f>IFERROR(__xludf.DUMMYFUNCTION("""COMPUTED_VALUE"""),"A")</f>
        <v>A</v>
      </c>
      <c r="G130" s="6">
        <f>IFERROR(__xludf.DUMMYFUNCTION("""COMPUTED_VALUE"""),10.0)</f>
        <v>10</v>
      </c>
      <c r="H130" s="6" t="str">
        <f>IFERROR(__xludf.DUMMYFUNCTION("""COMPUTED_VALUE"""),"INE813H01021")</f>
        <v>INE813H01021</v>
      </c>
      <c r="I130" s="6" t="str">
        <f>IFERROR(__xludf.DUMMYFUNCTION("""COMPUTED_VALUE"""),"Equity")</f>
        <v>Equity</v>
      </c>
      <c r="J130" s="6" t="str">
        <f>IFERROR(__xludf.DUMMYFUNCTION("""COMPUTED_VALUE"""),"Utilities")</f>
        <v>Utilities</v>
      </c>
      <c r="K130" s="6" t="str">
        <f>IFERROR(__xludf.DUMMYFUNCTION("""COMPUTED_VALUE"""),"Power")</f>
        <v>Power</v>
      </c>
      <c r="L130" s="6" t="str">
        <f>IFERROR(__xludf.DUMMYFUNCTION("""COMPUTED_VALUE"""),"Power")</f>
        <v>Power</v>
      </c>
      <c r="M130" s="6" t="str">
        <f>IFERROR(__xludf.DUMMYFUNCTION("""COMPUTED_VALUE"""),"Integrated Power Utilities")</f>
        <v>Integrated Power Utilities</v>
      </c>
      <c r="N130" s="5">
        <f>IFERROR(__xludf.DUMMYFUNCTION("""COMPUTED_VALUE"""),73774.74368)</f>
        <v>73774.74368</v>
      </c>
      <c r="O130" s="6">
        <f t="shared" si="4"/>
        <v>22</v>
      </c>
      <c r="P130" s="6">
        <f t="shared" ref="P130:Q130" si="262">COUNTIFS(L:L,L130)</f>
        <v>22</v>
      </c>
      <c r="Q130" s="24">
        <f t="shared" si="262"/>
        <v>6</v>
      </c>
      <c r="R130" s="6" t="str">
        <f t="shared" si="6"/>
        <v>Power</v>
      </c>
      <c r="S130" s="6" t="str">
        <f t="shared" si="7"/>
        <v>Power</v>
      </c>
      <c r="T130" s="6">
        <f>IFERROR(__xludf.DUMMYFUNCTION("COUNTA(UNIQUE(query($A$2:$P$800,""select L where K='""&amp; K130&amp;""'"")))"),1.0)</f>
        <v>1</v>
      </c>
      <c r="U130" s="23">
        <f t="shared" si="8"/>
        <v>0.06818181818</v>
      </c>
      <c r="V130" s="23">
        <f t="shared" ref="V130:W130" si="263">P130/O130</f>
        <v>1</v>
      </c>
      <c r="W130" s="23">
        <f t="shared" si="263"/>
        <v>0.2727272727</v>
      </c>
    </row>
    <row r="131">
      <c r="A131" s="6">
        <f>IFERROR(__xludf.DUMMYFUNCTION("""COMPUTED_VALUE"""),526371.0)</f>
        <v>526371</v>
      </c>
      <c r="B131" s="6" t="str">
        <f>IFERROR(__xludf.DUMMYFUNCTION("""COMPUTED_VALUE"""),"NMDC Ltd")</f>
        <v>NMDC Ltd</v>
      </c>
      <c r="C131" s="6" t="str">
        <f>IFERROR(__xludf.DUMMYFUNCTION("""COMPUTED_VALUE"""),"NMDC")</f>
        <v>NMDC</v>
      </c>
      <c r="D131" s="6" t="str">
        <f>IFERROR(__xludf.DUMMYFUNCTION("""COMPUTED_VALUE"""),"NMDC LTD.")</f>
        <v>NMDC LTD.</v>
      </c>
      <c r="E131" s="6" t="str">
        <f>IFERROR(__xludf.DUMMYFUNCTION("""COMPUTED_VALUE"""),"Active")</f>
        <v>Active</v>
      </c>
      <c r="F131" s="6" t="str">
        <f>IFERROR(__xludf.DUMMYFUNCTION("""COMPUTED_VALUE"""),"A")</f>
        <v>A</v>
      </c>
      <c r="G131" s="6">
        <f>IFERROR(__xludf.DUMMYFUNCTION("""COMPUTED_VALUE"""),1.0)</f>
        <v>1</v>
      </c>
      <c r="H131" s="6" t="str">
        <f>IFERROR(__xludf.DUMMYFUNCTION("""COMPUTED_VALUE"""),"INE584A01023")</f>
        <v>INE584A01023</v>
      </c>
      <c r="I131" s="6" t="str">
        <f>IFERROR(__xludf.DUMMYFUNCTION("""COMPUTED_VALUE"""),"Equity")</f>
        <v>Equity</v>
      </c>
      <c r="J131" s="6" t="str">
        <f>IFERROR(__xludf.DUMMYFUNCTION("""COMPUTED_VALUE"""),"Commodities")</f>
        <v>Commodities</v>
      </c>
      <c r="K131" s="6" t="str">
        <f>IFERROR(__xludf.DUMMYFUNCTION("""COMPUTED_VALUE"""),"Metals &amp; Mining")</f>
        <v>Metals &amp; Mining</v>
      </c>
      <c r="L131" s="6" t="str">
        <f>IFERROR(__xludf.DUMMYFUNCTION("""COMPUTED_VALUE"""),"Minerals &amp; Mining")</f>
        <v>Minerals &amp; Mining</v>
      </c>
      <c r="M131" s="6" t="str">
        <f>IFERROR(__xludf.DUMMYFUNCTION("""COMPUTED_VALUE"""),"Industrial Minerals")</f>
        <v>Industrial Minerals</v>
      </c>
      <c r="N131" s="5">
        <f>IFERROR(__xludf.DUMMYFUNCTION("""COMPUTED_VALUE"""),72872.9153091)</f>
        <v>72872.91531</v>
      </c>
      <c r="O131" s="6">
        <f t="shared" si="4"/>
        <v>20</v>
      </c>
      <c r="P131" s="6">
        <f t="shared" ref="P131:Q131" si="264">COUNTIFS(L:L,L131)</f>
        <v>4</v>
      </c>
      <c r="Q131" s="24">
        <f t="shared" si="264"/>
        <v>4</v>
      </c>
      <c r="R131" s="6" t="str">
        <f t="shared" si="6"/>
        <v>Metals &amp; Mining</v>
      </c>
      <c r="S131" s="6" t="str">
        <f t="shared" si="7"/>
        <v>Metals &amp; Mining</v>
      </c>
      <c r="T131" s="6">
        <f>IFERROR(__xludf.DUMMYFUNCTION("COUNTA(UNIQUE(query($A$2:$P$800,""select L where K='""&amp; K131&amp;""'"")))"),5.0)</f>
        <v>5</v>
      </c>
      <c r="U131" s="23">
        <f t="shared" si="8"/>
        <v>0.375</v>
      </c>
      <c r="V131" s="23">
        <f t="shared" ref="V131:W131" si="265">P131/O131</f>
        <v>0.2</v>
      </c>
      <c r="W131" s="23">
        <f t="shared" si="265"/>
        <v>1</v>
      </c>
    </row>
    <row r="132">
      <c r="A132" s="6">
        <f>IFERROR(__xludf.DUMMYFUNCTION("""COMPUTED_VALUE"""),532667.0)</f>
        <v>532667</v>
      </c>
      <c r="B132" s="6" t="str">
        <f>IFERROR(__xludf.DUMMYFUNCTION("""COMPUTED_VALUE"""),"SUZLON ENERGY LTD.")</f>
        <v>SUZLON ENERGY LTD.</v>
      </c>
      <c r="C132" s="6" t="str">
        <f>IFERROR(__xludf.DUMMYFUNCTION("""COMPUTED_VALUE"""),"SUZLON")</f>
        <v>SUZLON</v>
      </c>
      <c r="D132" s="6" t="str">
        <f>IFERROR(__xludf.DUMMYFUNCTION("""COMPUTED_VALUE"""),"SUZLON ENERGY LTD.")</f>
        <v>SUZLON ENERGY LTD.</v>
      </c>
      <c r="E132" s="6" t="str">
        <f>IFERROR(__xludf.DUMMYFUNCTION("""COMPUTED_VALUE"""),"Active")</f>
        <v>Active</v>
      </c>
      <c r="F132" s="6" t="str">
        <f>IFERROR(__xludf.DUMMYFUNCTION("""COMPUTED_VALUE"""),"A")</f>
        <v>A</v>
      </c>
      <c r="G132" s="6">
        <f>IFERROR(__xludf.DUMMYFUNCTION("""COMPUTED_VALUE"""),2.0)</f>
        <v>2</v>
      </c>
      <c r="H132" s="6" t="str">
        <f>IFERROR(__xludf.DUMMYFUNCTION("""COMPUTED_VALUE"""),"INE040H01021")</f>
        <v>INE040H01021</v>
      </c>
      <c r="I132" s="6" t="str">
        <f>IFERROR(__xludf.DUMMYFUNCTION("""COMPUTED_VALUE"""),"Equity")</f>
        <v>Equity</v>
      </c>
      <c r="J132" s="6" t="str">
        <f>IFERROR(__xludf.DUMMYFUNCTION("""COMPUTED_VALUE"""),"Industrials")</f>
        <v>Industrials</v>
      </c>
      <c r="K132" s="6" t="str">
        <f>IFERROR(__xludf.DUMMYFUNCTION("""COMPUTED_VALUE"""),"Capital Goods")</f>
        <v>Capital Goods</v>
      </c>
      <c r="L132" s="6" t="str">
        <f>IFERROR(__xludf.DUMMYFUNCTION("""COMPUTED_VALUE"""),"Electrical Equipment")</f>
        <v>Electrical Equipment</v>
      </c>
      <c r="M132" s="6" t="str">
        <f>IFERROR(__xludf.DUMMYFUNCTION("""COMPUTED_VALUE"""),"Heavy Electrical Equipment")</f>
        <v>Heavy Electrical Equipment</v>
      </c>
      <c r="N132" s="5">
        <f>IFERROR(__xludf.DUMMYFUNCTION("""COMPUTED_VALUE"""),72426.0148971)</f>
        <v>72426.0149</v>
      </c>
      <c r="O132" s="6">
        <f t="shared" si="4"/>
        <v>110</v>
      </c>
      <c r="P132" s="6">
        <f t="shared" ref="P132:Q132" si="266">COUNTIFS(L:L,L132)</f>
        <v>22</v>
      </c>
      <c r="Q132" s="24">
        <f t="shared" si="266"/>
        <v>17</v>
      </c>
      <c r="R132" s="6" t="str">
        <f t="shared" si="6"/>
        <v>Electrical Equipment</v>
      </c>
      <c r="S132" s="6" t="str">
        <f t="shared" si="7"/>
        <v>Electrical Equipment</v>
      </c>
      <c r="T132" s="6">
        <f>IFERROR(__xludf.DUMMYFUNCTION("COUNTA(UNIQUE(query($A$2:$P$800,""select L where K='""&amp; K132&amp;""'"")))"),5.0)</f>
        <v>5</v>
      </c>
      <c r="U132" s="23">
        <f t="shared" si="8"/>
        <v>0.06818181818</v>
      </c>
      <c r="V132" s="23">
        <f t="shared" ref="V132:W132" si="267">P132/O132</f>
        <v>0.2</v>
      </c>
      <c r="W132" s="23">
        <f t="shared" si="267"/>
        <v>0.7727272727</v>
      </c>
    </row>
    <row r="133">
      <c r="A133" s="6">
        <f>IFERROR(__xludf.DUMMYFUNCTION("""COMPUTED_VALUE"""),532814.0)</f>
        <v>532814</v>
      </c>
      <c r="B133" s="6" t="str">
        <f>IFERROR(__xludf.DUMMYFUNCTION("""COMPUTED_VALUE"""),"Indian Bank")</f>
        <v>Indian Bank</v>
      </c>
      <c r="C133" s="6" t="str">
        <f>IFERROR(__xludf.DUMMYFUNCTION("""COMPUTED_VALUE"""),"INDIANB")</f>
        <v>INDIANB</v>
      </c>
      <c r="D133" s="6" t="str">
        <f>IFERROR(__xludf.DUMMYFUNCTION("""COMPUTED_VALUE"""),"INDIAN BANK")</f>
        <v>INDIAN BANK</v>
      </c>
      <c r="E133" s="6" t="str">
        <f>IFERROR(__xludf.DUMMYFUNCTION("""COMPUTED_VALUE"""),"Active")</f>
        <v>Active</v>
      </c>
      <c r="F133" s="6" t="str">
        <f>IFERROR(__xludf.DUMMYFUNCTION("""COMPUTED_VALUE"""),"A")</f>
        <v>A</v>
      </c>
      <c r="G133" s="6">
        <f>IFERROR(__xludf.DUMMYFUNCTION("""COMPUTED_VALUE"""),10.0)</f>
        <v>10</v>
      </c>
      <c r="H133" s="6" t="str">
        <f>IFERROR(__xludf.DUMMYFUNCTION("""COMPUTED_VALUE"""),"INE562A01011")</f>
        <v>INE562A01011</v>
      </c>
      <c r="I133" s="6" t="str">
        <f>IFERROR(__xludf.DUMMYFUNCTION("""COMPUTED_VALUE"""),"Equity")</f>
        <v>Equity</v>
      </c>
      <c r="J133" s="6" t="str">
        <f>IFERROR(__xludf.DUMMYFUNCTION("""COMPUTED_VALUE"""),"Financial Services")</f>
        <v>Financial Services</v>
      </c>
      <c r="K133" s="6" t="str">
        <f>IFERROR(__xludf.DUMMYFUNCTION("""COMPUTED_VALUE"""),"Financial Services")</f>
        <v>Financial Services</v>
      </c>
      <c r="L133" s="6" t="str">
        <f>IFERROR(__xludf.DUMMYFUNCTION("""COMPUTED_VALUE"""),"Banks")</f>
        <v>Banks</v>
      </c>
      <c r="M133" s="6" t="str">
        <f>IFERROR(__xludf.DUMMYFUNCTION("""COMPUTED_VALUE"""),"Public Sector Bank")</f>
        <v>Public Sector Bank</v>
      </c>
      <c r="N133" s="5">
        <f>IFERROR(__xludf.DUMMYFUNCTION("""COMPUTED_VALUE"""),72324.1370007)</f>
        <v>72324.137</v>
      </c>
      <c r="O133" s="6">
        <f t="shared" si="4"/>
        <v>123</v>
      </c>
      <c r="P133" s="6">
        <f t="shared" ref="P133:Q133" si="268">COUNTIFS(L:L,L133)</f>
        <v>35</v>
      </c>
      <c r="Q133" s="24">
        <f t="shared" si="268"/>
        <v>12</v>
      </c>
      <c r="R133" s="6" t="str">
        <f t="shared" si="6"/>
        <v>Banks</v>
      </c>
      <c r="S133" s="6" t="str">
        <f t="shared" si="7"/>
        <v>Banks</v>
      </c>
      <c r="T133" s="6">
        <f>IFERROR(__xludf.DUMMYFUNCTION("COUNTA(UNIQUE(query($A$2:$P$800,""select L where K='""&amp; K133&amp;""'"")))"),5.0)</f>
        <v>5</v>
      </c>
      <c r="U133" s="23">
        <f t="shared" si="8"/>
        <v>0.06097560976</v>
      </c>
      <c r="V133" s="23">
        <f t="shared" ref="V133:W133" si="269">P133/O133</f>
        <v>0.2845528455</v>
      </c>
      <c r="W133" s="23">
        <f t="shared" si="269"/>
        <v>0.3428571429</v>
      </c>
    </row>
    <row r="134">
      <c r="A134" s="6">
        <f>IFERROR(__xludf.DUMMYFUNCTION("""COMPUTED_VALUE"""),533398.0)</f>
        <v>533398</v>
      </c>
      <c r="B134" s="6" t="str">
        <f>IFERROR(__xludf.DUMMYFUNCTION("""COMPUTED_VALUE"""),"MUTHOOT FINANCE LIMITED")</f>
        <v>MUTHOOT FINANCE LIMITED</v>
      </c>
      <c r="C134" s="6" t="str">
        <f>IFERROR(__xludf.DUMMYFUNCTION("""COMPUTED_VALUE"""),"MUTHOOTFIN")</f>
        <v>MUTHOOTFIN</v>
      </c>
      <c r="D134" s="6" t="str">
        <f>IFERROR(__xludf.DUMMYFUNCTION("""COMPUTED_VALUE"""),"MUTHOOT FINANCE LTD.")</f>
        <v>MUTHOOT FINANCE LTD.</v>
      </c>
      <c r="E134" s="6" t="str">
        <f>IFERROR(__xludf.DUMMYFUNCTION("""COMPUTED_VALUE"""),"Active")</f>
        <v>Active</v>
      </c>
      <c r="F134" s="6" t="str">
        <f>IFERROR(__xludf.DUMMYFUNCTION("""COMPUTED_VALUE"""),"A")</f>
        <v>A</v>
      </c>
      <c r="G134" s="6">
        <f>IFERROR(__xludf.DUMMYFUNCTION("""COMPUTED_VALUE"""),10.0)</f>
        <v>10</v>
      </c>
      <c r="H134" s="6" t="str">
        <f>IFERROR(__xludf.DUMMYFUNCTION("""COMPUTED_VALUE"""),"INE414G01012")</f>
        <v>INE414G01012</v>
      </c>
      <c r="I134" s="6" t="str">
        <f>IFERROR(__xludf.DUMMYFUNCTION("""COMPUTED_VALUE"""),"Equity")</f>
        <v>Equity</v>
      </c>
      <c r="J134" s="6" t="str">
        <f>IFERROR(__xludf.DUMMYFUNCTION("""COMPUTED_VALUE"""),"Financial Services")</f>
        <v>Financial Services</v>
      </c>
      <c r="K134" s="6" t="str">
        <f>IFERROR(__xludf.DUMMYFUNCTION("""COMPUTED_VALUE"""),"Financial Services")</f>
        <v>Financial Services</v>
      </c>
      <c r="L134" s="6" t="str">
        <f>IFERROR(__xludf.DUMMYFUNCTION("""COMPUTED_VALUE"""),"Finance")</f>
        <v>Finance</v>
      </c>
      <c r="M134" s="6" t="str">
        <f>IFERROR(__xludf.DUMMYFUNCTION("""COMPUTED_VALUE"""),"Non Banking Financial Company (NBFC)")</f>
        <v>Non Banking Financial Company (NBFC)</v>
      </c>
      <c r="N134" s="5">
        <f>IFERROR(__xludf.DUMMYFUNCTION("""COMPUTED_VALUE"""),72260.1270256)</f>
        <v>72260.12703</v>
      </c>
      <c r="O134" s="6">
        <f t="shared" si="4"/>
        <v>123</v>
      </c>
      <c r="P134" s="6">
        <f t="shared" ref="P134:Q134" si="270">COUNTIFS(L:L,L134)</f>
        <v>56</v>
      </c>
      <c r="Q134" s="24">
        <f t="shared" si="270"/>
        <v>21</v>
      </c>
      <c r="R134" s="6" t="str">
        <f t="shared" si="6"/>
        <v>Non Banking Financial Company (NBFC)</v>
      </c>
      <c r="S134" s="6" t="str">
        <f t="shared" si="7"/>
        <v>Non Banking Financial Company (NBFC)</v>
      </c>
      <c r="T134" s="6">
        <f>IFERROR(__xludf.DUMMYFUNCTION("COUNTA(UNIQUE(query($A$2:$P$800,""select L where K='""&amp; K134&amp;""'"")))"),5.0)</f>
        <v>5</v>
      </c>
      <c r="U134" s="23">
        <f t="shared" si="8"/>
        <v>0.06097560976</v>
      </c>
      <c r="V134" s="23">
        <f t="shared" ref="V134:W134" si="271">P134/O134</f>
        <v>0.4552845528</v>
      </c>
      <c r="W134" s="23">
        <f t="shared" si="271"/>
        <v>0.375</v>
      </c>
    </row>
    <row r="135">
      <c r="A135" s="6">
        <f>IFERROR(__xludf.DUMMYFUNCTION("""COMPUTED_VALUE"""),524804.0)</f>
        <v>524804</v>
      </c>
      <c r="B135" s="6" t="str">
        <f>IFERROR(__xludf.DUMMYFUNCTION("""COMPUTED_VALUE"""),"Aurobindo Pharma Ltd.")</f>
        <v>Aurobindo Pharma Ltd.</v>
      </c>
      <c r="C135" s="6" t="str">
        <f>IFERROR(__xludf.DUMMYFUNCTION("""COMPUTED_VALUE"""),"AUROPHARMA")</f>
        <v>AUROPHARMA</v>
      </c>
      <c r="D135" s="6" t="str">
        <f>IFERROR(__xludf.DUMMYFUNCTION("""COMPUTED_VALUE"""),"AUROBINDO PHARMA LTD.")</f>
        <v>AUROBINDO PHARMA LTD.</v>
      </c>
      <c r="E135" s="6" t="str">
        <f>IFERROR(__xludf.DUMMYFUNCTION("""COMPUTED_VALUE"""),"Active")</f>
        <v>Active</v>
      </c>
      <c r="F135" s="6" t="str">
        <f>IFERROR(__xludf.DUMMYFUNCTION("""COMPUTED_VALUE"""),"A")</f>
        <v>A</v>
      </c>
      <c r="G135" s="6">
        <f>IFERROR(__xludf.DUMMYFUNCTION("""COMPUTED_VALUE"""),1.0)</f>
        <v>1</v>
      </c>
      <c r="H135" s="6" t="str">
        <f>IFERROR(__xludf.DUMMYFUNCTION("""COMPUTED_VALUE"""),"INE406A01037")</f>
        <v>INE406A01037</v>
      </c>
      <c r="I135" s="6" t="str">
        <f>IFERROR(__xludf.DUMMYFUNCTION("""COMPUTED_VALUE"""),"Equity")</f>
        <v>Equity</v>
      </c>
      <c r="J135" s="6" t="str">
        <f>IFERROR(__xludf.DUMMYFUNCTION("""COMPUTED_VALUE"""),"Healthcare")</f>
        <v>Healthcare</v>
      </c>
      <c r="K135" s="6" t="str">
        <f>IFERROR(__xludf.DUMMYFUNCTION("""COMPUTED_VALUE"""),"Healthcare")</f>
        <v>Healthcare</v>
      </c>
      <c r="L135" s="6" t="str">
        <f>IFERROR(__xludf.DUMMYFUNCTION("""COMPUTED_VALUE"""),"Pharmaceuticals &amp; Biotechnology")</f>
        <v>Pharmaceuticals &amp; Biotechnology</v>
      </c>
      <c r="M135" s="6" t="str">
        <f>IFERROR(__xludf.DUMMYFUNCTION("""COMPUTED_VALUE"""),"Pharmaceuticals")</f>
        <v>Pharmaceuticals</v>
      </c>
      <c r="N135" s="5">
        <f>IFERROR(__xludf.DUMMYFUNCTION("""COMPUTED_VALUE"""),72240.6351707)</f>
        <v>72240.63517</v>
      </c>
      <c r="O135" s="6">
        <f t="shared" si="4"/>
        <v>62</v>
      </c>
      <c r="P135" s="6">
        <f t="shared" ref="P135:Q135" si="272">COUNTIFS(L:L,L135)</f>
        <v>45</v>
      </c>
      <c r="Q135" s="24">
        <f t="shared" si="272"/>
        <v>45</v>
      </c>
      <c r="R135" s="6" t="str">
        <f t="shared" si="6"/>
        <v>Healthcare</v>
      </c>
      <c r="S135" s="6" t="str">
        <f t="shared" si="7"/>
        <v>Healthcare</v>
      </c>
      <c r="T135" s="6">
        <f>IFERROR(__xludf.DUMMYFUNCTION("COUNTA(UNIQUE(query($A$2:$P$800,""select L where K='""&amp; K135&amp;""'"")))"),3.0)</f>
        <v>3</v>
      </c>
      <c r="U135" s="23">
        <f t="shared" si="8"/>
        <v>0.07258064516</v>
      </c>
      <c r="V135" s="23">
        <f t="shared" ref="V135:W135" si="273">P135/O135</f>
        <v>0.7258064516</v>
      </c>
      <c r="W135" s="23">
        <f t="shared" si="273"/>
        <v>1</v>
      </c>
    </row>
    <row r="136">
      <c r="A136" s="6">
        <f>IFERROR(__xludf.DUMMYFUNCTION("""COMPUTED_VALUE"""),523457.0)</f>
        <v>523457</v>
      </c>
      <c r="B136" s="6" t="str">
        <f>IFERROR(__xludf.DUMMYFUNCTION("""COMPUTED_VALUE"""),"Linde India Limited")</f>
        <v>Linde India Limited</v>
      </c>
      <c r="C136" s="6" t="str">
        <f>IFERROR(__xludf.DUMMYFUNCTION("""COMPUTED_VALUE"""),"LINDEINDIA")</f>
        <v>LINDEINDIA</v>
      </c>
      <c r="D136" s="6" t="str">
        <f>IFERROR(__xludf.DUMMYFUNCTION("""COMPUTED_VALUE"""),"Linde India Limited")</f>
        <v>Linde India Limited</v>
      </c>
      <c r="E136" s="6" t="str">
        <f>IFERROR(__xludf.DUMMYFUNCTION("""COMPUTED_VALUE"""),"Active")</f>
        <v>Active</v>
      </c>
      <c r="F136" s="6" t="str">
        <f>IFERROR(__xludf.DUMMYFUNCTION("""COMPUTED_VALUE"""),"A")</f>
        <v>A</v>
      </c>
      <c r="G136" s="6">
        <f>IFERROR(__xludf.DUMMYFUNCTION("""COMPUTED_VALUE"""),10.0)</f>
        <v>10</v>
      </c>
      <c r="H136" s="6" t="str">
        <f>IFERROR(__xludf.DUMMYFUNCTION("""COMPUTED_VALUE"""),"INE473A01011")</f>
        <v>INE473A01011</v>
      </c>
      <c r="I136" s="6" t="str">
        <f>IFERROR(__xludf.DUMMYFUNCTION("""COMPUTED_VALUE"""),"Equity")</f>
        <v>Equity</v>
      </c>
      <c r="J136" s="6" t="str">
        <f>IFERROR(__xludf.DUMMYFUNCTION("""COMPUTED_VALUE"""),"Commodities")</f>
        <v>Commodities</v>
      </c>
      <c r="K136" s="6" t="str">
        <f>IFERROR(__xludf.DUMMYFUNCTION("""COMPUTED_VALUE"""),"Chemicals")</f>
        <v>Chemicals</v>
      </c>
      <c r="L136" s="6" t="str">
        <f>IFERROR(__xludf.DUMMYFUNCTION("""COMPUTED_VALUE"""),"Chemicals &amp; Petrochemicals")</f>
        <v>Chemicals &amp; Petrochemicals</v>
      </c>
      <c r="M136" s="6" t="str">
        <f>IFERROR(__xludf.DUMMYFUNCTION("""COMPUTED_VALUE"""),"Industrial Gases")</f>
        <v>Industrial Gases</v>
      </c>
      <c r="N136" s="5">
        <f>IFERROR(__xludf.DUMMYFUNCTION("""COMPUTED_VALUE"""),71319.62935)</f>
        <v>71319.62935</v>
      </c>
      <c r="O136" s="6">
        <f t="shared" si="4"/>
        <v>52</v>
      </c>
      <c r="P136" s="6">
        <f t="shared" ref="P136:Q136" si="274">COUNTIFS(L:L,L136)</f>
        <v>37</v>
      </c>
      <c r="Q136" s="24">
        <f t="shared" si="274"/>
        <v>1</v>
      </c>
      <c r="R136" s="6" t="str">
        <f t="shared" si="6"/>
        <v>Chemicals</v>
      </c>
      <c r="S136" s="6" t="str">
        <f t="shared" si="7"/>
        <v>Chemicals</v>
      </c>
      <c r="T136" s="6">
        <f>IFERROR(__xludf.DUMMYFUNCTION("COUNTA(UNIQUE(query($A$2:$P$800,""select L where K='""&amp; K136&amp;""'"")))"),2.0)</f>
        <v>2</v>
      </c>
      <c r="U136" s="23">
        <f t="shared" si="8"/>
        <v>0.05769230769</v>
      </c>
      <c r="V136" s="23">
        <f t="shared" ref="V136:W136" si="275">P136/O136</f>
        <v>0.7115384615</v>
      </c>
      <c r="W136" s="23">
        <f t="shared" si="275"/>
        <v>0.02702702703</v>
      </c>
    </row>
    <row r="137">
      <c r="A137" s="6">
        <f>IFERROR(__xludf.DUMMYFUNCTION("""COMPUTED_VALUE"""),500104.0)</f>
        <v>500104</v>
      </c>
      <c r="B137" s="6" t="str">
        <f>IFERROR(__xludf.DUMMYFUNCTION("""COMPUTED_VALUE"""),"Hindustan Petroleum Corporation Ltd")</f>
        <v>Hindustan Petroleum Corporation Ltd</v>
      </c>
      <c r="C137" s="6" t="str">
        <f>IFERROR(__xludf.DUMMYFUNCTION("""COMPUTED_VALUE"""),"HINDPETRO")</f>
        <v>HINDPETRO</v>
      </c>
      <c r="D137" s="6" t="str">
        <f>IFERROR(__xludf.DUMMYFUNCTION("""COMPUTED_VALUE"""),"HINDUSTAN PETROLEUM CORPORATION LTD.")</f>
        <v>HINDUSTAN PETROLEUM CORPORATION LTD.</v>
      </c>
      <c r="E137" s="6" t="str">
        <f>IFERROR(__xludf.DUMMYFUNCTION("""COMPUTED_VALUE"""),"Active")</f>
        <v>Active</v>
      </c>
      <c r="F137" s="6" t="str">
        <f>IFERROR(__xludf.DUMMYFUNCTION("""COMPUTED_VALUE"""),"A")</f>
        <v>A</v>
      </c>
      <c r="G137" s="6">
        <f>IFERROR(__xludf.DUMMYFUNCTION("""COMPUTED_VALUE"""),10.0)</f>
        <v>10</v>
      </c>
      <c r="H137" s="6" t="str">
        <f>IFERROR(__xludf.DUMMYFUNCTION("""COMPUTED_VALUE"""),"INE094A01015")</f>
        <v>INE094A01015</v>
      </c>
      <c r="I137" s="6" t="str">
        <f>IFERROR(__xludf.DUMMYFUNCTION("""COMPUTED_VALUE"""),"Equity")</f>
        <v>Equity</v>
      </c>
      <c r="J137" s="6" t="str">
        <f>IFERROR(__xludf.DUMMYFUNCTION("""COMPUTED_VALUE"""),"Energy")</f>
        <v>Energy</v>
      </c>
      <c r="K137" s="6" t="str">
        <f>IFERROR(__xludf.DUMMYFUNCTION("""COMPUTED_VALUE"""),"Oil, Gas &amp; Consumable, Fuels")</f>
        <v>Oil, Gas &amp; Consumable, Fuels</v>
      </c>
      <c r="L137" s="6" t="str">
        <f>IFERROR(__xludf.DUMMYFUNCTION("""COMPUTED_VALUE"""),"Petroleum Products")</f>
        <v>Petroleum Products</v>
      </c>
      <c r="M137" s="6" t="str">
        <f>IFERROR(__xludf.DUMMYFUNCTION("""COMPUTED_VALUE"""),"Refineries &amp; Marketing")</f>
        <v>Refineries &amp; Marketing</v>
      </c>
      <c r="N137" s="5">
        <f>IFERROR(__xludf.DUMMYFUNCTION("""COMPUTED_VALUE"""),70057.0738037)</f>
        <v>70057.0738</v>
      </c>
      <c r="O137" s="6">
        <f t="shared" si="4"/>
        <v>20</v>
      </c>
      <c r="P137" s="6">
        <f t="shared" ref="P137:Q137" si="276">COUNTIFS(L:L,L137)</f>
        <v>8</v>
      </c>
      <c r="Q137" s="24">
        <f t="shared" si="276"/>
        <v>6</v>
      </c>
      <c r="R137" s="6" t="str">
        <f t="shared" si="6"/>
        <v>Oil, Gas &amp; Consumable, Fuels</v>
      </c>
      <c r="S137" s="6" t="str">
        <f t="shared" si="7"/>
        <v>Oil, Gas &amp; Consumable, Fuels</v>
      </c>
      <c r="T137" s="6">
        <f>IFERROR(__xludf.DUMMYFUNCTION("COUNTA(UNIQUE(query($A$2:$P$800,""select L where K='""&amp; K137&amp;""'"")))"),4.0)</f>
        <v>4</v>
      </c>
      <c r="U137" s="23">
        <f t="shared" si="8"/>
        <v>0.3</v>
      </c>
      <c r="V137" s="23">
        <f t="shared" ref="V137:W137" si="277">P137/O137</f>
        <v>0.4</v>
      </c>
      <c r="W137" s="23">
        <f t="shared" si="277"/>
        <v>0.75</v>
      </c>
    </row>
    <row r="138">
      <c r="A138" s="6">
        <f>IFERROR(__xludf.DUMMYFUNCTION("""COMPUTED_VALUE"""),503806.0)</f>
        <v>503806</v>
      </c>
      <c r="B138" s="6" t="str">
        <f>IFERROR(__xludf.DUMMYFUNCTION("""COMPUTED_VALUE"""),"SRF Ltd.")</f>
        <v>SRF Ltd.</v>
      </c>
      <c r="C138" s="6" t="str">
        <f>IFERROR(__xludf.DUMMYFUNCTION("""COMPUTED_VALUE"""),"SRF")</f>
        <v>SRF</v>
      </c>
      <c r="D138" s="6" t="str">
        <f>IFERROR(__xludf.DUMMYFUNCTION("""COMPUTED_VALUE"""),"SRF LTD.")</f>
        <v>SRF LTD.</v>
      </c>
      <c r="E138" s="6" t="str">
        <f>IFERROR(__xludf.DUMMYFUNCTION("""COMPUTED_VALUE"""),"Active")</f>
        <v>Active</v>
      </c>
      <c r="F138" s="6" t="str">
        <f>IFERROR(__xludf.DUMMYFUNCTION("""COMPUTED_VALUE"""),"A")</f>
        <v>A</v>
      </c>
      <c r="G138" s="6">
        <f>IFERROR(__xludf.DUMMYFUNCTION("""COMPUTED_VALUE"""),10.0)</f>
        <v>10</v>
      </c>
      <c r="H138" s="6" t="str">
        <f>IFERROR(__xludf.DUMMYFUNCTION("""COMPUTED_VALUE"""),"INE647A01010")</f>
        <v>INE647A01010</v>
      </c>
      <c r="I138" s="6" t="str">
        <f>IFERROR(__xludf.DUMMYFUNCTION("""COMPUTED_VALUE"""),"Equity")</f>
        <v>Equity</v>
      </c>
      <c r="J138" s="6" t="str">
        <f>IFERROR(__xludf.DUMMYFUNCTION("""COMPUTED_VALUE"""),"Commodities")</f>
        <v>Commodities</v>
      </c>
      <c r="K138" s="6" t="str">
        <f>IFERROR(__xludf.DUMMYFUNCTION("""COMPUTED_VALUE"""),"Chemicals")</f>
        <v>Chemicals</v>
      </c>
      <c r="L138" s="6" t="str">
        <f>IFERROR(__xludf.DUMMYFUNCTION("""COMPUTED_VALUE"""),"Chemicals &amp; Petrochemicals")</f>
        <v>Chemicals &amp; Petrochemicals</v>
      </c>
      <c r="M138" s="6" t="str">
        <f>IFERROR(__xludf.DUMMYFUNCTION("""COMPUTED_VALUE"""),"Specialty Chemicals")</f>
        <v>Specialty Chemicals</v>
      </c>
      <c r="N138" s="5">
        <f>IFERROR(__xludf.DUMMYFUNCTION("""COMPUTED_VALUE"""),70046.3666717)</f>
        <v>70046.36667</v>
      </c>
      <c r="O138" s="6">
        <f t="shared" si="4"/>
        <v>52</v>
      </c>
      <c r="P138" s="6">
        <f t="shared" ref="P138:Q138" si="278">COUNTIFS(L:L,L138)</f>
        <v>37</v>
      </c>
      <c r="Q138" s="24">
        <f t="shared" si="278"/>
        <v>25</v>
      </c>
      <c r="R138" s="6" t="str">
        <f t="shared" si="6"/>
        <v>Chemicals</v>
      </c>
      <c r="S138" s="6" t="str">
        <f t="shared" si="7"/>
        <v>Chemicals</v>
      </c>
      <c r="T138" s="6">
        <f>IFERROR(__xludf.DUMMYFUNCTION("COUNTA(UNIQUE(query($A$2:$P$800,""select L where K='""&amp; K138&amp;""'"")))"),2.0)</f>
        <v>2</v>
      </c>
      <c r="U138" s="23">
        <f t="shared" si="8"/>
        <v>0.05769230769</v>
      </c>
      <c r="V138" s="23">
        <f t="shared" ref="V138:W138" si="279">P138/O138</f>
        <v>0.7115384615</v>
      </c>
      <c r="W138" s="23">
        <f t="shared" si="279"/>
        <v>0.6756756757</v>
      </c>
    </row>
    <row r="139">
      <c r="A139" s="6">
        <f>IFERROR(__xludf.DUMMYFUNCTION("""COMPUTED_VALUE"""),500477.0)</f>
        <v>500477</v>
      </c>
      <c r="B139" s="6" t="str">
        <f>IFERROR(__xludf.DUMMYFUNCTION("""COMPUTED_VALUE"""),"Ashok Leyland Ltd.")</f>
        <v>Ashok Leyland Ltd.</v>
      </c>
      <c r="C139" s="6" t="str">
        <f>IFERROR(__xludf.DUMMYFUNCTION("""COMPUTED_VALUE"""),"ASHOKLEY")</f>
        <v>ASHOKLEY</v>
      </c>
      <c r="D139" s="6" t="str">
        <f>IFERROR(__xludf.DUMMYFUNCTION("""COMPUTED_VALUE"""),"ASHOK LEYLAND LTD.")</f>
        <v>ASHOK LEYLAND LTD.</v>
      </c>
      <c r="E139" s="6" t="str">
        <f>IFERROR(__xludf.DUMMYFUNCTION("""COMPUTED_VALUE"""),"Active")</f>
        <v>Active</v>
      </c>
      <c r="F139" s="6" t="str">
        <f>IFERROR(__xludf.DUMMYFUNCTION("""COMPUTED_VALUE"""),"A")</f>
        <v>A</v>
      </c>
      <c r="G139" s="6">
        <f>IFERROR(__xludf.DUMMYFUNCTION("""COMPUTED_VALUE"""),1.0)</f>
        <v>1</v>
      </c>
      <c r="H139" s="6" t="str">
        <f>IFERROR(__xludf.DUMMYFUNCTION("""COMPUTED_VALUE"""),"INE208A01029")</f>
        <v>INE208A01029</v>
      </c>
      <c r="I139" s="6" t="str">
        <f>IFERROR(__xludf.DUMMYFUNCTION("""COMPUTED_VALUE"""),"Equity")</f>
        <v>Equity</v>
      </c>
      <c r="J139" s="6" t="str">
        <f>IFERROR(__xludf.DUMMYFUNCTION("""COMPUTED_VALUE"""),"Industrials")</f>
        <v>Industrials</v>
      </c>
      <c r="K139" s="6" t="str">
        <f>IFERROR(__xludf.DUMMYFUNCTION("""COMPUTED_VALUE"""),"Capital Goods")</f>
        <v>Capital Goods</v>
      </c>
      <c r="L139" s="6" t="str">
        <f>IFERROR(__xludf.DUMMYFUNCTION("""COMPUTED_VALUE"""),"Agricultural, Commercial &amp; Construction Vehicles")</f>
        <v>Agricultural, Commercial &amp; Construction Vehicles</v>
      </c>
      <c r="M139" s="6" t="str">
        <f>IFERROR(__xludf.DUMMYFUNCTION("""COMPUTED_VALUE"""),"Commercial Vehicles")</f>
        <v>Commercial Vehicles</v>
      </c>
      <c r="N139" s="5">
        <f>IFERROR(__xludf.DUMMYFUNCTION("""COMPUTED_VALUE"""),68066.13375)</f>
        <v>68066.13375</v>
      </c>
      <c r="O139" s="6">
        <f t="shared" si="4"/>
        <v>110</v>
      </c>
      <c r="P139" s="6">
        <f t="shared" ref="P139:Q139" si="280">COUNTIFS(L:L,L139)</f>
        <v>5</v>
      </c>
      <c r="Q139" s="24">
        <f t="shared" si="280"/>
        <v>1</v>
      </c>
      <c r="R139" s="6" t="str">
        <f t="shared" si="6"/>
        <v>Capital Goods</v>
      </c>
      <c r="S139" s="6" t="str">
        <f t="shared" si="7"/>
        <v>Capital Goods</v>
      </c>
      <c r="T139" s="6">
        <f>IFERROR(__xludf.DUMMYFUNCTION("COUNTA(UNIQUE(query($A$2:$P$800,""select L where K='""&amp; K139&amp;""'"")))"),5.0)</f>
        <v>5</v>
      </c>
      <c r="U139" s="23">
        <f t="shared" si="8"/>
        <v>0.06818181818</v>
      </c>
      <c r="V139" s="23">
        <f t="shared" ref="V139:W139" si="281">P139/O139</f>
        <v>0.04545454545</v>
      </c>
      <c r="W139" s="23">
        <f t="shared" si="281"/>
        <v>0.2</v>
      </c>
    </row>
    <row r="140">
      <c r="A140" s="6">
        <f>IFERROR(__xludf.DUMMYFUNCTION("""COMPUTED_VALUE"""),543066.0)</f>
        <v>543066</v>
      </c>
      <c r="B140" s="6" t="str">
        <f>IFERROR(__xludf.DUMMYFUNCTION("""COMPUTED_VALUE"""),"SBI CARDS AND PAYMENT SERVICES LIMITED")</f>
        <v>SBI CARDS AND PAYMENT SERVICES LIMITED</v>
      </c>
      <c r="C140" s="6" t="str">
        <f>IFERROR(__xludf.DUMMYFUNCTION("""COMPUTED_VALUE"""),"SBICARD")</f>
        <v>SBICARD</v>
      </c>
      <c r="D140" s="6" t="str">
        <f>IFERROR(__xludf.DUMMYFUNCTION("""COMPUTED_VALUE"""),"SBI Cards and Payment Services Ltd")</f>
        <v>SBI Cards and Payment Services Ltd</v>
      </c>
      <c r="E140" s="6" t="str">
        <f>IFERROR(__xludf.DUMMYFUNCTION("""COMPUTED_VALUE"""),"Active")</f>
        <v>Active</v>
      </c>
      <c r="F140" s="6" t="str">
        <f>IFERROR(__xludf.DUMMYFUNCTION("""COMPUTED_VALUE"""),"A")</f>
        <v>A</v>
      </c>
      <c r="G140" s="6">
        <f>IFERROR(__xludf.DUMMYFUNCTION("""COMPUTED_VALUE"""),10.0)</f>
        <v>10</v>
      </c>
      <c r="H140" s="6" t="str">
        <f>IFERROR(__xludf.DUMMYFUNCTION("""COMPUTED_VALUE"""),"INE018E01016")</f>
        <v>INE018E01016</v>
      </c>
      <c r="I140" s="6" t="str">
        <f>IFERROR(__xludf.DUMMYFUNCTION("""COMPUTED_VALUE"""),"Equity")</f>
        <v>Equity</v>
      </c>
      <c r="J140" s="6" t="str">
        <f>IFERROR(__xludf.DUMMYFUNCTION("""COMPUTED_VALUE"""),"Financial Services")</f>
        <v>Financial Services</v>
      </c>
      <c r="K140" s="6" t="str">
        <f>IFERROR(__xludf.DUMMYFUNCTION("""COMPUTED_VALUE"""),"Financial Services")</f>
        <v>Financial Services</v>
      </c>
      <c r="L140" s="6" t="str">
        <f>IFERROR(__xludf.DUMMYFUNCTION("""COMPUTED_VALUE"""),"Finance")</f>
        <v>Finance</v>
      </c>
      <c r="M140" s="6" t="str">
        <f>IFERROR(__xludf.DUMMYFUNCTION("""COMPUTED_VALUE"""),"Non Banking Financial Company (NBFC)")</f>
        <v>Non Banking Financial Company (NBFC)</v>
      </c>
      <c r="N140" s="5">
        <f>IFERROR(__xludf.DUMMYFUNCTION("""COMPUTED_VALUE"""),67984.256395)</f>
        <v>67984.2564</v>
      </c>
      <c r="O140" s="6">
        <f t="shared" si="4"/>
        <v>123</v>
      </c>
      <c r="P140" s="6">
        <f t="shared" ref="P140:Q140" si="282">COUNTIFS(L:L,L140)</f>
        <v>56</v>
      </c>
      <c r="Q140" s="24">
        <f t="shared" si="282"/>
        <v>21</v>
      </c>
      <c r="R140" s="6" t="str">
        <f t="shared" si="6"/>
        <v>Non Banking Financial Company (NBFC)</v>
      </c>
      <c r="S140" s="6" t="str">
        <f t="shared" si="7"/>
        <v>Non Banking Financial Company (NBFC)</v>
      </c>
      <c r="T140" s="6">
        <f>IFERROR(__xludf.DUMMYFUNCTION("COUNTA(UNIQUE(query($A$2:$P$800,""select L where K='""&amp; K140&amp;""'"")))"),5.0)</f>
        <v>5</v>
      </c>
      <c r="U140" s="23">
        <f t="shared" si="8"/>
        <v>0.06097560976</v>
      </c>
      <c r="V140" s="23">
        <f t="shared" ref="V140:W140" si="283">P140/O140</f>
        <v>0.4552845528</v>
      </c>
      <c r="W140" s="23">
        <f t="shared" si="283"/>
        <v>0.375</v>
      </c>
    </row>
    <row r="141">
      <c r="A141" s="6">
        <f>IFERROR(__xludf.DUMMYFUNCTION("""COMPUTED_VALUE"""),532508.0)</f>
        <v>532508</v>
      </c>
      <c r="B141" s="6" t="str">
        <f>IFERROR(__xludf.DUMMYFUNCTION("""COMPUTED_VALUE"""),"Jindal Stainless Limited")</f>
        <v>Jindal Stainless Limited</v>
      </c>
      <c r="C141" s="6" t="str">
        <f>IFERROR(__xludf.DUMMYFUNCTION("""COMPUTED_VALUE"""),"JSL")</f>
        <v>JSL</v>
      </c>
      <c r="D141" s="6" t="str">
        <f>IFERROR(__xludf.DUMMYFUNCTION("""COMPUTED_VALUE"""),"JINDAL STAINLESS LTD.")</f>
        <v>JINDAL STAINLESS LTD.</v>
      </c>
      <c r="E141" s="6" t="str">
        <f>IFERROR(__xludf.DUMMYFUNCTION("""COMPUTED_VALUE"""),"Active")</f>
        <v>Active</v>
      </c>
      <c r="F141" s="6" t="str">
        <f>IFERROR(__xludf.DUMMYFUNCTION("""COMPUTED_VALUE"""),"A")</f>
        <v>A</v>
      </c>
      <c r="G141" s="6">
        <f>IFERROR(__xludf.DUMMYFUNCTION("""COMPUTED_VALUE"""),2.0)</f>
        <v>2</v>
      </c>
      <c r="H141" s="6" t="str">
        <f>IFERROR(__xludf.DUMMYFUNCTION("""COMPUTED_VALUE"""),"INE220G01021")</f>
        <v>INE220G01021</v>
      </c>
      <c r="I141" s="6" t="str">
        <f>IFERROR(__xludf.DUMMYFUNCTION("""COMPUTED_VALUE"""),"Equity")</f>
        <v>Equity</v>
      </c>
      <c r="J141" s="6" t="str">
        <f>IFERROR(__xludf.DUMMYFUNCTION("""COMPUTED_VALUE"""),"Commodities")</f>
        <v>Commodities</v>
      </c>
      <c r="K141" s="6" t="str">
        <f>IFERROR(__xludf.DUMMYFUNCTION("""COMPUTED_VALUE"""),"Metals &amp; Mining")</f>
        <v>Metals &amp; Mining</v>
      </c>
      <c r="L141" s="6" t="str">
        <f>IFERROR(__xludf.DUMMYFUNCTION("""COMPUTED_VALUE"""),"Ferrous Metals")</f>
        <v>Ferrous Metals</v>
      </c>
      <c r="M141" s="6" t="str">
        <f>IFERROR(__xludf.DUMMYFUNCTION("""COMPUTED_VALUE"""),"Iron &amp; Steel")</f>
        <v>Iron &amp; Steel</v>
      </c>
      <c r="N141" s="5">
        <f>IFERROR(__xludf.DUMMYFUNCTION("""COMPUTED_VALUE"""),67886.099659)</f>
        <v>67886.09966</v>
      </c>
      <c r="O141" s="6">
        <f t="shared" si="4"/>
        <v>20</v>
      </c>
      <c r="P141" s="6">
        <f t="shared" ref="P141:Q141" si="284">COUNTIFS(L:L,L141)</f>
        <v>10</v>
      </c>
      <c r="Q141" s="24">
        <f t="shared" si="284"/>
        <v>7</v>
      </c>
      <c r="R141" s="6" t="str">
        <f t="shared" si="6"/>
        <v>Metals &amp; Mining</v>
      </c>
      <c r="S141" s="6" t="str">
        <f t="shared" si="7"/>
        <v>Metals &amp; Mining</v>
      </c>
      <c r="T141" s="6">
        <f>IFERROR(__xludf.DUMMYFUNCTION("COUNTA(UNIQUE(query($A$2:$P$800,""select L where K='""&amp; K141&amp;""'"")))"),5.0)</f>
        <v>5</v>
      </c>
      <c r="U141" s="23">
        <f t="shared" si="8"/>
        <v>0.375</v>
      </c>
      <c r="V141" s="23">
        <f t="shared" ref="V141:W141" si="285">P141/O141</f>
        <v>0.5</v>
      </c>
      <c r="W141" s="23">
        <f t="shared" si="285"/>
        <v>0.7</v>
      </c>
    </row>
    <row r="142">
      <c r="A142" s="6">
        <f>IFERROR(__xludf.DUMMYFUNCTION("""COMPUTED_VALUE"""),543994.0)</f>
        <v>543994</v>
      </c>
      <c r="B142" s="6" t="str">
        <f>IFERROR(__xludf.DUMMYFUNCTION("""COMPUTED_VALUE"""),"JSW Infrastructure Limited")</f>
        <v>JSW Infrastructure Limited</v>
      </c>
      <c r="C142" s="6" t="str">
        <f>IFERROR(__xludf.DUMMYFUNCTION("""COMPUTED_VALUE"""),"JSWINFRA")</f>
        <v>JSWINFRA</v>
      </c>
      <c r="D142" s="6" t="str">
        <f>IFERROR(__xludf.DUMMYFUNCTION("""COMPUTED_VALUE"""),"JSW Infrastructure Ltd")</f>
        <v>JSW Infrastructure Ltd</v>
      </c>
      <c r="E142" s="6" t="str">
        <f>IFERROR(__xludf.DUMMYFUNCTION("""COMPUTED_VALUE"""),"Active")</f>
        <v>Active</v>
      </c>
      <c r="F142" s="6" t="str">
        <f>IFERROR(__xludf.DUMMYFUNCTION("""COMPUTED_VALUE"""),"B")</f>
        <v>B</v>
      </c>
      <c r="G142" s="6">
        <f>IFERROR(__xludf.DUMMYFUNCTION("""COMPUTED_VALUE"""),2.0)</f>
        <v>2</v>
      </c>
      <c r="H142" s="6" t="str">
        <f>IFERROR(__xludf.DUMMYFUNCTION("""COMPUTED_VALUE"""),"INE880J01026")</f>
        <v>INE880J01026</v>
      </c>
      <c r="I142" s="6" t="str">
        <f>IFERROR(__xludf.DUMMYFUNCTION("""COMPUTED_VALUE"""),"Equity")</f>
        <v>Equity</v>
      </c>
      <c r="J142" s="6" t="str">
        <f>IFERROR(__xludf.DUMMYFUNCTION("""COMPUTED_VALUE"""),"Services")</f>
        <v>Services</v>
      </c>
      <c r="K142" s="6" t="str">
        <f>IFERROR(__xludf.DUMMYFUNCTION("""COMPUTED_VALUE"""),"Services")</f>
        <v>Services</v>
      </c>
      <c r="L142" s="6" t="str">
        <f>IFERROR(__xludf.DUMMYFUNCTION("""COMPUTED_VALUE"""),"Transport Infrastructure")</f>
        <v>Transport Infrastructure</v>
      </c>
      <c r="M142" s="6" t="str">
        <f>IFERROR(__xludf.DUMMYFUNCTION("""COMPUTED_VALUE"""),"Port &amp; Port services")</f>
        <v>Port &amp; Port services</v>
      </c>
      <c r="N142" s="5">
        <f>IFERROR(__xludf.DUMMYFUNCTION("""COMPUTED_VALUE"""),66637.2210692)</f>
        <v>66637.22107</v>
      </c>
      <c r="O142" s="6">
        <f t="shared" si="4"/>
        <v>27</v>
      </c>
      <c r="P142" s="6">
        <f t="shared" ref="P142:Q142" si="286">COUNTIFS(L:L,L142)</f>
        <v>4</v>
      </c>
      <c r="Q142" s="24">
        <f t="shared" si="286"/>
        <v>3</v>
      </c>
      <c r="R142" s="6" t="str">
        <f t="shared" si="6"/>
        <v>Services</v>
      </c>
      <c r="S142" s="6" t="str">
        <f t="shared" si="7"/>
        <v>Services</v>
      </c>
      <c r="T142" s="6">
        <f>IFERROR(__xludf.DUMMYFUNCTION("COUNTA(UNIQUE(query($A$2:$P$800,""select L where K='""&amp; K142&amp;""'"")))"),3.0)</f>
        <v>3</v>
      </c>
      <c r="U142" s="23">
        <f t="shared" si="8"/>
        <v>0.1666666667</v>
      </c>
      <c r="V142" s="23">
        <f t="shared" ref="V142:W142" si="287">P142/O142</f>
        <v>0.1481481481</v>
      </c>
      <c r="W142" s="23">
        <f t="shared" si="287"/>
        <v>0.75</v>
      </c>
    </row>
    <row r="143">
      <c r="A143" s="6">
        <f>IFERROR(__xludf.DUMMYFUNCTION("""COMPUTED_VALUE"""),540755.0)</f>
        <v>540755</v>
      </c>
      <c r="B143" s="6" t="str">
        <f>IFERROR(__xludf.DUMMYFUNCTION("""COMPUTED_VALUE"""),"General Insurance Corporation of India")</f>
        <v>General Insurance Corporation of India</v>
      </c>
      <c r="C143" s="6" t="str">
        <f>IFERROR(__xludf.DUMMYFUNCTION("""COMPUTED_VALUE"""),"GICRE")</f>
        <v>GICRE</v>
      </c>
      <c r="D143" s="6" t="str">
        <f>IFERROR(__xludf.DUMMYFUNCTION("""COMPUTED_VALUE"""),"General Insurance Corporation of India")</f>
        <v>General Insurance Corporation of India</v>
      </c>
      <c r="E143" s="6" t="str">
        <f>IFERROR(__xludf.DUMMYFUNCTION("""COMPUTED_VALUE"""),"Active")</f>
        <v>Active</v>
      </c>
      <c r="F143" s="6" t="str">
        <f>IFERROR(__xludf.DUMMYFUNCTION("""COMPUTED_VALUE"""),"A")</f>
        <v>A</v>
      </c>
      <c r="G143" s="6">
        <f>IFERROR(__xludf.DUMMYFUNCTION("""COMPUTED_VALUE"""),5.0)</f>
        <v>5</v>
      </c>
      <c r="H143" s="6" t="str">
        <f>IFERROR(__xludf.DUMMYFUNCTION("""COMPUTED_VALUE"""),"INE481Y01014")</f>
        <v>INE481Y01014</v>
      </c>
      <c r="I143" s="6" t="str">
        <f>IFERROR(__xludf.DUMMYFUNCTION("""COMPUTED_VALUE"""),"Equity")</f>
        <v>Equity</v>
      </c>
      <c r="J143" s="6" t="str">
        <f>IFERROR(__xludf.DUMMYFUNCTION("""COMPUTED_VALUE"""),"Financial Services")</f>
        <v>Financial Services</v>
      </c>
      <c r="K143" s="6" t="str">
        <f>IFERROR(__xludf.DUMMYFUNCTION("""COMPUTED_VALUE"""),"Financial Services")</f>
        <v>Financial Services</v>
      </c>
      <c r="L143" s="6" t="str">
        <f>IFERROR(__xludf.DUMMYFUNCTION("""COMPUTED_VALUE"""),"Insurance")</f>
        <v>Insurance</v>
      </c>
      <c r="M143" s="6" t="str">
        <f>IFERROR(__xludf.DUMMYFUNCTION("""COMPUTED_VALUE"""),"General Insurance")</f>
        <v>General Insurance</v>
      </c>
      <c r="N143" s="5">
        <f>IFERROR(__xludf.DUMMYFUNCTION("""COMPUTED_VALUE"""),66283.226462)</f>
        <v>66283.22646</v>
      </c>
      <c r="O143" s="6">
        <f t="shared" si="4"/>
        <v>123</v>
      </c>
      <c r="P143" s="6">
        <f t="shared" ref="P143:Q143" si="288">COUNTIFS(L:L,L143)</f>
        <v>10</v>
      </c>
      <c r="Q143" s="24">
        <f t="shared" si="288"/>
        <v>5</v>
      </c>
      <c r="R143" s="6" t="str">
        <f t="shared" si="6"/>
        <v>Financial Services</v>
      </c>
      <c r="S143" s="6" t="str">
        <f t="shared" si="7"/>
        <v>Financial Services</v>
      </c>
      <c r="T143" s="6">
        <f>IFERROR(__xludf.DUMMYFUNCTION("COUNTA(UNIQUE(query($A$2:$P$800,""select L where K='""&amp; K143&amp;""'"")))"),5.0)</f>
        <v>5</v>
      </c>
      <c r="U143" s="23">
        <f t="shared" si="8"/>
        <v>0.06097560976</v>
      </c>
      <c r="V143" s="23">
        <f t="shared" ref="V143:W143" si="289">P143/O143</f>
        <v>0.08130081301</v>
      </c>
      <c r="W143" s="23">
        <f t="shared" si="289"/>
        <v>0.5</v>
      </c>
    </row>
    <row r="144">
      <c r="A144" s="6">
        <f>IFERROR(__xludf.DUMMYFUNCTION("""COMPUTED_VALUE"""),500547.0)</f>
        <v>500547</v>
      </c>
      <c r="B144" s="6" t="str">
        <f>IFERROR(__xludf.DUMMYFUNCTION("""COMPUTED_VALUE"""),"Bharat Petroleum Corpn. Ltd.")</f>
        <v>Bharat Petroleum Corpn. Ltd.</v>
      </c>
      <c r="C144" s="6" t="str">
        <f>IFERROR(__xludf.DUMMYFUNCTION("""COMPUTED_VALUE"""),"BPCL")</f>
        <v>BPCL</v>
      </c>
      <c r="D144" s="6" t="str">
        <f>IFERROR(__xludf.DUMMYFUNCTION("""COMPUTED_VALUE"""),"BHARAT PETROLEUM CORPORATION LTD.")</f>
        <v>BHARAT PETROLEUM CORPORATION LTD.</v>
      </c>
      <c r="E144" s="6" t="str">
        <f>IFERROR(__xludf.DUMMYFUNCTION("""COMPUTED_VALUE"""),"Active")</f>
        <v>Active</v>
      </c>
      <c r="F144" s="6" t="str">
        <f>IFERROR(__xludf.DUMMYFUNCTION("""COMPUTED_VALUE"""),"A")</f>
        <v>A</v>
      </c>
      <c r="G144" s="6">
        <f>IFERROR(__xludf.DUMMYFUNCTION("""COMPUTED_VALUE"""),10.0)</f>
        <v>10</v>
      </c>
      <c r="H144" s="6" t="str">
        <f>IFERROR(__xludf.DUMMYFUNCTION("""COMPUTED_VALUE"""),"INE029A01011")</f>
        <v>INE029A01011</v>
      </c>
      <c r="I144" s="6" t="str">
        <f>IFERROR(__xludf.DUMMYFUNCTION("""COMPUTED_VALUE"""),"Equity")</f>
        <v>Equity</v>
      </c>
      <c r="J144" s="6" t="str">
        <f>IFERROR(__xludf.DUMMYFUNCTION("""COMPUTED_VALUE"""),"Energy")</f>
        <v>Energy</v>
      </c>
      <c r="K144" s="6" t="str">
        <f>IFERROR(__xludf.DUMMYFUNCTION("""COMPUTED_VALUE"""),"Oil, Gas &amp; Consumable, Fuels")</f>
        <v>Oil, Gas &amp; Consumable, Fuels</v>
      </c>
      <c r="L144" s="6" t="str">
        <f>IFERROR(__xludf.DUMMYFUNCTION("""COMPUTED_VALUE"""),"Petroleum Products")</f>
        <v>Petroleum Products</v>
      </c>
      <c r="M144" s="6" t="str">
        <f>IFERROR(__xludf.DUMMYFUNCTION("""COMPUTED_VALUE"""),"Refineries &amp; Marketing")</f>
        <v>Refineries &amp; Marketing</v>
      </c>
      <c r="N144" s="5">
        <f>IFERROR(__xludf.DUMMYFUNCTION("""COMPUTED_VALUE"""),66007.8651201)</f>
        <v>66007.86512</v>
      </c>
      <c r="O144" s="6">
        <f t="shared" si="4"/>
        <v>20</v>
      </c>
      <c r="P144" s="6">
        <f t="shared" ref="P144:Q144" si="290">COUNTIFS(L:L,L144)</f>
        <v>8</v>
      </c>
      <c r="Q144" s="24">
        <f t="shared" si="290"/>
        <v>6</v>
      </c>
      <c r="R144" s="6" t="str">
        <f t="shared" si="6"/>
        <v>Oil, Gas &amp; Consumable, Fuels</v>
      </c>
      <c r="S144" s="6" t="str">
        <f t="shared" si="7"/>
        <v>Oil, Gas &amp; Consumable, Fuels</v>
      </c>
      <c r="T144" s="6">
        <f>IFERROR(__xludf.DUMMYFUNCTION("COUNTA(UNIQUE(query($A$2:$P$800,""select L where K='""&amp; K144&amp;""'"")))"),4.0)</f>
        <v>4</v>
      </c>
      <c r="U144" s="23">
        <f t="shared" si="8"/>
        <v>0.3</v>
      </c>
      <c r="V144" s="23">
        <f t="shared" ref="V144:W144" si="291">P144/O144</f>
        <v>0.4</v>
      </c>
      <c r="W144" s="23">
        <f t="shared" si="291"/>
        <v>0.75</v>
      </c>
    </row>
    <row r="145">
      <c r="A145" s="6">
        <f>IFERROR(__xludf.DUMMYFUNCTION("""COMPUTED_VALUE"""),503100.0)</f>
        <v>503100</v>
      </c>
      <c r="B145" s="6" t="str">
        <f>IFERROR(__xludf.DUMMYFUNCTION("""COMPUTED_VALUE"""),"The Phoenix Mills Ltd.")</f>
        <v>The Phoenix Mills Ltd.</v>
      </c>
      <c r="C145" s="6" t="str">
        <f>IFERROR(__xludf.DUMMYFUNCTION("""COMPUTED_VALUE"""),"PHOENIXLTD")</f>
        <v>PHOENIXLTD</v>
      </c>
      <c r="D145" s="6" t="str">
        <f>IFERROR(__xludf.DUMMYFUNCTION("""COMPUTED_VALUE"""),"The Phoenix Mills Ltd")</f>
        <v>The Phoenix Mills Ltd</v>
      </c>
      <c r="E145" s="6" t="str">
        <f>IFERROR(__xludf.DUMMYFUNCTION("""COMPUTED_VALUE"""),"Active")</f>
        <v>Active</v>
      </c>
      <c r="F145" s="6" t="str">
        <f>IFERROR(__xludf.DUMMYFUNCTION("""COMPUTED_VALUE"""),"A")</f>
        <v>A</v>
      </c>
      <c r="G145" s="6">
        <f>IFERROR(__xludf.DUMMYFUNCTION("""COMPUTED_VALUE"""),2.0)</f>
        <v>2</v>
      </c>
      <c r="H145" s="6" t="str">
        <f>IFERROR(__xludf.DUMMYFUNCTION("""COMPUTED_VALUE"""),"INE211B01039")</f>
        <v>INE211B01039</v>
      </c>
      <c r="I145" s="6" t="str">
        <f>IFERROR(__xludf.DUMMYFUNCTION("""COMPUTED_VALUE"""),"Equity")</f>
        <v>Equity</v>
      </c>
      <c r="J145" s="6" t="str">
        <f>IFERROR(__xludf.DUMMYFUNCTION("""COMPUTED_VALUE"""),"Consumer Discretionary")</f>
        <v>Consumer Discretionary</v>
      </c>
      <c r="K145" s="6" t="str">
        <f>IFERROR(__xludf.DUMMYFUNCTION("""COMPUTED_VALUE"""),"Realty")</f>
        <v>Realty</v>
      </c>
      <c r="L145" s="6" t="str">
        <f>IFERROR(__xludf.DUMMYFUNCTION("""COMPUTED_VALUE"""),"Realty")</f>
        <v>Realty</v>
      </c>
      <c r="M145" s="6" t="str">
        <f>IFERROR(__xludf.DUMMYFUNCTION("""COMPUTED_VALUE"""),"Residential, Commercial Projects")</f>
        <v>Residential, Commercial Projects</v>
      </c>
      <c r="N145" s="5">
        <f>IFERROR(__xludf.DUMMYFUNCTION("""COMPUTED_VALUE"""),65691.4513275)</f>
        <v>65691.45133</v>
      </c>
      <c r="O145" s="6">
        <f t="shared" si="4"/>
        <v>20</v>
      </c>
      <c r="P145" s="6">
        <f t="shared" ref="P145:Q145" si="292">COUNTIFS(L:L,L145)</f>
        <v>20</v>
      </c>
      <c r="Q145" s="24">
        <f t="shared" si="292"/>
        <v>20</v>
      </c>
      <c r="R145" s="6" t="str">
        <f t="shared" si="6"/>
        <v>Realty</v>
      </c>
      <c r="S145" s="6" t="str">
        <f t="shared" si="7"/>
        <v>Realty</v>
      </c>
      <c r="T145" s="6">
        <f>IFERROR(__xludf.DUMMYFUNCTION("COUNTA(UNIQUE(query($A$2:$P$800,""select L where K='""&amp; K145&amp;""'"")))"),1.0)</f>
        <v>1</v>
      </c>
      <c r="U145" s="23">
        <f t="shared" si="8"/>
        <v>0.075</v>
      </c>
      <c r="V145" s="23">
        <f t="shared" ref="V145:W145" si="293">P145/O145</f>
        <v>1</v>
      </c>
      <c r="W145" s="23">
        <f t="shared" si="293"/>
        <v>1</v>
      </c>
    </row>
    <row r="146">
      <c r="A146" s="6">
        <f>IFERROR(__xludf.DUMMYFUNCTION("""COMPUTED_VALUE"""),533273.0)</f>
        <v>533273</v>
      </c>
      <c r="B146" s="6" t="str">
        <f>IFERROR(__xludf.DUMMYFUNCTION("""COMPUTED_VALUE"""),"OBEROI REALTY LIMITED")</f>
        <v>OBEROI REALTY LIMITED</v>
      </c>
      <c r="C146" s="6" t="str">
        <f>IFERROR(__xludf.DUMMYFUNCTION("""COMPUTED_VALUE"""),"OBEROIRLTY")</f>
        <v>OBEROIRLTY</v>
      </c>
      <c r="D146" s="6" t="str">
        <f>IFERROR(__xludf.DUMMYFUNCTION("""COMPUTED_VALUE"""),"OBEROI REALTY LTD.")</f>
        <v>OBEROI REALTY LTD.</v>
      </c>
      <c r="E146" s="6" t="str">
        <f>IFERROR(__xludf.DUMMYFUNCTION("""COMPUTED_VALUE"""),"Active")</f>
        <v>Active</v>
      </c>
      <c r="F146" s="6" t="str">
        <f>IFERROR(__xludf.DUMMYFUNCTION("""COMPUTED_VALUE"""),"A")</f>
        <v>A</v>
      </c>
      <c r="G146" s="6">
        <f>IFERROR(__xludf.DUMMYFUNCTION("""COMPUTED_VALUE"""),10.0)</f>
        <v>10</v>
      </c>
      <c r="H146" s="6" t="str">
        <f>IFERROR(__xludf.DUMMYFUNCTION("""COMPUTED_VALUE"""),"INE093I01010")</f>
        <v>INE093I01010</v>
      </c>
      <c r="I146" s="6" t="str">
        <f>IFERROR(__xludf.DUMMYFUNCTION("""COMPUTED_VALUE"""),"Equity")</f>
        <v>Equity</v>
      </c>
      <c r="J146" s="6" t="str">
        <f>IFERROR(__xludf.DUMMYFUNCTION("""COMPUTED_VALUE"""),"Consumer Discretionary")</f>
        <v>Consumer Discretionary</v>
      </c>
      <c r="K146" s="6" t="str">
        <f>IFERROR(__xludf.DUMMYFUNCTION("""COMPUTED_VALUE"""),"Realty")</f>
        <v>Realty</v>
      </c>
      <c r="L146" s="6" t="str">
        <f>IFERROR(__xludf.DUMMYFUNCTION("""COMPUTED_VALUE"""),"Realty")</f>
        <v>Realty</v>
      </c>
      <c r="M146" s="6" t="str">
        <f>IFERROR(__xludf.DUMMYFUNCTION("""COMPUTED_VALUE"""),"Residential, Commercial Projects")</f>
        <v>Residential, Commercial Projects</v>
      </c>
      <c r="N146" s="5">
        <f>IFERROR(__xludf.DUMMYFUNCTION("""COMPUTED_VALUE"""),65642.8540928)</f>
        <v>65642.85409</v>
      </c>
      <c r="O146" s="6">
        <f t="shared" si="4"/>
        <v>20</v>
      </c>
      <c r="P146" s="6">
        <f t="shared" ref="P146:Q146" si="294">COUNTIFS(L:L,L146)</f>
        <v>20</v>
      </c>
      <c r="Q146" s="24">
        <f t="shared" si="294"/>
        <v>20</v>
      </c>
      <c r="R146" s="6" t="str">
        <f t="shared" si="6"/>
        <v>Realty</v>
      </c>
      <c r="S146" s="6" t="str">
        <f t="shared" si="7"/>
        <v>Realty</v>
      </c>
      <c r="T146" s="6">
        <f>IFERROR(__xludf.DUMMYFUNCTION("COUNTA(UNIQUE(query($A$2:$P$800,""select L where K='""&amp; K146&amp;""'"")))"),1.0)</f>
        <v>1</v>
      </c>
      <c r="U146" s="23">
        <f t="shared" si="8"/>
        <v>0.075</v>
      </c>
      <c r="V146" s="23">
        <f t="shared" ref="V146:W146" si="295">P146/O146</f>
        <v>1</v>
      </c>
      <c r="W146" s="23">
        <f t="shared" si="295"/>
        <v>1</v>
      </c>
    </row>
    <row r="147">
      <c r="A147" s="6">
        <f>IFERROR(__xludf.DUMMYFUNCTION("""COMPUTED_VALUE"""),533179.0)</f>
        <v>533179</v>
      </c>
      <c r="B147" s="6" t="str">
        <f>IFERROR(__xludf.DUMMYFUNCTION("""COMPUTED_VALUE"""),"Persistent Systems Limited")</f>
        <v>Persistent Systems Limited</v>
      </c>
      <c r="C147" s="6" t="str">
        <f>IFERROR(__xludf.DUMMYFUNCTION("""COMPUTED_VALUE"""),"PERSISTENT")</f>
        <v>PERSISTENT</v>
      </c>
      <c r="D147" s="6" t="str">
        <f>IFERROR(__xludf.DUMMYFUNCTION("""COMPUTED_VALUE"""),"PERSISTENT SYSTEMS LTD.")</f>
        <v>PERSISTENT SYSTEMS LTD.</v>
      </c>
      <c r="E147" s="6" t="str">
        <f>IFERROR(__xludf.DUMMYFUNCTION("""COMPUTED_VALUE"""),"Active")</f>
        <v>Active</v>
      </c>
      <c r="F147" s="6" t="str">
        <f>IFERROR(__xludf.DUMMYFUNCTION("""COMPUTED_VALUE"""),"A")</f>
        <v>A</v>
      </c>
      <c r="G147" s="6">
        <f>IFERROR(__xludf.DUMMYFUNCTION("""COMPUTED_VALUE"""),5.0)</f>
        <v>5</v>
      </c>
      <c r="H147" s="6" t="str">
        <f>IFERROR(__xludf.DUMMYFUNCTION("""COMPUTED_VALUE"""),"INE262H01021")</f>
        <v>INE262H01021</v>
      </c>
      <c r="I147" s="6" t="str">
        <f>IFERROR(__xludf.DUMMYFUNCTION("""COMPUTED_VALUE"""),"Equity")</f>
        <v>Equity</v>
      </c>
      <c r="J147" s="6" t="str">
        <f>IFERROR(__xludf.DUMMYFUNCTION("""COMPUTED_VALUE"""),"Information Technology")</f>
        <v>Information Technology</v>
      </c>
      <c r="K147" s="6" t="str">
        <f>IFERROR(__xludf.DUMMYFUNCTION("""COMPUTED_VALUE"""),"Information Technology")</f>
        <v>Information Technology</v>
      </c>
      <c r="L147" s="6" t="str">
        <f>IFERROR(__xludf.DUMMYFUNCTION("""COMPUTED_VALUE"""),"IT - Software")</f>
        <v>IT - Software</v>
      </c>
      <c r="M147" s="6" t="str">
        <f>IFERROR(__xludf.DUMMYFUNCTION("""COMPUTED_VALUE"""),"Computers - Software &amp; Consulting")</f>
        <v>Computers - Software &amp; Consulting</v>
      </c>
      <c r="N147" s="5">
        <f>IFERROR(__xludf.DUMMYFUNCTION("""COMPUTED_VALUE"""),65200.6352093)</f>
        <v>65200.63521</v>
      </c>
      <c r="O147" s="6">
        <f t="shared" si="4"/>
        <v>36</v>
      </c>
      <c r="P147" s="6">
        <f t="shared" ref="P147:Q147" si="296">COUNTIFS(L:L,L147)</f>
        <v>27</v>
      </c>
      <c r="Q147" s="24">
        <f t="shared" si="296"/>
        <v>22</v>
      </c>
      <c r="R147" s="6" t="str">
        <f t="shared" si="6"/>
        <v>Information Technology</v>
      </c>
      <c r="S147" s="6" t="str">
        <f t="shared" si="7"/>
        <v>Information Technology</v>
      </c>
      <c r="T147" s="6">
        <f>IFERROR(__xludf.DUMMYFUNCTION("COUNTA(UNIQUE(query($A$2:$P$800,""select L where K='""&amp; K147&amp;""'"")))"),3.0)</f>
        <v>3</v>
      </c>
      <c r="U147" s="23">
        <f t="shared" si="8"/>
        <v>0.125</v>
      </c>
      <c r="V147" s="23">
        <f t="shared" ref="V147:W147" si="297">P147/O147</f>
        <v>0.75</v>
      </c>
      <c r="W147" s="23">
        <f t="shared" si="297"/>
        <v>0.8148148148</v>
      </c>
    </row>
    <row r="148">
      <c r="A148" s="6">
        <f>IFERROR(__xludf.DUMMYFUNCTION("""COMPUTED_VALUE"""),532505.0)</f>
        <v>532505</v>
      </c>
      <c r="B148" s="6" t="str">
        <f>IFERROR(__xludf.DUMMYFUNCTION("""COMPUTED_VALUE"""),"UCO Bank")</f>
        <v>UCO Bank</v>
      </c>
      <c r="C148" s="6" t="str">
        <f>IFERROR(__xludf.DUMMYFUNCTION("""COMPUTED_VALUE"""),"UCOBANK")</f>
        <v>UCOBANK</v>
      </c>
      <c r="D148" s="6" t="str">
        <f>IFERROR(__xludf.DUMMYFUNCTION("""COMPUTED_VALUE"""),"UCO BANK")</f>
        <v>UCO BANK</v>
      </c>
      <c r="E148" s="6" t="str">
        <f>IFERROR(__xludf.DUMMYFUNCTION("""COMPUTED_VALUE"""),"Active")</f>
        <v>Active</v>
      </c>
      <c r="F148" s="6" t="str">
        <f>IFERROR(__xludf.DUMMYFUNCTION("""COMPUTED_VALUE"""),"A")</f>
        <v>A</v>
      </c>
      <c r="G148" s="6">
        <f>IFERROR(__xludf.DUMMYFUNCTION("""COMPUTED_VALUE"""),10.0)</f>
        <v>10</v>
      </c>
      <c r="H148" s="6" t="str">
        <f>IFERROR(__xludf.DUMMYFUNCTION("""COMPUTED_VALUE"""),"INE691A01018")</f>
        <v>INE691A01018</v>
      </c>
      <c r="I148" s="6" t="str">
        <f>IFERROR(__xludf.DUMMYFUNCTION("""COMPUTED_VALUE"""),"Equity")</f>
        <v>Equity</v>
      </c>
      <c r="J148" s="6" t="str">
        <f>IFERROR(__xludf.DUMMYFUNCTION("""COMPUTED_VALUE"""),"Financial Services")</f>
        <v>Financial Services</v>
      </c>
      <c r="K148" s="6" t="str">
        <f>IFERROR(__xludf.DUMMYFUNCTION("""COMPUTED_VALUE"""),"Financial Services")</f>
        <v>Financial Services</v>
      </c>
      <c r="L148" s="6" t="str">
        <f>IFERROR(__xludf.DUMMYFUNCTION("""COMPUTED_VALUE"""),"Banks")</f>
        <v>Banks</v>
      </c>
      <c r="M148" s="6" t="str">
        <f>IFERROR(__xludf.DUMMYFUNCTION("""COMPUTED_VALUE"""),"Public Sector Bank")</f>
        <v>Public Sector Bank</v>
      </c>
      <c r="N148" s="5">
        <f>IFERROR(__xludf.DUMMYFUNCTION("""COMPUTED_VALUE"""),65195.1500171)</f>
        <v>65195.15002</v>
      </c>
      <c r="O148" s="6">
        <f t="shared" si="4"/>
        <v>123</v>
      </c>
      <c r="P148" s="6">
        <f t="shared" ref="P148:Q148" si="298">COUNTIFS(L:L,L148)</f>
        <v>35</v>
      </c>
      <c r="Q148" s="24">
        <f t="shared" si="298"/>
        <v>12</v>
      </c>
      <c r="R148" s="6" t="str">
        <f t="shared" si="6"/>
        <v>Banks</v>
      </c>
      <c r="S148" s="6" t="str">
        <f t="shared" si="7"/>
        <v>Banks</v>
      </c>
      <c r="T148" s="6">
        <f>IFERROR(__xludf.DUMMYFUNCTION("COUNTA(UNIQUE(query($A$2:$P$800,""select L where K='""&amp; K148&amp;""'"")))"),5.0)</f>
        <v>5</v>
      </c>
      <c r="U148" s="23">
        <f t="shared" si="8"/>
        <v>0.06097560976</v>
      </c>
      <c r="V148" s="23">
        <f t="shared" ref="V148:W148" si="299">P148/O148</f>
        <v>0.2845528455</v>
      </c>
      <c r="W148" s="23">
        <f t="shared" si="299"/>
        <v>0.3428571429</v>
      </c>
    </row>
    <row r="149">
      <c r="A149" s="6">
        <f>IFERROR(__xludf.DUMMYFUNCTION("""COMPUTED_VALUE"""),532830.0)</f>
        <v>532830</v>
      </c>
      <c r="B149" s="6" t="str">
        <f>IFERROR(__xludf.DUMMYFUNCTION("""COMPUTED_VALUE"""),"ASTRAL LIMITED")</f>
        <v>ASTRAL LIMITED</v>
      </c>
      <c r="C149" s="6" t="str">
        <f>IFERROR(__xludf.DUMMYFUNCTION("""COMPUTED_VALUE"""),"ASTRAL")</f>
        <v>ASTRAL</v>
      </c>
      <c r="D149" s="6" t="str">
        <f>IFERROR(__xludf.DUMMYFUNCTION("""COMPUTED_VALUE"""),"Astral Ltd")</f>
        <v>Astral Ltd</v>
      </c>
      <c r="E149" s="6" t="str">
        <f>IFERROR(__xludf.DUMMYFUNCTION("""COMPUTED_VALUE"""),"Active")</f>
        <v>Active</v>
      </c>
      <c r="F149" s="6" t="str">
        <f>IFERROR(__xludf.DUMMYFUNCTION("""COMPUTED_VALUE"""),"A")</f>
        <v>A</v>
      </c>
      <c r="G149" s="6">
        <f>IFERROR(__xludf.DUMMYFUNCTION("""COMPUTED_VALUE"""),1.0)</f>
        <v>1</v>
      </c>
      <c r="H149" s="6" t="str">
        <f>IFERROR(__xludf.DUMMYFUNCTION("""COMPUTED_VALUE"""),"INE006I01046")</f>
        <v>INE006I01046</v>
      </c>
      <c r="I149" s="6" t="str">
        <f>IFERROR(__xludf.DUMMYFUNCTION("""COMPUTED_VALUE"""),"Equity")</f>
        <v>Equity</v>
      </c>
      <c r="J149" s="6" t="str">
        <f>IFERROR(__xludf.DUMMYFUNCTION("""COMPUTED_VALUE"""),"Industrials")</f>
        <v>Industrials</v>
      </c>
      <c r="K149" s="6" t="str">
        <f>IFERROR(__xludf.DUMMYFUNCTION("""COMPUTED_VALUE"""),"Capital Goods")</f>
        <v>Capital Goods</v>
      </c>
      <c r="L149" s="6" t="str">
        <f>IFERROR(__xludf.DUMMYFUNCTION("""COMPUTED_VALUE"""),"Industrial Products")</f>
        <v>Industrial Products</v>
      </c>
      <c r="M149" s="6" t="str">
        <f>IFERROR(__xludf.DUMMYFUNCTION("""COMPUTED_VALUE"""),"Plastic Products - Industrial")</f>
        <v>Plastic Products - Industrial</v>
      </c>
      <c r="N149" s="5">
        <f>IFERROR(__xludf.DUMMYFUNCTION("""COMPUTED_VALUE"""),64784.34567)</f>
        <v>64784.34567</v>
      </c>
      <c r="O149" s="6">
        <f t="shared" si="4"/>
        <v>110</v>
      </c>
      <c r="P149" s="6">
        <f t="shared" ref="P149:Q149" si="300">COUNTIFS(L:L,L149)</f>
        <v>51</v>
      </c>
      <c r="Q149" s="24">
        <f t="shared" si="300"/>
        <v>9</v>
      </c>
      <c r="R149" s="6" t="str">
        <f t="shared" si="6"/>
        <v>Industrial Products</v>
      </c>
      <c r="S149" s="6" t="str">
        <f t="shared" si="7"/>
        <v>Industrial Products</v>
      </c>
      <c r="T149" s="6">
        <f>IFERROR(__xludf.DUMMYFUNCTION("COUNTA(UNIQUE(query($A$2:$P$800,""select L where K='""&amp; K149&amp;""'"")))"),5.0)</f>
        <v>5</v>
      </c>
      <c r="U149" s="23">
        <f t="shared" si="8"/>
        <v>0.06818181818</v>
      </c>
      <c r="V149" s="23">
        <f t="shared" ref="V149:W149" si="301">P149/O149</f>
        <v>0.4636363636</v>
      </c>
      <c r="W149" s="23">
        <f t="shared" si="301"/>
        <v>0.1764705882</v>
      </c>
    </row>
    <row r="150">
      <c r="A150" s="6">
        <f>IFERROR(__xludf.DUMMYFUNCTION("""COMPUTED_VALUE"""),590024.0)</f>
        <v>590024</v>
      </c>
      <c r="B150" s="6" t="str">
        <f>IFERROR(__xludf.DUMMYFUNCTION("""COMPUTED_VALUE"""),"Fertilizers and Chemicals Travancore Limited")</f>
        <v>Fertilizers and Chemicals Travancore Limited</v>
      </c>
      <c r="C150" s="6" t="str">
        <f>IFERROR(__xludf.DUMMYFUNCTION("""COMPUTED_VALUE"""),"FACT")</f>
        <v>FACT</v>
      </c>
      <c r="D150" s="6" t="str">
        <f>IFERROR(__xludf.DUMMYFUNCTION("""COMPUTED_VALUE"""),"FERTILIZERS &amp; CHEMICALS TRAVANCORE LTD.")</f>
        <v>FERTILIZERS &amp; CHEMICALS TRAVANCORE LTD.</v>
      </c>
      <c r="E150" s="6" t="str">
        <f>IFERROR(__xludf.DUMMYFUNCTION("""COMPUTED_VALUE"""),"Active")</f>
        <v>Active</v>
      </c>
      <c r="F150" s="6" t="str">
        <f>IFERROR(__xludf.DUMMYFUNCTION("""COMPUTED_VALUE"""),"B")</f>
        <v>B</v>
      </c>
      <c r="G150" s="6">
        <f>IFERROR(__xludf.DUMMYFUNCTION("""COMPUTED_VALUE"""),10.0)</f>
        <v>10</v>
      </c>
      <c r="H150" s="6" t="str">
        <f>IFERROR(__xludf.DUMMYFUNCTION("""COMPUTED_VALUE"""),"INE188A01015")</f>
        <v>INE188A01015</v>
      </c>
      <c r="I150" s="6" t="str">
        <f>IFERROR(__xludf.DUMMYFUNCTION("""COMPUTED_VALUE"""),"Equity")</f>
        <v>Equity</v>
      </c>
      <c r="J150" s="6" t="str">
        <f>IFERROR(__xludf.DUMMYFUNCTION("""COMPUTED_VALUE"""),"Commodities")</f>
        <v>Commodities</v>
      </c>
      <c r="K150" s="6" t="str">
        <f>IFERROR(__xludf.DUMMYFUNCTION("""COMPUTED_VALUE"""),"Chemicals")</f>
        <v>Chemicals</v>
      </c>
      <c r="L150" s="6" t="str">
        <f>IFERROR(__xludf.DUMMYFUNCTION("""COMPUTED_VALUE"""),"Fertilizers &amp; Agrochemicals")</f>
        <v>Fertilizers &amp; Agrochemicals</v>
      </c>
      <c r="M150" s="6" t="str">
        <f>IFERROR(__xludf.DUMMYFUNCTION("""COMPUTED_VALUE"""),"Fertilizers")</f>
        <v>Fertilizers</v>
      </c>
      <c r="N150" s="5">
        <f>IFERROR(__xludf.DUMMYFUNCTION("""COMPUTED_VALUE"""),63971.6712892)</f>
        <v>63971.67129</v>
      </c>
      <c r="O150" s="6">
        <f t="shared" si="4"/>
        <v>52</v>
      </c>
      <c r="P150" s="6">
        <f t="shared" ref="P150:Q150" si="302">COUNTIFS(L:L,L150)</f>
        <v>15</v>
      </c>
      <c r="Q150" s="24">
        <f t="shared" si="302"/>
        <v>8</v>
      </c>
      <c r="R150" s="6" t="str">
        <f t="shared" si="6"/>
        <v>Fertilizers &amp; Agrochemicals</v>
      </c>
      <c r="S150" s="6" t="str">
        <f t="shared" si="7"/>
        <v>Fertilizers &amp; Agrochemicals</v>
      </c>
      <c r="T150" s="6">
        <f>IFERROR(__xludf.DUMMYFUNCTION("COUNTA(UNIQUE(query($A$2:$P$800,""select L where K='""&amp; K150&amp;""'"")))"),2.0)</f>
        <v>2</v>
      </c>
      <c r="U150" s="23">
        <f t="shared" si="8"/>
        <v>0.05769230769</v>
      </c>
      <c r="V150" s="23">
        <f t="shared" ref="V150:W150" si="303">P150/O150</f>
        <v>0.2884615385</v>
      </c>
      <c r="W150" s="23">
        <f t="shared" si="303"/>
        <v>0.5333333333</v>
      </c>
    </row>
    <row r="151">
      <c r="A151" s="6">
        <f>IFERROR(__xludf.DUMMYFUNCTION("""COMPUTED_VALUE"""),532539.0)</f>
        <v>532539</v>
      </c>
      <c r="B151" s="6" t="str">
        <f>IFERROR(__xludf.DUMMYFUNCTION("""COMPUTED_VALUE"""),"UNO Minda Limited")</f>
        <v>UNO Minda Limited</v>
      </c>
      <c r="C151" s="6" t="str">
        <f>IFERROR(__xludf.DUMMYFUNCTION("""COMPUTED_VALUE"""),"UNOMINDA")</f>
        <v>UNOMINDA</v>
      </c>
      <c r="D151" s="6" t="str">
        <f>IFERROR(__xludf.DUMMYFUNCTION("""COMPUTED_VALUE"""),"UNO Minda Ltd-$")</f>
        <v>UNO Minda Ltd-$</v>
      </c>
      <c r="E151" s="6" t="str">
        <f>IFERROR(__xludf.DUMMYFUNCTION("""COMPUTED_VALUE"""),"Active")</f>
        <v>Active</v>
      </c>
      <c r="F151" s="6" t="str">
        <f>IFERROR(__xludf.DUMMYFUNCTION("""COMPUTED_VALUE"""),"A")</f>
        <v>A</v>
      </c>
      <c r="G151" s="6">
        <f>IFERROR(__xludf.DUMMYFUNCTION("""COMPUTED_VALUE"""),2.0)</f>
        <v>2</v>
      </c>
      <c r="H151" s="6" t="str">
        <f>IFERROR(__xludf.DUMMYFUNCTION("""COMPUTED_VALUE"""),"INE405E01023")</f>
        <v>INE405E01023</v>
      </c>
      <c r="I151" s="6" t="str">
        <f>IFERROR(__xludf.DUMMYFUNCTION("""COMPUTED_VALUE"""),"Equity")</f>
        <v>Equity</v>
      </c>
      <c r="J151" s="6" t="str">
        <f>IFERROR(__xludf.DUMMYFUNCTION("""COMPUTED_VALUE"""),"Consumer Discretionary")</f>
        <v>Consumer Discretionary</v>
      </c>
      <c r="K151" s="6" t="str">
        <f>IFERROR(__xludf.DUMMYFUNCTION("""COMPUTED_VALUE"""),"Automobile and Auto Components")</f>
        <v>Automobile and Auto Components</v>
      </c>
      <c r="L151" s="6" t="str">
        <f>IFERROR(__xludf.DUMMYFUNCTION("""COMPUTED_VALUE"""),"Auto Components")</f>
        <v>Auto Components</v>
      </c>
      <c r="M151" s="6" t="str">
        <f>IFERROR(__xludf.DUMMYFUNCTION("""COMPUTED_VALUE"""),"Auto Components &amp; Equipments")</f>
        <v>Auto Components &amp; Equipments</v>
      </c>
      <c r="N151" s="5">
        <f>IFERROR(__xludf.DUMMYFUNCTION("""COMPUTED_VALUE"""),62701.56)</f>
        <v>62701.56</v>
      </c>
      <c r="O151" s="6">
        <f t="shared" si="4"/>
        <v>47</v>
      </c>
      <c r="P151" s="6">
        <f t="shared" ref="P151:Q151" si="304">COUNTIFS(L:L,L151)</f>
        <v>37</v>
      </c>
      <c r="Q151" s="24">
        <f t="shared" si="304"/>
        <v>32</v>
      </c>
      <c r="R151" s="6" t="str">
        <f t="shared" si="6"/>
        <v>Automobile and Auto Components</v>
      </c>
      <c r="S151" s="6" t="str">
        <f t="shared" si="7"/>
        <v>Automobile and Auto Components</v>
      </c>
      <c r="T151" s="6">
        <f>IFERROR(__xludf.DUMMYFUNCTION("COUNTA(UNIQUE(query($A$2:$P$800,""select L where K='""&amp; K151&amp;""'"")))"),2.0)</f>
        <v>2</v>
      </c>
      <c r="U151" s="23">
        <f t="shared" si="8"/>
        <v>0.06382978723</v>
      </c>
      <c r="V151" s="23">
        <f t="shared" ref="V151:W151" si="305">P151/O151</f>
        <v>0.7872340426</v>
      </c>
      <c r="W151" s="23">
        <f t="shared" si="305"/>
        <v>0.8648648649</v>
      </c>
    </row>
    <row r="152">
      <c r="A152" s="6">
        <f>IFERROR(__xludf.DUMMYFUNCTION("""COMPUTED_VALUE"""),531344.0)</f>
        <v>531344</v>
      </c>
      <c r="B152" s="6" t="str">
        <f>IFERROR(__xludf.DUMMYFUNCTION("""COMPUTED_VALUE"""),"Container Corporation Of India Ltd.")</f>
        <v>Container Corporation Of India Ltd.</v>
      </c>
      <c r="C152" s="6" t="str">
        <f>IFERROR(__xludf.DUMMYFUNCTION("""COMPUTED_VALUE"""),"CONCOR")</f>
        <v>CONCOR</v>
      </c>
      <c r="D152" s="6" t="str">
        <f>IFERROR(__xludf.DUMMYFUNCTION("""COMPUTED_VALUE"""),"CONTAINER CORPORATION OF INDIA LTD.")</f>
        <v>CONTAINER CORPORATION OF INDIA LTD.</v>
      </c>
      <c r="E152" s="6" t="str">
        <f>IFERROR(__xludf.DUMMYFUNCTION("""COMPUTED_VALUE"""),"Active")</f>
        <v>Active</v>
      </c>
      <c r="F152" s="6" t="str">
        <f>IFERROR(__xludf.DUMMYFUNCTION("""COMPUTED_VALUE"""),"A")</f>
        <v>A</v>
      </c>
      <c r="G152" s="6">
        <f>IFERROR(__xludf.DUMMYFUNCTION("""COMPUTED_VALUE"""),5.0)</f>
        <v>5</v>
      </c>
      <c r="H152" s="6" t="str">
        <f>IFERROR(__xludf.DUMMYFUNCTION("""COMPUTED_VALUE"""),"INE111A01025")</f>
        <v>INE111A01025</v>
      </c>
      <c r="I152" s="6" t="str">
        <f>IFERROR(__xludf.DUMMYFUNCTION("""COMPUTED_VALUE"""),"Equity")</f>
        <v>Equity</v>
      </c>
      <c r="J152" s="6" t="str">
        <f>IFERROR(__xludf.DUMMYFUNCTION("""COMPUTED_VALUE"""),"Services")</f>
        <v>Services</v>
      </c>
      <c r="K152" s="6" t="str">
        <f>IFERROR(__xludf.DUMMYFUNCTION("""COMPUTED_VALUE"""),"Services")</f>
        <v>Services</v>
      </c>
      <c r="L152" s="6" t="str">
        <f>IFERROR(__xludf.DUMMYFUNCTION("""COMPUTED_VALUE"""),"Transport Services")</f>
        <v>Transport Services</v>
      </c>
      <c r="M152" s="6" t="str">
        <f>IFERROR(__xludf.DUMMYFUNCTION("""COMPUTED_VALUE"""),"Logistics Solution Provider")</f>
        <v>Logistics Solution Provider</v>
      </c>
      <c r="N152" s="5">
        <f>IFERROR(__xludf.DUMMYFUNCTION("""COMPUTED_VALUE"""),62434.2638599)</f>
        <v>62434.26386</v>
      </c>
      <c r="O152" s="6">
        <f t="shared" si="4"/>
        <v>27</v>
      </c>
      <c r="P152" s="6">
        <f t="shared" ref="P152:Q152" si="306">COUNTIFS(L:L,L152)</f>
        <v>12</v>
      </c>
      <c r="Q152" s="24">
        <f t="shared" si="306"/>
        <v>9</v>
      </c>
      <c r="R152" s="6" t="str">
        <f t="shared" si="6"/>
        <v>Services</v>
      </c>
      <c r="S152" s="6" t="str">
        <f t="shared" si="7"/>
        <v>Services</v>
      </c>
      <c r="T152" s="6">
        <f>IFERROR(__xludf.DUMMYFUNCTION("COUNTA(UNIQUE(query($A$2:$P$800,""select L where K='""&amp; K152&amp;""'"")))"),3.0)</f>
        <v>3</v>
      </c>
      <c r="U152" s="23">
        <f t="shared" si="8"/>
        <v>0.1666666667</v>
      </c>
      <c r="V152" s="23">
        <f t="shared" ref="V152:W152" si="307">P152/O152</f>
        <v>0.4444444444</v>
      </c>
      <c r="W152" s="23">
        <f t="shared" si="307"/>
        <v>0.75</v>
      </c>
    </row>
    <row r="153">
      <c r="A153" s="6">
        <f>IFERROR(__xludf.DUMMYFUNCTION("""COMPUTED_VALUE"""),502355.0)</f>
        <v>502355</v>
      </c>
      <c r="B153" s="6" t="str">
        <f>IFERROR(__xludf.DUMMYFUNCTION("""COMPUTED_VALUE"""),"Balkrishna Industries Ltd.")</f>
        <v>Balkrishna Industries Ltd.</v>
      </c>
      <c r="C153" s="6" t="str">
        <f>IFERROR(__xludf.DUMMYFUNCTION("""COMPUTED_VALUE"""),"BALKRISIND")</f>
        <v>BALKRISIND</v>
      </c>
      <c r="D153" s="6" t="str">
        <f>IFERROR(__xludf.DUMMYFUNCTION("""COMPUTED_VALUE"""),"BALKRISHNA INDUSTRIES LTD.-$")</f>
        <v>BALKRISHNA INDUSTRIES LTD.-$</v>
      </c>
      <c r="E153" s="6" t="str">
        <f>IFERROR(__xludf.DUMMYFUNCTION("""COMPUTED_VALUE"""),"Active")</f>
        <v>Active</v>
      </c>
      <c r="F153" s="6" t="str">
        <f>IFERROR(__xludf.DUMMYFUNCTION("""COMPUTED_VALUE"""),"A")</f>
        <v>A</v>
      </c>
      <c r="G153" s="6">
        <f>IFERROR(__xludf.DUMMYFUNCTION("""COMPUTED_VALUE"""),2.0)</f>
        <v>2</v>
      </c>
      <c r="H153" s="6" t="str">
        <f>IFERROR(__xludf.DUMMYFUNCTION("""COMPUTED_VALUE"""),"INE787D01026")</f>
        <v>INE787D01026</v>
      </c>
      <c r="I153" s="6" t="str">
        <f>IFERROR(__xludf.DUMMYFUNCTION("""COMPUTED_VALUE"""),"Equity")</f>
        <v>Equity</v>
      </c>
      <c r="J153" s="6" t="str">
        <f>IFERROR(__xludf.DUMMYFUNCTION("""COMPUTED_VALUE"""),"Consumer Discretionary")</f>
        <v>Consumer Discretionary</v>
      </c>
      <c r="K153" s="6" t="str">
        <f>IFERROR(__xludf.DUMMYFUNCTION("""COMPUTED_VALUE"""),"Automobile and Auto Components")</f>
        <v>Automobile and Auto Components</v>
      </c>
      <c r="L153" s="6" t="str">
        <f>IFERROR(__xludf.DUMMYFUNCTION("""COMPUTED_VALUE"""),"Auto Components")</f>
        <v>Auto Components</v>
      </c>
      <c r="M153" s="6" t="str">
        <f>IFERROR(__xludf.DUMMYFUNCTION("""COMPUTED_VALUE"""),"Tyres &amp; Rubber Products")</f>
        <v>Tyres &amp; Rubber Products</v>
      </c>
      <c r="N153" s="5">
        <f>IFERROR(__xludf.DUMMYFUNCTION("""COMPUTED_VALUE"""),61800.9963305)</f>
        <v>61800.99633</v>
      </c>
      <c r="O153" s="6">
        <f t="shared" si="4"/>
        <v>47</v>
      </c>
      <c r="P153" s="6">
        <f t="shared" ref="P153:Q153" si="308">COUNTIFS(L:L,L153)</f>
        <v>37</v>
      </c>
      <c r="Q153" s="24">
        <f t="shared" si="308"/>
        <v>5</v>
      </c>
      <c r="R153" s="6" t="str">
        <f t="shared" si="6"/>
        <v>Automobile and Auto Components</v>
      </c>
      <c r="S153" s="6" t="str">
        <f t="shared" si="7"/>
        <v>Automobile and Auto Components</v>
      </c>
      <c r="T153" s="6">
        <f>IFERROR(__xludf.DUMMYFUNCTION("COUNTA(UNIQUE(query($A$2:$P$800,""select L where K='""&amp; K153&amp;""'"")))"),2.0)</f>
        <v>2</v>
      </c>
      <c r="U153" s="23">
        <f t="shared" si="8"/>
        <v>0.06382978723</v>
      </c>
      <c r="V153" s="23">
        <f t="shared" ref="V153:W153" si="309">P153/O153</f>
        <v>0.7872340426</v>
      </c>
      <c r="W153" s="23">
        <f t="shared" si="309"/>
        <v>0.1351351351</v>
      </c>
    </row>
    <row r="154">
      <c r="A154" s="6">
        <f>IFERROR(__xludf.DUMMYFUNCTION("""COMPUTED_VALUE"""),540691.0)</f>
        <v>540691</v>
      </c>
      <c r="B154" s="6" t="str">
        <f>IFERROR(__xludf.DUMMYFUNCTION("""COMPUTED_VALUE"""),"Aditya Birla Capital Ltd")</f>
        <v>Aditya Birla Capital Ltd</v>
      </c>
      <c r="C154" s="6" t="str">
        <f>IFERROR(__xludf.DUMMYFUNCTION("""COMPUTED_VALUE"""),"ABCAPITAL")</f>
        <v>ABCAPITAL</v>
      </c>
      <c r="D154" s="6" t="str">
        <f>IFERROR(__xludf.DUMMYFUNCTION("""COMPUTED_VALUE"""),"Aditya Birla Capital Ltd")</f>
        <v>Aditya Birla Capital Ltd</v>
      </c>
      <c r="E154" s="6" t="str">
        <f>IFERROR(__xludf.DUMMYFUNCTION("""COMPUTED_VALUE"""),"Active")</f>
        <v>Active</v>
      </c>
      <c r="F154" s="6" t="str">
        <f>IFERROR(__xludf.DUMMYFUNCTION("""COMPUTED_VALUE"""),"A")</f>
        <v>A</v>
      </c>
      <c r="G154" s="6">
        <f>IFERROR(__xludf.DUMMYFUNCTION("""COMPUTED_VALUE"""),10.0)</f>
        <v>10</v>
      </c>
      <c r="H154" s="6" t="str">
        <f>IFERROR(__xludf.DUMMYFUNCTION("""COMPUTED_VALUE"""),"INE674K01013")</f>
        <v>INE674K01013</v>
      </c>
      <c r="I154" s="6" t="str">
        <f>IFERROR(__xludf.DUMMYFUNCTION("""COMPUTED_VALUE"""),"Equity")</f>
        <v>Equity</v>
      </c>
      <c r="J154" s="6" t="str">
        <f>IFERROR(__xludf.DUMMYFUNCTION("""COMPUTED_VALUE"""),"Financial Services")</f>
        <v>Financial Services</v>
      </c>
      <c r="K154" s="6" t="str">
        <f>IFERROR(__xludf.DUMMYFUNCTION("""COMPUTED_VALUE"""),"Financial Services")</f>
        <v>Financial Services</v>
      </c>
      <c r="L154" s="6" t="str">
        <f>IFERROR(__xludf.DUMMYFUNCTION("""COMPUTED_VALUE"""),"Finance")</f>
        <v>Finance</v>
      </c>
      <c r="M154" s="6" t="str">
        <f>IFERROR(__xludf.DUMMYFUNCTION("""COMPUTED_VALUE"""),"Investment Company")</f>
        <v>Investment Company</v>
      </c>
      <c r="N154" s="5">
        <f>IFERROR(__xludf.DUMMYFUNCTION("""COMPUTED_VALUE"""),61428.9342241)</f>
        <v>61428.93422</v>
      </c>
      <c r="O154" s="6">
        <f t="shared" si="4"/>
        <v>123</v>
      </c>
      <c r="P154" s="6">
        <f t="shared" ref="P154:Q154" si="310">COUNTIFS(L:L,L154)</f>
        <v>56</v>
      </c>
      <c r="Q154" s="24">
        <f t="shared" si="310"/>
        <v>8</v>
      </c>
      <c r="R154" s="6" t="str">
        <f t="shared" si="6"/>
        <v>Finance</v>
      </c>
      <c r="S154" s="6" t="str">
        <f t="shared" si="7"/>
        <v>Finance</v>
      </c>
      <c r="T154" s="6">
        <f>IFERROR(__xludf.DUMMYFUNCTION("COUNTA(UNIQUE(query($A$2:$P$800,""select L where K='""&amp; K154&amp;""'"")))"),5.0)</f>
        <v>5</v>
      </c>
      <c r="U154" s="23">
        <f t="shared" si="8"/>
        <v>0.06097560976</v>
      </c>
      <c r="V154" s="23">
        <f t="shared" ref="V154:W154" si="311">P154/O154</f>
        <v>0.4552845528</v>
      </c>
      <c r="W154" s="23">
        <f t="shared" si="311"/>
        <v>0.1428571429</v>
      </c>
    </row>
    <row r="155">
      <c r="A155" s="6">
        <f>IFERROR(__xludf.DUMMYFUNCTION("""COMPUTED_VALUE"""),500113.0)</f>
        <v>500113</v>
      </c>
      <c r="B155" s="6" t="str">
        <f>IFERROR(__xludf.DUMMYFUNCTION("""COMPUTED_VALUE"""),"Steel Authority of India Ltd.")</f>
        <v>Steel Authority of India Ltd.</v>
      </c>
      <c r="C155" s="6" t="str">
        <f>IFERROR(__xludf.DUMMYFUNCTION("""COMPUTED_VALUE"""),"SAIL")</f>
        <v>SAIL</v>
      </c>
      <c r="D155" s="6" t="str">
        <f>IFERROR(__xludf.DUMMYFUNCTION("""COMPUTED_VALUE"""),"STEEL AUTHORITY OF INDIA LTD.")</f>
        <v>STEEL AUTHORITY OF INDIA LTD.</v>
      </c>
      <c r="E155" s="6" t="str">
        <f>IFERROR(__xludf.DUMMYFUNCTION("""COMPUTED_VALUE"""),"Active")</f>
        <v>Active</v>
      </c>
      <c r="F155" s="6" t="str">
        <f>IFERROR(__xludf.DUMMYFUNCTION("""COMPUTED_VALUE"""),"A")</f>
        <v>A</v>
      </c>
      <c r="G155" s="6">
        <f>IFERROR(__xludf.DUMMYFUNCTION("""COMPUTED_VALUE"""),10.0)</f>
        <v>10</v>
      </c>
      <c r="H155" s="6" t="str">
        <f>IFERROR(__xludf.DUMMYFUNCTION("""COMPUTED_VALUE"""),"INE114A01011")</f>
        <v>INE114A01011</v>
      </c>
      <c r="I155" s="6" t="str">
        <f>IFERROR(__xludf.DUMMYFUNCTION("""COMPUTED_VALUE"""),"Equity")</f>
        <v>Equity</v>
      </c>
      <c r="J155" s="6" t="str">
        <f>IFERROR(__xludf.DUMMYFUNCTION("""COMPUTED_VALUE"""),"Commodities")</f>
        <v>Commodities</v>
      </c>
      <c r="K155" s="6" t="str">
        <f>IFERROR(__xludf.DUMMYFUNCTION("""COMPUTED_VALUE"""),"Metals &amp; Mining")</f>
        <v>Metals &amp; Mining</v>
      </c>
      <c r="L155" s="6" t="str">
        <f>IFERROR(__xludf.DUMMYFUNCTION("""COMPUTED_VALUE"""),"Ferrous Metals")</f>
        <v>Ferrous Metals</v>
      </c>
      <c r="M155" s="6" t="str">
        <f>IFERROR(__xludf.DUMMYFUNCTION("""COMPUTED_VALUE"""),"Iron &amp; Steel")</f>
        <v>Iron &amp; Steel</v>
      </c>
      <c r="N155" s="5">
        <f>IFERROR(__xludf.DUMMYFUNCTION("""COMPUTED_VALUE"""),60428.1346229)</f>
        <v>60428.13462</v>
      </c>
      <c r="O155" s="6">
        <f t="shared" si="4"/>
        <v>20</v>
      </c>
      <c r="P155" s="6">
        <f t="shared" ref="P155:Q155" si="312">COUNTIFS(L:L,L155)</f>
        <v>10</v>
      </c>
      <c r="Q155" s="24">
        <f t="shared" si="312"/>
        <v>7</v>
      </c>
      <c r="R155" s="6" t="str">
        <f t="shared" si="6"/>
        <v>Metals &amp; Mining</v>
      </c>
      <c r="S155" s="6" t="str">
        <f t="shared" si="7"/>
        <v>Metals &amp; Mining</v>
      </c>
      <c r="T155" s="6">
        <f>IFERROR(__xludf.DUMMYFUNCTION("COUNTA(UNIQUE(query($A$2:$P$800,""select L where K='""&amp; K155&amp;""'"")))"),5.0)</f>
        <v>5</v>
      </c>
      <c r="U155" s="23">
        <f t="shared" si="8"/>
        <v>0.375</v>
      </c>
      <c r="V155" s="23">
        <f t="shared" ref="V155:W155" si="313">P155/O155</f>
        <v>0.5</v>
      </c>
      <c r="W155" s="23">
        <f t="shared" si="313"/>
        <v>0.7</v>
      </c>
    </row>
    <row r="156">
      <c r="A156" s="6">
        <f>IFERROR(__xludf.DUMMYFUNCTION("""COMPUTED_VALUE"""),543390.0)</f>
        <v>543390</v>
      </c>
      <c r="B156" s="6" t="str">
        <f>IFERROR(__xludf.DUMMYFUNCTION("""COMPUTED_VALUE"""),"PB Fintech Limited")</f>
        <v>PB Fintech Limited</v>
      </c>
      <c r="C156" s="6" t="str">
        <f>IFERROR(__xludf.DUMMYFUNCTION("""COMPUTED_VALUE"""),"POLICYBZR")</f>
        <v>POLICYBZR</v>
      </c>
      <c r="D156" s="6" t="str">
        <f>IFERROR(__xludf.DUMMYFUNCTION("""COMPUTED_VALUE"""),"PB Fintech Ltd")</f>
        <v>PB Fintech Ltd</v>
      </c>
      <c r="E156" s="6" t="str">
        <f>IFERROR(__xludf.DUMMYFUNCTION("""COMPUTED_VALUE"""),"Active")</f>
        <v>Active</v>
      </c>
      <c r="F156" s="6" t="str">
        <f>IFERROR(__xludf.DUMMYFUNCTION("""COMPUTED_VALUE"""),"A")</f>
        <v>A</v>
      </c>
      <c r="G156" s="6">
        <f>IFERROR(__xludf.DUMMYFUNCTION("""COMPUTED_VALUE"""),2.0)</f>
        <v>2</v>
      </c>
      <c r="H156" s="6" t="str">
        <f>IFERROR(__xludf.DUMMYFUNCTION("""COMPUTED_VALUE"""),"INE417T01026")</f>
        <v>INE417T01026</v>
      </c>
      <c r="I156" s="6" t="str">
        <f>IFERROR(__xludf.DUMMYFUNCTION("""COMPUTED_VALUE"""),"Equity")</f>
        <v>Equity</v>
      </c>
      <c r="J156" s="6" t="str">
        <f>IFERROR(__xludf.DUMMYFUNCTION("""COMPUTED_VALUE"""),"Financial Services")</f>
        <v>Financial Services</v>
      </c>
      <c r="K156" s="6" t="str">
        <f>IFERROR(__xludf.DUMMYFUNCTION("""COMPUTED_VALUE"""),"Financial Services")</f>
        <v>Financial Services</v>
      </c>
      <c r="L156" s="6" t="str">
        <f>IFERROR(__xludf.DUMMYFUNCTION("""COMPUTED_VALUE"""),"Financial Technology (Fintech)")</f>
        <v>Financial Technology (Fintech)</v>
      </c>
      <c r="M156" s="6" t="str">
        <f>IFERROR(__xludf.DUMMYFUNCTION("""COMPUTED_VALUE"""),"Financial Technology (Fintech)")</f>
        <v>Financial Technology (Fintech)</v>
      </c>
      <c r="N156" s="5">
        <f>IFERROR(__xludf.DUMMYFUNCTION("""COMPUTED_VALUE"""),60078.7362708)</f>
        <v>60078.73627</v>
      </c>
      <c r="O156" s="6">
        <f t="shared" si="4"/>
        <v>123</v>
      </c>
      <c r="P156" s="6">
        <f t="shared" ref="P156:Q156" si="314">COUNTIFS(L:L,L156)</f>
        <v>3</v>
      </c>
      <c r="Q156" s="24">
        <f t="shared" si="314"/>
        <v>3</v>
      </c>
      <c r="R156" s="6" t="str">
        <f t="shared" si="6"/>
        <v>Financial Services</v>
      </c>
      <c r="S156" s="6" t="str">
        <f t="shared" si="7"/>
        <v>Financial Services</v>
      </c>
      <c r="T156" s="6">
        <f>IFERROR(__xludf.DUMMYFUNCTION("COUNTA(UNIQUE(query($A$2:$P$800,""select L where K='""&amp; K156&amp;""'"")))"),5.0)</f>
        <v>5</v>
      </c>
      <c r="U156" s="23">
        <f t="shared" si="8"/>
        <v>0.06097560976</v>
      </c>
      <c r="V156" s="23">
        <f t="shared" ref="V156:W156" si="315">P156/O156</f>
        <v>0.0243902439</v>
      </c>
      <c r="W156" s="23">
        <f t="shared" si="315"/>
        <v>1</v>
      </c>
    </row>
    <row r="157">
      <c r="A157" s="6">
        <f>IFERROR(__xludf.DUMMYFUNCTION("""COMPUTED_VALUE"""),541143.0)</f>
        <v>541143</v>
      </c>
      <c r="B157" s="6" t="str">
        <f>IFERROR(__xludf.DUMMYFUNCTION("""COMPUTED_VALUE"""),"Bharat Dynamics Limited")</f>
        <v>Bharat Dynamics Limited</v>
      </c>
      <c r="C157" s="6" t="str">
        <f>IFERROR(__xludf.DUMMYFUNCTION("""COMPUTED_VALUE"""),"BDL")</f>
        <v>BDL</v>
      </c>
      <c r="D157" s="6" t="str">
        <f>IFERROR(__xludf.DUMMYFUNCTION("""COMPUTED_VALUE"""),"Bharat Dynamics Ltd")</f>
        <v>Bharat Dynamics Ltd</v>
      </c>
      <c r="E157" s="6" t="str">
        <f>IFERROR(__xludf.DUMMYFUNCTION("""COMPUTED_VALUE"""),"Active")</f>
        <v>Active</v>
      </c>
      <c r="F157" s="6" t="str">
        <f>IFERROR(__xludf.DUMMYFUNCTION("""COMPUTED_VALUE"""),"A")</f>
        <v>A</v>
      </c>
      <c r="G157" s="6">
        <f>IFERROR(__xludf.DUMMYFUNCTION("""COMPUTED_VALUE"""),5.0)</f>
        <v>5</v>
      </c>
      <c r="H157" s="6" t="str">
        <f>IFERROR(__xludf.DUMMYFUNCTION("""COMPUTED_VALUE"""),"INE171Z01026")</f>
        <v>INE171Z01026</v>
      </c>
      <c r="I157" s="6" t="str">
        <f>IFERROR(__xludf.DUMMYFUNCTION("""COMPUTED_VALUE"""),"Equity")</f>
        <v>Equity</v>
      </c>
      <c r="J157" s="6" t="str">
        <f>IFERROR(__xludf.DUMMYFUNCTION("""COMPUTED_VALUE"""),"Industrials")</f>
        <v>Industrials</v>
      </c>
      <c r="K157" s="6" t="str">
        <f>IFERROR(__xludf.DUMMYFUNCTION("""COMPUTED_VALUE"""),"Capital Goods")</f>
        <v>Capital Goods</v>
      </c>
      <c r="L157" s="6" t="str">
        <f>IFERROR(__xludf.DUMMYFUNCTION("""COMPUTED_VALUE"""),"Aerospace &amp; Defense")</f>
        <v>Aerospace &amp; Defense</v>
      </c>
      <c r="M157" s="6" t="str">
        <f>IFERROR(__xludf.DUMMYFUNCTION("""COMPUTED_VALUE"""),"Aerospace &amp; Defense")</f>
        <v>Aerospace &amp; Defense</v>
      </c>
      <c r="N157" s="5">
        <f>IFERROR(__xludf.DUMMYFUNCTION("""COMPUTED_VALUE"""),60072.45704)</f>
        <v>60072.45704</v>
      </c>
      <c r="O157" s="6">
        <f t="shared" si="4"/>
        <v>110</v>
      </c>
      <c r="P157" s="6">
        <f t="shared" ref="P157:Q157" si="316">COUNTIFS(L:L,L157)</f>
        <v>11</v>
      </c>
      <c r="Q157" s="24">
        <f t="shared" si="316"/>
        <v>11</v>
      </c>
      <c r="R157" s="6" t="str">
        <f t="shared" si="6"/>
        <v>Capital Goods</v>
      </c>
      <c r="S157" s="6" t="str">
        <f t="shared" si="7"/>
        <v>Capital Goods</v>
      </c>
      <c r="T157" s="6">
        <f>IFERROR(__xludf.DUMMYFUNCTION("COUNTA(UNIQUE(query($A$2:$P$800,""select L where K='""&amp; K157&amp;""'"")))"),5.0)</f>
        <v>5</v>
      </c>
      <c r="U157" s="23">
        <f t="shared" si="8"/>
        <v>0.06818181818</v>
      </c>
      <c r="V157" s="23">
        <f t="shared" ref="V157:W157" si="317">P157/O157</f>
        <v>0.1</v>
      </c>
      <c r="W157" s="23">
        <f t="shared" si="317"/>
        <v>1</v>
      </c>
    </row>
    <row r="158">
      <c r="A158" s="6">
        <f>IFERROR(__xludf.DUMMYFUNCTION("""COMPUTED_VALUE"""),509480.0)</f>
        <v>509480</v>
      </c>
      <c r="B158" s="6" t="str">
        <f>IFERROR(__xludf.DUMMYFUNCTION("""COMPUTED_VALUE"""),"Berger Paints India Ltd")</f>
        <v>Berger Paints India Ltd</v>
      </c>
      <c r="C158" s="6" t="str">
        <f>IFERROR(__xludf.DUMMYFUNCTION("""COMPUTED_VALUE"""),"BERGEPAINT")</f>
        <v>BERGEPAINT</v>
      </c>
      <c r="D158" s="6" t="str">
        <f>IFERROR(__xludf.DUMMYFUNCTION("""COMPUTED_VALUE"""),"BERGER PAINTS INDIA LTD.")</f>
        <v>BERGER PAINTS INDIA LTD.</v>
      </c>
      <c r="E158" s="6" t="str">
        <f>IFERROR(__xludf.DUMMYFUNCTION("""COMPUTED_VALUE"""),"Active")</f>
        <v>Active</v>
      </c>
      <c r="F158" s="6" t="str">
        <f>IFERROR(__xludf.DUMMYFUNCTION("""COMPUTED_VALUE"""),"A")</f>
        <v>A</v>
      </c>
      <c r="G158" s="6">
        <f>IFERROR(__xludf.DUMMYFUNCTION("""COMPUTED_VALUE"""),1.0)</f>
        <v>1</v>
      </c>
      <c r="H158" s="6" t="str">
        <f>IFERROR(__xludf.DUMMYFUNCTION("""COMPUTED_VALUE"""),"INE463A01038")</f>
        <v>INE463A01038</v>
      </c>
      <c r="I158" s="6" t="str">
        <f>IFERROR(__xludf.DUMMYFUNCTION("""COMPUTED_VALUE"""),"Equity")</f>
        <v>Equity</v>
      </c>
      <c r="J158" s="6" t="str">
        <f>IFERROR(__xludf.DUMMYFUNCTION("""COMPUTED_VALUE"""),"Consumer Discretionary")</f>
        <v>Consumer Discretionary</v>
      </c>
      <c r="K158" s="6" t="str">
        <f>IFERROR(__xludf.DUMMYFUNCTION("""COMPUTED_VALUE"""),"Consumer Durables")</f>
        <v>Consumer Durables</v>
      </c>
      <c r="L158" s="6" t="str">
        <f>IFERROR(__xludf.DUMMYFUNCTION("""COMPUTED_VALUE"""),"Consumer Durables")</f>
        <v>Consumer Durables</v>
      </c>
      <c r="M158" s="6" t="str">
        <f>IFERROR(__xludf.DUMMYFUNCTION("""COMPUTED_VALUE"""),"Paints")</f>
        <v>Paints</v>
      </c>
      <c r="N158" s="5">
        <f>IFERROR(__xludf.DUMMYFUNCTION("""COMPUTED_VALUE"""),59933.1105107)</f>
        <v>59933.11051</v>
      </c>
      <c r="O158" s="6">
        <f t="shared" si="4"/>
        <v>42</v>
      </c>
      <c r="P158" s="6">
        <f t="shared" ref="P158:Q158" si="318">COUNTIFS(L:L,L158)</f>
        <v>42</v>
      </c>
      <c r="Q158" s="24">
        <f t="shared" si="318"/>
        <v>5</v>
      </c>
      <c r="R158" s="6" t="str">
        <f t="shared" si="6"/>
        <v>Consumer Durables</v>
      </c>
      <c r="S158" s="6" t="str">
        <f t="shared" si="7"/>
        <v>Consumer Durables</v>
      </c>
      <c r="T158" s="6">
        <f>IFERROR(__xludf.DUMMYFUNCTION("COUNTA(UNIQUE(query($A$2:$P$800,""select L where K='""&amp; K158&amp;""'"")))"),1.0)</f>
        <v>1</v>
      </c>
      <c r="U158" s="23">
        <f t="shared" si="8"/>
        <v>0.03571428571</v>
      </c>
      <c r="V158" s="23">
        <f t="shared" ref="V158:W158" si="319">P158/O158</f>
        <v>1</v>
      </c>
      <c r="W158" s="23">
        <f t="shared" si="319"/>
        <v>0.119047619</v>
      </c>
    </row>
    <row r="159">
      <c r="A159" s="6">
        <f>IFERROR(__xludf.DUMMYFUNCTION("""COMPUTED_VALUE"""),539523.0)</f>
        <v>539523</v>
      </c>
      <c r="B159" s="6" t="str">
        <f>IFERROR(__xludf.DUMMYFUNCTION("""COMPUTED_VALUE"""),"Alkem Laboratories Limited")</f>
        <v>Alkem Laboratories Limited</v>
      </c>
      <c r="C159" s="6" t="str">
        <f>IFERROR(__xludf.DUMMYFUNCTION("""COMPUTED_VALUE"""),"ALKEM")</f>
        <v>ALKEM</v>
      </c>
      <c r="D159" s="6" t="str">
        <f>IFERROR(__xludf.DUMMYFUNCTION("""COMPUTED_VALUE"""),"Alkem Laboratories Ltd")</f>
        <v>Alkem Laboratories Ltd</v>
      </c>
      <c r="E159" s="6" t="str">
        <f>IFERROR(__xludf.DUMMYFUNCTION("""COMPUTED_VALUE"""),"Active")</f>
        <v>Active</v>
      </c>
      <c r="F159" s="6" t="str">
        <f>IFERROR(__xludf.DUMMYFUNCTION("""COMPUTED_VALUE"""),"A")</f>
        <v>A</v>
      </c>
      <c r="G159" s="6">
        <f>IFERROR(__xludf.DUMMYFUNCTION("""COMPUTED_VALUE"""),2.0)</f>
        <v>2</v>
      </c>
      <c r="H159" s="6" t="str">
        <f>IFERROR(__xludf.DUMMYFUNCTION("""COMPUTED_VALUE"""),"INE540L01014")</f>
        <v>INE540L01014</v>
      </c>
      <c r="I159" s="6" t="str">
        <f>IFERROR(__xludf.DUMMYFUNCTION("""COMPUTED_VALUE"""),"Equity")</f>
        <v>Equity</v>
      </c>
      <c r="J159" s="6" t="str">
        <f>IFERROR(__xludf.DUMMYFUNCTION("""COMPUTED_VALUE"""),"Healthcare")</f>
        <v>Healthcare</v>
      </c>
      <c r="K159" s="6" t="str">
        <f>IFERROR(__xludf.DUMMYFUNCTION("""COMPUTED_VALUE"""),"Healthcare")</f>
        <v>Healthcare</v>
      </c>
      <c r="L159" s="6" t="str">
        <f>IFERROR(__xludf.DUMMYFUNCTION("""COMPUTED_VALUE"""),"Pharmaceuticals &amp; Biotechnology")</f>
        <v>Pharmaceuticals &amp; Biotechnology</v>
      </c>
      <c r="M159" s="6" t="str">
        <f>IFERROR(__xludf.DUMMYFUNCTION("""COMPUTED_VALUE"""),"Pharmaceuticals")</f>
        <v>Pharmaceuticals</v>
      </c>
      <c r="N159" s="5">
        <f>IFERROR(__xludf.DUMMYFUNCTION("""COMPUTED_VALUE"""),59781.3345413)</f>
        <v>59781.33454</v>
      </c>
      <c r="O159" s="6">
        <f t="shared" si="4"/>
        <v>62</v>
      </c>
      <c r="P159" s="6">
        <f t="shared" ref="P159:Q159" si="320">COUNTIFS(L:L,L159)</f>
        <v>45</v>
      </c>
      <c r="Q159" s="24">
        <f t="shared" si="320"/>
        <v>45</v>
      </c>
      <c r="R159" s="6" t="str">
        <f t="shared" si="6"/>
        <v>Healthcare</v>
      </c>
      <c r="S159" s="6" t="str">
        <f t="shared" si="7"/>
        <v>Healthcare</v>
      </c>
      <c r="T159" s="6">
        <f>IFERROR(__xludf.DUMMYFUNCTION("COUNTA(UNIQUE(query($A$2:$P$800,""select L where K='""&amp; K159&amp;""'"")))"),3.0)</f>
        <v>3</v>
      </c>
      <c r="U159" s="23">
        <f t="shared" si="8"/>
        <v>0.07258064516</v>
      </c>
      <c r="V159" s="23">
        <f t="shared" ref="V159:W159" si="321">P159/O159</f>
        <v>0.7258064516</v>
      </c>
      <c r="W159" s="23">
        <f t="shared" si="321"/>
        <v>1</v>
      </c>
    </row>
    <row r="160">
      <c r="A160" s="6">
        <f>IFERROR(__xludf.DUMMYFUNCTION("""COMPUTED_VALUE"""),543187.0)</f>
        <v>543187</v>
      </c>
      <c r="B160" s="6" t="str">
        <f>IFERROR(__xludf.DUMMYFUNCTION("""COMPUTED_VALUE"""),"HITACHI ENERGY INDIA LIMITED")</f>
        <v>HITACHI ENERGY INDIA LIMITED</v>
      </c>
      <c r="C160" s="6" t="str">
        <f>IFERROR(__xludf.DUMMYFUNCTION("""COMPUTED_VALUE"""),"POWERINDIA")</f>
        <v>POWERINDIA</v>
      </c>
      <c r="D160" s="6" t="str">
        <f>IFERROR(__xludf.DUMMYFUNCTION("""COMPUTED_VALUE"""),"Hitachi Energy India Ltd")</f>
        <v>Hitachi Energy India Ltd</v>
      </c>
      <c r="E160" s="6" t="str">
        <f>IFERROR(__xludf.DUMMYFUNCTION("""COMPUTED_VALUE"""),"Active")</f>
        <v>Active</v>
      </c>
      <c r="F160" s="6" t="str">
        <f>IFERROR(__xludf.DUMMYFUNCTION("""COMPUTED_VALUE"""),"A")</f>
        <v>A</v>
      </c>
      <c r="G160" s="6">
        <f>IFERROR(__xludf.DUMMYFUNCTION("""COMPUTED_VALUE"""),2.0)</f>
        <v>2</v>
      </c>
      <c r="H160" s="6" t="str">
        <f>IFERROR(__xludf.DUMMYFUNCTION("""COMPUTED_VALUE"""),"INE07Y701011")</f>
        <v>INE07Y701011</v>
      </c>
      <c r="I160" s="6" t="str">
        <f>IFERROR(__xludf.DUMMYFUNCTION("""COMPUTED_VALUE"""),"Equity")</f>
        <v>Equity</v>
      </c>
      <c r="J160" s="6" t="str">
        <f>IFERROR(__xludf.DUMMYFUNCTION("""COMPUTED_VALUE"""),"Industrials")</f>
        <v>Industrials</v>
      </c>
      <c r="K160" s="6" t="str">
        <f>IFERROR(__xludf.DUMMYFUNCTION("""COMPUTED_VALUE"""),"Capital Goods")</f>
        <v>Capital Goods</v>
      </c>
      <c r="L160" s="6" t="str">
        <f>IFERROR(__xludf.DUMMYFUNCTION("""COMPUTED_VALUE"""),"Electrical Equipment")</f>
        <v>Electrical Equipment</v>
      </c>
      <c r="M160" s="6" t="str">
        <f>IFERROR(__xludf.DUMMYFUNCTION("""COMPUTED_VALUE"""),"Heavy Electrical Equipment")</f>
        <v>Heavy Electrical Equipment</v>
      </c>
      <c r="N160" s="5">
        <f>IFERROR(__xludf.DUMMYFUNCTION("""COMPUTED_VALUE"""),59677.403028)</f>
        <v>59677.40303</v>
      </c>
      <c r="O160" s="6">
        <f t="shared" si="4"/>
        <v>110</v>
      </c>
      <c r="P160" s="6">
        <f t="shared" ref="P160:Q160" si="322">COUNTIFS(L:L,L160)</f>
        <v>22</v>
      </c>
      <c r="Q160" s="24">
        <f t="shared" si="322"/>
        <v>17</v>
      </c>
      <c r="R160" s="6" t="str">
        <f t="shared" si="6"/>
        <v>Electrical Equipment</v>
      </c>
      <c r="S160" s="6" t="str">
        <f t="shared" si="7"/>
        <v>Electrical Equipment</v>
      </c>
      <c r="T160" s="6">
        <f>IFERROR(__xludf.DUMMYFUNCTION("COUNTA(UNIQUE(query($A$2:$P$800,""select L where K='""&amp; K160&amp;""'"")))"),5.0)</f>
        <v>5</v>
      </c>
      <c r="U160" s="23">
        <f t="shared" si="8"/>
        <v>0.06818181818</v>
      </c>
      <c r="V160" s="23">
        <f t="shared" ref="V160:W160" si="323">P160/O160</f>
        <v>0.2</v>
      </c>
      <c r="W160" s="23">
        <f t="shared" si="323"/>
        <v>0.7727272727</v>
      </c>
    </row>
    <row r="161">
      <c r="A161" s="6">
        <f>IFERROR(__xludf.DUMMYFUNCTION("""COMPUTED_VALUE"""),540530.0)</f>
        <v>540530</v>
      </c>
      <c r="B161" s="6" t="str">
        <f>IFERROR(__xludf.DUMMYFUNCTION("""COMPUTED_VALUE"""),"Housing &amp;Urban Development Corporation Ltd.")</f>
        <v>Housing &amp;Urban Development Corporation Ltd.</v>
      </c>
      <c r="C161" s="6" t="str">
        <f>IFERROR(__xludf.DUMMYFUNCTION("""COMPUTED_VALUE"""),"HUDCO")</f>
        <v>HUDCO</v>
      </c>
      <c r="D161" s="6" t="str">
        <f>IFERROR(__xludf.DUMMYFUNCTION("""COMPUTED_VALUE"""),"Housing &amp; Urban Development Corporation Ltd")</f>
        <v>Housing &amp; Urban Development Corporation Ltd</v>
      </c>
      <c r="E161" s="6" t="str">
        <f>IFERROR(__xludf.DUMMYFUNCTION("""COMPUTED_VALUE"""),"Active")</f>
        <v>Active</v>
      </c>
      <c r="F161" s="6" t="str">
        <f>IFERROR(__xludf.DUMMYFUNCTION("""COMPUTED_VALUE"""),"A")</f>
        <v>A</v>
      </c>
      <c r="G161" s="6">
        <f>IFERROR(__xludf.DUMMYFUNCTION("""COMPUTED_VALUE"""),10.0)</f>
        <v>10</v>
      </c>
      <c r="H161" s="6" t="str">
        <f>IFERROR(__xludf.DUMMYFUNCTION("""COMPUTED_VALUE"""),"INE031A01017")</f>
        <v>INE031A01017</v>
      </c>
      <c r="I161" s="6" t="str">
        <f>IFERROR(__xludf.DUMMYFUNCTION("""COMPUTED_VALUE"""),"Equity")</f>
        <v>Equity</v>
      </c>
      <c r="J161" s="6" t="str">
        <f>IFERROR(__xludf.DUMMYFUNCTION("""COMPUTED_VALUE"""),"Financial Services")</f>
        <v>Financial Services</v>
      </c>
      <c r="K161" s="6" t="str">
        <f>IFERROR(__xludf.DUMMYFUNCTION("""COMPUTED_VALUE"""),"Financial Services")</f>
        <v>Financial Services</v>
      </c>
      <c r="L161" s="6" t="str">
        <f>IFERROR(__xludf.DUMMYFUNCTION("""COMPUTED_VALUE"""),"Finance")</f>
        <v>Finance</v>
      </c>
      <c r="M161" s="6" t="str">
        <f>IFERROR(__xludf.DUMMYFUNCTION("""COMPUTED_VALUE"""),"Financial Institution")</f>
        <v>Financial Institution</v>
      </c>
      <c r="N161" s="5">
        <f>IFERROR(__xludf.DUMMYFUNCTION("""COMPUTED_VALUE"""),59357.9579025)</f>
        <v>59357.9579</v>
      </c>
      <c r="O161" s="6">
        <f t="shared" si="4"/>
        <v>123</v>
      </c>
      <c r="P161" s="6">
        <f t="shared" ref="P161:Q161" si="324">COUNTIFS(L:L,L161)</f>
        <v>56</v>
      </c>
      <c r="Q161" s="24">
        <f t="shared" si="324"/>
        <v>6</v>
      </c>
      <c r="R161" s="6" t="str">
        <f t="shared" si="6"/>
        <v>Finance</v>
      </c>
      <c r="S161" s="6" t="str">
        <f t="shared" si="7"/>
        <v>Finance</v>
      </c>
      <c r="T161" s="6">
        <f>IFERROR(__xludf.DUMMYFUNCTION("COUNTA(UNIQUE(query($A$2:$P$800,""select L where K='""&amp; K161&amp;""'"")))"),5.0)</f>
        <v>5</v>
      </c>
      <c r="U161" s="23">
        <f t="shared" si="8"/>
        <v>0.06097560976</v>
      </c>
      <c r="V161" s="23">
        <f t="shared" ref="V161:W161" si="325">P161/O161</f>
        <v>0.4552845528</v>
      </c>
      <c r="W161" s="23">
        <f t="shared" si="325"/>
        <v>0.1071428571</v>
      </c>
    </row>
    <row r="162">
      <c r="A162" s="6">
        <f>IFERROR(__xludf.DUMMYFUNCTION("""COMPUTED_VALUE"""),500488.0)</f>
        <v>500488</v>
      </c>
      <c r="B162" s="6" t="str">
        <f>IFERROR(__xludf.DUMMYFUNCTION("""COMPUTED_VALUE"""),"Abbott India Ltd.")</f>
        <v>Abbott India Ltd.</v>
      </c>
      <c r="C162" s="6" t="str">
        <f>IFERROR(__xludf.DUMMYFUNCTION("""COMPUTED_VALUE"""),"ABBOTINDIA")</f>
        <v>ABBOTINDIA</v>
      </c>
      <c r="D162" s="6" t="str">
        <f>IFERROR(__xludf.DUMMYFUNCTION("""COMPUTED_VALUE"""),"ABBOTT INDIA LTD.")</f>
        <v>ABBOTT INDIA LTD.</v>
      </c>
      <c r="E162" s="6" t="str">
        <f>IFERROR(__xludf.DUMMYFUNCTION("""COMPUTED_VALUE"""),"Active")</f>
        <v>Active</v>
      </c>
      <c r="F162" s="6" t="str">
        <f>IFERROR(__xludf.DUMMYFUNCTION("""COMPUTED_VALUE"""),"A")</f>
        <v>A</v>
      </c>
      <c r="G162" s="6">
        <f>IFERROR(__xludf.DUMMYFUNCTION("""COMPUTED_VALUE"""),10.0)</f>
        <v>10</v>
      </c>
      <c r="H162" s="6" t="str">
        <f>IFERROR(__xludf.DUMMYFUNCTION("""COMPUTED_VALUE"""),"INE358A01014")</f>
        <v>INE358A01014</v>
      </c>
      <c r="I162" s="6" t="str">
        <f>IFERROR(__xludf.DUMMYFUNCTION("""COMPUTED_VALUE"""),"Equity")</f>
        <v>Equity</v>
      </c>
      <c r="J162" s="6" t="str">
        <f>IFERROR(__xludf.DUMMYFUNCTION("""COMPUTED_VALUE"""),"Healthcare")</f>
        <v>Healthcare</v>
      </c>
      <c r="K162" s="6" t="str">
        <f>IFERROR(__xludf.DUMMYFUNCTION("""COMPUTED_VALUE"""),"Healthcare")</f>
        <v>Healthcare</v>
      </c>
      <c r="L162" s="6" t="str">
        <f>IFERROR(__xludf.DUMMYFUNCTION("""COMPUTED_VALUE"""),"Pharmaceuticals &amp; Biotechnology")</f>
        <v>Pharmaceuticals &amp; Biotechnology</v>
      </c>
      <c r="M162" s="6" t="str">
        <f>IFERROR(__xludf.DUMMYFUNCTION("""COMPUTED_VALUE"""),"Pharmaceuticals")</f>
        <v>Pharmaceuticals</v>
      </c>
      <c r="N162" s="5">
        <f>IFERROR(__xludf.DUMMYFUNCTION("""COMPUTED_VALUE"""),59030.1144996)</f>
        <v>59030.1145</v>
      </c>
      <c r="O162" s="6">
        <f t="shared" si="4"/>
        <v>62</v>
      </c>
      <c r="P162" s="6">
        <f t="shared" ref="P162:Q162" si="326">COUNTIFS(L:L,L162)</f>
        <v>45</v>
      </c>
      <c r="Q162" s="24">
        <f t="shared" si="326"/>
        <v>45</v>
      </c>
      <c r="R162" s="6" t="str">
        <f t="shared" si="6"/>
        <v>Healthcare</v>
      </c>
      <c r="S162" s="6" t="str">
        <f t="shared" si="7"/>
        <v>Healthcare</v>
      </c>
      <c r="T162" s="6">
        <f>IFERROR(__xludf.DUMMYFUNCTION("COUNTA(UNIQUE(query($A$2:$P$800,""select L where K='""&amp; K162&amp;""'"")))"),3.0)</f>
        <v>3</v>
      </c>
      <c r="U162" s="23">
        <f t="shared" si="8"/>
        <v>0.07258064516</v>
      </c>
      <c r="V162" s="23">
        <f t="shared" ref="V162:W162" si="327">P162/O162</f>
        <v>0.7258064516</v>
      </c>
      <c r="W162" s="23">
        <f t="shared" si="327"/>
        <v>1</v>
      </c>
    </row>
    <row r="163">
      <c r="A163" s="6">
        <f>IFERROR(__xludf.DUMMYFUNCTION("""COMPUTED_VALUE"""),540678.0)</f>
        <v>540678</v>
      </c>
      <c r="B163" s="6" t="str">
        <f>IFERROR(__xludf.DUMMYFUNCTION("""COMPUTED_VALUE"""),"Cochin Shipyard Limited")</f>
        <v>Cochin Shipyard Limited</v>
      </c>
      <c r="C163" s="6" t="str">
        <f>IFERROR(__xludf.DUMMYFUNCTION("""COMPUTED_VALUE"""),"COCHINSHIP")</f>
        <v>COCHINSHIP</v>
      </c>
      <c r="D163" s="6" t="str">
        <f>IFERROR(__xludf.DUMMYFUNCTION("""COMPUTED_VALUE"""),"Cochin Shipyard Ltd")</f>
        <v>Cochin Shipyard Ltd</v>
      </c>
      <c r="E163" s="6" t="str">
        <f>IFERROR(__xludf.DUMMYFUNCTION("""COMPUTED_VALUE"""),"Active")</f>
        <v>Active</v>
      </c>
      <c r="F163" s="6" t="str">
        <f>IFERROR(__xludf.DUMMYFUNCTION("""COMPUTED_VALUE"""),"A")</f>
        <v>A</v>
      </c>
      <c r="G163" s="6">
        <f>IFERROR(__xludf.DUMMYFUNCTION("""COMPUTED_VALUE"""),5.0)</f>
        <v>5</v>
      </c>
      <c r="H163" s="6" t="str">
        <f>IFERROR(__xludf.DUMMYFUNCTION("""COMPUTED_VALUE"""),"INE704P01025")</f>
        <v>INE704P01025</v>
      </c>
      <c r="I163" s="6" t="str">
        <f>IFERROR(__xludf.DUMMYFUNCTION("""COMPUTED_VALUE"""),"Equity")</f>
        <v>Equity</v>
      </c>
      <c r="J163" s="6" t="str">
        <f>IFERROR(__xludf.DUMMYFUNCTION("""COMPUTED_VALUE"""),"Industrials")</f>
        <v>Industrials</v>
      </c>
      <c r="K163" s="6" t="str">
        <f>IFERROR(__xludf.DUMMYFUNCTION("""COMPUTED_VALUE"""),"Capital Goods")</f>
        <v>Capital Goods</v>
      </c>
      <c r="L163" s="6" t="str">
        <f>IFERROR(__xludf.DUMMYFUNCTION("""COMPUTED_VALUE"""),"Industrial Manufacturing")</f>
        <v>Industrial Manufacturing</v>
      </c>
      <c r="M163" s="6" t="str">
        <f>IFERROR(__xludf.DUMMYFUNCTION("""COMPUTED_VALUE"""),"Ship Building &amp; Allied Services")</f>
        <v>Ship Building &amp; Allied Services</v>
      </c>
      <c r="N163" s="5">
        <f>IFERROR(__xludf.DUMMYFUNCTION("""COMPUTED_VALUE"""),58969.40202)</f>
        <v>58969.40202</v>
      </c>
      <c r="O163" s="6">
        <f t="shared" si="4"/>
        <v>110</v>
      </c>
      <c r="P163" s="6">
        <f t="shared" ref="P163:Q163" si="328">COUNTIFS(L:L,L163)</f>
        <v>21</v>
      </c>
      <c r="Q163" s="24">
        <f t="shared" si="328"/>
        <v>2</v>
      </c>
      <c r="R163" s="6" t="str">
        <f t="shared" si="6"/>
        <v>Industrial Manufacturing</v>
      </c>
      <c r="S163" s="6" t="str">
        <f t="shared" si="7"/>
        <v>Industrial Manufacturing</v>
      </c>
      <c r="T163" s="6">
        <f>IFERROR(__xludf.DUMMYFUNCTION("COUNTA(UNIQUE(query($A$2:$P$800,""select L where K='""&amp; K163&amp;""'"")))"),5.0)</f>
        <v>5</v>
      </c>
      <c r="U163" s="23">
        <f t="shared" si="8"/>
        <v>0.06818181818</v>
      </c>
      <c r="V163" s="23">
        <f t="shared" ref="V163:W163" si="329">P163/O163</f>
        <v>0.1909090909</v>
      </c>
      <c r="W163" s="23">
        <f t="shared" si="329"/>
        <v>0.09523809524</v>
      </c>
    </row>
    <row r="164">
      <c r="A164" s="6">
        <f>IFERROR(__xludf.DUMMYFUNCTION("""COMPUTED_VALUE"""),500411.0)</f>
        <v>500411</v>
      </c>
      <c r="B164" s="6" t="str">
        <f>IFERROR(__xludf.DUMMYFUNCTION("""COMPUTED_VALUE"""),"Thermax Ltd.")</f>
        <v>Thermax Ltd.</v>
      </c>
      <c r="C164" s="6" t="str">
        <f>IFERROR(__xludf.DUMMYFUNCTION("""COMPUTED_VALUE"""),"THERMAX")</f>
        <v>THERMAX</v>
      </c>
      <c r="D164" s="6" t="str">
        <f>IFERROR(__xludf.DUMMYFUNCTION("""COMPUTED_VALUE"""),"THERMAX LTD.")</f>
        <v>THERMAX LTD.</v>
      </c>
      <c r="E164" s="6" t="str">
        <f>IFERROR(__xludf.DUMMYFUNCTION("""COMPUTED_VALUE"""),"Active")</f>
        <v>Active</v>
      </c>
      <c r="F164" s="6" t="str">
        <f>IFERROR(__xludf.DUMMYFUNCTION("""COMPUTED_VALUE"""),"A")</f>
        <v>A</v>
      </c>
      <c r="G164" s="6">
        <f>IFERROR(__xludf.DUMMYFUNCTION("""COMPUTED_VALUE"""),2.0)</f>
        <v>2</v>
      </c>
      <c r="H164" s="6" t="str">
        <f>IFERROR(__xludf.DUMMYFUNCTION("""COMPUTED_VALUE"""),"INE152A01029")</f>
        <v>INE152A01029</v>
      </c>
      <c r="I164" s="6" t="str">
        <f>IFERROR(__xludf.DUMMYFUNCTION("""COMPUTED_VALUE"""),"Equity")</f>
        <v>Equity</v>
      </c>
      <c r="J164" s="6" t="str">
        <f>IFERROR(__xludf.DUMMYFUNCTION("""COMPUTED_VALUE"""),"Industrials")</f>
        <v>Industrials</v>
      </c>
      <c r="K164" s="6" t="str">
        <f>IFERROR(__xludf.DUMMYFUNCTION("""COMPUTED_VALUE"""),"Capital Goods")</f>
        <v>Capital Goods</v>
      </c>
      <c r="L164" s="6" t="str">
        <f>IFERROR(__xludf.DUMMYFUNCTION("""COMPUTED_VALUE"""),"Electrical Equipment")</f>
        <v>Electrical Equipment</v>
      </c>
      <c r="M164" s="6" t="str">
        <f>IFERROR(__xludf.DUMMYFUNCTION("""COMPUTED_VALUE"""),"Heavy Electrical Equipment")</f>
        <v>Heavy Electrical Equipment</v>
      </c>
      <c r="N164" s="5">
        <f>IFERROR(__xludf.DUMMYFUNCTION("""COMPUTED_VALUE"""),58881.9104685)</f>
        <v>58881.91047</v>
      </c>
      <c r="O164" s="6">
        <f t="shared" si="4"/>
        <v>110</v>
      </c>
      <c r="P164" s="6">
        <f t="shared" ref="P164:Q164" si="330">COUNTIFS(L:L,L164)</f>
        <v>22</v>
      </c>
      <c r="Q164" s="24">
        <f t="shared" si="330"/>
        <v>17</v>
      </c>
      <c r="R164" s="6" t="str">
        <f t="shared" si="6"/>
        <v>Electrical Equipment</v>
      </c>
      <c r="S164" s="6" t="str">
        <f t="shared" si="7"/>
        <v>Electrical Equipment</v>
      </c>
      <c r="T164" s="6">
        <f>IFERROR(__xludf.DUMMYFUNCTION("COUNTA(UNIQUE(query($A$2:$P$800,""select L where K='""&amp; K164&amp;""'"")))"),5.0)</f>
        <v>5</v>
      </c>
      <c r="U164" s="23">
        <f t="shared" si="8"/>
        <v>0.06818181818</v>
      </c>
      <c r="V164" s="23">
        <f t="shared" ref="V164:W164" si="331">P164/O164</f>
        <v>0.2</v>
      </c>
      <c r="W164" s="23">
        <f t="shared" si="331"/>
        <v>0.7727272727</v>
      </c>
    </row>
    <row r="165">
      <c r="A165" s="6">
        <f>IFERROR(__xludf.DUMMYFUNCTION("""COMPUTED_VALUE"""),532754.0)</f>
        <v>532754</v>
      </c>
      <c r="B165" s="6" t="str">
        <f>IFERROR(__xludf.DUMMYFUNCTION("""COMPUTED_VALUE"""),"GMR AIRPORTS INFRASTRUCTURE LIMITED")</f>
        <v>GMR AIRPORTS INFRASTRUCTURE LIMITED</v>
      </c>
      <c r="C165" s="6" t="str">
        <f>IFERROR(__xludf.DUMMYFUNCTION("""COMPUTED_VALUE"""),"GMRINFRA")</f>
        <v>GMRINFRA</v>
      </c>
      <c r="D165" s="6" t="str">
        <f>IFERROR(__xludf.DUMMYFUNCTION("""COMPUTED_VALUE"""),"GMR Airports Infrastructure Ltd")</f>
        <v>GMR Airports Infrastructure Ltd</v>
      </c>
      <c r="E165" s="6" t="str">
        <f>IFERROR(__xludf.DUMMYFUNCTION("""COMPUTED_VALUE"""),"Active")</f>
        <v>Active</v>
      </c>
      <c r="F165" s="6" t="str">
        <f>IFERROR(__xludf.DUMMYFUNCTION("""COMPUTED_VALUE"""),"A")</f>
        <v>A</v>
      </c>
      <c r="G165" s="6">
        <f>IFERROR(__xludf.DUMMYFUNCTION("""COMPUTED_VALUE"""),1.0)</f>
        <v>1</v>
      </c>
      <c r="H165" s="6" t="str">
        <f>IFERROR(__xludf.DUMMYFUNCTION("""COMPUTED_VALUE"""),"INE776C01039")</f>
        <v>INE776C01039</v>
      </c>
      <c r="I165" s="6" t="str">
        <f>IFERROR(__xludf.DUMMYFUNCTION("""COMPUTED_VALUE"""),"Equity")</f>
        <v>Equity</v>
      </c>
      <c r="J165" s="6" t="str">
        <f>IFERROR(__xludf.DUMMYFUNCTION("""COMPUTED_VALUE"""),"Services")</f>
        <v>Services</v>
      </c>
      <c r="K165" s="6" t="str">
        <f>IFERROR(__xludf.DUMMYFUNCTION("""COMPUTED_VALUE"""),"Services")</f>
        <v>Services</v>
      </c>
      <c r="L165" s="6" t="str">
        <f>IFERROR(__xludf.DUMMYFUNCTION("""COMPUTED_VALUE"""),"Transport Infrastructure")</f>
        <v>Transport Infrastructure</v>
      </c>
      <c r="M165" s="6" t="str">
        <f>IFERROR(__xludf.DUMMYFUNCTION("""COMPUTED_VALUE"""),"Airport &amp; Airport services")</f>
        <v>Airport &amp; Airport services</v>
      </c>
      <c r="N165" s="5">
        <f>IFERROR(__xludf.DUMMYFUNCTION("""COMPUTED_VALUE"""),57447.2117363)</f>
        <v>57447.21174</v>
      </c>
      <c r="O165" s="6">
        <f t="shared" si="4"/>
        <v>27</v>
      </c>
      <c r="P165" s="6">
        <f t="shared" ref="P165:Q165" si="332">COUNTIFS(L:L,L165)</f>
        <v>4</v>
      </c>
      <c r="Q165" s="24">
        <f t="shared" si="332"/>
        <v>1</v>
      </c>
      <c r="R165" s="6" t="str">
        <f t="shared" si="6"/>
        <v>Services</v>
      </c>
      <c r="S165" s="6" t="str">
        <f t="shared" si="7"/>
        <v>Services</v>
      </c>
      <c r="T165" s="6">
        <f>IFERROR(__xludf.DUMMYFUNCTION("COUNTA(UNIQUE(query($A$2:$P$800,""select L where K='""&amp; K165&amp;""'"")))"),3.0)</f>
        <v>3</v>
      </c>
      <c r="U165" s="23">
        <f t="shared" si="8"/>
        <v>0.1666666667</v>
      </c>
      <c r="V165" s="23">
        <f t="shared" ref="V165:W165" si="333">P165/O165</f>
        <v>0.1481481481</v>
      </c>
      <c r="W165" s="23">
        <f t="shared" si="333"/>
        <v>0.25</v>
      </c>
    </row>
    <row r="166">
      <c r="A166" s="6">
        <f>IFERROR(__xludf.DUMMYFUNCTION("""COMPUTED_VALUE"""),539437.0)</f>
        <v>539437</v>
      </c>
      <c r="B166" s="6" t="str">
        <f>IFERROR(__xludf.DUMMYFUNCTION("""COMPUTED_VALUE"""),"IDFC FIRST BANK LIMITED")</f>
        <v>IDFC FIRST BANK LIMITED</v>
      </c>
      <c r="C166" s="6" t="str">
        <f>IFERROR(__xludf.DUMMYFUNCTION("""COMPUTED_VALUE"""),"IDFCFIRSTB")</f>
        <v>IDFCFIRSTB</v>
      </c>
      <c r="D166" s="6" t="str">
        <f>IFERROR(__xludf.DUMMYFUNCTION("""COMPUTED_VALUE"""),"IDFC First Bank Ltd")</f>
        <v>IDFC First Bank Ltd</v>
      </c>
      <c r="E166" s="6" t="str">
        <f>IFERROR(__xludf.DUMMYFUNCTION("""COMPUTED_VALUE"""),"Active")</f>
        <v>Active</v>
      </c>
      <c r="F166" s="6" t="str">
        <f>IFERROR(__xludf.DUMMYFUNCTION("""COMPUTED_VALUE"""),"A")</f>
        <v>A</v>
      </c>
      <c r="G166" s="6">
        <f>IFERROR(__xludf.DUMMYFUNCTION("""COMPUTED_VALUE"""),10.0)</f>
        <v>10</v>
      </c>
      <c r="H166" s="6" t="str">
        <f>IFERROR(__xludf.DUMMYFUNCTION("""COMPUTED_VALUE"""),"INE092T01019")</f>
        <v>INE092T01019</v>
      </c>
      <c r="I166" s="6" t="str">
        <f>IFERROR(__xludf.DUMMYFUNCTION("""COMPUTED_VALUE"""),"Equity")</f>
        <v>Equity</v>
      </c>
      <c r="J166" s="6" t="str">
        <f>IFERROR(__xludf.DUMMYFUNCTION("""COMPUTED_VALUE"""),"Financial Services")</f>
        <v>Financial Services</v>
      </c>
      <c r="K166" s="6" t="str">
        <f>IFERROR(__xludf.DUMMYFUNCTION("""COMPUTED_VALUE"""),"Financial Services")</f>
        <v>Financial Services</v>
      </c>
      <c r="L166" s="6" t="str">
        <f>IFERROR(__xludf.DUMMYFUNCTION("""COMPUTED_VALUE"""),"Banks")</f>
        <v>Banks</v>
      </c>
      <c r="M166" s="6" t="str">
        <f>IFERROR(__xludf.DUMMYFUNCTION("""COMPUTED_VALUE"""),"Private Sector Bank")</f>
        <v>Private Sector Bank</v>
      </c>
      <c r="N166" s="5">
        <f>IFERROR(__xludf.DUMMYFUNCTION("""COMPUTED_VALUE"""),57160.3250672)</f>
        <v>57160.32507</v>
      </c>
      <c r="O166" s="6">
        <f t="shared" si="4"/>
        <v>123</v>
      </c>
      <c r="P166" s="6">
        <f t="shared" ref="P166:Q166" si="334">COUNTIFS(L:L,L166)</f>
        <v>35</v>
      </c>
      <c r="Q166" s="24">
        <f t="shared" si="334"/>
        <v>23</v>
      </c>
      <c r="R166" s="6" t="str">
        <f t="shared" si="6"/>
        <v>Banks</v>
      </c>
      <c r="S166" s="6" t="str">
        <f t="shared" si="7"/>
        <v>Banks</v>
      </c>
      <c r="T166" s="6">
        <f>IFERROR(__xludf.DUMMYFUNCTION("COUNTA(UNIQUE(query($A$2:$P$800,""select L where K='""&amp; K166&amp;""'"")))"),5.0)</f>
        <v>5</v>
      </c>
      <c r="U166" s="23">
        <f t="shared" si="8"/>
        <v>0.06097560976</v>
      </c>
      <c r="V166" s="23">
        <f t="shared" ref="V166:W166" si="335">P166/O166</f>
        <v>0.2845528455</v>
      </c>
      <c r="W166" s="23">
        <f t="shared" si="335"/>
        <v>0.6571428571</v>
      </c>
    </row>
    <row r="167">
      <c r="A167" s="6">
        <f>IFERROR(__xludf.DUMMYFUNCTION("""COMPUTED_VALUE"""),523642.0)</f>
        <v>523642</v>
      </c>
      <c r="B167" s="6" t="str">
        <f>IFERROR(__xludf.DUMMYFUNCTION("""COMPUTED_VALUE"""),"PI Industries Limited")</f>
        <v>PI Industries Limited</v>
      </c>
      <c r="C167" s="6" t="str">
        <f>IFERROR(__xludf.DUMMYFUNCTION("""COMPUTED_VALUE"""),"PIIND")</f>
        <v>PIIND</v>
      </c>
      <c r="D167" s="6" t="str">
        <f>IFERROR(__xludf.DUMMYFUNCTION("""COMPUTED_VALUE"""),"PI Industries Ltd")</f>
        <v>PI Industries Ltd</v>
      </c>
      <c r="E167" s="6" t="str">
        <f>IFERROR(__xludf.DUMMYFUNCTION("""COMPUTED_VALUE"""),"Active")</f>
        <v>Active</v>
      </c>
      <c r="F167" s="6" t="str">
        <f>IFERROR(__xludf.DUMMYFUNCTION("""COMPUTED_VALUE"""),"A")</f>
        <v>A</v>
      </c>
      <c r="G167" s="6">
        <f>IFERROR(__xludf.DUMMYFUNCTION("""COMPUTED_VALUE"""),1.0)</f>
        <v>1</v>
      </c>
      <c r="H167" s="6" t="str">
        <f>IFERROR(__xludf.DUMMYFUNCTION("""COMPUTED_VALUE"""),"INE603J01030")</f>
        <v>INE603J01030</v>
      </c>
      <c r="I167" s="6" t="str">
        <f>IFERROR(__xludf.DUMMYFUNCTION("""COMPUTED_VALUE"""),"Equity")</f>
        <v>Equity</v>
      </c>
      <c r="J167" s="6" t="str">
        <f>IFERROR(__xludf.DUMMYFUNCTION("""COMPUTED_VALUE"""),"Commodities")</f>
        <v>Commodities</v>
      </c>
      <c r="K167" s="6" t="str">
        <f>IFERROR(__xludf.DUMMYFUNCTION("""COMPUTED_VALUE"""),"Chemicals")</f>
        <v>Chemicals</v>
      </c>
      <c r="L167" s="6" t="str">
        <f>IFERROR(__xludf.DUMMYFUNCTION("""COMPUTED_VALUE"""),"Fertilizers &amp; Agrochemicals")</f>
        <v>Fertilizers &amp; Agrochemicals</v>
      </c>
      <c r="M167" s="6" t="str">
        <f>IFERROR(__xludf.DUMMYFUNCTION("""COMPUTED_VALUE"""),"Pesticides &amp; Agrochemicals")</f>
        <v>Pesticides &amp; Agrochemicals</v>
      </c>
      <c r="N167" s="5">
        <f>IFERROR(__xludf.DUMMYFUNCTION("""COMPUTED_VALUE"""),57115.9531)</f>
        <v>57115.9531</v>
      </c>
      <c r="O167" s="6">
        <f t="shared" si="4"/>
        <v>52</v>
      </c>
      <c r="P167" s="6">
        <f t="shared" ref="P167:Q167" si="336">COUNTIFS(L:L,L167)</f>
        <v>15</v>
      </c>
      <c r="Q167" s="24">
        <f t="shared" si="336"/>
        <v>7</v>
      </c>
      <c r="R167" s="6" t="str">
        <f t="shared" si="6"/>
        <v>Fertilizers &amp; Agrochemicals</v>
      </c>
      <c r="S167" s="6" t="str">
        <f t="shared" si="7"/>
        <v>Fertilizers &amp; Agrochemicals</v>
      </c>
      <c r="T167" s="6">
        <f>IFERROR(__xludf.DUMMYFUNCTION("COUNTA(UNIQUE(query($A$2:$P$800,""select L where K='""&amp; K167&amp;""'"")))"),2.0)</f>
        <v>2</v>
      </c>
      <c r="U167" s="23">
        <f t="shared" si="8"/>
        <v>0.05769230769</v>
      </c>
      <c r="V167" s="23">
        <f t="shared" ref="V167:W167" si="337">P167/O167</f>
        <v>0.2884615385</v>
      </c>
      <c r="W167" s="23">
        <f t="shared" si="337"/>
        <v>0.4666666667</v>
      </c>
    </row>
    <row r="168">
      <c r="A168" s="6">
        <f>IFERROR(__xludf.DUMMYFUNCTION("""COMPUTED_VALUE"""),544026.0)</f>
        <v>544026</v>
      </c>
      <c r="B168" s="6" t="str">
        <f>IFERROR(__xludf.DUMMYFUNCTION("""COMPUTED_VALUE"""),"Indian Renewable Energy Development Agency Limited")</f>
        <v>Indian Renewable Energy Development Agency Limited</v>
      </c>
      <c r="C168" s="6" t="str">
        <f>IFERROR(__xludf.DUMMYFUNCTION("""COMPUTED_VALUE"""),"IREDA")</f>
        <v>IREDA</v>
      </c>
      <c r="D168" s="6" t="str">
        <f>IFERROR(__xludf.DUMMYFUNCTION("""COMPUTED_VALUE"""),"Indian Renewable Energy Development Agency Ltd")</f>
        <v>Indian Renewable Energy Development Agency Ltd</v>
      </c>
      <c r="E168" s="6" t="str">
        <f>IFERROR(__xludf.DUMMYFUNCTION("""COMPUTED_VALUE"""),"Active")</f>
        <v>Active</v>
      </c>
      <c r="F168" s="6" t="str">
        <f>IFERROR(__xludf.DUMMYFUNCTION("""COMPUTED_VALUE"""),"B")</f>
        <v>B</v>
      </c>
      <c r="G168" s="6">
        <f>IFERROR(__xludf.DUMMYFUNCTION("""COMPUTED_VALUE"""),10.0)</f>
        <v>10</v>
      </c>
      <c r="H168" s="6" t="str">
        <f>IFERROR(__xludf.DUMMYFUNCTION("""COMPUTED_VALUE"""),"INE202E01016")</f>
        <v>INE202E01016</v>
      </c>
      <c r="I168" s="6" t="str">
        <f>IFERROR(__xludf.DUMMYFUNCTION("""COMPUTED_VALUE"""),"Equity")</f>
        <v>Equity</v>
      </c>
      <c r="J168" s="6" t="str">
        <f>IFERROR(__xludf.DUMMYFUNCTION("""COMPUTED_VALUE"""),"Financial Services")</f>
        <v>Financial Services</v>
      </c>
      <c r="K168" s="6" t="str">
        <f>IFERROR(__xludf.DUMMYFUNCTION("""COMPUTED_VALUE"""),"Financial Services")</f>
        <v>Financial Services</v>
      </c>
      <c r="L168" s="6" t="str">
        <f>IFERROR(__xludf.DUMMYFUNCTION("""COMPUTED_VALUE"""),"Finance")</f>
        <v>Finance</v>
      </c>
      <c r="M168" s="6" t="str">
        <f>IFERROR(__xludf.DUMMYFUNCTION("""COMPUTED_VALUE"""),"Financial Institution")</f>
        <v>Financial Institution</v>
      </c>
      <c r="N168" s="5">
        <f>IFERROR(__xludf.DUMMYFUNCTION("""COMPUTED_VALUE"""),56815.6753283)</f>
        <v>56815.67533</v>
      </c>
      <c r="O168" s="6">
        <f t="shared" si="4"/>
        <v>123</v>
      </c>
      <c r="P168" s="6">
        <f t="shared" ref="P168:Q168" si="338">COUNTIFS(L:L,L168)</f>
        <v>56</v>
      </c>
      <c r="Q168" s="24">
        <f t="shared" si="338"/>
        <v>6</v>
      </c>
      <c r="R168" s="6" t="str">
        <f t="shared" si="6"/>
        <v>Finance</v>
      </c>
      <c r="S168" s="6" t="str">
        <f t="shared" si="7"/>
        <v>Finance</v>
      </c>
      <c r="T168" s="6">
        <f>IFERROR(__xludf.DUMMYFUNCTION("COUNTA(UNIQUE(query($A$2:$P$800,""select L where K='""&amp; K168&amp;""'"")))"),5.0)</f>
        <v>5</v>
      </c>
      <c r="U168" s="23">
        <f t="shared" si="8"/>
        <v>0.06097560976</v>
      </c>
      <c r="V168" s="23">
        <f t="shared" ref="V168:W168" si="339">P168/O168</f>
        <v>0.4552845528</v>
      </c>
      <c r="W168" s="23">
        <f t="shared" si="339"/>
        <v>0.1071428571</v>
      </c>
    </row>
    <row r="169">
      <c r="A169" s="6">
        <f>IFERROR(__xludf.DUMMYFUNCTION("""COMPUTED_VALUE"""),500368.0)</f>
        <v>500368</v>
      </c>
      <c r="B169" s="6" t="str">
        <f>IFERROR(__xludf.DUMMYFUNCTION("""COMPUTED_VALUE"""),"Patanjali Foods Limited")</f>
        <v>Patanjali Foods Limited</v>
      </c>
      <c r="C169" s="6" t="str">
        <f>IFERROR(__xludf.DUMMYFUNCTION("""COMPUTED_VALUE"""),"PATANJALI")</f>
        <v>PATANJALI</v>
      </c>
      <c r="D169" s="6" t="str">
        <f>IFERROR(__xludf.DUMMYFUNCTION("""COMPUTED_VALUE"""),"Patanjali Foods Ltd")</f>
        <v>Patanjali Foods Ltd</v>
      </c>
      <c r="E169" s="6" t="str">
        <f>IFERROR(__xludf.DUMMYFUNCTION("""COMPUTED_VALUE"""),"Active")</f>
        <v>Active</v>
      </c>
      <c r="F169" s="6" t="str">
        <f>IFERROR(__xludf.DUMMYFUNCTION("""COMPUTED_VALUE"""),"A")</f>
        <v>A</v>
      </c>
      <c r="G169" s="6">
        <f>IFERROR(__xludf.DUMMYFUNCTION("""COMPUTED_VALUE"""),2.0)</f>
        <v>2</v>
      </c>
      <c r="H169" s="6" t="str">
        <f>IFERROR(__xludf.DUMMYFUNCTION("""COMPUTED_VALUE"""),"INE619A01035")</f>
        <v>INE619A01035</v>
      </c>
      <c r="I169" s="6" t="str">
        <f>IFERROR(__xludf.DUMMYFUNCTION("""COMPUTED_VALUE"""),"Equity")</f>
        <v>Equity</v>
      </c>
      <c r="J169" s="6" t="str">
        <f>IFERROR(__xludf.DUMMYFUNCTION("""COMPUTED_VALUE"""),"Fast Moving Consumer Goods")</f>
        <v>Fast Moving Consumer Goods</v>
      </c>
      <c r="K169" s="6" t="str">
        <f>IFERROR(__xludf.DUMMYFUNCTION("""COMPUTED_VALUE"""),"Fast Moving Consumer Goods")</f>
        <v>Fast Moving Consumer Goods</v>
      </c>
      <c r="L169" s="6" t="str">
        <f>IFERROR(__xludf.DUMMYFUNCTION("""COMPUTED_VALUE"""),"Agricultural Food &amp; other Products")</f>
        <v>Agricultural Food &amp; other Products</v>
      </c>
      <c r="M169" s="6" t="str">
        <f>IFERROR(__xludf.DUMMYFUNCTION("""COMPUTED_VALUE"""),"Edible Oil")</f>
        <v>Edible Oil</v>
      </c>
      <c r="N169" s="5">
        <f>IFERROR(__xludf.DUMMYFUNCTION("""COMPUTED_VALUE"""),55493.0392286)</f>
        <v>55493.03923</v>
      </c>
      <c r="O169" s="6">
        <f t="shared" si="4"/>
        <v>44</v>
      </c>
      <c r="P169" s="6">
        <f t="shared" ref="P169:Q169" si="340">COUNTIFS(L:L,L169)</f>
        <v>14</v>
      </c>
      <c r="Q169" s="24">
        <f t="shared" si="340"/>
        <v>3</v>
      </c>
      <c r="R169" s="6" t="str">
        <f t="shared" si="6"/>
        <v>Fast Moving Consumer Goods</v>
      </c>
      <c r="S169" s="6" t="str">
        <f t="shared" si="7"/>
        <v>Fast Moving Consumer Goods</v>
      </c>
      <c r="T169" s="6">
        <f>IFERROR(__xludf.DUMMYFUNCTION("COUNTA(UNIQUE(query($A$2:$P$800,""select L where K='""&amp; K169&amp;""'"")))"),7.0)</f>
        <v>7</v>
      </c>
      <c r="U169" s="23">
        <f t="shared" si="8"/>
        <v>0.2386363636</v>
      </c>
      <c r="V169" s="23">
        <f t="shared" ref="V169:W169" si="341">P169/O169</f>
        <v>0.3181818182</v>
      </c>
      <c r="W169" s="23">
        <f t="shared" si="341"/>
        <v>0.2142857143</v>
      </c>
    </row>
    <row r="170">
      <c r="A170" s="6">
        <f>IFERROR(__xludf.DUMMYFUNCTION("""COMPUTED_VALUE"""),544162.0)</f>
        <v>544162</v>
      </c>
      <c r="B170" s="6" t="str">
        <f>IFERROR(__xludf.DUMMYFUNCTION("""COMPUTED_VALUE"""),"Bharti Hexacom Limited")</f>
        <v>Bharti Hexacom Limited</v>
      </c>
      <c r="C170" s="6" t="str">
        <f>IFERROR(__xludf.DUMMYFUNCTION("""COMPUTED_VALUE"""),"BHARTIHEXA")</f>
        <v>BHARTIHEXA</v>
      </c>
      <c r="D170" s="6" t="str">
        <f>IFERROR(__xludf.DUMMYFUNCTION("""COMPUTED_VALUE"""),"Bharti Hexacom Ltd")</f>
        <v>Bharti Hexacom Ltd</v>
      </c>
      <c r="E170" s="6" t="str">
        <f>IFERROR(__xludf.DUMMYFUNCTION("""COMPUTED_VALUE"""),"Active")</f>
        <v>Active</v>
      </c>
      <c r="F170" s="6" t="str">
        <f>IFERROR(__xludf.DUMMYFUNCTION("""COMPUTED_VALUE"""),"B")</f>
        <v>B</v>
      </c>
      <c r="G170" s="6">
        <f>IFERROR(__xludf.DUMMYFUNCTION("""COMPUTED_VALUE"""),5.0)</f>
        <v>5</v>
      </c>
      <c r="H170" s="6" t="str">
        <f>IFERROR(__xludf.DUMMYFUNCTION("""COMPUTED_VALUE"""),"INE343G01021")</f>
        <v>INE343G01021</v>
      </c>
      <c r="I170" s="6" t="str">
        <f>IFERROR(__xludf.DUMMYFUNCTION("""COMPUTED_VALUE"""),"Equity")</f>
        <v>Equity</v>
      </c>
      <c r="J170" s="6" t="str">
        <f>IFERROR(__xludf.DUMMYFUNCTION("""COMPUTED_VALUE"""),"Telecommunication")</f>
        <v>Telecommunication</v>
      </c>
      <c r="K170" s="6" t="str">
        <f>IFERROR(__xludf.DUMMYFUNCTION("""COMPUTED_VALUE"""),"Telecommunication")</f>
        <v>Telecommunication</v>
      </c>
      <c r="L170" s="6" t="str">
        <f>IFERROR(__xludf.DUMMYFUNCTION("""COMPUTED_VALUE"""),"Telecom - Services")</f>
        <v>Telecom - Services</v>
      </c>
      <c r="M170" s="6" t="str">
        <f>IFERROR(__xludf.DUMMYFUNCTION("""COMPUTED_VALUE"""),"Telecom - Cellular &amp; Fixed line services")</f>
        <v>Telecom - Cellular &amp; Fixed line services</v>
      </c>
      <c r="N170" s="5">
        <f>IFERROR(__xludf.DUMMYFUNCTION("""COMPUTED_VALUE"""),55362.6950715)</f>
        <v>55362.69507</v>
      </c>
      <c r="O170" s="6">
        <f t="shared" si="4"/>
        <v>14</v>
      </c>
      <c r="P170" s="6">
        <f t="shared" ref="P170:Q170" si="342">COUNTIFS(L:L,L170)</f>
        <v>11</v>
      </c>
      <c r="Q170" s="24">
        <f t="shared" si="342"/>
        <v>5</v>
      </c>
      <c r="R170" s="6" t="str">
        <f t="shared" si="6"/>
        <v>Telecommunication</v>
      </c>
      <c r="S170" s="6" t="str">
        <f t="shared" si="7"/>
        <v>Telecommunication</v>
      </c>
      <c r="T170" s="6">
        <f>IFERROR(__xludf.DUMMYFUNCTION("COUNTA(UNIQUE(query($A$2:$P$800,""select L where K='""&amp; K170&amp;""'"")))"),2.0)</f>
        <v>2</v>
      </c>
      <c r="U170" s="23">
        <f t="shared" si="8"/>
        <v>0.2142857143</v>
      </c>
      <c r="V170" s="23">
        <f t="shared" ref="V170:W170" si="343">P170/O170</f>
        <v>0.7857142857</v>
      </c>
      <c r="W170" s="23">
        <f t="shared" si="343"/>
        <v>0.4545454545</v>
      </c>
    </row>
    <row r="171">
      <c r="A171" s="6">
        <f>IFERROR(__xludf.DUMMYFUNCTION("""COMPUTED_VALUE"""),500290.0)</f>
        <v>500290</v>
      </c>
      <c r="B171" s="6" t="str">
        <f>IFERROR(__xludf.DUMMYFUNCTION("""COMPUTED_VALUE"""),"M.R.F. Ltd.")</f>
        <v>M.R.F. Ltd.</v>
      </c>
      <c r="C171" s="6" t="str">
        <f>IFERROR(__xludf.DUMMYFUNCTION("""COMPUTED_VALUE"""),"MRF")</f>
        <v>MRF</v>
      </c>
      <c r="D171" s="6" t="str">
        <f>IFERROR(__xludf.DUMMYFUNCTION("""COMPUTED_VALUE"""),"MRF LTD.")</f>
        <v>MRF LTD.</v>
      </c>
      <c r="E171" s="6" t="str">
        <f>IFERROR(__xludf.DUMMYFUNCTION("""COMPUTED_VALUE"""),"Active")</f>
        <v>Active</v>
      </c>
      <c r="F171" s="6" t="str">
        <f>IFERROR(__xludf.DUMMYFUNCTION("""COMPUTED_VALUE"""),"A")</f>
        <v>A</v>
      </c>
      <c r="G171" s="6">
        <f>IFERROR(__xludf.DUMMYFUNCTION("""COMPUTED_VALUE"""),10.0)</f>
        <v>10</v>
      </c>
      <c r="H171" s="6" t="str">
        <f>IFERROR(__xludf.DUMMYFUNCTION("""COMPUTED_VALUE"""),"INE883A01011")</f>
        <v>INE883A01011</v>
      </c>
      <c r="I171" s="6" t="str">
        <f>IFERROR(__xludf.DUMMYFUNCTION("""COMPUTED_VALUE"""),"Equity")</f>
        <v>Equity</v>
      </c>
      <c r="J171" s="6" t="str">
        <f>IFERROR(__xludf.DUMMYFUNCTION("""COMPUTED_VALUE"""),"Consumer Discretionary")</f>
        <v>Consumer Discretionary</v>
      </c>
      <c r="K171" s="6" t="str">
        <f>IFERROR(__xludf.DUMMYFUNCTION("""COMPUTED_VALUE"""),"Automobile and Auto Components")</f>
        <v>Automobile and Auto Components</v>
      </c>
      <c r="L171" s="6" t="str">
        <f>IFERROR(__xludf.DUMMYFUNCTION("""COMPUTED_VALUE"""),"Auto Components")</f>
        <v>Auto Components</v>
      </c>
      <c r="M171" s="6" t="str">
        <f>IFERROR(__xludf.DUMMYFUNCTION("""COMPUTED_VALUE"""),"Tyres &amp; Rubber Products")</f>
        <v>Tyres &amp; Rubber Products</v>
      </c>
      <c r="N171" s="5">
        <f>IFERROR(__xludf.DUMMYFUNCTION("""COMPUTED_VALUE"""),54283.89266)</f>
        <v>54283.89266</v>
      </c>
      <c r="O171" s="6">
        <f t="shared" si="4"/>
        <v>47</v>
      </c>
      <c r="P171" s="6">
        <f t="shared" ref="P171:Q171" si="344">COUNTIFS(L:L,L171)</f>
        <v>37</v>
      </c>
      <c r="Q171" s="24">
        <f t="shared" si="344"/>
        <v>5</v>
      </c>
      <c r="R171" s="6" t="str">
        <f t="shared" si="6"/>
        <v>Automobile and Auto Components</v>
      </c>
      <c r="S171" s="6" t="str">
        <f t="shared" si="7"/>
        <v>Automobile and Auto Components</v>
      </c>
      <c r="T171" s="6">
        <f>IFERROR(__xludf.DUMMYFUNCTION("COUNTA(UNIQUE(query($A$2:$P$800,""select L where K='""&amp; K171&amp;""'"")))"),2.0)</f>
        <v>2</v>
      </c>
      <c r="U171" s="23">
        <f t="shared" si="8"/>
        <v>0.06382978723</v>
      </c>
      <c r="V171" s="23">
        <f t="shared" ref="V171:W171" si="345">P171/O171</f>
        <v>0.7872340426</v>
      </c>
      <c r="W171" s="23">
        <f t="shared" si="345"/>
        <v>0.1351351351</v>
      </c>
    </row>
    <row r="172">
      <c r="A172" s="6">
        <f>IFERROR(__xludf.DUMMYFUNCTION("""COMPUTED_VALUE"""),532885.0)</f>
        <v>532885</v>
      </c>
      <c r="B172" s="6" t="str">
        <f>IFERROR(__xludf.DUMMYFUNCTION("""COMPUTED_VALUE"""),"Central Bank of India")</f>
        <v>Central Bank of India</v>
      </c>
      <c r="C172" s="6" t="str">
        <f>IFERROR(__xludf.DUMMYFUNCTION("""COMPUTED_VALUE"""),"CENTRALBK")</f>
        <v>CENTRALBK</v>
      </c>
      <c r="D172" s="6" t="str">
        <f>IFERROR(__xludf.DUMMYFUNCTION("""COMPUTED_VALUE"""),"CENTRAL BANK OF INDIA")</f>
        <v>CENTRAL BANK OF INDIA</v>
      </c>
      <c r="E172" s="6" t="str">
        <f>IFERROR(__xludf.DUMMYFUNCTION("""COMPUTED_VALUE"""),"Active")</f>
        <v>Active</v>
      </c>
      <c r="F172" s="6" t="str">
        <f>IFERROR(__xludf.DUMMYFUNCTION("""COMPUTED_VALUE"""),"A")</f>
        <v>A</v>
      </c>
      <c r="G172" s="6">
        <f>IFERROR(__xludf.DUMMYFUNCTION("""COMPUTED_VALUE"""),10.0)</f>
        <v>10</v>
      </c>
      <c r="H172" s="6" t="str">
        <f>IFERROR(__xludf.DUMMYFUNCTION("""COMPUTED_VALUE"""),"INE483A01010")</f>
        <v>INE483A01010</v>
      </c>
      <c r="I172" s="6" t="str">
        <f>IFERROR(__xludf.DUMMYFUNCTION("""COMPUTED_VALUE"""),"Equity")</f>
        <v>Equity</v>
      </c>
      <c r="J172" s="6" t="str">
        <f>IFERROR(__xludf.DUMMYFUNCTION("""COMPUTED_VALUE"""),"Financial Services")</f>
        <v>Financial Services</v>
      </c>
      <c r="K172" s="6" t="str">
        <f>IFERROR(__xludf.DUMMYFUNCTION("""COMPUTED_VALUE"""),"Financial Services")</f>
        <v>Financial Services</v>
      </c>
      <c r="L172" s="6" t="str">
        <f>IFERROR(__xludf.DUMMYFUNCTION("""COMPUTED_VALUE"""),"Banks")</f>
        <v>Banks</v>
      </c>
      <c r="M172" s="6" t="str">
        <f>IFERROR(__xludf.DUMMYFUNCTION("""COMPUTED_VALUE"""),"Public Sector Bank")</f>
        <v>Public Sector Bank</v>
      </c>
      <c r="N172" s="5">
        <f>IFERROR(__xludf.DUMMYFUNCTION("""COMPUTED_VALUE"""),54205.3728533)</f>
        <v>54205.37285</v>
      </c>
      <c r="O172" s="6">
        <f t="shared" si="4"/>
        <v>123</v>
      </c>
      <c r="P172" s="6">
        <f t="shared" ref="P172:Q172" si="346">COUNTIFS(L:L,L172)</f>
        <v>35</v>
      </c>
      <c r="Q172" s="24">
        <f t="shared" si="346"/>
        <v>12</v>
      </c>
      <c r="R172" s="6" t="str">
        <f t="shared" si="6"/>
        <v>Banks</v>
      </c>
      <c r="S172" s="6" t="str">
        <f t="shared" si="7"/>
        <v>Banks</v>
      </c>
      <c r="T172" s="6">
        <f>IFERROR(__xludf.DUMMYFUNCTION("COUNTA(UNIQUE(query($A$2:$P$800,""select L where K='""&amp; K172&amp;""'"")))"),5.0)</f>
        <v>5</v>
      </c>
      <c r="U172" s="23">
        <f t="shared" si="8"/>
        <v>0.06097560976</v>
      </c>
      <c r="V172" s="23">
        <f t="shared" ref="V172:W172" si="347">P172/O172</f>
        <v>0.2845528455</v>
      </c>
      <c r="W172" s="23">
        <f t="shared" si="347"/>
        <v>0.3428571429</v>
      </c>
    </row>
    <row r="173">
      <c r="A173" s="6">
        <f>IFERROR(__xludf.DUMMYFUNCTION("""COMPUTED_VALUE"""),500483.0)</f>
        <v>500483</v>
      </c>
      <c r="B173" s="6" t="str">
        <f>IFERROR(__xludf.DUMMYFUNCTION("""COMPUTED_VALUE"""),"Tata Communications Limited")</f>
        <v>Tata Communications Limited</v>
      </c>
      <c r="C173" s="6" t="str">
        <f>IFERROR(__xludf.DUMMYFUNCTION("""COMPUTED_VALUE"""),"TATACOMM")</f>
        <v>TATACOMM</v>
      </c>
      <c r="D173" s="6" t="str">
        <f>IFERROR(__xludf.DUMMYFUNCTION("""COMPUTED_VALUE"""),"TATA COMMUNICATIONS LTD.")</f>
        <v>TATA COMMUNICATIONS LTD.</v>
      </c>
      <c r="E173" s="6" t="str">
        <f>IFERROR(__xludf.DUMMYFUNCTION("""COMPUTED_VALUE"""),"Active")</f>
        <v>Active</v>
      </c>
      <c r="F173" s="6" t="str">
        <f>IFERROR(__xludf.DUMMYFUNCTION("""COMPUTED_VALUE"""),"A")</f>
        <v>A</v>
      </c>
      <c r="G173" s="6">
        <f>IFERROR(__xludf.DUMMYFUNCTION("""COMPUTED_VALUE"""),10.0)</f>
        <v>10</v>
      </c>
      <c r="H173" s="6" t="str">
        <f>IFERROR(__xludf.DUMMYFUNCTION("""COMPUTED_VALUE"""),"INE151A01013")</f>
        <v>INE151A01013</v>
      </c>
      <c r="I173" s="6" t="str">
        <f>IFERROR(__xludf.DUMMYFUNCTION("""COMPUTED_VALUE"""),"Equity")</f>
        <v>Equity</v>
      </c>
      <c r="J173" s="6" t="str">
        <f>IFERROR(__xludf.DUMMYFUNCTION("""COMPUTED_VALUE"""),"Telecommunication")</f>
        <v>Telecommunication</v>
      </c>
      <c r="K173" s="6" t="str">
        <f>IFERROR(__xludf.DUMMYFUNCTION("""COMPUTED_VALUE"""),"Telecommunication")</f>
        <v>Telecommunication</v>
      </c>
      <c r="L173" s="6" t="str">
        <f>IFERROR(__xludf.DUMMYFUNCTION("""COMPUTED_VALUE"""),"Telecom - Services")</f>
        <v>Telecom - Services</v>
      </c>
      <c r="M173" s="6" t="str">
        <f>IFERROR(__xludf.DUMMYFUNCTION("""COMPUTED_VALUE"""),"Telecom - Cellular &amp; Fixed line services")</f>
        <v>Telecom - Cellular &amp; Fixed line services</v>
      </c>
      <c r="N173" s="5">
        <f>IFERROR(__xludf.DUMMYFUNCTION("""COMPUTED_VALUE"""),54047.3373489)</f>
        <v>54047.33735</v>
      </c>
      <c r="O173" s="6">
        <f t="shared" si="4"/>
        <v>14</v>
      </c>
      <c r="P173" s="6">
        <f t="shared" ref="P173:Q173" si="348">COUNTIFS(L:L,L173)</f>
        <v>11</v>
      </c>
      <c r="Q173" s="24">
        <f t="shared" si="348"/>
        <v>5</v>
      </c>
      <c r="R173" s="6" t="str">
        <f t="shared" si="6"/>
        <v>Telecommunication</v>
      </c>
      <c r="S173" s="6" t="str">
        <f t="shared" si="7"/>
        <v>Telecommunication</v>
      </c>
      <c r="T173" s="6">
        <f>IFERROR(__xludf.DUMMYFUNCTION("COUNTA(UNIQUE(query($A$2:$P$800,""select L where K='""&amp; K173&amp;""'"")))"),2.0)</f>
        <v>2</v>
      </c>
      <c r="U173" s="23">
        <f t="shared" si="8"/>
        <v>0.2142857143</v>
      </c>
      <c r="V173" s="23">
        <f t="shared" ref="V173:W173" si="349">P173/O173</f>
        <v>0.7857142857</v>
      </c>
      <c r="W173" s="23">
        <f t="shared" si="349"/>
        <v>0.4545454545</v>
      </c>
    </row>
    <row r="174">
      <c r="A174" s="6">
        <f>IFERROR(__xludf.DUMMYFUNCTION("""COMPUTED_VALUE"""),532149.0)</f>
        <v>532149</v>
      </c>
      <c r="B174" s="6" t="str">
        <f>IFERROR(__xludf.DUMMYFUNCTION("""COMPUTED_VALUE"""),"Bank of India")</f>
        <v>Bank of India</v>
      </c>
      <c r="C174" s="6" t="str">
        <f>IFERROR(__xludf.DUMMYFUNCTION("""COMPUTED_VALUE"""),"BANKINDIA")</f>
        <v>BANKINDIA</v>
      </c>
      <c r="D174" s="6" t="str">
        <f>IFERROR(__xludf.DUMMYFUNCTION("""COMPUTED_VALUE"""),"BANK OF INDIA")</f>
        <v>BANK OF INDIA</v>
      </c>
      <c r="E174" s="6" t="str">
        <f>IFERROR(__xludf.DUMMYFUNCTION("""COMPUTED_VALUE"""),"Active")</f>
        <v>Active</v>
      </c>
      <c r="F174" s="6" t="str">
        <f>IFERROR(__xludf.DUMMYFUNCTION("""COMPUTED_VALUE"""),"A")</f>
        <v>A</v>
      </c>
      <c r="G174" s="6">
        <f>IFERROR(__xludf.DUMMYFUNCTION("""COMPUTED_VALUE"""),10.0)</f>
        <v>10</v>
      </c>
      <c r="H174" s="6" t="str">
        <f>IFERROR(__xludf.DUMMYFUNCTION("""COMPUTED_VALUE"""),"INE084A01016")</f>
        <v>INE084A01016</v>
      </c>
      <c r="I174" s="6" t="str">
        <f>IFERROR(__xludf.DUMMYFUNCTION("""COMPUTED_VALUE"""),"Equity")</f>
        <v>Equity</v>
      </c>
      <c r="J174" s="6" t="str">
        <f>IFERROR(__xludf.DUMMYFUNCTION("""COMPUTED_VALUE"""),"Financial Services")</f>
        <v>Financial Services</v>
      </c>
      <c r="K174" s="6" t="str">
        <f>IFERROR(__xludf.DUMMYFUNCTION("""COMPUTED_VALUE"""),"Financial Services")</f>
        <v>Financial Services</v>
      </c>
      <c r="L174" s="6" t="str">
        <f>IFERROR(__xludf.DUMMYFUNCTION("""COMPUTED_VALUE"""),"Banks")</f>
        <v>Banks</v>
      </c>
      <c r="M174" s="6" t="str">
        <f>IFERROR(__xludf.DUMMYFUNCTION("""COMPUTED_VALUE"""),"Public Sector Bank")</f>
        <v>Public Sector Bank</v>
      </c>
      <c r="N174" s="5">
        <f>IFERROR(__xludf.DUMMYFUNCTION("""COMPUTED_VALUE"""),53730.1623406)</f>
        <v>53730.16234</v>
      </c>
      <c r="O174" s="6">
        <f t="shared" si="4"/>
        <v>123</v>
      </c>
      <c r="P174" s="6">
        <f t="shared" ref="P174:Q174" si="350">COUNTIFS(L:L,L174)</f>
        <v>35</v>
      </c>
      <c r="Q174" s="24">
        <f t="shared" si="350"/>
        <v>12</v>
      </c>
      <c r="R174" s="6" t="str">
        <f t="shared" si="6"/>
        <v>Banks</v>
      </c>
      <c r="S174" s="6" t="str">
        <f t="shared" si="7"/>
        <v>Banks</v>
      </c>
      <c r="T174" s="6">
        <f>IFERROR(__xludf.DUMMYFUNCTION("COUNTA(UNIQUE(query($A$2:$P$800,""select L where K='""&amp; K174&amp;""'"")))"),5.0)</f>
        <v>5</v>
      </c>
      <c r="U174" s="23">
        <f t="shared" si="8"/>
        <v>0.06097560976</v>
      </c>
      <c r="V174" s="23">
        <f t="shared" ref="V174:W174" si="351">P174/O174</f>
        <v>0.2845528455</v>
      </c>
      <c r="W174" s="23">
        <f t="shared" si="351"/>
        <v>0.3428571429</v>
      </c>
    </row>
    <row r="175">
      <c r="A175" s="6">
        <f>IFERROR(__xludf.DUMMYFUNCTION("""COMPUTED_VALUE"""),500459.0)</f>
        <v>500459</v>
      </c>
      <c r="B175" s="6" t="str">
        <f>IFERROR(__xludf.DUMMYFUNCTION("""COMPUTED_VALUE"""),"Procter &amp; Gamble Hygiene &amp; Health Care Ltd.")</f>
        <v>Procter &amp; Gamble Hygiene &amp; Health Care Ltd.</v>
      </c>
      <c r="C175" s="6" t="str">
        <f>IFERROR(__xludf.DUMMYFUNCTION("""COMPUTED_VALUE"""),"PGHH")</f>
        <v>PGHH</v>
      </c>
      <c r="D175" s="6" t="str">
        <f>IFERROR(__xludf.DUMMYFUNCTION("""COMPUTED_VALUE"""),"PROCTER &amp; GAMBLE HYGIENE &amp; HEALTH CARE LTD.")</f>
        <v>PROCTER &amp; GAMBLE HYGIENE &amp; HEALTH CARE LTD.</v>
      </c>
      <c r="E175" s="6" t="str">
        <f>IFERROR(__xludf.DUMMYFUNCTION("""COMPUTED_VALUE"""),"Active")</f>
        <v>Active</v>
      </c>
      <c r="F175" s="6" t="str">
        <f>IFERROR(__xludf.DUMMYFUNCTION("""COMPUTED_VALUE"""),"A")</f>
        <v>A</v>
      </c>
      <c r="G175" s="6">
        <f>IFERROR(__xludf.DUMMYFUNCTION("""COMPUTED_VALUE"""),10.0)</f>
        <v>10</v>
      </c>
      <c r="H175" s="6" t="str">
        <f>IFERROR(__xludf.DUMMYFUNCTION("""COMPUTED_VALUE"""),"INE179A01014")</f>
        <v>INE179A01014</v>
      </c>
      <c r="I175" s="6" t="str">
        <f>IFERROR(__xludf.DUMMYFUNCTION("""COMPUTED_VALUE"""),"Equity")</f>
        <v>Equity</v>
      </c>
      <c r="J175" s="6" t="str">
        <f>IFERROR(__xludf.DUMMYFUNCTION("""COMPUTED_VALUE"""),"Fast Moving Consumer Goods")</f>
        <v>Fast Moving Consumer Goods</v>
      </c>
      <c r="K175" s="6" t="str">
        <f>IFERROR(__xludf.DUMMYFUNCTION("""COMPUTED_VALUE"""),"Fast Moving Consumer Goods")</f>
        <v>Fast Moving Consumer Goods</v>
      </c>
      <c r="L175" s="6" t="str">
        <f>IFERROR(__xludf.DUMMYFUNCTION("""COMPUTED_VALUE"""),"Personal Products")</f>
        <v>Personal Products</v>
      </c>
      <c r="M175" s="6" t="str">
        <f>IFERROR(__xludf.DUMMYFUNCTION("""COMPUTED_VALUE"""),"Personal Care")</f>
        <v>Personal Care</v>
      </c>
      <c r="N175" s="5">
        <f>IFERROR(__xludf.DUMMYFUNCTION("""COMPUTED_VALUE"""),53404.2084957)</f>
        <v>53404.2085</v>
      </c>
      <c r="O175" s="6">
        <f t="shared" si="4"/>
        <v>44</v>
      </c>
      <c r="P175" s="6">
        <f t="shared" ref="P175:Q175" si="352">COUNTIFS(L:L,L175)</f>
        <v>7</v>
      </c>
      <c r="Q175" s="24">
        <f t="shared" si="352"/>
        <v>7</v>
      </c>
      <c r="R175" s="6" t="str">
        <f t="shared" si="6"/>
        <v>Fast Moving Consumer Goods</v>
      </c>
      <c r="S175" s="6" t="str">
        <f t="shared" si="7"/>
        <v>Fast Moving Consumer Goods</v>
      </c>
      <c r="T175" s="6">
        <f>IFERROR(__xludf.DUMMYFUNCTION("COUNTA(UNIQUE(query($A$2:$P$800,""select L where K='""&amp; K175&amp;""'"")))"),7.0)</f>
        <v>7</v>
      </c>
      <c r="U175" s="23">
        <f t="shared" si="8"/>
        <v>0.2386363636</v>
      </c>
      <c r="V175" s="23">
        <f t="shared" ref="V175:W175" si="353">P175/O175</f>
        <v>0.1590909091</v>
      </c>
      <c r="W175" s="23">
        <f t="shared" si="353"/>
        <v>1</v>
      </c>
    </row>
    <row r="176">
      <c r="A176" s="6">
        <f>IFERROR(__xludf.DUMMYFUNCTION("""COMPUTED_VALUE"""),532478.0)</f>
        <v>532478</v>
      </c>
      <c r="B176" s="6" t="str">
        <f>IFERROR(__xludf.DUMMYFUNCTION("""COMPUTED_VALUE"""),"United Breweries Ltd.")</f>
        <v>United Breweries Ltd.</v>
      </c>
      <c r="C176" s="6" t="str">
        <f>IFERROR(__xludf.DUMMYFUNCTION("""COMPUTED_VALUE"""),"UBL")</f>
        <v>UBL</v>
      </c>
      <c r="D176" s="6" t="str">
        <f>IFERROR(__xludf.DUMMYFUNCTION("""COMPUTED_VALUE"""),"UNITED BREWERIES LTD.-$")</f>
        <v>UNITED BREWERIES LTD.-$</v>
      </c>
      <c r="E176" s="6" t="str">
        <f>IFERROR(__xludf.DUMMYFUNCTION("""COMPUTED_VALUE"""),"Active")</f>
        <v>Active</v>
      </c>
      <c r="F176" s="6" t="str">
        <f>IFERROR(__xludf.DUMMYFUNCTION("""COMPUTED_VALUE"""),"A")</f>
        <v>A</v>
      </c>
      <c r="G176" s="6">
        <f>IFERROR(__xludf.DUMMYFUNCTION("""COMPUTED_VALUE"""),1.0)</f>
        <v>1</v>
      </c>
      <c r="H176" s="6" t="str">
        <f>IFERROR(__xludf.DUMMYFUNCTION("""COMPUTED_VALUE"""),"INE686F01025")</f>
        <v>INE686F01025</v>
      </c>
      <c r="I176" s="6" t="str">
        <f>IFERROR(__xludf.DUMMYFUNCTION("""COMPUTED_VALUE"""),"Equity")</f>
        <v>Equity</v>
      </c>
      <c r="J176" s="6" t="str">
        <f>IFERROR(__xludf.DUMMYFUNCTION("""COMPUTED_VALUE"""),"Fast Moving Consumer Goods")</f>
        <v>Fast Moving Consumer Goods</v>
      </c>
      <c r="K176" s="6" t="str">
        <f>IFERROR(__xludf.DUMMYFUNCTION("""COMPUTED_VALUE"""),"Fast Moving Consumer Goods")</f>
        <v>Fast Moving Consumer Goods</v>
      </c>
      <c r="L176" s="6" t="str">
        <f>IFERROR(__xludf.DUMMYFUNCTION("""COMPUTED_VALUE"""),"Beverages")</f>
        <v>Beverages</v>
      </c>
      <c r="M176" s="6" t="str">
        <f>IFERROR(__xludf.DUMMYFUNCTION("""COMPUTED_VALUE"""),"Breweries &amp; Distilleries")</f>
        <v>Breweries &amp; Distilleries</v>
      </c>
      <c r="N176" s="5">
        <f>IFERROR(__xludf.DUMMYFUNCTION("""COMPUTED_VALUE"""),53254.28508)</f>
        <v>53254.28508</v>
      </c>
      <c r="O176" s="6">
        <f t="shared" si="4"/>
        <v>44</v>
      </c>
      <c r="P176" s="6">
        <f t="shared" ref="P176:Q176" si="354">COUNTIFS(L:L,L176)</f>
        <v>5</v>
      </c>
      <c r="Q176" s="24">
        <f t="shared" si="354"/>
        <v>4</v>
      </c>
      <c r="R176" s="6" t="str">
        <f t="shared" si="6"/>
        <v>Fast Moving Consumer Goods</v>
      </c>
      <c r="S176" s="6" t="str">
        <f t="shared" si="7"/>
        <v>Fast Moving Consumer Goods</v>
      </c>
      <c r="T176" s="6">
        <f>IFERROR(__xludf.DUMMYFUNCTION("COUNTA(UNIQUE(query($A$2:$P$800,""select L where K='""&amp; K176&amp;""'"")))"),7.0)</f>
        <v>7</v>
      </c>
      <c r="U176" s="23">
        <f t="shared" si="8"/>
        <v>0.2386363636</v>
      </c>
      <c r="V176" s="23">
        <f t="shared" ref="V176:W176" si="355">P176/O176</f>
        <v>0.1136363636</v>
      </c>
      <c r="W176" s="23">
        <f t="shared" si="355"/>
        <v>0.8</v>
      </c>
    </row>
    <row r="177">
      <c r="A177" s="6">
        <f>IFERROR(__xludf.DUMMYFUNCTION("""COMPUTED_VALUE"""),533206.0)</f>
        <v>533206</v>
      </c>
      <c r="B177" s="6" t="str">
        <f>IFERROR(__xludf.DUMMYFUNCTION("""COMPUTED_VALUE"""),"SJVN LIMITED")</f>
        <v>SJVN LIMITED</v>
      </c>
      <c r="C177" s="6" t="str">
        <f>IFERROR(__xludf.DUMMYFUNCTION("""COMPUTED_VALUE"""),"SJVN")</f>
        <v>SJVN</v>
      </c>
      <c r="D177" s="6" t="str">
        <f>IFERROR(__xludf.DUMMYFUNCTION("""COMPUTED_VALUE"""),"SJVN Ltd")</f>
        <v>SJVN Ltd</v>
      </c>
      <c r="E177" s="6" t="str">
        <f>IFERROR(__xludf.DUMMYFUNCTION("""COMPUTED_VALUE"""),"Active")</f>
        <v>Active</v>
      </c>
      <c r="F177" s="6" t="str">
        <f>IFERROR(__xludf.DUMMYFUNCTION("""COMPUTED_VALUE"""),"A")</f>
        <v>A</v>
      </c>
      <c r="G177" s="6">
        <f>IFERROR(__xludf.DUMMYFUNCTION("""COMPUTED_VALUE"""),10.0)</f>
        <v>10</v>
      </c>
      <c r="H177" s="6" t="str">
        <f>IFERROR(__xludf.DUMMYFUNCTION("""COMPUTED_VALUE"""),"INE002L01015")</f>
        <v>INE002L01015</v>
      </c>
      <c r="I177" s="6" t="str">
        <f>IFERROR(__xludf.DUMMYFUNCTION("""COMPUTED_VALUE"""),"Equity")</f>
        <v>Equity</v>
      </c>
      <c r="J177" s="6" t="str">
        <f>IFERROR(__xludf.DUMMYFUNCTION("""COMPUTED_VALUE"""),"Utilities")</f>
        <v>Utilities</v>
      </c>
      <c r="K177" s="6" t="str">
        <f>IFERROR(__xludf.DUMMYFUNCTION("""COMPUTED_VALUE"""),"Power")</f>
        <v>Power</v>
      </c>
      <c r="L177" s="6" t="str">
        <f>IFERROR(__xludf.DUMMYFUNCTION("""COMPUTED_VALUE"""),"Power")</f>
        <v>Power</v>
      </c>
      <c r="M177" s="6" t="str">
        <f>IFERROR(__xludf.DUMMYFUNCTION("""COMPUTED_VALUE"""),"Power Generation")</f>
        <v>Power Generation</v>
      </c>
      <c r="N177" s="5">
        <f>IFERROR(__xludf.DUMMYFUNCTION("""COMPUTED_VALUE"""),51935.9211926)</f>
        <v>51935.92119</v>
      </c>
      <c r="O177" s="6">
        <f t="shared" si="4"/>
        <v>22</v>
      </c>
      <c r="P177" s="6">
        <f t="shared" ref="P177:Q177" si="356">COUNTIFS(L:L,L177)</f>
        <v>22</v>
      </c>
      <c r="Q177" s="24">
        <f t="shared" si="356"/>
        <v>13</v>
      </c>
      <c r="R177" s="6" t="str">
        <f t="shared" si="6"/>
        <v>Power</v>
      </c>
      <c r="S177" s="6" t="str">
        <f t="shared" si="7"/>
        <v>Power</v>
      </c>
      <c r="T177" s="6">
        <f>IFERROR(__xludf.DUMMYFUNCTION("COUNTA(UNIQUE(query($A$2:$P$800,""select L where K='""&amp; K177&amp;""'"")))"),1.0)</f>
        <v>1</v>
      </c>
      <c r="U177" s="23">
        <f t="shared" si="8"/>
        <v>0.06818181818</v>
      </c>
      <c r="V177" s="23">
        <f t="shared" ref="V177:W177" si="357">P177/O177</f>
        <v>1</v>
      </c>
      <c r="W177" s="23">
        <f t="shared" si="357"/>
        <v>0.5909090909</v>
      </c>
    </row>
    <row r="178">
      <c r="A178" s="6">
        <f>IFERROR(__xludf.DUMMYFUNCTION("""COMPUTED_VALUE"""),540115.0)</f>
        <v>540115</v>
      </c>
      <c r="B178" s="6" t="str">
        <f>IFERROR(__xludf.DUMMYFUNCTION("""COMPUTED_VALUE"""),"L&amp;T Technology Services Limited")</f>
        <v>L&amp;T Technology Services Limited</v>
      </c>
      <c r="C178" s="6" t="str">
        <f>IFERROR(__xludf.DUMMYFUNCTION("""COMPUTED_VALUE"""),"LTTS")</f>
        <v>LTTS</v>
      </c>
      <c r="D178" s="6" t="str">
        <f>IFERROR(__xludf.DUMMYFUNCTION("""COMPUTED_VALUE"""),"L&amp;T Technology Services Ltd")</f>
        <v>L&amp;T Technology Services Ltd</v>
      </c>
      <c r="E178" s="6" t="str">
        <f>IFERROR(__xludf.DUMMYFUNCTION("""COMPUTED_VALUE"""),"Active")</f>
        <v>Active</v>
      </c>
      <c r="F178" s="6" t="str">
        <f>IFERROR(__xludf.DUMMYFUNCTION("""COMPUTED_VALUE"""),"A")</f>
        <v>A</v>
      </c>
      <c r="G178" s="6">
        <f>IFERROR(__xludf.DUMMYFUNCTION("""COMPUTED_VALUE"""),2.0)</f>
        <v>2</v>
      </c>
      <c r="H178" s="6" t="str">
        <f>IFERROR(__xludf.DUMMYFUNCTION("""COMPUTED_VALUE"""),"INE010V01017")</f>
        <v>INE010V01017</v>
      </c>
      <c r="I178" s="6" t="str">
        <f>IFERROR(__xludf.DUMMYFUNCTION("""COMPUTED_VALUE"""),"Equity")</f>
        <v>Equity</v>
      </c>
      <c r="J178" s="6" t="str">
        <f>IFERROR(__xludf.DUMMYFUNCTION("""COMPUTED_VALUE"""),"Information Technology")</f>
        <v>Information Technology</v>
      </c>
      <c r="K178" s="6" t="str">
        <f>IFERROR(__xludf.DUMMYFUNCTION("""COMPUTED_VALUE"""),"Information Technology")</f>
        <v>Information Technology</v>
      </c>
      <c r="L178" s="6" t="str">
        <f>IFERROR(__xludf.DUMMYFUNCTION("""COMPUTED_VALUE"""),"IT - Services")</f>
        <v>IT - Services</v>
      </c>
      <c r="M178" s="6" t="str">
        <f>IFERROR(__xludf.DUMMYFUNCTION("""COMPUTED_VALUE"""),"IT Enabled Services")</f>
        <v>IT Enabled Services</v>
      </c>
      <c r="N178" s="5">
        <f>IFERROR(__xludf.DUMMYFUNCTION("""COMPUTED_VALUE"""),51586.803)</f>
        <v>51586.803</v>
      </c>
      <c r="O178" s="6">
        <f t="shared" si="4"/>
        <v>36</v>
      </c>
      <c r="P178" s="6">
        <f t="shared" ref="P178:Q178" si="358">COUNTIFS(L:L,L178)</f>
        <v>8</v>
      </c>
      <c r="Q178" s="24">
        <f t="shared" si="358"/>
        <v>8</v>
      </c>
      <c r="R178" s="6" t="str">
        <f t="shared" si="6"/>
        <v>Information Technology</v>
      </c>
      <c r="S178" s="6" t="str">
        <f t="shared" si="7"/>
        <v>Information Technology</v>
      </c>
      <c r="T178" s="6">
        <f>IFERROR(__xludf.DUMMYFUNCTION("COUNTA(UNIQUE(query($A$2:$P$800,""select L where K='""&amp; K178&amp;""'"")))"),3.0)</f>
        <v>3</v>
      </c>
      <c r="U178" s="23">
        <f t="shared" si="8"/>
        <v>0.125</v>
      </c>
      <c r="V178" s="23">
        <f t="shared" ref="V178:W178" si="359">P178/O178</f>
        <v>0.2222222222</v>
      </c>
      <c r="W178" s="23">
        <f t="shared" si="359"/>
        <v>1</v>
      </c>
    </row>
    <row r="179">
      <c r="A179" s="6">
        <f>IFERROR(__xludf.DUMMYFUNCTION("""COMPUTED_VALUE"""),543278.0)</f>
        <v>543278</v>
      </c>
      <c r="B179" s="6" t="str">
        <f>IFERROR(__xludf.DUMMYFUNCTION("""COMPUTED_VALUE"""),"Kalyan Jewellers India Limited")</f>
        <v>Kalyan Jewellers India Limited</v>
      </c>
      <c r="C179" s="6" t="str">
        <f>IFERROR(__xludf.DUMMYFUNCTION("""COMPUTED_VALUE"""),"KALYANKJIL")</f>
        <v>KALYANKJIL</v>
      </c>
      <c r="D179" s="6" t="str">
        <f>IFERROR(__xludf.DUMMYFUNCTION("""COMPUTED_VALUE"""),"Kalyan Jewellers India Ltd")</f>
        <v>Kalyan Jewellers India Ltd</v>
      </c>
      <c r="E179" s="6" t="str">
        <f>IFERROR(__xludf.DUMMYFUNCTION("""COMPUTED_VALUE"""),"Active")</f>
        <v>Active</v>
      </c>
      <c r="F179" s="6" t="str">
        <f>IFERROR(__xludf.DUMMYFUNCTION("""COMPUTED_VALUE"""),"A")</f>
        <v>A</v>
      </c>
      <c r="G179" s="6">
        <f>IFERROR(__xludf.DUMMYFUNCTION("""COMPUTED_VALUE"""),10.0)</f>
        <v>10</v>
      </c>
      <c r="H179" s="6" t="str">
        <f>IFERROR(__xludf.DUMMYFUNCTION("""COMPUTED_VALUE"""),"INE303R01014")</f>
        <v>INE303R01014</v>
      </c>
      <c r="I179" s="6" t="str">
        <f>IFERROR(__xludf.DUMMYFUNCTION("""COMPUTED_VALUE"""),"Equity")</f>
        <v>Equity</v>
      </c>
      <c r="J179" s="6" t="str">
        <f>IFERROR(__xludf.DUMMYFUNCTION("""COMPUTED_VALUE"""),"Consumer Discretionary")</f>
        <v>Consumer Discretionary</v>
      </c>
      <c r="K179" s="6" t="str">
        <f>IFERROR(__xludf.DUMMYFUNCTION("""COMPUTED_VALUE"""),"Consumer Durables")</f>
        <v>Consumer Durables</v>
      </c>
      <c r="L179" s="6" t="str">
        <f>IFERROR(__xludf.DUMMYFUNCTION("""COMPUTED_VALUE"""),"Consumer Durables")</f>
        <v>Consumer Durables</v>
      </c>
      <c r="M179" s="6" t="str">
        <f>IFERROR(__xludf.DUMMYFUNCTION("""COMPUTED_VALUE"""),"Gems, Jewellery And Watches")</f>
        <v>Gems, Jewellery And Watches</v>
      </c>
      <c r="N179" s="5">
        <f>IFERROR(__xludf.DUMMYFUNCTION("""COMPUTED_VALUE"""),51015.8697263)</f>
        <v>51015.86973</v>
      </c>
      <c r="O179" s="6">
        <f t="shared" si="4"/>
        <v>42</v>
      </c>
      <c r="P179" s="6">
        <f t="shared" ref="P179:Q179" si="360">COUNTIFS(L:L,L179)</f>
        <v>42</v>
      </c>
      <c r="Q179" s="24">
        <f t="shared" si="360"/>
        <v>7</v>
      </c>
      <c r="R179" s="6" t="str">
        <f t="shared" si="6"/>
        <v>Consumer Durables</v>
      </c>
      <c r="S179" s="6" t="str">
        <f t="shared" si="7"/>
        <v>Consumer Durables</v>
      </c>
      <c r="T179" s="6">
        <f>IFERROR(__xludf.DUMMYFUNCTION("COUNTA(UNIQUE(query($A$2:$P$800,""select L where K='""&amp; K179&amp;""'"")))"),1.0)</f>
        <v>1</v>
      </c>
      <c r="U179" s="23">
        <f t="shared" si="8"/>
        <v>0.03571428571</v>
      </c>
      <c r="V179" s="23">
        <f t="shared" ref="V179:W179" si="361">P179/O179</f>
        <v>1</v>
      </c>
      <c r="W179" s="23">
        <f t="shared" si="361"/>
        <v>0.1666666667</v>
      </c>
    </row>
    <row r="180">
      <c r="A180" s="6">
        <f>IFERROR(__xludf.DUMMYFUNCTION("""COMPUTED_VALUE"""),517174.0)</f>
        <v>517174</v>
      </c>
      <c r="B180" s="6" t="str">
        <f>IFERROR(__xludf.DUMMYFUNCTION("""COMPUTED_VALUE"""),"Honeywell Automation India Ltd.")</f>
        <v>Honeywell Automation India Ltd.</v>
      </c>
      <c r="C180" s="6" t="str">
        <f>IFERROR(__xludf.DUMMYFUNCTION("""COMPUTED_VALUE"""),"HONAUT")</f>
        <v>HONAUT</v>
      </c>
      <c r="D180" s="6" t="str">
        <f>IFERROR(__xludf.DUMMYFUNCTION("""COMPUTED_VALUE"""),"HONEYWELL AUTOMATION INDIA LTD.")</f>
        <v>HONEYWELL AUTOMATION INDIA LTD.</v>
      </c>
      <c r="E180" s="6" t="str">
        <f>IFERROR(__xludf.DUMMYFUNCTION("""COMPUTED_VALUE"""),"Active")</f>
        <v>Active</v>
      </c>
      <c r="F180" s="6" t="str">
        <f>IFERROR(__xludf.DUMMYFUNCTION("""COMPUTED_VALUE"""),"A")</f>
        <v>A</v>
      </c>
      <c r="G180" s="6">
        <f>IFERROR(__xludf.DUMMYFUNCTION("""COMPUTED_VALUE"""),10.0)</f>
        <v>10</v>
      </c>
      <c r="H180" s="6" t="str">
        <f>IFERROR(__xludf.DUMMYFUNCTION("""COMPUTED_VALUE"""),"INE671A01010")</f>
        <v>INE671A01010</v>
      </c>
      <c r="I180" s="6" t="str">
        <f>IFERROR(__xludf.DUMMYFUNCTION("""COMPUTED_VALUE"""),"Equity")</f>
        <v>Equity</v>
      </c>
      <c r="J180" s="6" t="str">
        <f>IFERROR(__xludf.DUMMYFUNCTION("""COMPUTED_VALUE"""),"Industrials")</f>
        <v>Industrials</v>
      </c>
      <c r="K180" s="6" t="str">
        <f>IFERROR(__xludf.DUMMYFUNCTION("""COMPUTED_VALUE"""),"Capital Goods")</f>
        <v>Capital Goods</v>
      </c>
      <c r="L180" s="6" t="str">
        <f>IFERROR(__xludf.DUMMYFUNCTION("""COMPUTED_VALUE"""),"Industrial Manufacturing")</f>
        <v>Industrial Manufacturing</v>
      </c>
      <c r="M180" s="6" t="str">
        <f>IFERROR(__xludf.DUMMYFUNCTION("""COMPUTED_VALUE"""),"Industrial Products")</f>
        <v>Industrial Products</v>
      </c>
      <c r="N180" s="5">
        <f>IFERROR(__xludf.DUMMYFUNCTION("""COMPUTED_VALUE"""),50519.9715085)</f>
        <v>50519.97151</v>
      </c>
      <c r="O180" s="6">
        <f t="shared" si="4"/>
        <v>110</v>
      </c>
      <c r="P180" s="6">
        <f t="shared" ref="P180:Q180" si="362">COUNTIFS(L:L,L180)</f>
        <v>21</v>
      </c>
      <c r="Q180" s="24">
        <f t="shared" si="362"/>
        <v>17</v>
      </c>
      <c r="R180" s="6" t="str">
        <f t="shared" si="6"/>
        <v>Industrial Manufacturing</v>
      </c>
      <c r="S180" s="6" t="str">
        <f t="shared" si="7"/>
        <v>Industrial Manufacturing</v>
      </c>
      <c r="T180" s="6">
        <f>IFERROR(__xludf.DUMMYFUNCTION("COUNTA(UNIQUE(query($A$2:$P$800,""select L where K='""&amp; K180&amp;""'"")))"),5.0)</f>
        <v>5</v>
      </c>
      <c r="U180" s="23">
        <f t="shared" si="8"/>
        <v>0.06818181818</v>
      </c>
      <c r="V180" s="23">
        <f t="shared" ref="V180:W180" si="363">P180/O180</f>
        <v>0.1909090909</v>
      </c>
      <c r="W180" s="23">
        <f t="shared" si="363"/>
        <v>0.8095238095</v>
      </c>
    </row>
    <row r="181">
      <c r="A181" s="6">
        <f>IFERROR(__xludf.DUMMYFUNCTION("""COMPUTED_VALUE"""),540611.0)</f>
        <v>540611</v>
      </c>
      <c r="B181" s="6" t="str">
        <f>IFERROR(__xludf.DUMMYFUNCTION("""COMPUTED_VALUE"""),"AU Small Finance Bank Limited")</f>
        <v>AU Small Finance Bank Limited</v>
      </c>
      <c r="C181" s="6" t="str">
        <f>IFERROR(__xludf.DUMMYFUNCTION("""COMPUTED_VALUE"""),"AUBANK")</f>
        <v>AUBANK</v>
      </c>
      <c r="D181" s="6" t="str">
        <f>IFERROR(__xludf.DUMMYFUNCTION("""COMPUTED_VALUE"""),"AU Small Finance Bank Ltd")</f>
        <v>AU Small Finance Bank Ltd</v>
      </c>
      <c r="E181" s="6" t="str">
        <f>IFERROR(__xludf.DUMMYFUNCTION("""COMPUTED_VALUE"""),"Active")</f>
        <v>Active</v>
      </c>
      <c r="F181" s="6" t="str">
        <f>IFERROR(__xludf.DUMMYFUNCTION("""COMPUTED_VALUE"""),"A")</f>
        <v>A</v>
      </c>
      <c r="G181" s="6">
        <f>IFERROR(__xludf.DUMMYFUNCTION("""COMPUTED_VALUE"""),10.0)</f>
        <v>10</v>
      </c>
      <c r="H181" s="6" t="str">
        <f>IFERROR(__xludf.DUMMYFUNCTION("""COMPUTED_VALUE"""),"INE949L01017")</f>
        <v>INE949L01017</v>
      </c>
      <c r="I181" s="6" t="str">
        <f>IFERROR(__xludf.DUMMYFUNCTION("""COMPUTED_VALUE"""),"Equity")</f>
        <v>Equity</v>
      </c>
      <c r="J181" s="6" t="str">
        <f>IFERROR(__xludf.DUMMYFUNCTION("""COMPUTED_VALUE"""),"Financial Services")</f>
        <v>Financial Services</v>
      </c>
      <c r="K181" s="6" t="str">
        <f>IFERROR(__xludf.DUMMYFUNCTION("""COMPUTED_VALUE"""),"Financial Services")</f>
        <v>Financial Services</v>
      </c>
      <c r="L181" s="6" t="str">
        <f>IFERROR(__xludf.DUMMYFUNCTION("""COMPUTED_VALUE"""),"Banks")</f>
        <v>Banks</v>
      </c>
      <c r="M181" s="6" t="str">
        <f>IFERROR(__xludf.DUMMYFUNCTION("""COMPUTED_VALUE"""),"Private Sector Bank")</f>
        <v>Private Sector Bank</v>
      </c>
      <c r="N181" s="5">
        <f>IFERROR(__xludf.DUMMYFUNCTION("""COMPUTED_VALUE"""),50429.4807695)</f>
        <v>50429.48077</v>
      </c>
      <c r="O181" s="6">
        <f t="shared" si="4"/>
        <v>123</v>
      </c>
      <c r="P181" s="6">
        <f t="shared" ref="P181:Q181" si="364">COUNTIFS(L:L,L181)</f>
        <v>35</v>
      </c>
      <c r="Q181" s="24">
        <f t="shared" si="364"/>
        <v>23</v>
      </c>
      <c r="R181" s="6" t="str">
        <f t="shared" si="6"/>
        <v>Banks</v>
      </c>
      <c r="S181" s="6" t="str">
        <f t="shared" si="7"/>
        <v>Banks</v>
      </c>
      <c r="T181" s="6">
        <f>IFERROR(__xludf.DUMMYFUNCTION("COUNTA(UNIQUE(query($A$2:$P$800,""select L where K='""&amp; K181&amp;""'"")))"),5.0)</f>
        <v>5</v>
      </c>
      <c r="U181" s="23">
        <f t="shared" si="8"/>
        <v>0.06097560976</v>
      </c>
      <c r="V181" s="23">
        <f t="shared" ref="V181:W181" si="365">P181/O181</f>
        <v>0.2845528455</v>
      </c>
      <c r="W181" s="23">
        <f t="shared" si="365"/>
        <v>0.6571428571</v>
      </c>
    </row>
    <row r="182">
      <c r="A182" s="6">
        <f>IFERROR(__xludf.DUMMYFUNCTION("""COMPUTED_VALUE"""),590071.0)</f>
        <v>590071</v>
      </c>
      <c r="B182" s="6" t="str">
        <f>IFERROR(__xludf.DUMMYFUNCTION("""COMPUTED_VALUE"""),"SUNDARAM FINANCE LTD")</f>
        <v>SUNDARAM FINANCE LTD</v>
      </c>
      <c r="C182" s="6" t="str">
        <f>IFERROR(__xludf.DUMMYFUNCTION("""COMPUTED_VALUE"""),"SUNDARMFIN")</f>
        <v>SUNDARMFIN</v>
      </c>
      <c r="D182" s="6" t="str">
        <f>IFERROR(__xludf.DUMMYFUNCTION("""COMPUTED_VALUE"""),"SUNDARAM FINANCE LTD.")</f>
        <v>SUNDARAM FINANCE LTD.</v>
      </c>
      <c r="E182" s="6" t="str">
        <f>IFERROR(__xludf.DUMMYFUNCTION("""COMPUTED_VALUE"""),"Active")</f>
        <v>Active</v>
      </c>
      <c r="F182" s="6" t="str">
        <f>IFERROR(__xludf.DUMMYFUNCTION("""COMPUTED_VALUE"""),"B")</f>
        <v>B</v>
      </c>
      <c r="G182" s="6">
        <f>IFERROR(__xludf.DUMMYFUNCTION("""COMPUTED_VALUE"""),10.0)</f>
        <v>10</v>
      </c>
      <c r="H182" s="6" t="str">
        <f>IFERROR(__xludf.DUMMYFUNCTION("""COMPUTED_VALUE"""),"INE660A01013")</f>
        <v>INE660A01013</v>
      </c>
      <c r="I182" s="6" t="str">
        <f>IFERROR(__xludf.DUMMYFUNCTION("""COMPUTED_VALUE"""),"Equity")</f>
        <v>Equity</v>
      </c>
      <c r="J182" s="6" t="str">
        <f>IFERROR(__xludf.DUMMYFUNCTION("""COMPUTED_VALUE"""),"Financial Services")</f>
        <v>Financial Services</v>
      </c>
      <c r="K182" s="6" t="str">
        <f>IFERROR(__xludf.DUMMYFUNCTION("""COMPUTED_VALUE"""),"Financial Services")</f>
        <v>Financial Services</v>
      </c>
      <c r="L182" s="6" t="str">
        <f>IFERROR(__xludf.DUMMYFUNCTION("""COMPUTED_VALUE"""),"Finance")</f>
        <v>Finance</v>
      </c>
      <c r="M182" s="6" t="str">
        <f>IFERROR(__xludf.DUMMYFUNCTION("""COMPUTED_VALUE"""),"Non Banking Financial Company (NBFC)")</f>
        <v>Non Banking Financial Company (NBFC)</v>
      </c>
      <c r="N182" s="5">
        <f>IFERROR(__xludf.DUMMYFUNCTION("""COMPUTED_VALUE"""),50340.3449874)</f>
        <v>50340.34499</v>
      </c>
      <c r="O182" s="6">
        <f t="shared" si="4"/>
        <v>123</v>
      </c>
      <c r="P182" s="6">
        <f t="shared" ref="P182:Q182" si="366">COUNTIFS(L:L,L182)</f>
        <v>56</v>
      </c>
      <c r="Q182" s="24">
        <f t="shared" si="366"/>
        <v>21</v>
      </c>
      <c r="R182" s="6" t="str">
        <f t="shared" si="6"/>
        <v>Non Banking Financial Company (NBFC)</v>
      </c>
      <c r="S182" s="6" t="str">
        <f t="shared" si="7"/>
        <v>Non Banking Financial Company (NBFC)</v>
      </c>
      <c r="T182" s="6">
        <f>IFERROR(__xludf.DUMMYFUNCTION("COUNTA(UNIQUE(query($A$2:$P$800,""select L where K='""&amp; K182&amp;""'"")))"),5.0)</f>
        <v>5</v>
      </c>
      <c r="U182" s="23">
        <f t="shared" si="8"/>
        <v>0.06097560976</v>
      </c>
      <c r="V182" s="23">
        <f t="shared" ref="V182:W182" si="367">P182/O182</f>
        <v>0.4552845528</v>
      </c>
      <c r="W182" s="23">
        <f t="shared" si="367"/>
        <v>0.375</v>
      </c>
    </row>
    <row r="183">
      <c r="A183" s="6">
        <f>IFERROR(__xludf.DUMMYFUNCTION("""COMPUTED_VALUE"""),543384.0)</f>
        <v>543384</v>
      </c>
      <c r="B183" s="6" t="str">
        <f>IFERROR(__xludf.DUMMYFUNCTION("""COMPUTED_VALUE"""),"FSN E-Commerce Ventures Limited")</f>
        <v>FSN E-Commerce Ventures Limited</v>
      </c>
      <c r="C183" s="6" t="str">
        <f>IFERROR(__xludf.DUMMYFUNCTION("""COMPUTED_VALUE"""),"NYKAA")</f>
        <v>NYKAA</v>
      </c>
      <c r="D183" s="6" t="str">
        <f>IFERROR(__xludf.DUMMYFUNCTION("""COMPUTED_VALUE"""),"FSN E-Commerce Ventures Ltd")</f>
        <v>FSN E-Commerce Ventures Ltd</v>
      </c>
      <c r="E183" s="6" t="str">
        <f>IFERROR(__xludf.DUMMYFUNCTION("""COMPUTED_VALUE"""),"Active")</f>
        <v>Active</v>
      </c>
      <c r="F183" s="6" t="str">
        <f>IFERROR(__xludf.DUMMYFUNCTION("""COMPUTED_VALUE"""),"A")</f>
        <v>A</v>
      </c>
      <c r="G183" s="6">
        <f>IFERROR(__xludf.DUMMYFUNCTION("""COMPUTED_VALUE"""),1.0)</f>
        <v>1</v>
      </c>
      <c r="H183" s="6" t="str">
        <f>IFERROR(__xludf.DUMMYFUNCTION("""COMPUTED_VALUE"""),"INE388Y01029")</f>
        <v>INE388Y01029</v>
      </c>
      <c r="I183" s="6" t="str">
        <f>IFERROR(__xludf.DUMMYFUNCTION("""COMPUTED_VALUE"""),"Equity")</f>
        <v>Equity</v>
      </c>
      <c r="J183" s="6" t="str">
        <f>IFERROR(__xludf.DUMMYFUNCTION("""COMPUTED_VALUE"""),"Consumer Discretionary")</f>
        <v>Consumer Discretionary</v>
      </c>
      <c r="K183" s="6" t="str">
        <f>IFERROR(__xludf.DUMMYFUNCTION("""COMPUTED_VALUE"""),"Consumer Services")</f>
        <v>Consumer Services</v>
      </c>
      <c r="L183" s="6" t="str">
        <f>IFERROR(__xludf.DUMMYFUNCTION("""COMPUTED_VALUE"""),"Retailing")</f>
        <v>Retailing</v>
      </c>
      <c r="M183" s="6" t="str">
        <f>IFERROR(__xludf.DUMMYFUNCTION("""COMPUTED_VALUE"""),"E-Retail/ E-Commerce")</f>
        <v>E-Retail/ E-Commerce</v>
      </c>
      <c r="N183" s="5">
        <f>IFERROR(__xludf.DUMMYFUNCTION("""COMPUTED_VALUE"""),49896.0120714)</f>
        <v>49896.01207</v>
      </c>
      <c r="O183" s="6">
        <f t="shared" si="4"/>
        <v>37</v>
      </c>
      <c r="P183" s="6">
        <f t="shared" ref="P183:Q183" si="368">COUNTIFS(L:L,L183)</f>
        <v>18</v>
      </c>
      <c r="Q183" s="24">
        <f t="shared" si="368"/>
        <v>3</v>
      </c>
      <c r="R183" s="6" t="str">
        <f t="shared" si="6"/>
        <v>Retailing</v>
      </c>
      <c r="S183" s="6" t="str">
        <f t="shared" si="7"/>
        <v>Retailing</v>
      </c>
      <c r="T183" s="6">
        <f>IFERROR(__xludf.DUMMYFUNCTION("COUNTA(UNIQUE(query($A$2:$P$800,""select L where K='""&amp; K183&amp;""'"")))"),3.0)</f>
        <v>3</v>
      </c>
      <c r="U183" s="23">
        <f t="shared" si="8"/>
        <v>0.1216216216</v>
      </c>
      <c r="V183" s="23">
        <f t="shared" ref="V183:W183" si="369">P183/O183</f>
        <v>0.4864864865</v>
      </c>
      <c r="W183" s="23">
        <f t="shared" si="369"/>
        <v>0.1666666667</v>
      </c>
    </row>
    <row r="184">
      <c r="A184" s="6">
        <f>IFERROR(__xludf.DUMMYFUNCTION("""COMPUTED_VALUE"""),500575.0)</f>
        <v>500575</v>
      </c>
      <c r="B184" s="6" t="str">
        <f>IFERROR(__xludf.DUMMYFUNCTION("""COMPUTED_VALUE"""),"Voltas Ltd.")</f>
        <v>Voltas Ltd.</v>
      </c>
      <c r="C184" s="6" t="str">
        <f>IFERROR(__xludf.DUMMYFUNCTION("""COMPUTED_VALUE"""),"VOLTAS")</f>
        <v>VOLTAS</v>
      </c>
      <c r="D184" s="6" t="str">
        <f>IFERROR(__xludf.DUMMYFUNCTION("""COMPUTED_VALUE"""),"VOLTAS LTD.")</f>
        <v>VOLTAS LTD.</v>
      </c>
      <c r="E184" s="6" t="str">
        <f>IFERROR(__xludf.DUMMYFUNCTION("""COMPUTED_VALUE"""),"Active")</f>
        <v>Active</v>
      </c>
      <c r="F184" s="6" t="str">
        <f>IFERROR(__xludf.DUMMYFUNCTION("""COMPUTED_VALUE"""),"A")</f>
        <v>A</v>
      </c>
      <c r="G184" s="6">
        <f>IFERROR(__xludf.DUMMYFUNCTION("""COMPUTED_VALUE"""),1.0)</f>
        <v>1</v>
      </c>
      <c r="H184" s="6" t="str">
        <f>IFERROR(__xludf.DUMMYFUNCTION("""COMPUTED_VALUE"""),"INE226A01021")</f>
        <v>INE226A01021</v>
      </c>
      <c r="I184" s="6" t="str">
        <f>IFERROR(__xludf.DUMMYFUNCTION("""COMPUTED_VALUE"""),"Equity")</f>
        <v>Equity</v>
      </c>
      <c r="J184" s="6" t="str">
        <f>IFERROR(__xludf.DUMMYFUNCTION("""COMPUTED_VALUE"""),"Consumer Discretionary")</f>
        <v>Consumer Discretionary</v>
      </c>
      <c r="K184" s="6" t="str">
        <f>IFERROR(__xludf.DUMMYFUNCTION("""COMPUTED_VALUE"""),"Consumer Durables")</f>
        <v>Consumer Durables</v>
      </c>
      <c r="L184" s="6" t="str">
        <f>IFERROR(__xludf.DUMMYFUNCTION("""COMPUTED_VALUE"""),"Consumer Durables")</f>
        <v>Consumer Durables</v>
      </c>
      <c r="M184" s="6" t="str">
        <f>IFERROR(__xludf.DUMMYFUNCTION("""COMPUTED_VALUE"""),"Household Appliances")</f>
        <v>Household Appliances</v>
      </c>
      <c r="N184" s="5">
        <f>IFERROR(__xludf.DUMMYFUNCTION("""COMPUTED_VALUE"""),49662.3153914)</f>
        <v>49662.31539</v>
      </c>
      <c r="O184" s="6">
        <f t="shared" si="4"/>
        <v>42</v>
      </c>
      <c r="P184" s="6">
        <f t="shared" ref="P184:Q184" si="370">COUNTIFS(L:L,L184)</f>
        <v>42</v>
      </c>
      <c r="Q184" s="24">
        <f t="shared" si="370"/>
        <v>13</v>
      </c>
      <c r="R184" s="6" t="str">
        <f t="shared" si="6"/>
        <v>Consumer Durables</v>
      </c>
      <c r="S184" s="6" t="str">
        <f t="shared" si="7"/>
        <v>Consumer Durables</v>
      </c>
      <c r="T184" s="6">
        <f>IFERROR(__xludf.DUMMYFUNCTION("COUNTA(UNIQUE(query($A$2:$P$800,""select L where K='""&amp; K184&amp;""'"")))"),1.0)</f>
        <v>1</v>
      </c>
      <c r="U184" s="23">
        <f t="shared" si="8"/>
        <v>0.03571428571</v>
      </c>
      <c r="V184" s="23">
        <f t="shared" ref="V184:W184" si="371">P184/O184</f>
        <v>1</v>
      </c>
      <c r="W184" s="23">
        <f t="shared" si="371"/>
        <v>0.3095238095</v>
      </c>
    </row>
    <row r="185">
      <c r="A185" s="6">
        <f>IFERROR(__xludf.DUMMYFUNCTION("""COMPUTED_VALUE"""),500410.0)</f>
        <v>500410</v>
      </c>
      <c r="B185" s="6" t="str">
        <f>IFERROR(__xludf.DUMMYFUNCTION("""COMPUTED_VALUE"""),"ACC Ltd")</f>
        <v>ACC Ltd</v>
      </c>
      <c r="C185" s="6" t="str">
        <f>IFERROR(__xludf.DUMMYFUNCTION("""COMPUTED_VALUE"""),"ACC")</f>
        <v>ACC</v>
      </c>
      <c r="D185" s="6" t="str">
        <f>IFERROR(__xludf.DUMMYFUNCTION("""COMPUTED_VALUE"""),"ACC LTD.")</f>
        <v>ACC LTD.</v>
      </c>
      <c r="E185" s="6" t="str">
        <f>IFERROR(__xludf.DUMMYFUNCTION("""COMPUTED_VALUE"""),"Active")</f>
        <v>Active</v>
      </c>
      <c r="F185" s="6" t="str">
        <f>IFERROR(__xludf.DUMMYFUNCTION("""COMPUTED_VALUE"""),"A")</f>
        <v>A</v>
      </c>
      <c r="G185" s="6">
        <f>IFERROR(__xludf.DUMMYFUNCTION("""COMPUTED_VALUE"""),10.0)</f>
        <v>10</v>
      </c>
      <c r="H185" s="6" t="str">
        <f>IFERROR(__xludf.DUMMYFUNCTION("""COMPUTED_VALUE"""),"INE012A01025")</f>
        <v>INE012A01025</v>
      </c>
      <c r="I185" s="6" t="str">
        <f>IFERROR(__xludf.DUMMYFUNCTION("""COMPUTED_VALUE"""),"Equity")</f>
        <v>Equity</v>
      </c>
      <c r="J185" s="6" t="str">
        <f>IFERROR(__xludf.DUMMYFUNCTION("""COMPUTED_VALUE"""),"Commodities")</f>
        <v>Commodities</v>
      </c>
      <c r="K185" s="6" t="str">
        <f>IFERROR(__xludf.DUMMYFUNCTION("""COMPUTED_VALUE"""),"Construction Materials")</f>
        <v>Construction Materials</v>
      </c>
      <c r="L185" s="6" t="str">
        <f>IFERROR(__xludf.DUMMYFUNCTION("""COMPUTED_VALUE"""),"Cement &amp; Cement Products")</f>
        <v>Cement &amp; Cement Products</v>
      </c>
      <c r="M185" s="6" t="str">
        <f>IFERROR(__xludf.DUMMYFUNCTION("""COMPUTED_VALUE"""),"Cement &amp; Cement Products")</f>
        <v>Cement &amp; Cement Products</v>
      </c>
      <c r="N185" s="5">
        <f>IFERROR(__xludf.DUMMYFUNCTION("""COMPUTED_VALUE"""),49602.7464877)</f>
        <v>49602.74649</v>
      </c>
      <c r="O185" s="6">
        <f t="shared" si="4"/>
        <v>17</v>
      </c>
      <c r="P185" s="6">
        <f t="shared" ref="P185:Q185" si="372">COUNTIFS(L:L,L185)</f>
        <v>17</v>
      </c>
      <c r="Q185" s="24">
        <f t="shared" si="372"/>
        <v>17</v>
      </c>
      <c r="R185" s="6" t="str">
        <f t="shared" si="6"/>
        <v>Construction Materials</v>
      </c>
      <c r="S185" s="6" t="str">
        <f t="shared" si="7"/>
        <v>Construction Materials</v>
      </c>
      <c r="T185" s="6">
        <f>IFERROR(__xludf.DUMMYFUNCTION("COUNTA(UNIQUE(query($A$2:$P$800,""select L where K='""&amp; K185&amp;""'"")))"),1.0)</f>
        <v>1</v>
      </c>
      <c r="U185" s="23">
        <f t="shared" si="8"/>
        <v>0.08823529412</v>
      </c>
      <c r="V185" s="23">
        <f t="shared" ref="V185:W185" si="373">P185/O185</f>
        <v>1</v>
      </c>
      <c r="W185" s="23">
        <f t="shared" si="373"/>
        <v>1</v>
      </c>
    </row>
    <row r="186">
      <c r="A186" s="6">
        <f>IFERROR(__xludf.DUMMYFUNCTION("""COMPUTED_VALUE"""),532522.0)</f>
        <v>532522</v>
      </c>
      <c r="B186" s="6" t="str">
        <f>IFERROR(__xludf.DUMMYFUNCTION("""COMPUTED_VALUE"""),"PETRONET LNG LTD.")</f>
        <v>PETRONET LNG LTD.</v>
      </c>
      <c r="C186" s="6" t="str">
        <f>IFERROR(__xludf.DUMMYFUNCTION("""COMPUTED_VALUE"""),"PETRONET")</f>
        <v>PETRONET</v>
      </c>
      <c r="D186" s="6" t="str">
        <f>IFERROR(__xludf.DUMMYFUNCTION("""COMPUTED_VALUE"""),"PETRONET LNG LTD.")</f>
        <v>PETRONET LNG LTD.</v>
      </c>
      <c r="E186" s="6" t="str">
        <f>IFERROR(__xludf.DUMMYFUNCTION("""COMPUTED_VALUE"""),"Active")</f>
        <v>Active</v>
      </c>
      <c r="F186" s="6" t="str">
        <f>IFERROR(__xludf.DUMMYFUNCTION("""COMPUTED_VALUE"""),"A")</f>
        <v>A</v>
      </c>
      <c r="G186" s="6">
        <f>IFERROR(__xludf.DUMMYFUNCTION("""COMPUTED_VALUE"""),10.0)</f>
        <v>10</v>
      </c>
      <c r="H186" s="6" t="str">
        <f>IFERROR(__xludf.DUMMYFUNCTION("""COMPUTED_VALUE"""),"INE347G01014")</f>
        <v>INE347G01014</v>
      </c>
      <c r="I186" s="6" t="str">
        <f>IFERROR(__xludf.DUMMYFUNCTION("""COMPUTED_VALUE"""),"Equity")</f>
        <v>Equity</v>
      </c>
      <c r="J186" s="6" t="str">
        <f>IFERROR(__xludf.DUMMYFUNCTION("""COMPUTED_VALUE"""),"Energy")</f>
        <v>Energy</v>
      </c>
      <c r="K186" s="6" t="str">
        <f>IFERROR(__xludf.DUMMYFUNCTION("""COMPUTED_VALUE"""),"Oil, Gas &amp; Consumable, Fuels")</f>
        <v>Oil, Gas &amp; Consumable, Fuels</v>
      </c>
      <c r="L186" s="6" t="str">
        <f>IFERROR(__xludf.DUMMYFUNCTION("""COMPUTED_VALUE"""),"Gas")</f>
        <v>Gas</v>
      </c>
      <c r="M186" s="6" t="str">
        <f>IFERROR(__xludf.DUMMYFUNCTION("""COMPUTED_VALUE"""),"LPG/CNG/PNG/LNG Supplier")</f>
        <v>LPG/CNG/PNG/LNG Supplier</v>
      </c>
      <c r="N186" s="5">
        <f>IFERROR(__xludf.DUMMYFUNCTION("""COMPUTED_VALUE"""),49225.8408015)</f>
        <v>49225.8408</v>
      </c>
      <c r="O186" s="6">
        <f t="shared" si="4"/>
        <v>20</v>
      </c>
      <c r="P186" s="6">
        <f t="shared" ref="P186:Q186" si="374">COUNTIFS(L:L,L186)</f>
        <v>8</v>
      </c>
      <c r="Q186" s="24">
        <f t="shared" si="374"/>
        <v>5</v>
      </c>
      <c r="R186" s="6" t="str">
        <f t="shared" si="6"/>
        <v>Oil, Gas &amp; Consumable, Fuels</v>
      </c>
      <c r="S186" s="6" t="str">
        <f t="shared" si="7"/>
        <v>Oil, Gas &amp; Consumable, Fuels</v>
      </c>
      <c r="T186" s="6">
        <f>IFERROR(__xludf.DUMMYFUNCTION("COUNTA(UNIQUE(query($A$2:$P$800,""select L where K='""&amp; K186&amp;""'"")))"),4.0)</f>
        <v>4</v>
      </c>
      <c r="U186" s="23">
        <f t="shared" si="8"/>
        <v>0.3</v>
      </c>
      <c r="V186" s="23">
        <f t="shared" ref="V186:W186" si="375">P186/O186</f>
        <v>0.4</v>
      </c>
      <c r="W186" s="23">
        <f t="shared" si="375"/>
        <v>0.625</v>
      </c>
    </row>
    <row r="187">
      <c r="A187" s="6">
        <f>IFERROR(__xludf.DUMMYFUNCTION("""COMPUTED_VALUE"""),500086.0)</f>
        <v>500086</v>
      </c>
      <c r="B187" s="6" t="str">
        <f>IFERROR(__xludf.DUMMYFUNCTION("""COMPUTED_VALUE"""),"Exide Industries Ltd.")</f>
        <v>Exide Industries Ltd.</v>
      </c>
      <c r="C187" s="6" t="str">
        <f>IFERROR(__xludf.DUMMYFUNCTION("""COMPUTED_VALUE"""),"EXIDEIND")</f>
        <v>EXIDEIND</v>
      </c>
      <c r="D187" s="6" t="str">
        <f>IFERROR(__xludf.DUMMYFUNCTION("""COMPUTED_VALUE"""),"EXIDE INDUSTRIES LTD.")</f>
        <v>EXIDE INDUSTRIES LTD.</v>
      </c>
      <c r="E187" s="6" t="str">
        <f>IFERROR(__xludf.DUMMYFUNCTION("""COMPUTED_VALUE"""),"Active")</f>
        <v>Active</v>
      </c>
      <c r="F187" s="6" t="str">
        <f>IFERROR(__xludf.DUMMYFUNCTION("""COMPUTED_VALUE"""),"A")</f>
        <v>A</v>
      </c>
      <c r="G187" s="6">
        <f>IFERROR(__xludf.DUMMYFUNCTION("""COMPUTED_VALUE"""),1.0)</f>
        <v>1</v>
      </c>
      <c r="H187" s="6" t="str">
        <f>IFERROR(__xludf.DUMMYFUNCTION("""COMPUTED_VALUE"""),"INE302A01020")</f>
        <v>INE302A01020</v>
      </c>
      <c r="I187" s="6" t="str">
        <f>IFERROR(__xludf.DUMMYFUNCTION("""COMPUTED_VALUE"""),"Equity")</f>
        <v>Equity</v>
      </c>
      <c r="J187" s="6" t="str">
        <f>IFERROR(__xludf.DUMMYFUNCTION("""COMPUTED_VALUE"""),"Consumer Discretionary")</f>
        <v>Consumer Discretionary</v>
      </c>
      <c r="K187" s="6" t="str">
        <f>IFERROR(__xludf.DUMMYFUNCTION("""COMPUTED_VALUE"""),"Automobile and Auto Components")</f>
        <v>Automobile and Auto Components</v>
      </c>
      <c r="L187" s="6" t="str">
        <f>IFERROR(__xludf.DUMMYFUNCTION("""COMPUTED_VALUE"""),"Auto Components")</f>
        <v>Auto Components</v>
      </c>
      <c r="M187" s="6" t="str">
        <f>IFERROR(__xludf.DUMMYFUNCTION("""COMPUTED_VALUE"""),"Auto Components &amp; Equipments")</f>
        <v>Auto Components &amp; Equipments</v>
      </c>
      <c r="N187" s="5">
        <f>IFERROR(__xludf.DUMMYFUNCTION("""COMPUTED_VALUE"""),47358.90824)</f>
        <v>47358.90824</v>
      </c>
      <c r="O187" s="6">
        <f t="shared" si="4"/>
        <v>47</v>
      </c>
      <c r="P187" s="6">
        <f t="shared" ref="P187:Q187" si="376">COUNTIFS(L:L,L187)</f>
        <v>37</v>
      </c>
      <c r="Q187" s="24">
        <f t="shared" si="376"/>
        <v>32</v>
      </c>
      <c r="R187" s="6" t="str">
        <f t="shared" si="6"/>
        <v>Automobile and Auto Components</v>
      </c>
      <c r="S187" s="6" t="str">
        <f t="shared" si="7"/>
        <v>Automobile and Auto Components</v>
      </c>
      <c r="T187" s="6">
        <f>IFERROR(__xludf.DUMMYFUNCTION("COUNTA(UNIQUE(query($A$2:$P$800,""select L where K='""&amp; K187&amp;""'"")))"),2.0)</f>
        <v>2</v>
      </c>
      <c r="U187" s="23">
        <f t="shared" si="8"/>
        <v>0.06382978723</v>
      </c>
      <c r="V187" s="23">
        <f t="shared" ref="V187:W187" si="377">P187/O187</f>
        <v>0.7872340426</v>
      </c>
      <c r="W187" s="23">
        <f t="shared" si="377"/>
        <v>0.8648648649</v>
      </c>
    </row>
    <row r="188">
      <c r="A188" s="6">
        <f>IFERROR(__xludf.DUMMYFUNCTION("""COMPUTED_VALUE"""),506395.0)</f>
        <v>506395</v>
      </c>
      <c r="B188" s="6" t="str">
        <f>IFERROR(__xludf.DUMMYFUNCTION("""COMPUTED_VALUE"""),"Coromandel International Limited")</f>
        <v>Coromandel International Limited</v>
      </c>
      <c r="C188" s="6" t="str">
        <f>IFERROR(__xludf.DUMMYFUNCTION("""COMPUTED_VALUE"""),"COROMANDEL")</f>
        <v>COROMANDEL</v>
      </c>
      <c r="D188" s="6" t="str">
        <f>IFERROR(__xludf.DUMMYFUNCTION("""COMPUTED_VALUE"""),"COROMANDEL INTERNATIONAL LTD.")</f>
        <v>COROMANDEL INTERNATIONAL LTD.</v>
      </c>
      <c r="E188" s="6" t="str">
        <f>IFERROR(__xludf.DUMMYFUNCTION("""COMPUTED_VALUE"""),"Active")</f>
        <v>Active</v>
      </c>
      <c r="F188" s="6" t="str">
        <f>IFERROR(__xludf.DUMMYFUNCTION("""COMPUTED_VALUE"""),"A")</f>
        <v>A</v>
      </c>
      <c r="G188" s="6">
        <f>IFERROR(__xludf.DUMMYFUNCTION("""COMPUTED_VALUE"""),1.0)</f>
        <v>1</v>
      </c>
      <c r="H188" s="6" t="str">
        <f>IFERROR(__xludf.DUMMYFUNCTION("""COMPUTED_VALUE"""),"INE169A01031")</f>
        <v>INE169A01031</v>
      </c>
      <c r="I188" s="6" t="str">
        <f>IFERROR(__xludf.DUMMYFUNCTION("""COMPUTED_VALUE"""),"Equity")</f>
        <v>Equity</v>
      </c>
      <c r="J188" s="6" t="str">
        <f>IFERROR(__xludf.DUMMYFUNCTION("""COMPUTED_VALUE"""),"Commodities")</f>
        <v>Commodities</v>
      </c>
      <c r="K188" s="6" t="str">
        <f>IFERROR(__xludf.DUMMYFUNCTION("""COMPUTED_VALUE"""),"Chemicals")</f>
        <v>Chemicals</v>
      </c>
      <c r="L188" s="6" t="str">
        <f>IFERROR(__xludf.DUMMYFUNCTION("""COMPUTED_VALUE"""),"Fertilizers &amp; Agrochemicals")</f>
        <v>Fertilizers &amp; Agrochemicals</v>
      </c>
      <c r="M188" s="6" t="str">
        <f>IFERROR(__xludf.DUMMYFUNCTION("""COMPUTED_VALUE"""),"Fertilizers")</f>
        <v>Fertilizers</v>
      </c>
      <c r="N188" s="5">
        <f>IFERROR(__xludf.DUMMYFUNCTION("""COMPUTED_VALUE"""),46785.0156)</f>
        <v>46785.0156</v>
      </c>
      <c r="O188" s="6">
        <f t="shared" si="4"/>
        <v>52</v>
      </c>
      <c r="P188" s="6">
        <f t="shared" ref="P188:Q188" si="378">COUNTIFS(L:L,L188)</f>
        <v>15</v>
      </c>
      <c r="Q188" s="24">
        <f t="shared" si="378"/>
        <v>8</v>
      </c>
      <c r="R188" s="6" t="str">
        <f t="shared" si="6"/>
        <v>Fertilizers &amp; Agrochemicals</v>
      </c>
      <c r="S188" s="6" t="str">
        <f t="shared" si="7"/>
        <v>Fertilizers &amp; Agrochemicals</v>
      </c>
      <c r="T188" s="6">
        <f>IFERROR(__xludf.DUMMYFUNCTION("COUNTA(UNIQUE(query($A$2:$P$800,""select L where K='""&amp; K188&amp;""'"")))"),2.0)</f>
        <v>2</v>
      </c>
      <c r="U188" s="23">
        <f t="shared" si="8"/>
        <v>0.05769230769</v>
      </c>
      <c r="V188" s="23">
        <f t="shared" ref="V188:W188" si="379">P188/O188</f>
        <v>0.2884615385</v>
      </c>
      <c r="W188" s="23">
        <f t="shared" si="379"/>
        <v>0.5333333333</v>
      </c>
    </row>
    <row r="189">
      <c r="A189" s="6">
        <f>IFERROR(__xludf.DUMMYFUNCTION("""COMPUTED_VALUE"""),526299.0)</f>
        <v>526299</v>
      </c>
      <c r="B189" s="6" t="str">
        <f>IFERROR(__xludf.DUMMYFUNCTION("""COMPUTED_VALUE"""),"Mphasis Limited")</f>
        <v>Mphasis Limited</v>
      </c>
      <c r="C189" s="6" t="str">
        <f>IFERROR(__xludf.DUMMYFUNCTION("""COMPUTED_VALUE"""),"MPHASIS")</f>
        <v>MPHASIS</v>
      </c>
      <c r="D189" s="6" t="str">
        <f>IFERROR(__xludf.DUMMYFUNCTION("""COMPUTED_VALUE"""),"MPHASIS LTD.")</f>
        <v>MPHASIS LTD.</v>
      </c>
      <c r="E189" s="6" t="str">
        <f>IFERROR(__xludf.DUMMYFUNCTION("""COMPUTED_VALUE"""),"Active")</f>
        <v>Active</v>
      </c>
      <c r="F189" s="6" t="str">
        <f>IFERROR(__xludf.DUMMYFUNCTION("""COMPUTED_VALUE"""),"A")</f>
        <v>A</v>
      </c>
      <c r="G189" s="6">
        <f>IFERROR(__xludf.DUMMYFUNCTION("""COMPUTED_VALUE"""),10.0)</f>
        <v>10</v>
      </c>
      <c r="H189" s="6" t="str">
        <f>IFERROR(__xludf.DUMMYFUNCTION("""COMPUTED_VALUE"""),"INE356A01018")</f>
        <v>INE356A01018</v>
      </c>
      <c r="I189" s="6" t="str">
        <f>IFERROR(__xludf.DUMMYFUNCTION("""COMPUTED_VALUE"""),"Equity")</f>
        <v>Equity</v>
      </c>
      <c r="J189" s="6" t="str">
        <f>IFERROR(__xludf.DUMMYFUNCTION("""COMPUTED_VALUE"""),"Information Technology")</f>
        <v>Information Technology</v>
      </c>
      <c r="K189" s="6" t="str">
        <f>IFERROR(__xludf.DUMMYFUNCTION("""COMPUTED_VALUE"""),"Information Technology")</f>
        <v>Information Technology</v>
      </c>
      <c r="L189" s="6" t="str">
        <f>IFERROR(__xludf.DUMMYFUNCTION("""COMPUTED_VALUE"""),"IT - Software")</f>
        <v>IT - Software</v>
      </c>
      <c r="M189" s="6" t="str">
        <f>IFERROR(__xludf.DUMMYFUNCTION("""COMPUTED_VALUE"""),"Computers - Software &amp; Consulting")</f>
        <v>Computers - Software &amp; Consulting</v>
      </c>
      <c r="N189" s="5">
        <f>IFERROR(__xludf.DUMMYFUNCTION("""COMPUTED_VALUE"""),46681.454427)</f>
        <v>46681.45443</v>
      </c>
      <c r="O189" s="6">
        <f t="shared" si="4"/>
        <v>36</v>
      </c>
      <c r="P189" s="6">
        <f t="shared" ref="P189:Q189" si="380">COUNTIFS(L:L,L189)</f>
        <v>27</v>
      </c>
      <c r="Q189" s="24">
        <f t="shared" si="380"/>
        <v>22</v>
      </c>
      <c r="R189" s="6" t="str">
        <f t="shared" si="6"/>
        <v>Information Technology</v>
      </c>
      <c r="S189" s="6" t="str">
        <f t="shared" si="7"/>
        <v>Information Technology</v>
      </c>
      <c r="T189" s="6">
        <f>IFERROR(__xludf.DUMMYFUNCTION("COUNTA(UNIQUE(query($A$2:$P$800,""select L where K='""&amp; K189&amp;""'"")))"),3.0)</f>
        <v>3</v>
      </c>
      <c r="U189" s="23">
        <f t="shared" si="8"/>
        <v>0.125</v>
      </c>
      <c r="V189" s="23">
        <f t="shared" ref="V189:W189" si="381">P189/O189</f>
        <v>0.75</v>
      </c>
      <c r="W189" s="23">
        <f t="shared" si="381"/>
        <v>0.8148148148</v>
      </c>
    </row>
    <row r="190">
      <c r="A190" s="6">
        <f>IFERROR(__xludf.DUMMYFUNCTION("""COMPUTED_VALUE"""),532525.0)</f>
        <v>532525</v>
      </c>
      <c r="B190" s="6" t="str">
        <f>IFERROR(__xludf.DUMMYFUNCTION("""COMPUTED_VALUE"""),"Bank of maharashtra")</f>
        <v>Bank of maharashtra</v>
      </c>
      <c r="C190" s="6" t="str">
        <f>IFERROR(__xludf.DUMMYFUNCTION("""COMPUTED_VALUE"""),"MAHABANK")</f>
        <v>MAHABANK</v>
      </c>
      <c r="D190" s="6" t="str">
        <f>IFERROR(__xludf.DUMMYFUNCTION("""COMPUTED_VALUE"""),"BANK OF MAHARASHTRA")</f>
        <v>BANK OF MAHARASHTRA</v>
      </c>
      <c r="E190" s="6" t="str">
        <f>IFERROR(__xludf.DUMMYFUNCTION("""COMPUTED_VALUE"""),"Active")</f>
        <v>Active</v>
      </c>
      <c r="F190" s="6" t="str">
        <f>IFERROR(__xludf.DUMMYFUNCTION("""COMPUTED_VALUE"""),"A")</f>
        <v>A</v>
      </c>
      <c r="G190" s="6">
        <f>IFERROR(__xludf.DUMMYFUNCTION("""COMPUTED_VALUE"""),10.0)</f>
        <v>10</v>
      </c>
      <c r="H190" s="6" t="str">
        <f>IFERROR(__xludf.DUMMYFUNCTION("""COMPUTED_VALUE"""),"INE457A01014")</f>
        <v>INE457A01014</v>
      </c>
      <c r="I190" s="6" t="str">
        <f>IFERROR(__xludf.DUMMYFUNCTION("""COMPUTED_VALUE"""),"Equity")</f>
        <v>Equity</v>
      </c>
      <c r="J190" s="6" t="str">
        <f>IFERROR(__xludf.DUMMYFUNCTION("""COMPUTED_VALUE"""),"Financial Services")</f>
        <v>Financial Services</v>
      </c>
      <c r="K190" s="6" t="str">
        <f>IFERROR(__xludf.DUMMYFUNCTION("""COMPUTED_VALUE"""),"Financial Services")</f>
        <v>Financial Services</v>
      </c>
      <c r="L190" s="6" t="str">
        <f>IFERROR(__xludf.DUMMYFUNCTION("""COMPUTED_VALUE"""),"Banks")</f>
        <v>Banks</v>
      </c>
      <c r="M190" s="6" t="str">
        <f>IFERROR(__xludf.DUMMYFUNCTION("""COMPUTED_VALUE"""),"Public Sector Bank")</f>
        <v>Public Sector Bank</v>
      </c>
      <c r="N190" s="5">
        <f>IFERROR(__xludf.DUMMYFUNCTION("""COMPUTED_VALUE"""),45751.6737997)</f>
        <v>45751.6738</v>
      </c>
      <c r="O190" s="6">
        <f t="shared" si="4"/>
        <v>123</v>
      </c>
      <c r="P190" s="6">
        <f t="shared" ref="P190:Q190" si="382">COUNTIFS(L:L,L190)</f>
        <v>35</v>
      </c>
      <c r="Q190" s="24">
        <f t="shared" si="382"/>
        <v>12</v>
      </c>
      <c r="R190" s="6" t="str">
        <f t="shared" si="6"/>
        <v>Banks</v>
      </c>
      <c r="S190" s="6" t="str">
        <f t="shared" si="7"/>
        <v>Banks</v>
      </c>
      <c r="T190" s="6">
        <f>IFERROR(__xludf.DUMMYFUNCTION("COUNTA(UNIQUE(query($A$2:$P$800,""select L where K='""&amp; K190&amp;""'"")))"),5.0)</f>
        <v>5</v>
      </c>
      <c r="U190" s="23">
        <f t="shared" si="8"/>
        <v>0.06097560976</v>
      </c>
      <c r="V190" s="23">
        <f t="shared" ref="V190:W190" si="383">P190/O190</f>
        <v>0.2845528455</v>
      </c>
      <c r="W190" s="23">
        <f t="shared" si="383"/>
        <v>0.3428571429</v>
      </c>
    </row>
    <row r="191">
      <c r="A191" s="6">
        <f>IFERROR(__xludf.DUMMYFUNCTION("""COMPUTED_VALUE"""),500660.0)</f>
        <v>500660</v>
      </c>
      <c r="B191" s="6" t="str">
        <f>IFERROR(__xludf.DUMMYFUNCTION("""COMPUTED_VALUE"""),"GlaxoSmithkline Pharmaceuticals Ltd.")</f>
        <v>GlaxoSmithkline Pharmaceuticals Ltd.</v>
      </c>
      <c r="C191" s="6" t="str">
        <f>IFERROR(__xludf.DUMMYFUNCTION("""COMPUTED_VALUE"""),"GLAXO")</f>
        <v>GLAXO</v>
      </c>
      <c r="D191" s="6" t="str">
        <f>IFERROR(__xludf.DUMMYFUNCTION("""COMPUTED_VALUE"""),"GLAXOSMITHKLINE PHARMACEUTICALS LTD.")</f>
        <v>GLAXOSMITHKLINE PHARMACEUTICALS LTD.</v>
      </c>
      <c r="E191" s="6" t="str">
        <f>IFERROR(__xludf.DUMMYFUNCTION("""COMPUTED_VALUE"""),"Active")</f>
        <v>Active</v>
      </c>
      <c r="F191" s="6" t="str">
        <f>IFERROR(__xludf.DUMMYFUNCTION("""COMPUTED_VALUE"""),"A")</f>
        <v>A</v>
      </c>
      <c r="G191" s="6">
        <f>IFERROR(__xludf.DUMMYFUNCTION("""COMPUTED_VALUE"""),10.0)</f>
        <v>10</v>
      </c>
      <c r="H191" s="6" t="str">
        <f>IFERROR(__xludf.DUMMYFUNCTION("""COMPUTED_VALUE"""),"INE159A01016")</f>
        <v>INE159A01016</v>
      </c>
      <c r="I191" s="6" t="str">
        <f>IFERROR(__xludf.DUMMYFUNCTION("""COMPUTED_VALUE"""),"Equity")</f>
        <v>Equity</v>
      </c>
      <c r="J191" s="6" t="str">
        <f>IFERROR(__xludf.DUMMYFUNCTION("""COMPUTED_VALUE"""),"Healthcare")</f>
        <v>Healthcare</v>
      </c>
      <c r="K191" s="6" t="str">
        <f>IFERROR(__xludf.DUMMYFUNCTION("""COMPUTED_VALUE"""),"Healthcare")</f>
        <v>Healthcare</v>
      </c>
      <c r="L191" s="6" t="str">
        <f>IFERROR(__xludf.DUMMYFUNCTION("""COMPUTED_VALUE"""),"Pharmaceuticals &amp; Biotechnology")</f>
        <v>Pharmaceuticals &amp; Biotechnology</v>
      </c>
      <c r="M191" s="6" t="str">
        <f>IFERROR(__xludf.DUMMYFUNCTION("""COMPUTED_VALUE"""),"Pharmaceuticals")</f>
        <v>Pharmaceuticals</v>
      </c>
      <c r="N191" s="5">
        <f>IFERROR(__xludf.DUMMYFUNCTION("""COMPUTED_VALUE"""),45739.5633904)</f>
        <v>45739.56339</v>
      </c>
      <c r="O191" s="6">
        <f t="shared" si="4"/>
        <v>62</v>
      </c>
      <c r="P191" s="6">
        <f t="shared" ref="P191:Q191" si="384">COUNTIFS(L:L,L191)</f>
        <v>45</v>
      </c>
      <c r="Q191" s="24">
        <f t="shared" si="384"/>
        <v>45</v>
      </c>
      <c r="R191" s="6" t="str">
        <f t="shared" si="6"/>
        <v>Healthcare</v>
      </c>
      <c r="S191" s="6" t="str">
        <f t="shared" si="7"/>
        <v>Healthcare</v>
      </c>
      <c r="T191" s="6">
        <f>IFERROR(__xludf.DUMMYFUNCTION("COUNTA(UNIQUE(query($A$2:$P$800,""select L where K='""&amp; K191&amp;""'"")))"),3.0)</f>
        <v>3</v>
      </c>
      <c r="U191" s="23">
        <f t="shared" si="8"/>
        <v>0.07258064516</v>
      </c>
      <c r="V191" s="23">
        <f t="shared" ref="V191:W191" si="385">P191/O191</f>
        <v>0.7258064516</v>
      </c>
      <c r="W191" s="23">
        <f t="shared" si="385"/>
        <v>1</v>
      </c>
    </row>
    <row r="192">
      <c r="A192" s="6">
        <f>IFERROR(__xludf.DUMMYFUNCTION("""COMPUTED_VALUE"""),542651.0)</f>
        <v>542651</v>
      </c>
      <c r="B192" s="6" t="str">
        <f>IFERROR(__xludf.DUMMYFUNCTION("""COMPUTED_VALUE"""),"KPIT Technologies Ltd")</f>
        <v>KPIT Technologies Ltd</v>
      </c>
      <c r="C192" s="6" t="str">
        <f>IFERROR(__xludf.DUMMYFUNCTION("""COMPUTED_VALUE"""),"KPITTECH")</f>
        <v>KPITTECH</v>
      </c>
      <c r="D192" s="6" t="str">
        <f>IFERROR(__xludf.DUMMYFUNCTION("""COMPUTED_VALUE"""),"KPIT Technologies Ltd")</f>
        <v>KPIT Technologies Ltd</v>
      </c>
      <c r="E192" s="6" t="str">
        <f>IFERROR(__xludf.DUMMYFUNCTION("""COMPUTED_VALUE"""),"Active")</f>
        <v>Active</v>
      </c>
      <c r="F192" s="6" t="str">
        <f>IFERROR(__xludf.DUMMYFUNCTION("""COMPUTED_VALUE"""),"A")</f>
        <v>A</v>
      </c>
      <c r="G192" s="6">
        <f>IFERROR(__xludf.DUMMYFUNCTION("""COMPUTED_VALUE"""),10.0)</f>
        <v>10</v>
      </c>
      <c r="H192" s="6" t="str">
        <f>IFERROR(__xludf.DUMMYFUNCTION("""COMPUTED_VALUE"""),"INE04I401011")</f>
        <v>INE04I401011</v>
      </c>
      <c r="I192" s="6" t="str">
        <f>IFERROR(__xludf.DUMMYFUNCTION("""COMPUTED_VALUE"""),"Equity")</f>
        <v>Equity</v>
      </c>
      <c r="J192" s="6" t="str">
        <f>IFERROR(__xludf.DUMMYFUNCTION("""COMPUTED_VALUE"""),"Information Technology")</f>
        <v>Information Technology</v>
      </c>
      <c r="K192" s="6" t="str">
        <f>IFERROR(__xludf.DUMMYFUNCTION("""COMPUTED_VALUE"""),"Information Technology")</f>
        <v>Information Technology</v>
      </c>
      <c r="L192" s="6" t="str">
        <f>IFERROR(__xludf.DUMMYFUNCTION("""COMPUTED_VALUE"""),"IT - Software")</f>
        <v>IT - Software</v>
      </c>
      <c r="M192" s="6" t="str">
        <f>IFERROR(__xludf.DUMMYFUNCTION("""COMPUTED_VALUE"""),"Computers - Software &amp; Consulting")</f>
        <v>Computers - Software &amp; Consulting</v>
      </c>
      <c r="N192" s="5">
        <f>IFERROR(__xludf.DUMMYFUNCTION("""COMPUTED_VALUE"""),45649.04192)</f>
        <v>45649.04192</v>
      </c>
      <c r="O192" s="6">
        <f t="shared" si="4"/>
        <v>36</v>
      </c>
      <c r="P192" s="6">
        <f t="shared" ref="P192:Q192" si="386">COUNTIFS(L:L,L192)</f>
        <v>27</v>
      </c>
      <c r="Q192" s="24">
        <f t="shared" si="386"/>
        <v>22</v>
      </c>
      <c r="R192" s="6" t="str">
        <f t="shared" si="6"/>
        <v>Information Technology</v>
      </c>
      <c r="S192" s="6" t="str">
        <f t="shared" si="7"/>
        <v>Information Technology</v>
      </c>
      <c r="T192" s="6">
        <f>IFERROR(__xludf.DUMMYFUNCTION("COUNTA(UNIQUE(query($A$2:$P$800,""select L where K='""&amp; K192&amp;""'"")))"),3.0)</f>
        <v>3</v>
      </c>
      <c r="U192" s="23">
        <f t="shared" si="8"/>
        <v>0.125</v>
      </c>
      <c r="V192" s="23">
        <f t="shared" ref="V192:W192" si="387">P192/O192</f>
        <v>0.75</v>
      </c>
      <c r="W192" s="23">
        <f t="shared" si="387"/>
        <v>0.8148148148</v>
      </c>
    </row>
    <row r="193">
      <c r="A193" s="6">
        <f>IFERROR(__xludf.DUMMYFUNCTION("""COMPUTED_VALUE"""),533519.0)</f>
        <v>533519</v>
      </c>
      <c r="B193" s="6" t="str">
        <f>IFERROR(__xludf.DUMMYFUNCTION("""COMPUTED_VALUE"""),"L&amp;T Finance Limited")</f>
        <v>L&amp;T Finance Limited</v>
      </c>
      <c r="C193" s="6" t="str">
        <f>IFERROR(__xludf.DUMMYFUNCTION("""COMPUTED_VALUE"""),"LTF")</f>
        <v>LTF</v>
      </c>
      <c r="D193" s="6" t="str">
        <f>IFERROR(__xludf.DUMMYFUNCTION("""COMPUTED_VALUE"""),"L&amp;T Finance Ltd")</f>
        <v>L&amp;T Finance Ltd</v>
      </c>
      <c r="E193" s="6" t="str">
        <f>IFERROR(__xludf.DUMMYFUNCTION("""COMPUTED_VALUE"""),"Active")</f>
        <v>Active</v>
      </c>
      <c r="F193" s="6" t="str">
        <f>IFERROR(__xludf.DUMMYFUNCTION("""COMPUTED_VALUE"""),"A")</f>
        <v>A</v>
      </c>
      <c r="G193" s="6">
        <f>IFERROR(__xludf.DUMMYFUNCTION("""COMPUTED_VALUE"""),10.0)</f>
        <v>10</v>
      </c>
      <c r="H193" s="6" t="str">
        <f>IFERROR(__xludf.DUMMYFUNCTION("""COMPUTED_VALUE"""),"INE498L01015")</f>
        <v>INE498L01015</v>
      </c>
      <c r="I193" s="6" t="str">
        <f>IFERROR(__xludf.DUMMYFUNCTION("""COMPUTED_VALUE"""),"Equity")</f>
        <v>Equity</v>
      </c>
      <c r="J193" s="6" t="str">
        <f>IFERROR(__xludf.DUMMYFUNCTION("""COMPUTED_VALUE"""),"Financial Services")</f>
        <v>Financial Services</v>
      </c>
      <c r="K193" s="6" t="str">
        <f>IFERROR(__xludf.DUMMYFUNCTION("""COMPUTED_VALUE"""),"Financial Services")</f>
        <v>Financial Services</v>
      </c>
      <c r="L193" s="6" t="str">
        <f>IFERROR(__xludf.DUMMYFUNCTION("""COMPUTED_VALUE"""),"Finance")</f>
        <v>Finance</v>
      </c>
      <c r="M193" s="6" t="str">
        <f>IFERROR(__xludf.DUMMYFUNCTION("""COMPUTED_VALUE"""),"Investment Company")</f>
        <v>Investment Company</v>
      </c>
      <c r="N193" s="5">
        <f>IFERROR(__xludf.DUMMYFUNCTION("""COMPUTED_VALUE"""),45108.42)</f>
        <v>45108.42</v>
      </c>
      <c r="O193" s="6">
        <f t="shared" si="4"/>
        <v>123</v>
      </c>
      <c r="P193" s="6">
        <f t="shared" ref="P193:Q193" si="388">COUNTIFS(L:L,L193)</f>
        <v>56</v>
      </c>
      <c r="Q193" s="24">
        <f t="shared" si="388"/>
        <v>8</v>
      </c>
      <c r="R193" s="6" t="str">
        <f t="shared" si="6"/>
        <v>Finance</v>
      </c>
      <c r="S193" s="6" t="str">
        <f t="shared" si="7"/>
        <v>Finance</v>
      </c>
      <c r="T193" s="6">
        <f>IFERROR(__xludf.DUMMYFUNCTION("COUNTA(UNIQUE(query($A$2:$P$800,""select L where K='""&amp; K193&amp;""'"")))"),5.0)</f>
        <v>5</v>
      </c>
      <c r="U193" s="23">
        <f t="shared" si="8"/>
        <v>0.06097560976</v>
      </c>
      <c r="V193" s="23">
        <f t="shared" ref="V193:W193" si="389">P193/O193</f>
        <v>0.4552845528</v>
      </c>
      <c r="W193" s="23">
        <f t="shared" si="389"/>
        <v>0.1428571429</v>
      </c>
    </row>
    <row r="194">
      <c r="A194" s="6">
        <f>IFERROR(__xludf.DUMMYFUNCTION("""COMPUTED_VALUE"""),500495.0)</f>
        <v>500495</v>
      </c>
      <c r="B194" s="6" t="str">
        <f>IFERROR(__xludf.DUMMYFUNCTION("""COMPUTED_VALUE"""),"Escorts Kubota Limited")</f>
        <v>Escorts Kubota Limited</v>
      </c>
      <c r="C194" s="6" t="str">
        <f>IFERROR(__xludf.DUMMYFUNCTION("""COMPUTED_VALUE"""),"ESCORTS")</f>
        <v>ESCORTS</v>
      </c>
      <c r="D194" s="6" t="str">
        <f>IFERROR(__xludf.DUMMYFUNCTION("""COMPUTED_VALUE"""),"Escorts Kubota Ltd")</f>
        <v>Escorts Kubota Ltd</v>
      </c>
      <c r="E194" s="6" t="str">
        <f>IFERROR(__xludf.DUMMYFUNCTION("""COMPUTED_VALUE"""),"Active")</f>
        <v>Active</v>
      </c>
      <c r="F194" s="6" t="str">
        <f>IFERROR(__xludf.DUMMYFUNCTION("""COMPUTED_VALUE"""),"A")</f>
        <v>A</v>
      </c>
      <c r="G194" s="6">
        <f>IFERROR(__xludf.DUMMYFUNCTION("""COMPUTED_VALUE"""),10.0)</f>
        <v>10</v>
      </c>
      <c r="H194" s="6" t="str">
        <f>IFERROR(__xludf.DUMMYFUNCTION("""COMPUTED_VALUE"""),"INE042A01014")</f>
        <v>INE042A01014</v>
      </c>
      <c r="I194" s="6" t="str">
        <f>IFERROR(__xludf.DUMMYFUNCTION("""COMPUTED_VALUE"""),"Equity")</f>
        <v>Equity</v>
      </c>
      <c r="J194" s="6" t="str">
        <f>IFERROR(__xludf.DUMMYFUNCTION("""COMPUTED_VALUE"""),"Industrials")</f>
        <v>Industrials</v>
      </c>
      <c r="K194" s="6" t="str">
        <f>IFERROR(__xludf.DUMMYFUNCTION("""COMPUTED_VALUE"""),"Capital Goods")</f>
        <v>Capital Goods</v>
      </c>
      <c r="L194" s="6" t="str">
        <f>IFERROR(__xludf.DUMMYFUNCTION("""COMPUTED_VALUE"""),"Agricultural, Commercial &amp; Construction Vehicles")</f>
        <v>Agricultural, Commercial &amp; Construction Vehicles</v>
      </c>
      <c r="M194" s="6" t="str">
        <f>IFERROR(__xludf.DUMMYFUNCTION("""COMPUTED_VALUE"""),"Tractors")</f>
        <v>Tractors</v>
      </c>
      <c r="N194" s="5">
        <f>IFERROR(__xludf.DUMMYFUNCTION("""COMPUTED_VALUE"""),44795.4183202)</f>
        <v>44795.41832</v>
      </c>
      <c r="O194" s="6">
        <f t="shared" si="4"/>
        <v>110</v>
      </c>
      <c r="P194" s="6">
        <f t="shared" ref="P194:Q194" si="390">COUNTIFS(L:L,L194)</f>
        <v>5</v>
      </c>
      <c r="Q194" s="24">
        <f t="shared" si="390"/>
        <v>1</v>
      </c>
      <c r="R194" s="6" t="str">
        <f t="shared" si="6"/>
        <v>Capital Goods</v>
      </c>
      <c r="S194" s="6" t="str">
        <f t="shared" si="7"/>
        <v>Capital Goods</v>
      </c>
      <c r="T194" s="6">
        <f>IFERROR(__xludf.DUMMYFUNCTION("COUNTA(UNIQUE(query($A$2:$P$800,""select L where K='""&amp; K194&amp;""'"")))"),5.0)</f>
        <v>5</v>
      </c>
      <c r="U194" s="23">
        <f t="shared" si="8"/>
        <v>0.06818181818</v>
      </c>
      <c r="V194" s="23">
        <f t="shared" ref="V194:W194" si="391">P194/O194</f>
        <v>0.04545454545</v>
      </c>
      <c r="W194" s="23">
        <f t="shared" si="391"/>
        <v>0.2</v>
      </c>
    </row>
    <row r="195">
      <c r="A195" s="6">
        <f>IFERROR(__xludf.DUMMYFUNCTION("""COMPUTED_VALUE"""),500469.0)</f>
        <v>500469</v>
      </c>
      <c r="B195" s="6" t="str">
        <f>IFERROR(__xludf.DUMMYFUNCTION("""COMPUTED_VALUE"""),"Federal Bank Ltd.")</f>
        <v>Federal Bank Ltd.</v>
      </c>
      <c r="C195" s="6" t="str">
        <f>IFERROR(__xludf.DUMMYFUNCTION("""COMPUTED_VALUE"""),"FEDERALBNK")</f>
        <v>FEDERALBNK</v>
      </c>
      <c r="D195" s="6" t="str">
        <f>IFERROR(__xludf.DUMMYFUNCTION("""COMPUTED_VALUE"""),"FEDERAL BANK LTD.")</f>
        <v>FEDERAL BANK LTD.</v>
      </c>
      <c r="E195" s="6" t="str">
        <f>IFERROR(__xludf.DUMMYFUNCTION("""COMPUTED_VALUE"""),"Active")</f>
        <v>Active</v>
      </c>
      <c r="F195" s="6" t="str">
        <f>IFERROR(__xludf.DUMMYFUNCTION("""COMPUTED_VALUE"""),"A")</f>
        <v>A</v>
      </c>
      <c r="G195" s="6">
        <f>IFERROR(__xludf.DUMMYFUNCTION("""COMPUTED_VALUE"""),2.0)</f>
        <v>2</v>
      </c>
      <c r="H195" s="6" t="str">
        <f>IFERROR(__xludf.DUMMYFUNCTION("""COMPUTED_VALUE"""),"INE171A01029")</f>
        <v>INE171A01029</v>
      </c>
      <c r="I195" s="6" t="str">
        <f>IFERROR(__xludf.DUMMYFUNCTION("""COMPUTED_VALUE"""),"Equity")</f>
        <v>Equity</v>
      </c>
      <c r="J195" s="6" t="str">
        <f>IFERROR(__xludf.DUMMYFUNCTION("""COMPUTED_VALUE"""),"Financial Services")</f>
        <v>Financial Services</v>
      </c>
      <c r="K195" s="6" t="str">
        <f>IFERROR(__xludf.DUMMYFUNCTION("""COMPUTED_VALUE"""),"Financial Services")</f>
        <v>Financial Services</v>
      </c>
      <c r="L195" s="6" t="str">
        <f>IFERROR(__xludf.DUMMYFUNCTION("""COMPUTED_VALUE"""),"Banks")</f>
        <v>Banks</v>
      </c>
      <c r="M195" s="6" t="str">
        <f>IFERROR(__xludf.DUMMYFUNCTION("""COMPUTED_VALUE"""),"Private Sector Bank")</f>
        <v>Private Sector Bank</v>
      </c>
      <c r="N195" s="5">
        <f>IFERROR(__xludf.DUMMYFUNCTION("""COMPUTED_VALUE"""),44555.6614292)</f>
        <v>44555.66143</v>
      </c>
      <c r="O195" s="6">
        <f t="shared" si="4"/>
        <v>123</v>
      </c>
      <c r="P195" s="6">
        <f t="shared" ref="P195:Q195" si="392">COUNTIFS(L:L,L195)</f>
        <v>35</v>
      </c>
      <c r="Q195" s="24">
        <f t="shared" si="392"/>
        <v>23</v>
      </c>
      <c r="R195" s="6" t="str">
        <f t="shared" si="6"/>
        <v>Banks</v>
      </c>
      <c r="S195" s="6" t="str">
        <f t="shared" si="7"/>
        <v>Banks</v>
      </c>
      <c r="T195" s="6">
        <f>IFERROR(__xludf.DUMMYFUNCTION("COUNTA(UNIQUE(query($A$2:$P$800,""select L where K='""&amp; K195&amp;""'"")))"),5.0)</f>
        <v>5</v>
      </c>
      <c r="U195" s="23">
        <f t="shared" si="8"/>
        <v>0.06097560976</v>
      </c>
      <c r="V195" s="23">
        <f t="shared" ref="V195:W195" si="393">P195/O195</f>
        <v>0.2845528455</v>
      </c>
      <c r="W195" s="23">
        <f t="shared" si="393"/>
        <v>0.6571428571</v>
      </c>
    </row>
    <row r="196">
      <c r="A196" s="6">
        <f>IFERROR(__xludf.DUMMYFUNCTION("""COMPUTED_VALUE"""),500408.0)</f>
        <v>500408</v>
      </c>
      <c r="B196" s="6" t="str">
        <f>IFERROR(__xludf.DUMMYFUNCTION("""COMPUTED_VALUE"""),"Tata Elxsi Ltd")</f>
        <v>Tata Elxsi Ltd</v>
      </c>
      <c r="C196" s="6" t="str">
        <f>IFERROR(__xludf.DUMMYFUNCTION("""COMPUTED_VALUE"""),"TATAELXSI")</f>
        <v>TATAELXSI</v>
      </c>
      <c r="D196" s="6" t="str">
        <f>IFERROR(__xludf.DUMMYFUNCTION("""COMPUTED_VALUE"""),"TATA ELXSI LTD.")</f>
        <v>TATA ELXSI LTD.</v>
      </c>
      <c r="E196" s="6" t="str">
        <f>IFERROR(__xludf.DUMMYFUNCTION("""COMPUTED_VALUE"""),"Active")</f>
        <v>Active</v>
      </c>
      <c r="F196" s="6" t="str">
        <f>IFERROR(__xludf.DUMMYFUNCTION("""COMPUTED_VALUE"""),"A")</f>
        <v>A</v>
      </c>
      <c r="G196" s="6">
        <f>IFERROR(__xludf.DUMMYFUNCTION("""COMPUTED_VALUE"""),10.0)</f>
        <v>10</v>
      </c>
      <c r="H196" s="6" t="str">
        <f>IFERROR(__xludf.DUMMYFUNCTION("""COMPUTED_VALUE"""),"INE670A01012")</f>
        <v>INE670A01012</v>
      </c>
      <c r="I196" s="6" t="str">
        <f>IFERROR(__xludf.DUMMYFUNCTION("""COMPUTED_VALUE"""),"Equity")</f>
        <v>Equity</v>
      </c>
      <c r="J196" s="6" t="str">
        <f>IFERROR(__xludf.DUMMYFUNCTION("""COMPUTED_VALUE"""),"Information Technology")</f>
        <v>Information Technology</v>
      </c>
      <c r="K196" s="6" t="str">
        <f>IFERROR(__xludf.DUMMYFUNCTION("""COMPUTED_VALUE"""),"Information Technology")</f>
        <v>Information Technology</v>
      </c>
      <c r="L196" s="6" t="str">
        <f>IFERROR(__xludf.DUMMYFUNCTION("""COMPUTED_VALUE"""),"IT - Software")</f>
        <v>IT - Software</v>
      </c>
      <c r="M196" s="6" t="str">
        <f>IFERROR(__xludf.DUMMYFUNCTION("""COMPUTED_VALUE"""),"Computers - Software &amp; Consulting")</f>
        <v>Computers - Software &amp; Consulting</v>
      </c>
      <c r="N196" s="5">
        <f>IFERROR(__xludf.DUMMYFUNCTION("""COMPUTED_VALUE"""),43806.9348765)</f>
        <v>43806.93488</v>
      </c>
      <c r="O196" s="6">
        <f t="shared" si="4"/>
        <v>36</v>
      </c>
      <c r="P196" s="6">
        <f t="shared" ref="P196:Q196" si="394">COUNTIFS(L:L,L196)</f>
        <v>27</v>
      </c>
      <c r="Q196" s="24">
        <f t="shared" si="394"/>
        <v>22</v>
      </c>
      <c r="R196" s="6" t="str">
        <f t="shared" si="6"/>
        <v>Information Technology</v>
      </c>
      <c r="S196" s="6" t="str">
        <f t="shared" si="7"/>
        <v>Information Technology</v>
      </c>
      <c r="T196" s="6">
        <f>IFERROR(__xludf.DUMMYFUNCTION("COUNTA(UNIQUE(query($A$2:$P$800,""select L where K='""&amp; K196&amp;""'"")))"),3.0)</f>
        <v>3</v>
      </c>
      <c r="U196" s="23">
        <f t="shared" si="8"/>
        <v>0.125</v>
      </c>
      <c r="V196" s="23">
        <f t="shared" ref="V196:W196" si="395">P196/O196</f>
        <v>0.75</v>
      </c>
      <c r="W196" s="23">
        <f t="shared" si="395"/>
        <v>0.8148148148</v>
      </c>
    </row>
    <row r="197">
      <c r="A197" s="6">
        <f>IFERROR(__xludf.DUMMYFUNCTION("""COMPUTED_VALUE"""),543458.0)</f>
        <v>543458</v>
      </c>
      <c r="B197" s="6" t="str">
        <f>IFERROR(__xludf.DUMMYFUNCTION("""COMPUTED_VALUE"""),"Adani Wilmar Limited")</f>
        <v>Adani Wilmar Limited</v>
      </c>
      <c r="C197" s="6" t="str">
        <f>IFERROR(__xludf.DUMMYFUNCTION("""COMPUTED_VALUE"""),"AWL")</f>
        <v>AWL</v>
      </c>
      <c r="D197" s="6" t="str">
        <f>IFERROR(__xludf.DUMMYFUNCTION("""COMPUTED_VALUE"""),"Adani Wilmar Ltd")</f>
        <v>Adani Wilmar Ltd</v>
      </c>
      <c r="E197" s="6" t="str">
        <f>IFERROR(__xludf.DUMMYFUNCTION("""COMPUTED_VALUE"""),"Active")</f>
        <v>Active</v>
      </c>
      <c r="F197" s="6" t="str">
        <f>IFERROR(__xludf.DUMMYFUNCTION("""COMPUTED_VALUE"""),"A")</f>
        <v>A</v>
      </c>
      <c r="G197" s="6">
        <f>IFERROR(__xludf.DUMMYFUNCTION("""COMPUTED_VALUE"""),1.0)</f>
        <v>1</v>
      </c>
      <c r="H197" s="6" t="str">
        <f>IFERROR(__xludf.DUMMYFUNCTION("""COMPUTED_VALUE"""),"INE699H01024")</f>
        <v>INE699H01024</v>
      </c>
      <c r="I197" s="6" t="str">
        <f>IFERROR(__xludf.DUMMYFUNCTION("""COMPUTED_VALUE"""),"Equity")</f>
        <v>Equity</v>
      </c>
      <c r="J197" s="6" t="str">
        <f>IFERROR(__xludf.DUMMYFUNCTION("""COMPUTED_VALUE"""),"Fast Moving Consumer Goods")</f>
        <v>Fast Moving Consumer Goods</v>
      </c>
      <c r="K197" s="6" t="str">
        <f>IFERROR(__xludf.DUMMYFUNCTION("""COMPUTED_VALUE"""),"Fast Moving Consumer Goods")</f>
        <v>Fast Moving Consumer Goods</v>
      </c>
      <c r="L197" s="6" t="str">
        <f>IFERROR(__xludf.DUMMYFUNCTION("""COMPUTED_VALUE"""),"Agricultural Food &amp; other Products")</f>
        <v>Agricultural Food &amp; other Products</v>
      </c>
      <c r="M197" s="6" t="str">
        <f>IFERROR(__xludf.DUMMYFUNCTION("""COMPUTED_VALUE"""),"Edible Oil")</f>
        <v>Edible Oil</v>
      </c>
      <c r="N197" s="5">
        <f>IFERROR(__xludf.DUMMYFUNCTION("""COMPUTED_VALUE"""),43707.3427358)</f>
        <v>43707.34274</v>
      </c>
      <c r="O197" s="6">
        <f t="shared" si="4"/>
        <v>44</v>
      </c>
      <c r="P197" s="6">
        <f t="shared" ref="P197:Q197" si="396">COUNTIFS(L:L,L197)</f>
        <v>14</v>
      </c>
      <c r="Q197" s="24">
        <f t="shared" si="396"/>
        <v>3</v>
      </c>
      <c r="R197" s="6" t="str">
        <f t="shared" si="6"/>
        <v>Fast Moving Consumer Goods</v>
      </c>
      <c r="S197" s="6" t="str">
        <f t="shared" si="7"/>
        <v>Fast Moving Consumer Goods</v>
      </c>
      <c r="T197" s="6">
        <f>IFERROR(__xludf.DUMMYFUNCTION("COUNTA(UNIQUE(query($A$2:$P$800,""select L where K='""&amp; K197&amp;""'"")))"),7.0)</f>
        <v>7</v>
      </c>
      <c r="U197" s="23">
        <f t="shared" si="8"/>
        <v>0.2386363636</v>
      </c>
      <c r="V197" s="23">
        <f t="shared" ref="V197:W197" si="397">P197/O197</f>
        <v>0.3181818182</v>
      </c>
      <c r="W197" s="23">
        <f t="shared" si="397"/>
        <v>0.2142857143</v>
      </c>
    </row>
    <row r="198">
      <c r="A198" s="6">
        <f>IFERROR(__xludf.DUMMYFUNCTION("""COMPUTED_VALUE"""),532827.0)</f>
        <v>532827</v>
      </c>
      <c r="B198" s="6" t="str">
        <f>IFERROR(__xludf.DUMMYFUNCTION("""COMPUTED_VALUE"""),"Page Industries Ltd.")</f>
        <v>Page Industries Ltd.</v>
      </c>
      <c r="C198" s="6" t="str">
        <f>IFERROR(__xludf.DUMMYFUNCTION("""COMPUTED_VALUE"""),"PAGEIND")</f>
        <v>PAGEIND</v>
      </c>
      <c r="D198" s="6" t="str">
        <f>IFERROR(__xludf.DUMMYFUNCTION("""COMPUTED_VALUE"""),"PAGE INDUSTRIES LTD.")</f>
        <v>PAGE INDUSTRIES LTD.</v>
      </c>
      <c r="E198" s="6" t="str">
        <f>IFERROR(__xludf.DUMMYFUNCTION("""COMPUTED_VALUE"""),"Active")</f>
        <v>Active</v>
      </c>
      <c r="F198" s="6" t="str">
        <f>IFERROR(__xludf.DUMMYFUNCTION("""COMPUTED_VALUE"""),"A")</f>
        <v>A</v>
      </c>
      <c r="G198" s="6">
        <f>IFERROR(__xludf.DUMMYFUNCTION("""COMPUTED_VALUE"""),10.0)</f>
        <v>10</v>
      </c>
      <c r="H198" s="6" t="str">
        <f>IFERROR(__xludf.DUMMYFUNCTION("""COMPUTED_VALUE"""),"INE761H01022")</f>
        <v>INE761H01022</v>
      </c>
      <c r="I198" s="6" t="str">
        <f>IFERROR(__xludf.DUMMYFUNCTION("""COMPUTED_VALUE"""),"Equity")</f>
        <v>Equity</v>
      </c>
      <c r="J198" s="6" t="str">
        <f>IFERROR(__xludf.DUMMYFUNCTION("""COMPUTED_VALUE"""),"Consumer Discretionary")</f>
        <v>Consumer Discretionary</v>
      </c>
      <c r="K198" s="6" t="str">
        <f>IFERROR(__xludf.DUMMYFUNCTION("""COMPUTED_VALUE"""),"Textiles")</f>
        <v>Textiles</v>
      </c>
      <c r="L198" s="6" t="str">
        <f>IFERROR(__xludf.DUMMYFUNCTION("""COMPUTED_VALUE"""),"Textiles &amp; Apparels")</f>
        <v>Textiles &amp; Apparels</v>
      </c>
      <c r="M198" s="6" t="str">
        <f>IFERROR(__xludf.DUMMYFUNCTION("""COMPUTED_VALUE"""),"Garments &amp; Apparels")</f>
        <v>Garments &amp; Apparels</v>
      </c>
      <c r="N198" s="5">
        <f>IFERROR(__xludf.DUMMYFUNCTION("""COMPUTED_VALUE"""),43642.6154076)</f>
        <v>43642.61541</v>
      </c>
      <c r="O198" s="6">
        <f t="shared" si="4"/>
        <v>13</v>
      </c>
      <c r="P198" s="6">
        <f t="shared" ref="P198:Q198" si="398">COUNTIFS(L:L,L198)</f>
        <v>13</v>
      </c>
      <c r="Q198" s="24">
        <f t="shared" si="398"/>
        <v>4</v>
      </c>
      <c r="R198" s="6" t="str">
        <f t="shared" si="6"/>
        <v>Textiles</v>
      </c>
      <c r="S198" s="6" t="str">
        <f t="shared" si="7"/>
        <v>Textiles</v>
      </c>
      <c r="T198" s="6">
        <f>IFERROR(__xludf.DUMMYFUNCTION("COUNTA(UNIQUE(query($A$2:$P$800,""select L where K='""&amp; K198&amp;""'"")))"),1.0)</f>
        <v>1</v>
      </c>
      <c r="U198" s="23">
        <f t="shared" si="8"/>
        <v>0.1153846154</v>
      </c>
      <c r="V198" s="23">
        <f t="shared" ref="V198:W198" si="399">P198/O198</f>
        <v>1</v>
      </c>
      <c r="W198" s="23">
        <f t="shared" si="399"/>
        <v>0.3076923077</v>
      </c>
    </row>
    <row r="199">
      <c r="A199" s="6">
        <f>IFERROR(__xludf.DUMMYFUNCTION("""COMPUTED_VALUE"""),500253.0)</f>
        <v>500253</v>
      </c>
      <c r="B199" s="6" t="str">
        <f>IFERROR(__xludf.DUMMYFUNCTION("""COMPUTED_VALUE"""),"Lic Housing Finance Ltd.")</f>
        <v>Lic Housing Finance Ltd.</v>
      </c>
      <c r="C199" s="6" t="str">
        <f>IFERROR(__xludf.DUMMYFUNCTION("""COMPUTED_VALUE"""),"LICHSGFIN")</f>
        <v>LICHSGFIN</v>
      </c>
      <c r="D199" s="6" t="str">
        <f>IFERROR(__xludf.DUMMYFUNCTION("""COMPUTED_VALUE"""),"LIC HOUSING FINANCE LTD.")</f>
        <v>LIC HOUSING FINANCE LTD.</v>
      </c>
      <c r="E199" s="6" t="str">
        <f>IFERROR(__xludf.DUMMYFUNCTION("""COMPUTED_VALUE"""),"Active")</f>
        <v>Active</v>
      </c>
      <c r="F199" s="6" t="str">
        <f>IFERROR(__xludf.DUMMYFUNCTION("""COMPUTED_VALUE"""),"A")</f>
        <v>A</v>
      </c>
      <c r="G199" s="6">
        <f>IFERROR(__xludf.DUMMYFUNCTION("""COMPUTED_VALUE"""),2.0)</f>
        <v>2</v>
      </c>
      <c r="H199" s="6" t="str">
        <f>IFERROR(__xludf.DUMMYFUNCTION("""COMPUTED_VALUE"""),"INE115A01026")</f>
        <v>INE115A01026</v>
      </c>
      <c r="I199" s="6" t="str">
        <f>IFERROR(__xludf.DUMMYFUNCTION("""COMPUTED_VALUE"""),"Equity")</f>
        <v>Equity</v>
      </c>
      <c r="J199" s="6" t="str">
        <f>IFERROR(__xludf.DUMMYFUNCTION("""COMPUTED_VALUE"""),"Financial Services")</f>
        <v>Financial Services</v>
      </c>
      <c r="K199" s="6" t="str">
        <f>IFERROR(__xludf.DUMMYFUNCTION("""COMPUTED_VALUE"""),"Financial Services")</f>
        <v>Financial Services</v>
      </c>
      <c r="L199" s="6" t="str">
        <f>IFERROR(__xludf.DUMMYFUNCTION("""COMPUTED_VALUE"""),"Finance")</f>
        <v>Finance</v>
      </c>
      <c r="M199" s="6" t="str">
        <f>IFERROR(__xludf.DUMMYFUNCTION("""COMPUTED_VALUE"""),"Housing Finance Company")</f>
        <v>Housing Finance Company</v>
      </c>
      <c r="N199" s="5">
        <f>IFERROR(__xludf.DUMMYFUNCTION("""COMPUTED_VALUE"""),43190.1167053)</f>
        <v>43190.11671</v>
      </c>
      <c r="O199" s="6">
        <f t="shared" si="4"/>
        <v>123</v>
      </c>
      <c r="P199" s="6">
        <f t="shared" ref="P199:Q199" si="400">COUNTIFS(L:L,L199)</f>
        <v>56</v>
      </c>
      <c r="Q199" s="24">
        <f t="shared" si="400"/>
        <v>9</v>
      </c>
      <c r="R199" s="6" t="str">
        <f t="shared" si="6"/>
        <v>Finance</v>
      </c>
      <c r="S199" s="6" t="str">
        <f t="shared" si="7"/>
        <v>Finance</v>
      </c>
      <c r="T199" s="6">
        <f>IFERROR(__xludf.DUMMYFUNCTION("COUNTA(UNIQUE(query($A$2:$P$800,""select L where K='""&amp; K199&amp;""'"")))"),5.0)</f>
        <v>5</v>
      </c>
      <c r="U199" s="23">
        <f t="shared" si="8"/>
        <v>0.06097560976</v>
      </c>
      <c r="V199" s="23">
        <f t="shared" ref="V199:W199" si="401">P199/O199</f>
        <v>0.4552845528</v>
      </c>
      <c r="W199" s="23">
        <f t="shared" si="401"/>
        <v>0.1607142857</v>
      </c>
    </row>
    <row r="200">
      <c r="A200" s="6">
        <f>IFERROR(__xludf.DUMMYFUNCTION("""COMPUTED_VALUE"""),539336.0)</f>
        <v>539336</v>
      </c>
      <c r="B200" s="6" t="str">
        <f>IFERROR(__xludf.DUMMYFUNCTION("""COMPUTED_VALUE"""),"Gujarat Gas Limited")</f>
        <v>Gujarat Gas Limited</v>
      </c>
      <c r="C200" s="6" t="str">
        <f>IFERROR(__xludf.DUMMYFUNCTION("""COMPUTED_VALUE"""),"GUJGASLTD")</f>
        <v>GUJGASLTD</v>
      </c>
      <c r="D200" s="6" t="str">
        <f>IFERROR(__xludf.DUMMYFUNCTION("""COMPUTED_VALUE"""),"Gujarat Gas Ltd")</f>
        <v>Gujarat Gas Ltd</v>
      </c>
      <c r="E200" s="6" t="str">
        <f>IFERROR(__xludf.DUMMYFUNCTION("""COMPUTED_VALUE"""),"Active")</f>
        <v>Active</v>
      </c>
      <c r="F200" s="6" t="str">
        <f>IFERROR(__xludf.DUMMYFUNCTION("""COMPUTED_VALUE"""),"A")</f>
        <v>A</v>
      </c>
      <c r="G200" s="6">
        <f>IFERROR(__xludf.DUMMYFUNCTION("""COMPUTED_VALUE"""),2.0)</f>
        <v>2</v>
      </c>
      <c r="H200" s="6" t="str">
        <f>IFERROR(__xludf.DUMMYFUNCTION("""COMPUTED_VALUE"""),"INE844O01030")</f>
        <v>INE844O01030</v>
      </c>
      <c r="I200" s="6" t="str">
        <f>IFERROR(__xludf.DUMMYFUNCTION("""COMPUTED_VALUE"""),"Equity")</f>
        <v>Equity</v>
      </c>
      <c r="J200" s="6" t="str">
        <f>IFERROR(__xludf.DUMMYFUNCTION("""COMPUTED_VALUE"""),"Energy")</f>
        <v>Energy</v>
      </c>
      <c r="K200" s="6" t="str">
        <f>IFERROR(__xludf.DUMMYFUNCTION("""COMPUTED_VALUE"""),"Oil, Gas &amp; Consumable, Fuels")</f>
        <v>Oil, Gas &amp; Consumable, Fuels</v>
      </c>
      <c r="L200" s="6" t="str">
        <f>IFERROR(__xludf.DUMMYFUNCTION("""COMPUTED_VALUE"""),"Gas")</f>
        <v>Gas</v>
      </c>
      <c r="M200" s="6" t="str">
        <f>IFERROR(__xludf.DUMMYFUNCTION("""COMPUTED_VALUE"""),"LPG/CNG/PNG/LNG Supplier")</f>
        <v>LPG/CNG/PNG/LNG Supplier</v>
      </c>
      <c r="N200" s="5">
        <f>IFERROR(__xludf.DUMMYFUNCTION("""COMPUTED_VALUE"""),42937.5528384)</f>
        <v>42937.55284</v>
      </c>
      <c r="O200" s="6">
        <f t="shared" si="4"/>
        <v>20</v>
      </c>
      <c r="P200" s="6">
        <f t="shared" ref="P200:Q200" si="402">COUNTIFS(L:L,L200)</f>
        <v>8</v>
      </c>
      <c r="Q200" s="24">
        <f t="shared" si="402"/>
        <v>5</v>
      </c>
      <c r="R200" s="6" t="str">
        <f t="shared" si="6"/>
        <v>Oil, Gas &amp; Consumable, Fuels</v>
      </c>
      <c r="S200" s="6" t="str">
        <f t="shared" si="7"/>
        <v>Oil, Gas &amp; Consumable, Fuels</v>
      </c>
      <c r="T200" s="6">
        <f>IFERROR(__xludf.DUMMYFUNCTION("COUNTA(UNIQUE(query($A$2:$P$800,""select L where K='""&amp; K200&amp;""'"")))"),4.0)</f>
        <v>4</v>
      </c>
      <c r="U200" s="23">
        <f t="shared" si="8"/>
        <v>0.3</v>
      </c>
      <c r="V200" s="23">
        <f t="shared" ref="V200:W200" si="403">P200/O200</f>
        <v>0.4</v>
      </c>
      <c r="W200" s="23">
        <f t="shared" si="403"/>
        <v>0.625</v>
      </c>
    </row>
    <row r="201">
      <c r="A201" s="6">
        <f>IFERROR(__xludf.DUMMYFUNCTION("""COMPUTED_VALUE"""),533758.0)</f>
        <v>533758</v>
      </c>
      <c r="B201" s="6" t="str">
        <f>IFERROR(__xludf.DUMMYFUNCTION("""COMPUTED_VALUE"""),"APL Apollo Tubes Limited")</f>
        <v>APL Apollo Tubes Limited</v>
      </c>
      <c r="C201" s="6" t="str">
        <f>IFERROR(__xludf.DUMMYFUNCTION("""COMPUTED_VALUE"""),"APLAPOLLO")</f>
        <v>APLAPOLLO</v>
      </c>
      <c r="D201" s="6" t="str">
        <f>IFERROR(__xludf.DUMMYFUNCTION("""COMPUTED_VALUE"""),"APL APOLLO TUBES LTD.")</f>
        <v>APL APOLLO TUBES LTD.</v>
      </c>
      <c r="E201" s="6" t="str">
        <f>IFERROR(__xludf.DUMMYFUNCTION("""COMPUTED_VALUE"""),"Active")</f>
        <v>Active</v>
      </c>
      <c r="F201" s="6" t="str">
        <f>IFERROR(__xludf.DUMMYFUNCTION("""COMPUTED_VALUE"""),"A")</f>
        <v>A</v>
      </c>
      <c r="G201" s="6">
        <f>IFERROR(__xludf.DUMMYFUNCTION("""COMPUTED_VALUE"""),2.0)</f>
        <v>2</v>
      </c>
      <c r="H201" s="6" t="str">
        <f>IFERROR(__xludf.DUMMYFUNCTION("""COMPUTED_VALUE"""),"INE702C01027")</f>
        <v>INE702C01027</v>
      </c>
      <c r="I201" s="6" t="str">
        <f>IFERROR(__xludf.DUMMYFUNCTION("""COMPUTED_VALUE"""),"Equity")</f>
        <v>Equity</v>
      </c>
      <c r="J201" s="6" t="str">
        <f>IFERROR(__xludf.DUMMYFUNCTION("""COMPUTED_VALUE"""),"Industrials")</f>
        <v>Industrials</v>
      </c>
      <c r="K201" s="6" t="str">
        <f>IFERROR(__xludf.DUMMYFUNCTION("""COMPUTED_VALUE"""),"Capital Goods")</f>
        <v>Capital Goods</v>
      </c>
      <c r="L201" s="6" t="str">
        <f>IFERROR(__xludf.DUMMYFUNCTION("""COMPUTED_VALUE"""),"Industrial Products")</f>
        <v>Industrial Products</v>
      </c>
      <c r="M201" s="6" t="str">
        <f>IFERROR(__xludf.DUMMYFUNCTION("""COMPUTED_VALUE"""),"Iron &amp; Steel Products")</f>
        <v>Iron &amp; Steel Products</v>
      </c>
      <c r="N201" s="5">
        <f>IFERROR(__xludf.DUMMYFUNCTION("""COMPUTED_VALUE"""),42783.6446818)</f>
        <v>42783.64468</v>
      </c>
      <c r="O201" s="6">
        <f t="shared" si="4"/>
        <v>110</v>
      </c>
      <c r="P201" s="6">
        <f t="shared" ref="P201:Q201" si="404">COUNTIFS(L:L,L201)</f>
        <v>51</v>
      </c>
      <c r="Q201" s="24">
        <f t="shared" si="404"/>
        <v>13</v>
      </c>
      <c r="R201" s="6" t="str">
        <f t="shared" si="6"/>
        <v>Industrial Products</v>
      </c>
      <c r="S201" s="6" t="str">
        <f t="shared" si="7"/>
        <v>Industrial Products</v>
      </c>
      <c r="T201" s="6">
        <f>IFERROR(__xludf.DUMMYFUNCTION("COUNTA(UNIQUE(query($A$2:$P$800,""select L where K='""&amp; K201&amp;""'"")))"),5.0)</f>
        <v>5</v>
      </c>
      <c r="U201" s="23">
        <f t="shared" si="8"/>
        <v>0.06818181818</v>
      </c>
      <c r="V201" s="23">
        <f t="shared" ref="V201:W201" si="405">P201/O201</f>
        <v>0.4636363636</v>
      </c>
      <c r="W201" s="23">
        <f t="shared" si="405"/>
        <v>0.2549019608</v>
      </c>
    </row>
    <row r="202">
      <c r="A202" s="6">
        <f>IFERROR(__xludf.DUMMYFUNCTION("""COMPUTED_VALUE"""),512070.0)</f>
        <v>512070</v>
      </c>
      <c r="B202" s="6" t="str">
        <f>IFERROR(__xludf.DUMMYFUNCTION("""COMPUTED_VALUE"""),"UPL Limited")</f>
        <v>UPL Limited</v>
      </c>
      <c r="C202" s="6" t="str">
        <f>IFERROR(__xludf.DUMMYFUNCTION("""COMPUTED_VALUE"""),"UPL")</f>
        <v>UPL</v>
      </c>
      <c r="D202" s="6" t="str">
        <f>IFERROR(__xludf.DUMMYFUNCTION("""COMPUTED_VALUE"""),"UPL Limited")</f>
        <v>UPL Limited</v>
      </c>
      <c r="E202" s="6" t="str">
        <f>IFERROR(__xludf.DUMMYFUNCTION("""COMPUTED_VALUE"""),"Active")</f>
        <v>Active</v>
      </c>
      <c r="F202" s="6" t="str">
        <f>IFERROR(__xludf.DUMMYFUNCTION("""COMPUTED_VALUE"""),"A")</f>
        <v>A</v>
      </c>
      <c r="G202" s="6">
        <f>IFERROR(__xludf.DUMMYFUNCTION("""COMPUTED_VALUE"""),2.0)</f>
        <v>2</v>
      </c>
      <c r="H202" s="6" t="str">
        <f>IFERROR(__xludf.DUMMYFUNCTION("""COMPUTED_VALUE"""),"INE628A01036")</f>
        <v>INE628A01036</v>
      </c>
      <c r="I202" s="6" t="str">
        <f>IFERROR(__xludf.DUMMYFUNCTION("""COMPUTED_VALUE"""),"Equity")</f>
        <v>Equity</v>
      </c>
      <c r="J202" s="6" t="str">
        <f>IFERROR(__xludf.DUMMYFUNCTION("""COMPUTED_VALUE"""),"Commodities")</f>
        <v>Commodities</v>
      </c>
      <c r="K202" s="6" t="str">
        <f>IFERROR(__xludf.DUMMYFUNCTION("""COMPUTED_VALUE"""),"Chemicals")</f>
        <v>Chemicals</v>
      </c>
      <c r="L202" s="6" t="str">
        <f>IFERROR(__xludf.DUMMYFUNCTION("""COMPUTED_VALUE"""),"Fertilizers &amp; Agrochemicals")</f>
        <v>Fertilizers &amp; Agrochemicals</v>
      </c>
      <c r="M202" s="6" t="str">
        <f>IFERROR(__xludf.DUMMYFUNCTION("""COMPUTED_VALUE"""),"Pesticides &amp; Agrochemicals")</f>
        <v>Pesticides &amp; Agrochemicals</v>
      </c>
      <c r="N202" s="5">
        <f>IFERROR(__xludf.DUMMYFUNCTION("""COMPUTED_VALUE"""),42755.0366801)</f>
        <v>42755.03668</v>
      </c>
      <c r="O202" s="6">
        <f t="shared" si="4"/>
        <v>52</v>
      </c>
      <c r="P202" s="6">
        <f t="shared" ref="P202:Q202" si="406">COUNTIFS(L:L,L202)</f>
        <v>15</v>
      </c>
      <c r="Q202" s="24">
        <f t="shared" si="406"/>
        <v>7</v>
      </c>
      <c r="R202" s="6" t="str">
        <f t="shared" si="6"/>
        <v>Fertilizers &amp; Agrochemicals</v>
      </c>
      <c r="S202" s="6" t="str">
        <f t="shared" si="7"/>
        <v>Fertilizers &amp; Agrochemicals</v>
      </c>
      <c r="T202" s="6">
        <f>IFERROR(__xludf.DUMMYFUNCTION("COUNTA(UNIQUE(query($A$2:$P$800,""select L where K='""&amp; K202&amp;""'"")))"),2.0)</f>
        <v>2</v>
      </c>
      <c r="U202" s="23">
        <f t="shared" si="8"/>
        <v>0.05769230769</v>
      </c>
      <c r="V202" s="23">
        <f t="shared" ref="V202:W202" si="407">P202/O202</f>
        <v>0.2884615385</v>
      </c>
      <c r="W202" s="23">
        <f t="shared" si="407"/>
        <v>0.4666666667</v>
      </c>
    </row>
    <row r="203">
      <c r="A203" s="6">
        <f>IFERROR(__xludf.DUMMYFUNCTION("""COMPUTED_VALUE"""),532523.0)</f>
        <v>532523</v>
      </c>
      <c r="B203" s="6" t="str">
        <f>IFERROR(__xludf.DUMMYFUNCTION("""COMPUTED_VALUE"""),"Biocon Ltd.")</f>
        <v>Biocon Ltd.</v>
      </c>
      <c r="C203" s="6" t="str">
        <f>IFERROR(__xludf.DUMMYFUNCTION("""COMPUTED_VALUE"""),"BIOCON")</f>
        <v>BIOCON</v>
      </c>
      <c r="D203" s="6" t="str">
        <f>IFERROR(__xludf.DUMMYFUNCTION("""COMPUTED_VALUE"""),"BIOCON LTD.")</f>
        <v>BIOCON LTD.</v>
      </c>
      <c r="E203" s="6" t="str">
        <f>IFERROR(__xludf.DUMMYFUNCTION("""COMPUTED_VALUE"""),"Active")</f>
        <v>Active</v>
      </c>
      <c r="F203" s="6" t="str">
        <f>IFERROR(__xludf.DUMMYFUNCTION("""COMPUTED_VALUE"""),"A")</f>
        <v>A</v>
      </c>
      <c r="G203" s="6">
        <f>IFERROR(__xludf.DUMMYFUNCTION("""COMPUTED_VALUE"""),5.0)</f>
        <v>5</v>
      </c>
      <c r="H203" s="6" t="str">
        <f>IFERROR(__xludf.DUMMYFUNCTION("""COMPUTED_VALUE"""),"INE376G01013")</f>
        <v>INE376G01013</v>
      </c>
      <c r="I203" s="6" t="str">
        <f>IFERROR(__xludf.DUMMYFUNCTION("""COMPUTED_VALUE"""),"Equity")</f>
        <v>Equity</v>
      </c>
      <c r="J203" s="6" t="str">
        <f>IFERROR(__xludf.DUMMYFUNCTION("""COMPUTED_VALUE"""),"Healthcare")</f>
        <v>Healthcare</v>
      </c>
      <c r="K203" s="6" t="str">
        <f>IFERROR(__xludf.DUMMYFUNCTION("""COMPUTED_VALUE"""),"Healthcare")</f>
        <v>Healthcare</v>
      </c>
      <c r="L203" s="6" t="str">
        <f>IFERROR(__xludf.DUMMYFUNCTION("""COMPUTED_VALUE"""),"Pharmaceuticals &amp; Biotechnology")</f>
        <v>Pharmaceuticals &amp; Biotechnology</v>
      </c>
      <c r="M203" s="6" t="str">
        <f>IFERROR(__xludf.DUMMYFUNCTION("""COMPUTED_VALUE"""),"Pharmaceuticals")</f>
        <v>Pharmaceuticals</v>
      </c>
      <c r="N203" s="5">
        <f>IFERROR(__xludf.DUMMYFUNCTION("""COMPUTED_VALUE"""),42566.1183458)</f>
        <v>42566.11835</v>
      </c>
      <c r="O203" s="6">
        <f t="shared" si="4"/>
        <v>62</v>
      </c>
      <c r="P203" s="6">
        <f t="shared" ref="P203:Q203" si="408">COUNTIFS(L:L,L203)</f>
        <v>45</v>
      </c>
      <c r="Q203" s="24">
        <f t="shared" si="408"/>
        <v>45</v>
      </c>
      <c r="R203" s="6" t="str">
        <f t="shared" si="6"/>
        <v>Healthcare</v>
      </c>
      <c r="S203" s="6" t="str">
        <f t="shared" si="7"/>
        <v>Healthcare</v>
      </c>
      <c r="T203" s="6">
        <f>IFERROR(__xludf.DUMMYFUNCTION("COUNTA(UNIQUE(query($A$2:$P$800,""select L where K='""&amp; K203&amp;""'"")))"),3.0)</f>
        <v>3</v>
      </c>
      <c r="U203" s="23">
        <f t="shared" si="8"/>
        <v>0.07258064516</v>
      </c>
      <c r="V203" s="23">
        <f t="shared" ref="V203:W203" si="409">P203/O203</f>
        <v>0.7258064516</v>
      </c>
      <c r="W203" s="23">
        <f t="shared" si="409"/>
        <v>1</v>
      </c>
    </row>
    <row r="204">
      <c r="A204" s="6">
        <f>IFERROR(__xludf.DUMMYFUNCTION("""COMPUTED_VALUE"""),523395.0)</f>
        <v>523395</v>
      </c>
      <c r="B204" s="6" t="str">
        <f>IFERROR(__xludf.DUMMYFUNCTION("""COMPUTED_VALUE"""),"3M India Ltd.")</f>
        <v>3M India Ltd.</v>
      </c>
      <c r="C204" s="6" t="str">
        <f>IFERROR(__xludf.DUMMYFUNCTION("""COMPUTED_VALUE"""),"3MINDIA")</f>
        <v>3MINDIA</v>
      </c>
      <c r="D204" s="6" t="str">
        <f>IFERROR(__xludf.DUMMYFUNCTION("""COMPUTED_VALUE"""),"3M INDIA LTD.")</f>
        <v>3M INDIA LTD.</v>
      </c>
      <c r="E204" s="6" t="str">
        <f>IFERROR(__xludf.DUMMYFUNCTION("""COMPUTED_VALUE"""),"Active")</f>
        <v>Active</v>
      </c>
      <c r="F204" s="6" t="str">
        <f>IFERROR(__xludf.DUMMYFUNCTION("""COMPUTED_VALUE"""),"A")</f>
        <v>A</v>
      </c>
      <c r="G204" s="6">
        <f>IFERROR(__xludf.DUMMYFUNCTION("""COMPUTED_VALUE"""),10.0)</f>
        <v>10</v>
      </c>
      <c r="H204" s="6" t="str">
        <f>IFERROR(__xludf.DUMMYFUNCTION("""COMPUTED_VALUE"""),"INE470A01017")</f>
        <v>INE470A01017</v>
      </c>
      <c r="I204" s="6" t="str">
        <f>IFERROR(__xludf.DUMMYFUNCTION("""COMPUTED_VALUE"""),"Equity")</f>
        <v>Equity</v>
      </c>
      <c r="J204" s="6" t="str">
        <f>IFERROR(__xludf.DUMMYFUNCTION("""COMPUTED_VALUE"""),"Diversified")</f>
        <v>Diversified</v>
      </c>
      <c r="K204" s="6" t="str">
        <f>IFERROR(__xludf.DUMMYFUNCTION("""COMPUTED_VALUE"""),"Diversified")</f>
        <v>Diversified</v>
      </c>
      <c r="L204" s="6" t="str">
        <f>IFERROR(__xludf.DUMMYFUNCTION("""COMPUTED_VALUE"""),"Diversified")</f>
        <v>Diversified</v>
      </c>
      <c r="M204" s="6" t="str">
        <f>IFERROR(__xludf.DUMMYFUNCTION("""COMPUTED_VALUE"""),"Diversified")</f>
        <v>Diversified</v>
      </c>
      <c r="N204" s="5">
        <f>IFERROR(__xludf.DUMMYFUNCTION("""COMPUTED_VALUE"""),42295.77436)</f>
        <v>42295.77436</v>
      </c>
      <c r="O204" s="6">
        <f t="shared" si="4"/>
        <v>5</v>
      </c>
      <c r="P204" s="6">
        <f t="shared" ref="P204:Q204" si="410">COUNTIFS(L:L,L204)</f>
        <v>5</v>
      </c>
      <c r="Q204" s="24">
        <f t="shared" si="410"/>
        <v>5</v>
      </c>
      <c r="R204" s="6" t="str">
        <f t="shared" si="6"/>
        <v>Diversified</v>
      </c>
      <c r="S204" s="6" t="str">
        <f t="shared" si="7"/>
        <v>Misc.</v>
      </c>
      <c r="T204" s="6">
        <f>IFERROR(__xludf.DUMMYFUNCTION("COUNTA(UNIQUE(query($A$2:$P$800,""select L where K='""&amp; K204&amp;""'"")))"),1.0)</f>
        <v>1</v>
      </c>
      <c r="U204" s="23">
        <f t="shared" si="8"/>
        <v>0.3</v>
      </c>
      <c r="V204" s="23">
        <f t="shared" ref="V204:W204" si="411">P204/O204</f>
        <v>1</v>
      </c>
      <c r="W204" s="23">
        <f t="shared" si="411"/>
        <v>1</v>
      </c>
    </row>
    <row r="205">
      <c r="A205" s="6">
        <f>IFERROR(__xludf.DUMMYFUNCTION("""COMPUTED_VALUE"""),544028.0)</f>
        <v>544028</v>
      </c>
      <c r="B205" s="6" t="str">
        <f>IFERROR(__xludf.DUMMYFUNCTION("""COMPUTED_VALUE"""),"Tata Technologies Limited")</f>
        <v>Tata Technologies Limited</v>
      </c>
      <c r="C205" s="6" t="str">
        <f>IFERROR(__xludf.DUMMYFUNCTION("""COMPUTED_VALUE"""),"TATATECH")</f>
        <v>TATATECH</v>
      </c>
      <c r="D205" s="6" t="str">
        <f>IFERROR(__xludf.DUMMYFUNCTION("""COMPUTED_VALUE"""),"Tata Technologies Ltd")</f>
        <v>Tata Technologies Ltd</v>
      </c>
      <c r="E205" s="6" t="str">
        <f>IFERROR(__xludf.DUMMYFUNCTION("""COMPUTED_VALUE"""),"Active")</f>
        <v>Active</v>
      </c>
      <c r="F205" s="6" t="str">
        <f>IFERROR(__xludf.DUMMYFUNCTION("""COMPUTED_VALUE"""),"B")</f>
        <v>B</v>
      </c>
      <c r="G205" s="6">
        <f>IFERROR(__xludf.DUMMYFUNCTION("""COMPUTED_VALUE"""),2.0)</f>
        <v>2</v>
      </c>
      <c r="H205" s="6" t="str">
        <f>IFERROR(__xludf.DUMMYFUNCTION("""COMPUTED_VALUE"""),"INE142M01025")</f>
        <v>INE142M01025</v>
      </c>
      <c r="I205" s="6" t="str">
        <f>IFERROR(__xludf.DUMMYFUNCTION("""COMPUTED_VALUE"""),"Equity")</f>
        <v>Equity</v>
      </c>
      <c r="J205" s="6" t="str">
        <f>IFERROR(__xludf.DUMMYFUNCTION("""COMPUTED_VALUE"""),"Information Technology")</f>
        <v>Information Technology</v>
      </c>
      <c r="K205" s="6" t="str">
        <f>IFERROR(__xludf.DUMMYFUNCTION("""COMPUTED_VALUE"""),"Information Technology")</f>
        <v>Information Technology</v>
      </c>
      <c r="L205" s="6" t="str">
        <f>IFERROR(__xludf.DUMMYFUNCTION("""COMPUTED_VALUE"""),"IT - Services")</f>
        <v>IT - Services</v>
      </c>
      <c r="M205" s="6" t="str">
        <f>IFERROR(__xludf.DUMMYFUNCTION("""COMPUTED_VALUE"""),"IT Enabled Services")</f>
        <v>IT Enabled Services</v>
      </c>
      <c r="N205" s="5">
        <f>IFERROR(__xludf.DUMMYFUNCTION("""COMPUTED_VALUE"""),41236.6992356)</f>
        <v>41236.69924</v>
      </c>
      <c r="O205" s="6">
        <f t="shared" si="4"/>
        <v>36</v>
      </c>
      <c r="P205" s="6">
        <f t="shared" ref="P205:Q205" si="412">COUNTIFS(L:L,L205)</f>
        <v>8</v>
      </c>
      <c r="Q205" s="24">
        <f t="shared" si="412"/>
        <v>8</v>
      </c>
      <c r="R205" s="6" t="str">
        <f t="shared" si="6"/>
        <v>Information Technology</v>
      </c>
      <c r="S205" s="6" t="str">
        <f t="shared" si="7"/>
        <v>Information Technology</v>
      </c>
      <c r="T205" s="6">
        <f>IFERROR(__xludf.DUMMYFUNCTION("COUNTA(UNIQUE(query($A$2:$P$800,""select L where K='""&amp; K205&amp;""'"")))"),3.0)</f>
        <v>3</v>
      </c>
      <c r="U205" s="23">
        <f t="shared" si="8"/>
        <v>0.125</v>
      </c>
      <c r="V205" s="23">
        <f t="shared" ref="V205:W205" si="413">P205/O205</f>
        <v>0.2222222222</v>
      </c>
      <c r="W205" s="23">
        <f t="shared" si="413"/>
        <v>1</v>
      </c>
    </row>
    <row r="206">
      <c r="A206" s="6">
        <f>IFERROR(__xludf.DUMMYFUNCTION("""COMPUTED_VALUE"""),517569.0)</f>
        <v>517569</v>
      </c>
      <c r="B206" s="6" t="str">
        <f>IFERROR(__xludf.DUMMYFUNCTION("""COMPUTED_VALUE"""),"KEI Industries Ltd.")</f>
        <v>KEI Industries Ltd.</v>
      </c>
      <c r="C206" s="6" t="str">
        <f>IFERROR(__xludf.DUMMYFUNCTION("""COMPUTED_VALUE"""),"KEI")</f>
        <v>KEI</v>
      </c>
      <c r="D206" s="6" t="str">
        <f>IFERROR(__xludf.DUMMYFUNCTION("""COMPUTED_VALUE"""),"KEI INDUSTRIES LTD.")</f>
        <v>KEI INDUSTRIES LTD.</v>
      </c>
      <c r="E206" s="6" t="str">
        <f>IFERROR(__xludf.DUMMYFUNCTION("""COMPUTED_VALUE"""),"Active")</f>
        <v>Active</v>
      </c>
      <c r="F206" s="6" t="str">
        <f>IFERROR(__xludf.DUMMYFUNCTION("""COMPUTED_VALUE"""),"A")</f>
        <v>A</v>
      </c>
      <c r="G206" s="6">
        <f>IFERROR(__xludf.DUMMYFUNCTION("""COMPUTED_VALUE"""),2.0)</f>
        <v>2</v>
      </c>
      <c r="H206" s="6" t="str">
        <f>IFERROR(__xludf.DUMMYFUNCTION("""COMPUTED_VALUE"""),"INE878B01027")</f>
        <v>INE878B01027</v>
      </c>
      <c r="I206" s="6" t="str">
        <f>IFERROR(__xludf.DUMMYFUNCTION("""COMPUTED_VALUE"""),"Equity")</f>
        <v>Equity</v>
      </c>
      <c r="J206" s="6" t="str">
        <f>IFERROR(__xludf.DUMMYFUNCTION("""COMPUTED_VALUE"""),"Industrials")</f>
        <v>Industrials</v>
      </c>
      <c r="K206" s="6" t="str">
        <f>IFERROR(__xludf.DUMMYFUNCTION("""COMPUTED_VALUE"""),"Capital Goods")</f>
        <v>Capital Goods</v>
      </c>
      <c r="L206" s="6" t="str">
        <f>IFERROR(__xludf.DUMMYFUNCTION("""COMPUTED_VALUE"""),"Industrial Products")</f>
        <v>Industrial Products</v>
      </c>
      <c r="M206" s="6" t="str">
        <f>IFERROR(__xludf.DUMMYFUNCTION("""COMPUTED_VALUE"""),"Cables - Electricals")</f>
        <v>Cables - Electricals</v>
      </c>
      <c r="N206" s="5">
        <f>IFERROR(__xludf.DUMMYFUNCTION("""COMPUTED_VALUE"""),40872.4186183)</f>
        <v>40872.41862</v>
      </c>
      <c r="O206" s="6">
        <f t="shared" si="4"/>
        <v>110</v>
      </c>
      <c r="P206" s="6">
        <f t="shared" ref="P206:Q206" si="414">COUNTIFS(L:L,L206)</f>
        <v>51</v>
      </c>
      <c r="Q206" s="24">
        <f t="shared" si="414"/>
        <v>4</v>
      </c>
      <c r="R206" s="6" t="str">
        <f t="shared" si="6"/>
        <v>Industrial Products</v>
      </c>
      <c r="S206" s="6" t="str">
        <f t="shared" si="7"/>
        <v>Industrial Products</v>
      </c>
      <c r="T206" s="6">
        <f>IFERROR(__xludf.DUMMYFUNCTION("COUNTA(UNIQUE(query($A$2:$P$800,""select L where K='""&amp; K206&amp;""'"")))"),5.0)</f>
        <v>5</v>
      </c>
      <c r="U206" s="23">
        <f t="shared" si="8"/>
        <v>0.06818181818</v>
      </c>
      <c r="V206" s="23">
        <f t="shared" ref="V206:W206" si="415">P206/O206</f>
        <v>0.4636363636</v>
      </c>
      <c r="W206" s="23">
        <f t="shared" si="415"/>
        <v>0.07843137255</v>
      </c>
    </row>
    <row r="207">
      <c r="A207" s="6">
        <f>IFERROR(__xludf.DUMMYFUNCTION("""COMPUTED_VALUE"""),533295.0)</f>
        <v>533295</v>
      </c>
      <c r="B207" s="6" t="str">
        <f>IFERROR(__xludf.DUMMYFUNCTION("""COMPUTED_VALUE"""),"PUNJAB &amp; SIND BANK")</f>
        <v>PUNJAB &amp; SIND BANK</v>
      </c>
      <c r="C207" s="6" t="str">
        <f>IFERROR(__xludf.DUMMYFUNCTION("""COMPUTED_VALUE"""),"PSB")</f>
        <v>PSB</v>
      </c>
      <c r="D207" s="6" t="str">
        <f>IFERROR(__xludf.DUMMYFUNCTION("""COMPUTED_VALUE"""),"PUNJAB &amp; SIND BANK")</f>
        <v>PUNJAB &amp; SIND BANK</v>
      </c>
      <c r="E207" s="6" t="str">
        <f>IFERROR(__xludf.DUMMYFUNCTION("""COMPUTED_VALUE"""),"Active")</f>
        <v>Active</v>
      </c>
      <c r="F207" s="6" t="str">
        <f>IFERROR(__xludf.DUMMYFUNCTION("""COMPUTED_VALUE"""),"B")</f>
        <v>B</v>
      </c>
      <c r="G207" s="6">
        <f>IFERROR(__xludf.DUMMYFUNCTION("""COMPUTED_VALUE"""),10.0)</f>
        <v>10</v>
      </c>
      <c r="H207" s="6" t="str">
        <f>IFERROR(__xludf.DUMMYFUNCTION("""COMPUTED_VALUE"""),"INE608A01012")</f>
        <v>INE608A01012</v>
      </c>
      <c r="I207" s="6" t="str">
        <f>IFERROR(__xludf.DUMMYFUNCTION("""COMPUTED_VALUE"""),"Equity")</f>
        <v>Equity</v>
      </c>
      <c r="J207" s="6" t="str">
        <f>IFERROR(__xludf.DUMMYFUNCTION("""COMPUTED_VALUE"""),"Financial Services")</f>
        <v>Financial Services</v>
      </c>
      <c r="K207" s="6" t="str">
        <f>IFERROR(__xludf.DUMMYFUNCTION("""COMPUTED_VALUE"""),"Financial Services")</f>
        <v>Financial Services</v>
      </c>
      <c r="L207" s="6" t="str">
        <f>IFERROR(__xludf.DUMMYFUNCTION("""COMPUTED_VALUE"""),"Banks")</f>
        <v>Banks</v>
      </c>
      <c r="M207" s="6" t="str">
        <f>IFERROR(__xludf.DUMMYFUNCTION("""COMPUTED_VALUE"""),"Public Sector Bank")</f>
        <v>Public Sector Bank</v>
      </c>
      <c r="N207" s="5">
        <f>IFERROR(__xludf.DUMMYFUNCTION("""COMPUTED_VALUE"""),40306.9108647)</f>
        <v>40306.91086</v>
      </c>
      <c r="O207" s="6">
        <f t="shared" si="4"/>
        <v>123</v>
      </c>
      <c r="P207" s="6">
        <f t="shared" ref="P207:Q207" si="416">COUNTIFS(L:L,L207)</f>
        <v>35</v>
      </c>
      <c r="Q207" s="24">
        <f t="shared" si="416"/>
        <v>12</v>
      </c>
      <c r="R207" s="6" t="str">
        <f t="shared" si="6"/>
        <v>Banks</v>
      </c>
      <c r="S207" s="6" t="str">
        <f t="shared" si="7"/>
        <v>Banks</v>
      </c>
      <c r="T207" s="6">
        <f>IFERROR(__xludf.DUMMYFUNCTION("COUNTA(UNIQUE(query($A$2:$P$800,""select L where K='""&amp; K207&amp;""'"")))"),5.0)</f>
        <v>5</v>
      </c>
      <c r="U207" s="23">
        <f t="shared" si="8"/>
        <v>0.06097560976</v>
      </c>
      <c r="V207" s="23">
        <f t="shared" ref="V207:W207" si="417">P207/O207</f>
        <v>0.2845528455</v>
      </c>
      <c r="W207" s="23">
        <f t="shared" si="417"/>
        <v>0.3428571429</v>
      </c>
    </row>
    <row r="208">
      <c r="A208" s="6">
        <f>IFERROR(__xludf.DUMMYFUNCTION("""COMPUTED_VALUE"""),540767.0)</f>
        <v>540767</v>
      </c>
      <c r="B208" s="6" t="str">
        <f>IFERROR(__xludf.DUMMYFUNCTION("""COMPUTED_VALUE"""),"NIPPON LIFE INDIA ASSET MANAGEMENT LIMITED")</f>
        <v>NIPPON LIFE INDIA ASSET MANAGEMENT LIMITED</v>
      </c>
      <c r="C208" s="6" t="str">
        <f>IFERROR(__xludf.DUMMYFUNCTION("""COMPUTED_VALUE"""),"NAM-INDIA")</f>
        <v>NAM-INDIA</v>
      </c>
      <c r="D208" s="6" t="str">
        <f>IFERROR(__xludf.DUMMYFUNCTION("""COMPUTED_VALUE"""),"Nippon Life India Asset Management Ltd")</f>
        <v>Nippon Life India Asset Management Ltd</v>
      </c>
      <c r="E208" s="6" t="str">
        <f>IFERROR(__xludf.DUMMYFUNCTION("""COMPUTED_VALUE"""),"Active")</f>
        <v>Active</v>
      </c>
      <c r="F208" s="6" t="str">
        <f>IFERROR(__xludf.DUMMYFUNCTION("""COMPUTED_VALUE"""),"A")</f>
        <v>A</v>
      </c>
      <c r="G208" s="6">
        <f>IFERROR(__xludf.DUMMYFUNCTION("""COMPUTED_VALUE"""),10.0)</f>
        <v>10</v>
      </c>
      <c r="H208" s="6" t="str">
        <f>IFERROR(__xludf.DUMMYFUNCTION("""COMPUTED_VALUE"""),"INE298J01013")</f>
        <v>INE298J01013</v>
      </c>
      <c r="I208" s="6" t="str">
        <f>IFERROR(__xludf.DUMMYFUNCTION("""COMPUTED_VALUE"""),"Equity")</f>
        <v>Equity</v>
      </c>
      <c r="J208" s="6" t="str">
        <f>IFERROR(__xludf.DUMMYFUNCTION("""COMPUTED_VALUE"""),"Financial Services")</f>
        <v>Financial Services</v>
      </c>
      <c r="K208" s="6" t="str">
        <f>IFERROR(__xludf.DUMMYFUNCTION("""COMPUTED_VALUE"""),"Financial Services")</f>
        <v>Financial Services</v>
      </c>
      <c r="L208" s="6" t="str">
        <f>IFERROR(__xludf.DUMMYFUNCTION("""COMPUTED_VALUE"""),"Capital Markets")</f>
        <v>Capital Markets</v>
      </c>
      <c r="M208" s="6" t="str">
        <f>IFERROR(__xludf.DUMMYFUNCTION("""COMPUTED_VALUE"""),"Asset Management Company")</f>
        <v>Asset Management Company</v>
      </c>
      <c r="N208" s="5">
        <f>IFERROR(__xludf.DUMMYFUNCTION("""COMPUTED_VALUE"""),40159.8865175)</f>
        <v>40159.88652</v>
      </c>
      <c r="O208" s="6">
        <f t="shared" si="4"/>
        <v>123</v>
      </c>
      <c r="P208" s="6">
        <f t="shared" ref="P208:Q208" si="418">COUNTIFS(L:L,L208)</f>
        <v>19</v>
      </c>
      <c r="Q208" s="24">
        <f t="shared" si="418"/>
        <v>4</v>
      </c>
      <c r="R208" s="6" t="str">
        <f t="shared" si="6"/>
        <v>Capital Markets</v>
      </c>
      <c r="S208" s="6" t="str">
        <f t="shared" si="7"/>
        <v>Capital Markets</v>
      </c>
      <c r="T208" s="6">
        <f>IFERROR(__xludf.DUMMYFUNCTION("COUNTA(UNIQUE(query($A$2:$P$800,""select L where K='""&amp; K208&amp;""'"")))"),5.0)</f>
        <v>5</v>
      </c>
      <c r="U208" s="23">
        <f t="shared" si="8"/>
        <v>0.06097560976</v>
      </c>
      <c r="V208" s="23">
        <f t="shared" ref="V208:W208" si="419">P208/O208</f>
        <v>0.1544715447</v>
      </c>
      <c r="W208" s="23">
        <f t="shared" si="419"/>
        <v>0.2105263158</v>
      </c>
    </row>
    <row r="209">
      <c r="A209" s="6">
        <f>IFERROR(__xludf.DUMMYFUNCTION("""COMPUTED_VALUE"""),522275.0)</f>
        <v>522275</v>
      </c>
      <c r="B209" s="6" t="str">
        <f>IFERROR(__xludf.DUMMYFUNCTION("""COMPUTED_VALUE"""),"GE T&amp;D India Limited")</f>
        <v>GE T&amp;D India Limited</v>
      </c>
      <c r="C209" s="6" t="str">
        <f>IFERROR(__xludf.DUMMYFUNCTION("""COMPUTED_VALUE"""),"GET&amp;D")</f>
        <v>GET&amp;D</v>
      </c>
      <c r="D209" s="6" t="str">
        <f>IFERROR(__xludf.DUMMYFUNCTION("""COMPUTED_VALUE"""),"GE T&amp;D India Ltd")</f>
        <v>GE T&amp;D India Ltd</v>
      </c>
      <c r="E209" s="6" t="str">
        <f>IFERROR(__xludf.DUMMYFUNCTION("""COMPUTED_VALUE"""),"Active")</f>
        <v>Active</v>
      </c>
      <c r="F209" s="6" t="str">
        <f>IFERROR(__xludf.DUMMYFUNCTION("""COMPUTED_VALUE"""),"T")</f>
        <v>T</v>
      </c>
      <c r="G209" s="6">
        <f>IFERROR(__xludf.DUMMYFUNCTION("""COMPUTED_VALUE"""),2.0)</f>
        <v>2</v>
      </c>
      <c r="H209" s="6" t="str">
        <f>IFERROR(__xludf.DUMMYFUNCTION("""COMPUTED_VALUE"""),"INE200A01026")</f>
        <v>INE200A01026</v>
      </c>
      <c r="I209" s="6" t="str">
        <f>IFERROR(__xludf.DUMMYFUNCTION("""COMPUTED_VALUE"""),"Equity")</f>
        <v>Equity</v>
      </c>
      <c r="J209" s="6" t="str">
        <f>IFERROR(__xludf.DUMMYFUNCTION("""COMPUTED_VALUE"""),"Industrials")</f>
        <v>Industrials</v>
      </c>
      <c r="K209" s="6" t="str">
        <f>IFERROR(__xludf.DUMMYFUNCTION("""COMPUTED_VALUE"""),"Capital Goods")</f>
        <v>Capital Goods</v>
      </c>
      <c r="L209" s="6" t="str">
        <f>IFERROR(__xludf.DUMMYFUNCTION("""COMPUTED_VALUE"""),"Electrical Equipment")</f>
        <v>Electrical Equipment</v>
      </c>
      <c r="M209" s="6" t="str">
        <f>IFERROR(__xludf.DUMMYFUNCTION("""COMPUTED_VALUE"""),"Heavy Electrical Equipment")</f>
        <v>Heavy Electrical Equipment</v>
      </c>
      <c r="N209" s="5">
        <f>IFERROR(__xludf.DUMMYFUNCTION("""COMPUTED_VALUE"""),40020.9532033)</f>
        <v>40020.9532</v>
      </c>
      <c r="O209" s="6">
        <f t="shared" si="4"/>
        <v>110</v>
      </c>
      <c r="P209" s="6">
        <f t="shared" ref="P209:Q209" si="420">COUNTIFS(L:L,L209)</f>
        <v>22</v>
      </c>
      <c r="Q209" s="24">
        <f t="shared" si="420"/>
        <v>17</v>
      </c>
      <c r="R209" s="6" t="str">
        <f t="shared" si="6"/>
        <v>Electrical Equipment</v>
      </c>
      <c r="S209" s="6" t="str">
        <f t="shared" si="7"/>
        <v>Electrical Equipment</v>
      </c>
      <c r="T209" s="6">
        <f>IFERROR(__xludf.DUMMYFUNCTION("COUNTA(UNIQUE(query($A$2:$P$800,""select L where K='""&amp; K209&amp;""'"")))"),5.0)</f>
        <v>5</v>
      </c>
      <c r="U209" s="23">
        <f t="shared" si="8"/>
        <v>0.06818181818</v>
      </c>
      <c r="V209" s="23">
        <f t="shared" ref="V209:W209" si="421">P209/O209</f>
        <v>0.2</v>
      </c>
      <c r="W209" s="23">
        <f t="shared" si="421"/>
        <v>0.7727272727</v>
      </c>
    </row>
    <row r="210">
      <c r="A210" s="6">
        <f>IFERROR(__xludf.DUMMYFUNCTION("""COMPUTED_VALUE"""),532683.0)</f>
        <v>532683</v>
      </c>
      <c r="B210" s="6" t="str">
        <f>IFERROR(__xludf.DUMMYFUNCTION("""COMPUTED_VALUE"""),"AIA Engineering Ltd.")</f>
        <v>AIA Engineering Ltd.</v>
      </c>
      <c r="C210" s="6" t="str">
        <f>IFERROR(__xludf.DUMMYFUNCTION("""COMPUTED_VALUE"""),"AIAENG")</f>
        <v>AIAENG</v>
      </c>
      <c r="D210" s="6" t="str">
        <f>IFERROR(__xludf.DUMMYFUNCTION("""COMPUTED_VALUE"""),"AIA ENGINEERING LTD.")</f>
        <v>AIA ENGINEERING LTD.</v>
      </c>
      <c r="E210" s="6" t="str">
        <f>IFERROR(__xludf.DUMMYFUNCTION("""COMPUTED_VALUE"""),"Active")</f>
        <v>Active</v>
      </c>
      <c r="F210" s="6" t="str">
        <f>IFERROR(__xludf.DUMMYFUNCTION("""COMPUTED_VALUE"""),"A")</f>
        <v>A</v>
      </c>
      <c r="G210" s="6">
        <f>IFERROR(__xludf.DUMMYFUNCTION("""COMPUTED_VALUE"""),2.0)</f>
        <v>2</v>
      </c>
      <c r="H210" s="6" t="str">
        <f>IFERROR(__xludf.DUMMYFUNCTION("""COMPUTED_VALUE"""),"INE212H01026")</f>
        <v>INE212H01026</v>
      </c>
      <c r="I210" s="6" t="str">
        <f>IFERROR(__xludf.DUMMYFUNCTION("""COMPUTED_VALUE"""),"Equity")</f>
        <v>Equity</v>
      </c>
      <c r="J210" s="6" t="str">
        <f>IFERROR(__xludf.DUMMYFUNCTION("""COMPUTED_VALUE"""),"Industrials")</f>
        <v>Industrials</v>
      </c>
      <c r="K210" s="6" t="str">
        <f>IFERROR(__xludf.DUMMYFUNCTION("""COMPUTED_VALUE"""),"Capital Goods")</f>
        <v>Capital Goods</v>
      </c>
      <c r="L210" s="6" t="str">
        <f>IFERROR(__xludf.DUMMYFUNCTION("""COMPUTED_VALUE"""),"Industrial Products")</f>
        <v>Industrial Products</v>
      </c>
      <c r="M210" s="6" t="str">
        <f>IFERROR(__xludf.DUMMYFUNCTION("""COMPUTED_VALUE"""),"Castings &amp; Forgings")</f>
        <v>Castings &amp; Forgings</v>
      </c>
      <c r="N210" s="5">
        <f>IFERROR(__xludf.DUMMYFUNCTION("""COMPUTED_VALUE"""),39562.4007722)</f>
        <v>39562.40077</v>
      </c>
      <c r="O210" s="6">
        <f t="shared" si="4"/>
        <v>110</v>
      </c>
      <c r="P210" s="6">
        <f t="shared" ref="P210:Q210" si="422">COUNTIFS(L:L,L210)</f>
        <v>51</v>
      </c>
      <c r="Q210" s="24">
        <f t="shared" si="422"/>
        <v>2</v>
      </c>
      <c r="R210" s="6" t="str">
        <f t="shared" si="6"/>
        <v>Industrial Products</v>
      </c>
      <c r="S210" s="6" t="str">
        <f t="shared" si="7"/>
        <v>Industrial Products</v>
      </c>
      <c r="T210" s="6">
        <f>IFERROR(__xludf.DUMMYFUNCTION("COUNTA(UNIQUE(query($A$2:$P$800,""select L where K='""&amp; K210&amp;""'"")))"),5.0)</f>
        <v>5</v>
      </c>
      <c r="U210" s="23">
        <f t="shared" si="8"/>
        <v>0.06818181818</v>
      </c>
      <c r="V210" s="23">
        <f t="shared" ref="V210:W210" si="423">P210/O210</f>
        <v>0.4636363636</v>
      </c>
      <c r="W210" s="23">
        <f t="shared" si="423"/>
        <v>0.03921568627</v>
      </c>
    </row>
    <row r="211">
      <c r="A211" s="6">
        <f>IFERROR(__xludf.DUMMYFUNCTION("""COMPUTED_VALUE"""),540769.0)</f>
        <v>540769</v>
      </c>
      <c r="B211" s="6" t="str">
        <f>IFERROR(__xludf.DUMMYFUNCTION("""COMPUTED_VALUE"""),"The New India Assurance Company Limited")</f>
        <v>The New India Assurance Company Limited</v>
      </c>
      <c r="C211" s="6" t="str">
        <f>IFERROR(__xludf.DUMMYFUNCTION("""COMPUTED_VALUE"""),"NIACL")</f>
        <v>NIACL</v>
      </c>
      <c r="D211" s="6" t="str">
        <f>IFERROR(__xludf.DUMMYFUNCTION("""COMPUTED_VALUE"""),"The New India Assurance Company Ltd")</f>
        <v>The New India Assurance Company Ltd</v>
      </c>
      <c r="E211" s="6" t="str">
        <f>IFERROR(__xludf.DUMMYFUNCTION("""COMPUTED_VALUE"""),"Active")</f>
        <v>Active</v>
      </c>
      <c r="F211" s="6" t="str">
        <f>IFERROR(__xludf.DUMMYFUNCTION("""COMPUTED_VALUE"""),"A")</f>
        <v>A</v>
      </c>
      <c r="G211" s="6">
        <f>IFERROR(__xludf.DUMMYFUNCTION("""COMPUTED_VALUE"""),5.0)</f>
        <v>5</v>
      </c>
      <c r="H211" s="6" t="str">
        <f>IFERROR(__xludf.DUMMYFUNCTION("""COMPUTED_VALUE"""),"INE470Y01017")</f>
        <v>INE470Y01017</v>
      </c>
      <c r="I211" s="6" t="str">
        <f>IFERROR(__xludf.DUMMYFUNCTION("""COMPUTED_VALUE"""),"Equity")</f>
        <v>Equity</v>
      </c>
      <c r="J211" s="6" t="str">
        <f>IFERROR(__xludf.DUMMYFUNCTION("""COMPUTED_VALUE"""),"Financial Services")</f>
        <v>Financial Services</v>
      </c>
      <c r="K211" s="6" t="str">
        <f>IFERROR(__xludf.DUMMYFUNCTION("""COMPUTED_VALUE"""),"Financial Services")</f>
        <v>Financial Services</v>
      </c>
      <c r="L211" s="6" t="str">
        <f>IFERROR(__xludf.DUMMYFUNCTION("""COMPUTED_VALUE"""),"Insurance")</f>
        <v>Insurance</v>
      </c>
      <c r="M211" s="6" t="str">
        <f>IFERROR(__xludf.DUMMYFUNCTION("""COMPUTED_VALUE"""),"General Insurance")</f>
        <v>General Insurance</v>
      </c>
      <c r="N211" s="5">
        <f>IFERROR(__xludf.DUMMYFUNCTION("""COMPUTED_VALUE"""),38578.45984)</f>
        <v>38578.45984</v>
      </c>
      <c r="O211" s="6">
        <f t="shared" si="4"/>
        <v>123</v>
      </c>
      <c r="P211" s="6">
        <f t="shared" ref="P211:Q211" si="424">COUNTIFS(L:L,L211)</f>
        <v>10</v>
      </c>
      <c r="Q211" s="24">
        <f t="shared" si="424"/>
        <v>5</v>
      </c>
      <c r="R211" s="6" t="str">
        <f t="shared" si="6"/>
        <v>Financial Services</v>
      </c>
      <c r="S211" s="6" t="str">
        <f t="shared" si="7"/>
        <v>Financial Services</v>
      </c>
      <c r="T211" s="6">
        <f>IFERROR(__xludf.DUMMYFUNCTION("COUNTA(UNIQUE(query($A$2:$P$800,""select L where K='""&amp; K211&amp;""'"")))"),5.0)</f>
        <v>5</v>
      </c>
      <c r="U211" s="23">
        <f t="shared" si="8"/>
        <v>0.06097560976</v>
      </c>
      <c r="V211" s="23">
        <f t="shared" ref="V211:W211" si="425">P211/O211</f>
        <v>0.08130081301</v>
      </c>
      <c r="W211" s="23">
        <f t="shared" si="425"/>
        <v>0.5</v>
      </c>
    </row>
    <row r="212">
      <c r="A212" s="6">
        <f>IFERROR(__xludf.DUMMYFUNCTION("""COMPUTED_VALUE"""),540153.0)</f>
        <v>540153</v>
      </c>
      <c r="B212" s="6" t="str">
        <f>IFERROR(__xludf.DUMMYFUNCTION("""COMPUTED_VALUE"""),"Endurance Technologies Limited")</f>
        <v>Endurance Technologies Limited</v>
      </c>
      <c r="C212" s="6" t="str">
        <f>IFERROR(__xludf.DUMMYFUNCTION("""COMPUTED_VALUE"""),"ENDURANCE")</f>
        <v>ENDURANCE</v>
      </c>
      <c r="D212" s="6" t="str">
        <f>IFERROR(__xludf.DUMMYFUNCTION("""COMPUTED_VALUE"""),"Endurance Technologies Ltd")</f>
        <v>Endurance Technologies Ltd</v>
      </c>
      <c r="E212" s="6" t="str">
        <f>IFERROR(__xludf.DUMMYFUNCTION("""COMPUTED_VALUE"""),"Active")</f>
        <v>Active</v>
      </c>
      <c r="F212" s="6" t="str">
        <f>IFERROR(__xludf.DUMMYFUNCTION("""COMPUTED_VALUE"""),"A")</f>
        <v>A</v>
      </c>
      <c r="G212" s="6">
        <f>IFERROR(__xludf.DUMMYFUNCTION("""COMPUTED_VALUE"""),10.0)</f>
        <v>10</v>
      </c>
      <c r="H212" s="6" t="str">
        <f>IFERROR(__xludf.DUMMYFUNCTION("""COMPUTED_VALUE"""),"INE913H01037")</f>
        <v>INE913H01037</v>
      </c>
      <c r="I212" s="6" t="str">
        <f>IFERROR(__xludf.DUMMYFUNCTION("""COMPUTED_VALUE"""),"Equity")</f>
        <v>Equity</v>
      </c>
      <c r="J212" s="6" t="str">
        <f>IFERROR(__xludf.DUMMYFUNCTION("""COMPUTED_VALUE"""),"Consumer Discretionary")</f>
        <v>Consumer Discretionary</v>
      </c>
      <c r="K212" s="6" t="str">
        <f>IFERROR(__xludf.DUMMYFUNCTION("""COMPUTED_VALUE"""),"Automobile and Auto Components")</f>
        <v>Automobile and Auto Components</v>
      </c>
      <c r="L212" s="6" t="str">
        <f>IFERROR(__xludf.DUMMYFUNCTION("""COMPUTED_VALUE"""),"Auto Components")</f>
        <v>Auto Components</v>
      </c>
      <c r="M212" s="6" t="str">
        <f>IFERROR(__xludf.DUMMYFUNCTION("""COMPUTED_VALUE"""),"Auto Components &amp; Equipments")</f>
        <v>Auto Components &amp; Equipments</v>
      </c>
      <c r="N212" s="5">
        <f>IFERROR(__xludf.DUMMYFUNCTION("""COMPUTED_VALUE"""),38257.891128)</f>
        <v>38257.89113</v>
      </c>
      <c r="O212" s="6">
        <f t="shared" si="4"/>
        <v>47</v>
      </c>
      <c r="P212" s="6">
        <f t="shared" ref="P212:Q212" si="426">COUNTIFS(L:L,L212)</f>
        <v>37</v>
      </c>
      <c r="Q212" s="24">
        <f t="shared" si="426"/>
        <v>32</v>
      </c>
      <c r="R212" s="6" t="str">
        <f t="shared" si="6"/>
        <v>Automobile and Auto Components</v>
      </c>
      <c r="S212" s="6" t="str">
        <f t="shared" si="7"/>
        <v>Automobile and Auto Components</v>
      </c>
      <c r="T212" s="6">
        <f>IFERROR(__xludf.DUMMYFUNCTION("COUNTA(UNIQUE(query($A$2:$P$800,""select L where K='""&amp; K212&amp;""'"")))"),2.0)</f>
        <v>2</v>
      </c>
      <c r="U212" s="23">
        <f t="shared" si="8"/>
        <v>0.06382978723</v>
      </c>
      <c r="V212" s="23">
        <f t="shared" ref="V212:W212" si="427">P212/O212</f>
        <v>0.7872340426</v>
      </c>
      <c r="W212" s="23">
        <f t="shared" si="427"/>
        <v>0.8648648649</v>
      </c>
    </row>
    <row r="213">
      <c r="A213" s="6">
        <f>IFERROR(__xludf.DUMMYFUNCTION("""COMPUTED_VALUE"""),500109.0)</f>
        <v>500109</v>
      </c>
      <c r="B213" s="6" t="str">
        <f>IFERROR(__xludf.DUMMYFUNCTION("""COMPUTED_VALUE"""),"Mangalore Refinery &amp; Petrochemicals")</f>
        <v>Mangalore Refinery &amp; Petrochemicals</v>
      </c>
      <c r="C213" s="6" t="str">
        <f>IFERROR(__xludf.DUMMYFUNCTION("""COMPUTED_VALUE"""),"MRPL")</f>
        <v>MRPL</v>
      </c>
      <c r="D213" s="6" t="str">
        <f>IFERROR(__xludf.DUMMYFUNCTION("""COMPUTED_VALUE"""),"MANGALORE REFINERY &amp; PETROCHEMICALS LTD.")</f>
        <v>MANGALORE REFINERY &amp; PETROCHEMICALS LTD.</v>
      </c>
      <c r="E213" s="6" t="str">
        <f>IFERROR(__xludf.DUMMYFUNCTION("""COMPUTED_VALUE"""),"Active")</f>
        <v>Active</v>
      </c>
      <c r="F213" s="6" t="str">
        <f>IFERROR(__xludf.DUMMYFUNCTION("""COMPUTED_VALUE"""),"A")</f>
        <v>A</v>
      </c>
      <c r="G213" s="6">
        <f>IFERROR(__xludf.DUMMYFUNCTION("""COMPUTED_VALUE"""),10.0)</f>
        <v>10</v>
      </c>
      <c r="H213" s="6" t="str">
        <f>IFERROR(__xludf.DUMMYFUNCTION("""COMPUTED_VALUE"""),"INE103A01014")</f>
        <v>INE103A01014</v>
      </c>
      <c r="I213" s="6" t="str">
        <f>IFERROR(__xludf.DUMMYFUNCTION("""COMPUTED_VALUE"""),"Equity")</f>
        <v>Equity</v>
      </c>
      <c r="J213" s="6" t="str">
        <f>IFERROR(__xludf.DUMMYFUNCTION("""COMPUTED_VALUE"""),"Energy")</f>
        <v>Energy</v>
      </c>
      <c r="K213" s="6" t="str">
        <f>IFERROR(__xludf.DUMMYFUNCTION("""COMPUTED_VALUE"""),"Oil, Gas &amp; Consumable, Fuels")</f>
        <v>Oil, Gas &amp; Consumable, Fuels</v>
      </c>
      <c r="L213" s="6" t="str">
        <f>IFERROR(__xludf.DUMMYFUNCTION("""COMPUTED_VALUE"""),"Petroleum Products")</f>
        <v>Petroleum Products</v>
      </c>
      <c r="M213" s="6" t="str">
        <f>IFERROR(__xludf.DUMMYFUNCTION("""COMPUTED_VALUE"""),"Refineries &amp; Marketing")</f>
        <v>Refineries &amp; Marketing</v>
      </c>
      <c r="N213" s="5">
        <f>IFERROR(__xludf.DUMMYFUNCTION("""COMPUTED_VALUE"""),37488.6238636)</f>
        <v>37488.62386</v>
      </c>
      <c r="O213" s="6">
        <f t="shared" si="4"/>
        <v>20</v>
      </c>
      <c r="P213" s="6">
        <f t="shared" ref="P213:Q213" si="428">COUNTIFS(L:L,L213)</f>
        <v>8</v>
      </c>
      <c r="Q213" s="24">
        <f t="shared" si="428"/>
        <v>6</v>
      </c>
      <c r="R213" s="6" t="str">
        <f t="shared" si="6"/>
        <v>Oil, Gas &amp; Consumable, Fuels</v>
      </c>
      <c r="S213" s="6" t="str">
        <f t="shared" si="7"/>
        <v>Oil, Gas &amp; Consumable, Fuels</v>
      </c>
      <c r="T213" s="6">
        <f>IFERROR(__xludf.DUMMYFUNCTION("COUNTA(UNIQUE(query($A$2:$P$800,""select L where K='""&amp; K213&amp;""'"")))"),4.0)</f>
        <v>4</v>
      </c>
      <c r="U213" s="23">
        <f t="shared" si="8"/>
        <v>0.3</v>
      </c>
      <c r="V213" s="23">
        <f t="shared" ref="V213:W213" si="429">P213/O213</f>
        <v>0.4</v>
      </c>
      <c r="W213" s="23">
        <f t="shared" si="429"/>
        <v>0.75</v>
      </c>
    </row>
    <row r="214">
      <c r="A214" s="6">
        <f>IFERROR(__xludf.DUMMYFUNCTION("""COMPUTED_VALUE"""),543300.0)</f>
        <v>543300</v>
      </c>
      <c r="B214" s="6" t="str">
        <f>IFERROR(__xludf.DUMMYFUNCTION("""COMPUTED_VALUE"""),"Sona BLW Precision Forgings Limited")</f>
        <v>Sona BLW Precision Forgings Limited</v>
      </c>
      <c r="C214" s="6" t="str">
        <f>IFERROR(__xludf.DUMMYFUNCTION("""COMPUTED_VALUE"""),"SONACOMS")</f>
        <v>SONACOMS</v>
      </c>
      <c r="D214" s="6" t="str">
        <f>IFERROR(__xludf.DUMMYFUNCTION("""COMPUTED_VALUE"""),"Sona BLW Precision Forgings Ltd")</f>
        <v>Sona BLW Precision Forgings Ltd</v>
      </c>
      <c r="E214" s="6" t="str">
        <f>IFERROR(__xludf.DUMMYFUNCTION("""COMPUTED_VALUE"""),"Active")</f>
        <v>Active</v>
      </c>
      <c r="F214" s="6" t="str">
        <f>IFERROR(__xludf.DUMMYFUNCTION("""COMPUTED_VALUE"""),"A")</f>
        <v>A</v>
      </c>
      <c r="G214" s="6">
        <f>IFERROR(__xludf.DUMMYFUNCTION("""COMPUTED_VALUE"""),10.0)</f>
        <v>10</v>
      </c>
      <c r="H214" s="6" t="str">
        <f>IFERROR(__xludf.DUMMYFUNCTION("""COMPUTED_VALUE"""),"INE073K01018")</f>
        <v>INE073K01018</v>
      </c>
      <c r="I214" s="6" t="str">
        <f>IFERROR(__xludf.DUMMYFUNCTION("""COMPUTED_VALUE"""),"Equity")</f>
        <v>Equity</v>
      </c>
      <c r="J214" s="6" t="str">
        <f>IFERROR(__xludf.DUMMYFUNCTION("""COMPUTED_VALUE"""),"Consumer Discretionary")</f>
        <v>Consumer Discretionary</v>
      </c>
      <c r="K214" s="6" t="str">
        <f>IFERROR(__xludf.DUMMYFUNCTION("""COMPUTED_VALUE"""),"Automobile and Auto Components")</f>
        <v>Automobile and Auto Components</v>
      </c>
      <c r="L214" s="6" t="str">
        <f>IFERROR(__xludf.DUMMYFUNCTION("""COMPUTED_VALUE"""),"Auto Components")</f>
        <v>Auto Components</v>
      </c>
      <c r="M214" s="6" t="str">
        <f>IFERROR(__xludf.DUMMYFUNCTION("""COMPUTED_VALUE"""),"Auto Components &amp; Equipments")</f>
        <v>Auto Components &amp; Equipments</v>
      </c>
      <c r="N214" s="5">
        <f>IFERROR(__xludf.DUMMYFUNCTION("""COMPUTED_VALUE"""),37190.7055028)</f>
        <v>37190.7055</v>
      </c>
      <c r="O214" s="6">
        <f t="shared" si="4"/>
        <v>47</v>
      </c>
      <c r="P214" s="6">
        <f t="shared" ref="P214:Q214" si="430">COUNTIFS(L:L,L214)</f>
        <v>37</v>
      </c>
      <c r="Q214" s="24">
        <f t="shared" si="430"/>
        <v>32</v>
      </c>
      <c r="R214" s="6" t="str">
        <f t="shared" si="6"/>
        <v>Automobile and Auto Components</v>
      </c>
      <c r="S214" s="6" t="str">
        <f t="shared" si="7"/>
        <v>Automobile and Auto Components</v>
      </c>
      <c r="T214" s="6">
        <f>IFERROR(__xludf.DUMMYFUNCTION("COUNTA(UNIQUE(query($A$2:$P$800,""select L where K='""&amp; K214&amp;""'"")))"),2.0)</f>
        <v>2</v>
      </c>
      <c r="U214" s="23">
        <f t="shared" si="8"/>
        <v>0.06382978723</v>
      </c>
      <c r="V214" s="23">
        <f t="shared" ref="V214:W214" si="431">P214/O214</f>
        <v>0.7872340426</v>
      </c>
      <c r="W214" s="23">
        <f t="shared" si="431"/>
        <v>0.8648648649</v>
      </c>
    </row>
    <row r="215">
      <c r="A215" s="6">
        <f>IFERROR(__xludf.DUMMYFUNCTION("""COMPUTED_VALUE"""),512455.0)</f>
        <v>512455</v>
      </c>
      <c r="B215" s="6" t="str">
        <f>IFERROR(__xludf.DUMMYFUNCTION("""COMPUTED_VALUE"""),"Lloyds Metals and Energy Limited")</f>
        <v>Lloyds Metals and Energy Limited</v>
      </c>
      <c r="C215" s="6" t="str">
        <f>IFERROR(__xludf.DUMMYFUNCTION("""COMPUTED_VALUE"""),"LLOYDSME")</f>
        <v>LLOYDSME</v>
      </c>
      <c r="D215" s="6" t="str">
        <f>IFERROR(__xludf.DUMMYFUNCTION("""COMPUTED_VALUE"""),"LLOYDS METALS AND ENERGY LTD.")</f>
        <v>LLOYDS METALS AND ENERGY LTD.</v>
      </c>
      <c r="E215" s="6" t="str">
        <f>IFERROR(__xludf.DUMMYFUNCTION("""COMPUTED_VALUE"""),"Active")</f>
        <v>Active</v>
      </c>
      <c r="F215" s="6" t="str">
        <f>IFERROR(__xludf.DUMMYFUNCTION("""COMPUTED_VALUE"""),"A")</f>
        <v>A</v>
      </c>
      <c r="G215" s="6">
        <f>IFERROR(__xludf.DUMMYFUNCTION("""COMPUTED_VALUE"""),1.0)</f>
        <v>1</v>
      </c>
      <c r="H215" s="6" t="str">
        <f>IFERROR(__xludf.DUMMYFUNCTION("""COMPUTED_VALUE"""),"INE281B01032")</f>
        <v>INE281B01032</v>
      </c>
      <c r="I215" s="6" t="str">
        <f>IFERROR(__xludf.DUMMYFUNCTION("""COMPUTED_VALUE"""),"Equity")</f>
        <v>Equity</v>
      </c>
      <c r="J215" s="6" t="str">
        <f>IFERROR(__xludf.DUMMYFUNCTION("""COMPUTED_VALUE"""),"Commodities")</f>
        <v>Commodities</v>
      </c>
      <c r="K215" s="6" t="str">
        <f>IFERROR(__xludf.DUMMYFUNCTION("""COMPUTED_VALUE"""),"Metals &amp; Mining")</f>
        <v>Metals &amp; Mining</v>
      </c>
      <c r="L215" s="6" t="str">
        <f>IFERROR(__xludf.DUMMYFUNCTION("""COMPUTED_VALUE"""),"Ferrous Metals")</f>
        <v>Ferrous Metals</v>
      </c>
      <c r="M215" s="6" t="str">
        <f>IFERROR(__xludf.DUMMYFUNCTION("""COMPUTED_VALUE"""),"Sponge Iron")</f>
        <v>Sponge Iron</v>
      </c>
      <c r="N215" s="5">
        <f>IFERROR(__xludf.DUMMYFUNCTION("""COMPUTED_VALUE"""),37084.1208369)</f>
        <v>37084.12084</v>
      </c>
      <c r="O215" s="6">
        <f t="shared" si="4"/>
        <v>20</v>
      </c>
      <c r="P215" s="6">
        <f t="shared" ref="P215:Q215" si="432">COUNTIFS(L:L,L215)</f>
        <v>10</v>
      </c>
      <c r="Q215" s="24">
        <f t="shared" si="432"/>
        <v>2</v>
      </c>
      <c r="R215" s="6" t="str">
        <f t="shared" si="6"/>
        <v>Metals &amp; Mining</v>
      </c>
      <c r="S215" s="6" t="str">
        <f t="shared" si="7"/>
        <v>Metals &amp; Mining</v>
      </c>
      <c r="T215" s="6">
        <f>IFERROR(__xludf.DUMMYFUNCTION("COUNTA(UNIQUE(query($A$2:$P$800,""select L where K='""&amp; K215&amp;""'"")))"),5.0)</f>
        <v>5</v>
      </c>
      <c r="U215" s="23">
        <f t="shared" si="8"/>
        <v>0.375</v>
      </c>
      <c r="V215" s="23">
        <f t="shared" ref="V215:W215" si="433">P215/O215</f>
        <v>0.5</v>
      </c>
      <c r="W215" s="23">
        <f t="shared" si="433"/>
        <v>0.2</v>
      </c>
    </row>
    <row r="216">
      <c r="A216" s="6">
        <f>IFERROR(__xludf.DUMMYFUNCTION("""COMPUTED_VALUE"""),533155.0)</f>
        <v>533155</v>
      </c>
      <c r="B216" s="6" t="str">
        <f>IFERROR(__xludf.DUMMYFUNCTION("""COMPUTED_VALUE"""),"Jubilant Foodworks Limited")</f>
        <v>Jubilant Foodworks Limited</v>
      </c>
      <c r="C216" s="6" t="str">
        <f>IFERROR(__xludf.DUMMYFUNCTION("""COMPUTED_VALUE"""),"JUBLFOOD")</f>
        <v>JUBLFOOD</v>
      </c>
      <c r="D216" s="6" t="str">
        <f>IFERROR(__xludf.DUMMYFUNCTION("""COMPUTED_VALUE"""),"Jubilant FoodWorks Ltd")</f>
        <v>Jubilant FoodWorks Ltd</v>
      </c>
      <c r="E216" s="6" t="str">
        <f>IFERROR(__xludf.DUMMYFUNCTION("""COMPUTED_VALUE"""),"Active")</f>
        <v>Active</v>
      </c>
      <c r="F216" s="6" t="str">
        <f>IFERROR(__xludf.DUMMYFUNCTION("""COMPUTED_VALUE"""),"A")</f>
        <v>A</v>
      </c>
      <c r="G216" s="6">
        <f>IFERROR(__xludf.DUMMYFUNCTION("""COMPUTED_VALUE"""),2.0)</f>
        <v>2</v>
      </c>
      <c r="H216" s="6" t="str">
        <f>IFERROR(__xludf.DUMMYFUNCTION("""COMPUTED_VALUE"""),"INE797F01020")</f>
        <v>INE797F01020</v>
      </c>
      <c r="I216" s="6" t="str">
        <f>IFERROR(__xludf.DUMMYFUNCTION("""COMPUTED_VALUE"""),"Equity")</f>
        <v>Equity</v>
      </c>
      <c r="J216" s="6" t="str">
        <f>IFERROR(__xludf.DUMMYFUNCTION("""COMPUTED_VALUE"""),"Consumer Discretionary")</f>
        <v>Consumer Discretionary</v>
      </c>
      <c r="K216" s="6" t="str">
        <f>IFERROR(__xludf.DUMMYFUNCTION("""COMPUTED_VALUE"""),"Consumer Services")</f>
        <v>Consumer Services</v>
      </c>
      <c r="L216" s="6" t="str">
        <f>IFERROR(__xludf.DUMMYFUNCTION("""COMPUTED_VALUE"""),"Leisure Services")</f>
        <v>Leisure Services</v>
      </c>
      <c r="M216" s="6" t="str">
        <f>IFERROR(__xludf.DUMMYFUNCTION("""COMPUTED_VALUE"""),"Restaurants")</f>
        <v>Restaurants</v>
      </c>
      <c r="N216" s="5">
        <f>IFERROR(__xludf.DUMMYFUNCTION("""COMPUTED_VALUE"""),36618.5112163)</f>
        <v>36618.51122</v>
      </c>
      <c r="O216" s="6">
        <f t="shared" si="4"/>
        <v>37</v>
      </c>
      <c r="P216" s="6">
        <f t="shared" ref="P216:Q216" si="434">COUNTIFS(L:L,L216)</f>
        <v>18</v>
      </c>
      <c r="Q216" s="24">
        <f t="shared" si="434"/>
        <v>5</v>
      </c>
      <c r="R216" s="6" t="str">
        <f t="shared" si="6"/>
        <v>Leisure Services</v>
      </c>
      <c r="S216" s="6" t="str">
        <f t="shared" si="7"/>
        <v>Leisure Services</v>
      </c>
      <c r="T216" s="6">
        <f>IFERROR(__xludf.DUMMYFUNCTION("COUNTA(UNIQUE(query($A$2:$P$800,""select L where K='""&amp; K216&amp;""'"")))"),3.0)</f>
        <v>3</v>
      </c>
      <c r="U216" s="23">
        <f t="shared" si="8"/>
        <v>0.1216216216</v>
      </c>
      <c r="V216" s="23">
        <f t="shared" ref="V216:W216" si="435">P216/O216</f>
        <v>0.4864864865</v>
      </c>
      <c r="W216" s="23">
        <f t="shared" si="435"/>
        <v>0.2777777778</v>
      </c>
    </row>
    <row r="217">
      <c r="A217" s="6">
        <f>IFERROR(__xludf.DUMMYFUNCTION("""COMPUTED_VALUE"""),532720.0)</f>
        <v>532720</v>
      </c>
      <c r="B217" s="6" t="str">
        <f>IFERROR(__xludf.DUMMYFUNCTION("""COMPUTED_VALUE"""),"Mahindra &amp; Mahindra Financial Services Limited")</f>
        <v>Mahindra &amp; Mahindra Financial Services Limited</v>
      </c>
      <c r="C217" s="6" t="str">
        <f>IFERROR(__xludf.DUMMYFUNCTION("""COMPUTED_VALUE"""),"M&amp;MFIN")</f>
        <v>M&amp;MFIN</v>
      </c>
      <c r="D217" s="6" t="str">
        <f>IFERROR(__xludf.DUMMYFUNCTION("""COMPUTED_VALUE"""),"MAHINDRA &amp; MAHINDRA FINANCIAL SERVICES LTD.")</f>
        <v>MAHINDRA &amp; MAHINDRA FINANCIAL SERVICES LTD.</v>
      </c>
      <c r="E217" s="6" t="str">
        <f>IFERROR(__xludf.DUMMYFUNCTION("""COMPUTED_VALUE"""),"Active")</f>
        <v>Active</v>
      </c>
      <c r="F217" s="6" t="str">
        <f>IFERROR(__xludf.DUMMYFUNCTION("""COMPUTED_VALUE"""),"A")</f>
        <v>A</v>
      </c>
      <c r="G217" s="6">
        <f>IFERROR(__xludf.DUMMYFUNCTION("""COMPUTED_VALUE"""),2.0)</f>
        <v>2</v>
      </c>
      <c r="H217" s="6" t="str">
        <f>IFERROR(__xludf.DUMMYFUNCTION("""COMPUTED_VALUE"""),"INE774D01024")</f>
        <v>INE774D01024</v>
      </c>
      <c r="I217" s="6" t="str">
        <f>IFERROR(__xludf.DUMMYFUNCTION("""COMPUTED_VALUE"""),"Equity")</f>
        <v>Equity</v>
      </c>
      <c r="J217" s="6" t="str">
        <f>IFERROR(__xludf.DUMMYFUNCTION("""COMPUTED_VALUE"""),"Financial Services")</f>
        <v>Financial Services</v>
      </c>
      <c r="K217" s="6" t="str">
        <f>IFERROR(__xludf.DUMMYFUNCTION("""COMPUTED_VALUE"""),"Financial Services")</f>
        <v>Financial Services</v>
      </c>
      <c r="L217" s="6" t="str">
        <f>IFERROR(__xludf.DUMMYFUNCTION("""COMPUTED_VALUE"""),"Finance")</f>
        <v>Finance</v>
      </c>
      <c r="M217" s="6" t="str">
        <f>IFERROR(__xludf.DUMMYFUNCTION("""COMPUTED_VALUE"""),"Non Banking Financial Company (NBFC)")</f>
        <v>Non Banking Financial Company (NBFC)</v>
      </c>
      <c r="N217" s="5">
        <f>IFERROR(__xludf.DUMMYFUNCTION("""COMPUTED_VALUE"""),36173.7440713)</f>
        <v>36173.74407</v>
      </c>
      <c r="O217" s="6">
        <f t="shared" si="4"/>
        <v>123</v>
      </c>
      <c r="P217" s="6">
        <f t="shared" ref="P217:Q217" si="436">COUNTIFS(L:L,L217)</f>
        <v>56</v>
      </c>
      <c r="Q217" s="24">
        <f t="shared" si="436"/>
        <v>21</v>
      </c>
      <c r="R217" s="6" t="str">
        <f t="shared" si="6"/>
        <v>Non Banking Financial Company (NBFC)</v>
      </c>
      <c r="S217" s="6" t="str">
        <f t="shared" si="7"/>
        <v>Non Banking Financial Company (NBFC)</v>
      </c>
      <c r="T217" s="6">
        <f>IFERROR(__xludf.DUMMYFUNCTION("COUNTA(UNIQUE(query($A$2:$P$800,""select L where K='""&amp; K217&amp;""'"")))"),5.0)</f>
        <v>5</v>
      </c>
      <c r="U217" s="23">
        <f t="shared" si="8"/>
        <v>0.06097560976</v>
      </c>
      <c r="V217" s="23">
        <f t="shared" ref="V217:W217" si="437">P217/O217</f>
        <v>0.4552845528</v>
      </c>
      <c r="W217" s="23">
        <f t="shared" si="437"/>
        <v>0.375</v>
      </c>
    </row>
    <row r="218">
      <c r="A218" s="6">
        <f>IFERROR(__xludf.DUMMYFUNCTION("""COMPUTED_VALUE"""),532843.0)</f>
        <v>532843</v>
      </c>
      <c r="B218" s="6" t="str">
        <f>IFERROR(__xludf.DUMMYFUNCTION("""COMPUTED_VALUE"""),"Fortis Healthcare Ltd")</f>
        <v>Fortis Healthcare Ltd</v>
      </c>
      <c r="C218" s="6" t="str">
        <f>IFERROR(__xludf.DUMMYFUNCTION("""COMPUTED_VALUE"""),"FORTIS")</f>
        <v>FORTIS</v>
      </c>
      <c r="D218" s="6" t="str">
        <f>IFERROR(__xludf.DUMMYFUNCTION("""COMPUTED_VALUE"""),"FORTIS HEALTHCARE LTD.")</f>
        <v>FORTIS HEALTHCARE LTD.</v>
      </c>
      <c r="E218" s="6" t="str">
        <f>IFERROR(__xludf.DUMMYFUNCTION("""COMPUTED_VALUE"""),"Active")</f>
        <v>Active</v>
      </c>
      <c r="F218" s="6" t="str">
        <f>IFERROR(__xludf.DUMMYFUNCTION("""COMPUTED_VALUE"""),"A")</f>
        <v>A</v>
      </c>
      <c r="G218" s="6">
        <f>IFERROR(__xludf.DUMMYFUNCTION("""COMPUTED_VALUE"""),10.0)</f>
        <v>10</v>
      </c>
      <c r="H218" s="6" t="str">
        <f>IFERROR(__xludf.DUMMYFUNCTION("""COMPUTED_VALUE"""),"INE061F01013")</f>
        <v>INE061F01013</v>
      </c>
      <c r="I218" s="6" t="str">
        <f>IFERROR(__xludf.DUMMYFUNCTION("""COMPUTED_VALUE"""),"Equity")</f>
        <v>Equity</v>
      </c>
      <c r="J218" s="6" t="str">
        <f>IFERROR(__xludf.DUMMYFUNCTION("""COMPUTED_VALUE"""),"Healthcare")</f>
        <v>Healthcare</v>
      </c>
      <c r="K218" s="6" t="str">
        <f>IFERROR(__xludf.DUMMYFUNCTION("""COMPUTED_VALUE"""),"Healthcare")</f>
        <v>Healthcare</v>
      </c>
      <c r="L218" s="6" t="str">
        <f>IFERROR(__xludf.DUMMYFUNCTION("""COMPUTED_VALUE"""),"Healthcare Services")</f>
        <v>Healthcare Services</v>
      </c>
      <c r="M218" s="6" t="str">
        <f>IFERROR(__xludf.DUMMYFUNCTION("""COMPUTED_VALUE"""),"Hospital")</f>
        <v>Hospital</v>
      </c>
      <c r="N218" s="5">
        <f>IFERROR(__xludf.DUMMYFUNCTION("""COMPUTED_VALUE"""),35776.5754825)</f>
        <v>35776.57548</v>
      </c>
      <c r="O218" s="6">
        <f t="shared" si="4"/>
        <v>62</v>
      </c>
      <c r="P218" s="6">
        <f t="shared" ref="P218:Q218" si="438">COUNTIFS(L:L,L218)</f>
        <v>16</v>
      </c>
      <c r="Q218" s="24">
        <f t="shared" si="438"/>
        <v>11</v>
      </c>
      <c r="R218" s="6" t="str">
        <f t="shared" si="6"/>
        <v>Healthcare Services</v>
      </c>
      <c r="S218" s="6" t="str">
        <f t="shared" si="7"/>
        <v>Healthcare Services</v>
      </c>
      <c r="T218" s="6">
        <f>IFERROR(__xludf.DUMMYFUNCTION("COUNTA(UNIQUE(query($A$2:$P$800,""select L where K='""&amp; K218&amp;""'"")))"),3.0)</f>
        <v>3</v>
      </c>
      <c r="U218" s="23">
        <f t="shared" si="8"/>
        <v>0.07258064516</v>
      </c>
      <c r="V218" s="23">
        <f t="shared" ref="V218:W218" si="439">P218/O218</f>
        <v>0.2580645161</v>
      </c>
      <c r="W218" s="23">
        <f t="shared" si="439"/>
        <v>0.6875</v>
      </c>
    </row>
    <row r="219">
      <c r="A219" s="6">
        <f>IFERROR(__xludf.DUMMYFUNCTION("""COMPUTED_VALUE"""),532892.0)</f>
        <v>532892</v>
      </c>
      <c r="B219" s="6" t="str">
        <f>IFERROR(__xludf.DUMMYFUNCTION("""COMPUTED_VALUE"""),"Motilal Oswal Financial Services Limited")</f>
        <v>Motilal Oswal Financial Services Limited</v>
      </c>
      <c r="C219" s="6" t="str">
        <f>IFERROR(__xludf.DUMMYFUNCTION("""COMPUTED_VALUE"""),"MOTILALOFS")</f>
        <v>MOTILALOFS</v>
      </c>
      <c r="D219" s="6" t="str">
        <f>IFERROR(__xludf.DUMMYFUNCTION("""COMPUTED_VALUE"""),"MOTILAL OSWAL FINANCIAL SERVICES LTD.")</f>
        <v>MOTILAL OSWAL FINANCIAL SERVICES LTD.</v>
      </c>
      <c r="E219" s="6" t="str">
        <f>IFERROR(__xludf.DUMMYFUNCTION("""COMPUTED_VALUE"""),"Active")</f>
        <v>Active</v>
      </c>
      <c r="F219" s="6" t="str">
        <f>IFERROR(__xludf.DUMMYFUNCTION("""COMPUTED_VALUE"""),"A")</f>
        <v>A</v>
      </c>
      <c r="G219" s="6">
        <f>IFERROR(__xludf.DUMMYFUNCTION("""COMPUTED_VALUE"""),1.0)</f>
        <v>1</v>
      </c>
      <c r="H219" s="6" t="str">
        <f>IFERROR(__xludf.DUMMYFUNCTION("""COMPUTED_VALUE"""),"INE338I01027")</f>
        <v>INE338I01027</v>
      </c>
      <c r="I219" s="6" t="str">
        <f>IFERROR(__xludf.DUMMYFUNCTION("""COMPUTED_VALUE"""),"Equity")</f>
        <v>Equity</v>
      </c>
      <c r="J219" s="6" t="str">
        <f>IFERROR(__xludf.DUMMYFUNCTION("""COMPUTED_VALUE"""),"Financial Services")</f>
        <v>Financial Services</v>
      </c>
      <c r="K219" s="6" t="str">
        <f>IFERROR(__xludf.DUMMYFUNCTION("""COMPUTED_VALUE"""),"Financial Services")</f>
        <v>Financial Services</v>
      </c>
      <c r="L219" s="6" t="str">
        <f>IFERROR(__xludf.DUMMYFUNCTION("""COMPUTED_VALUE"""),"Capital Markets")</f>
        <v>Capital Markets</v>
      </c>
      <c r="M219" s="6" t="str">
        <f>IFERROR(__xludf.DUMMYFUNCTION("""COMPUTED_VALUE"""),"Stockbroking &amp; Allied")</f>
        <v>Stockbroking &amp; Allied</v>
      </c>
      <c r="N219" s="5">
        <f>IFERROR(__xludf.DUMMYFUNCTION("""COMPUTED_VALUE"""),35633.6914737)</f>
        <v>35633.69147</v>
      </c>
      <c r="O219" s="6">
        <f t="shared" si="4"/>
        <v>123</v>
      </c>
      <c r="P219" s="6">
        <f t="shared" ref="P219:Q219" si="440">COUNTIFS(L:L,L219)</f>
        <v>19</v>
      </c>
      <c r="Q219" s="24">
        <f t="shared" si="440"/>
        <v>6</v>
      </c>
      <c r="R219" s="6" t="str">
        <f t="shared" si="6"/>
        <v>Capital Markets</v>
      </c>
      <c r="S219" s="6" t="str">
        <f t="shared" si="7"/>
        <v>Capital Markets</v>
      </c>
      <c r="T219" s="6">
        <f>IFERROR(__xludf.DUMMYFUNCTION("COUNTA(UNIQUE(query($A$2:$P$800,""select L where K='""&amp; K219&amp;""'"")))"),5.0)</f>
        <v>5</v>
      </c>
      <c r="U219" s="23">
        <f t="shared" si="8"/>
        <v>0.06097560976</v>
      </c>
      <c r="V219" s="23">
        <f t="shared" ref="V219:W219" si="441">P219/O219</f>
        <v>0.1544715447</v>
      </c>
      <c r="W219" s="23">
        <f t="shared" si="441"/>
        <v>0.3157894737</v>
      </c>
    </row>
    <row r="220">
      <c r="A220" s="6">
        <f>IFERROR(__xludf.DUMMYFUNCTION("""COMPUTED_VALUE"""),513683.0)</f>
        <v>513683</v>
      </c>
      <c r="B220" s="6" t="str">
        <f>IFERROR(__xludf.DUMMYFUNCTION("""COMPUTED_VALUE"""),"NLC India Limited")</f>
        <v>NLC India Limited</v>
      </c>
      <c r="C220" s="6" t="str">
        <f>IFERROR(__xludf.DUMMYFUNCTION("""COMPUTED_VALUE"""),"NLCINDIA")</f>
        <v>NLCINDIA</v>
      </c>
      <c r="D220" s="6" t="str">
        <f>IFERROR(__xludf.DUMMYFUNCTION("""COMPUTED_VALUE"""),"NLC India Ltd")</f>
        <v>NLC India Ltd</v>
      </c>
      <c r="E220" s="6" t="str">
        <f>IFERROR(__xludf.DUMMYFUNCTION("""COMPUTED_VALUE"""),"Active")</f>
        <v>Active</v>
      </c>
      <c r="F220" s="6" t="str">
        <f>IFERROR(__xludf.DUMMYFUNCTION("""COMPUTED_VALUE"""),"A")</f>
        <v>A</v>
      </c>
      <c r="G220" s="6">
        <f>IFERROR(__xludf.DUMMYFUNCTION("""COMPUTED_VALUE"""),10.0)</f>
        <v>10</v>
      </c>
      <c r="H220" s="6" t="str">
        <f>IFERROR(__xludf.DUMMYFUNCTION("""COMPUTED_VALUE"""),"INE589A01014")</f>
        <v>INE589A01014</v>
      </c>
      <c r="I220" s="6" t="str">
        <f>IFERROR(__xludf.DUMMYFUNCTION("""COMPUTED_VALUE"""),"Equity")</f>
        <v>Equity</v>
      </c>
      <c r="J220" s="6" t="str">
        <f>IFERROR(__xludf.DUMMYFUNCTION("""COMPUTED_VALUE"""),"Utilities")</f>
        <v>Utilities</v>
      </c>
      <c r="K220" s="6" t="str">
        <f>IFERROR(__xludf.DUMMYFUNCTION("""COMPUTED_VALUE"""),"Power")</f>
        <v>Power</v>
      </c>
      <c r="L220" s="6" t="str">
        <f>IFERROR(__xludf.DUMMYFUNCTION("""COMPUTED_VALUE"""),"Power")</f>
        <v>Power</v>
      </c>
      <c r="M220" s="6" t="str">
        <f>IFERROR(__xludf.DUMMYFUNCTION("""COMPUTED_VALUE"""),"Power Generation")</f>
        <v>Power Generation</v>
      </c>
      <c r="N220" s="5">
        <f>IFERROR(__xludf.DUMMYFUNCTION("""COMPUTED_VALUE"""),35564.6435252)</f>
        <v>35564.64353</v>
      </c>
      <c r="O220" s="6">
        <f t="shared" si="4"/>
        <v>22</v>
      </c>
      <c r="P220" s="6">
        <f t="shared" ref="P220:Q220" si="442">COUNTIFS(L:L,L220)</f>
        <v>22</v>
      </c>
      <c r="Q220" s="24">
        <f t="shared" si="442"/>
        <v>13</v>
      </c>
      <c r="R220" s="6" t="str">
        <f t="shared" si="6"/>
        <v>Power</v>
      </c>
      <c r="S220" s="6" t="str">
        <f t="shared" si="7"/>
        <v>Power</v>
      </c>
      <c r="T220" s="6">
        <f>IFERROR(__xludf.DUMMYFUNCTION("COUNTA(UNIQUE(query($A$2:$P$800,""select L where K='""&amp; K220&amp;""'"")))"),1.0)</f>
        <v>1</v>
      </c>
      <c r="U220" s="23">
        <f t="shared" si="8"/>
        <v>0.06818181818</v>
      </c>
      <c r="V220" s="23">
        <f t="shared" ref="V220:W220" si="443">P220/O220</f>
        <v>1</v>
      </c>
      <c r="W220" s="23">
        <f t="shared" si="443"/>
        <v>0.5909090909</v>
      </c>
    </row>
    <row r="221">
      <c r="A221" s="6">
        <f>IFERROR(__xludf.DUMMYFUNCTION("""COMPUTED_VALUE"""),532296.0)</f>
        <v>532296</v>
      </c>
      <c r="B221" s="6" t="str">
        <f>IFERROR(__xludf.DUMMYFUNCTION("""COMPUTED_VALUE"""),"Glenmark Pharmaceuticals ltd")</f>
        <v>Glenmark Pharmaceuticals ltd</v>
      </c>
      <c r="C221" s="6" t="str">
        <f>IFERROR(__xludf.DUMMYFUNCTION("""COMPUTED_VALUE"""),"GLENMARK")</f>
        <v>GLENMARK</v>
      </c>
      <c r="D221" s="6" t="str">
        <f>IFERROR(__xludf.DUMMYFUNCTION("""COMPUTED_VALUE"""),"GLENMARK PHARMACEUTICALS LTD.")</f>
        <v>GLENMARK PHARMACEUTICALS LTD.</v>
      </c>
      <c r="E221" s="6" t="str">
        <f>IFERROR(__xludf.DUMMYFUNCTION("""COMPUTED_VALUE"""),"Active")</f>
        <v>Active</v>
      </c>
      <c r="F221" s="6" t="str">
        <f>IFERROR(__xludf.DUMMYFUNCTION("""COMPUTED_VALUE"""),"A")</f>
        <v>A</v>
      </c>
      <c r="G221" s="6">
        <f>IFERROR(__xludf.DUMMYFUNCTION("""COMPUTED_VALUE"""),1.0)</f>
        <v>1</v>
      </c>
      <c r="H221" s="6" t="str">
        <f>IFERROR(__xludf.DUMMYFUNCTION("""COMPUTED_VALUE"""),"INE935A01035")</f>
        <v>INE935A01035</v>
      </c>
      <c r="I221" s="6" t="str">
        <f>IFERROR(__xludf.DUMMYFUNCTION("""COMPUTED_VALUE"""),"Equity")</f>
        <v>Equity</v>
      </c>
      <c r="J221" s="6" t="str">
        <f>IFERROR(__xludf.DUMMYFUNCTION("""COMPUTED_VALUE"""),"Healthcare")</f>
        <v>Healthcare</v>
      </c>
      <c r="K221" s="6" t="str">
        <f>IFERROR(__xludf.DUMMYFUNCTION("""COMPUTED_VALUE"""),"Healthcare")</f>
        <v>Healthcare</v>
      </c>
      <c r="L221" s="6" t="str">
        <f>IFERROR(__xludf.DUMMYFUNCTION("""COMPUTED_VALUE"""),"Pharmaceuticals &amp; Biotechnology")</f>
        <v>Pharmaceuticals &amp; Biotechnology</v>
      </c>
      <c r="M221" s="6" t="str">
        <f>IFERROR(__xludf.DUMMYFUNCTION("""COMPUTED_VALUE"""),"Pharmaceuticals")</f>
        <v>Pharmaceuticals</v>
      </c>
      <c r="N221" s="5">
        <f>IFERROR(__xludf.DUMMYFUNCTION("""COMPUTED_VALUE"""),35093.0841952)</f>
        <v>35093.0842</v>
      </c>
      <c r="O221" s="6">
        <f t="shared" si="4"/>
        <v>62</v>
      </c>
      <c r="P221" s="6">
        <f t="shared" ref="P221:Q221" si="444">COUNTIFS(L:L,L221)</f>
        <v>45</v>
      </c>
      <c r="Q221" s="24">
        <f t="shared" si="444"/>
        <v>45</v>
      </c>
      <c r="R221" s="6" t="str">
        <f t="shared" si="6"/>
        <v>Healthcare</v>
      </c>
      <c r="S221" s="6" t="str">
        <f t="shared" si="7"/>
        <v>Healthcare</v>
      </c>
      <c r="T221" s="6">
        <f>IFERROR(__xludf.DUMMYFUNCTION("COUNTA(UNIQUE(query($A$2:$P$800,""select L where K='""&amp; K221&amp;""'"")))"),3.0)</f>
        <v>3</v>
      </c>
      <c r="U221" s="23">
        <f t="shared" si="8"/>
        <v>0.07258064516</v>
      </c>
      <c r="V221" s="23">
        <f t="shared" ref="V221:W221" si="445">P221/O221</f>
        <v>0.7258064516</v>
      </c>
      <c r="W221" s="23">
        <f t="shared" si="445"/>
        <v>1</v>
      </c>
    </row>
    <row r="222">
      <c r="A222" s="6">
        <f>IFERROR(__xludf.DUMMYFUNCTION("""COMPUTED_VALUE"""),543654.0)</f>
        <v>543654</v>
      </c>
      <c r="B222" s="6" t="str">
        <f>IFERROR(__xludf.DUMMYFUNCTION("""COMPUTED_VALUE"""),"Global Health Limited")</f>
        <v>Global Health Limited</v>
      </c>
      <c r="C222" s="6" t="str">
        <f>IFERROR(__xludf.DUMMYFUNCTION("""COMPUTED_VALUE"""),"MEDANTA")</f>
        <v>MEDANTA</v>
      </c>
      <c r="D222" s="6" t="str">
        <f>IFERROR(__xludf.DUMMYFUNCTION("""COMPUTED_VALUE"""),"Global Health Ltd")</f>
        <v>Global Health Ltd</v>
      </c>
      <c r="E222" s="6" t="str">
        <f>IFERROR(__xludf.DUMMYFUNCTION("""COMPUTED_VALUE"""),"Active")</f>
        <v>Active</v>
      </c>
      <c r="F222" s="6" t="str">
        <f>IFERROR(__xludf.DUMMYFUNCTION("""COMPUTED_VALUE"""),"A")</f>
        <v>A</v>
      </c>
      <c r="G222" s="6">
        <f>IFERROR(__xludf.DUMMYFUNCTION("""COMPUTED_VALUE"""),2.0)</f>
        <v>2</v>
      </c>
      <c r="H222" s="6" t="str">
        <f>IFERROR(__xludf.DUMMYFUNCTION("""COMPUTED_VALUE"""),"INE474Q01031")</f>
        <v>INE474Q01031</v>
      </c>
      <c r="I222" s="6" t="str">
        <f>IFERROR(__xludf.DUMMYFUNCTION("""COMPUTED_VALUE"""),"Equity")</f>
        <v>Equity</v>
      </c>
      <c r="J222" s="6" t="str">
        <f>IFERROR(__xludf.DUMMYFUNCTION("""COMPUTED_VALUE"""),"Healthcare")</f>
        <v>Healthcare</v>
      </c>
      <c r="K222" s="6" t="str">
        <f>IFERROR(__xludf.DUMMYFUNCTION("""COMPUTED_VALUE"""),"Healthcare")</f>
        <v>Healthcare</v>
      </c>
      <c r="L222" s="6" t="str">
        <f>IFERROR(__xludf.DUMMYFUNCTION("""COMPUTED_VALUE"""),"Healthcare Services")</f>
        <v>Healthcare Services</v>
      </c>
      <c r="M222" s="6" t="str">
        <f>IFERROR(__xludf.DUMMYFUNCTION("""COMPUTED_VALUE"""),"Hospital")</f>
        <v>Hospital</v>
      </c>
      <c r="N222" s="5">
        <f>IFERROR(__xludf.DUMMYFUNCTION("""COMPUTED_VALUE"""),35032.0459455)</f>
        <v>35032.04595</v>
      </c>
      <c r="O222" s="6">
        <f t="shared" si="4"/>
        <v>62</v>
      </c>
      <c r="P222" s="6">
        <f t="shared" ref="P222:Q222" si="446">COUNTIFS(L:L,L222)</f>
        <v>16</v>
      </c>
      <c r="Q222" s="24">
        <f t="shared" si="446"/>
        <v>11</v>
      </c>
      <c r="R222" s="6" t="str">
        <f t="shared" si="6"/>
        <v>Healthcare Services</v>
      </c>
      <c r="S222" s="6" t="str">
        <f t="shared" si="7"/>
        <v>Healthcare Services</v>
      </c>
      <c r="T222" s="6">
        <f>IFERROR(__xludf.DUMMYFUNCTION("COUNTA(UNIQUE(query($A$2:$P$800,""select L where K='""&amp; K222&amp;""'"")))"),3.0)</f>
        <v>3</v>
      </c>
      <c r="U222" s="23">
        <f t="shared" si="8"/>
        <v>0.07258064516</v>
      </c>
      <c r="V222" s="23">
        <f t="shared" ref="V222:W222" si="447">P222/O222</f>
        <v>0.2580645161</v>
      </c>
      <c r="W222" s="23">
        <f t="shared" si="447"/>
        <v>0.6875</v>
      </c>
    </row>
    <row r="223">
      <c r="A223" s="6">
        <f>IFERROR(__xludf.DUMMYFUNCTION("""COMPUTED_VALUE"""),532541.0)</f>
        <v>532541</v>
      </c>
      <c r="B223" s="6" t="str">
        <f>IFERROR(__xludf.DUMMYFUNCTION("""COMPUTED_VALUE"""),"COFORGE LIMITED")</f>
        <v>COFORGE LIMITED</v>
      </c>
      <c r="C223" s="6" t="str">
        <f>IFERROR(__xludf.DUMMYFUNCTION("""COMPUTED_VALUE"""),"COFORGE")</f>
        <v>COFORGE</v>
      </c>
      <c r="D223" s="6" t="str">
        <f>IFERROR(__xludf.DUMMYFUNCTION("""COMPUTED_VALUE"""),"Coforge Ltd")</f>
        <v>Coforge Ltd</v>
      </c>
      <c r="E223" s="6" t="str">
        <f>IFERROR(__xludf.DUMMYFUNCTION("""COMPUTED_VALUE"""),"Active")</f>
        <v>Active</v>
      </c>
      <c r="F223" s="6" t="str">
        <f>IFERROR(__xludf.DUMMYFUNCTION("""COMPUTED_VALUE"""),"A")</f>
        <v>A</v>
      </c>
      <c r="G223" s="6">
        <f>IFERROR(__xludf.DUMMYFUNCTION("""COMPUTED_VALUE"""),10.0)</f>
        <v>10</v>
      </c>
      <c r="H223" s="6" t="str">
        <f>IFERROR(__xludf.DUMMYFUNCTION("""COMPUTED_VALUE"""),"INE591G01017")</f>
        <v>INE591G01017</v>
      </c>
      <c r="I223" s="6" t="str">
        <f>IFERROR(__xludf.DUMMYFUNCTION("""COMPUTED_VALUE"""),"Equity")</f>
        <v>Equity</v>
      </c>
      <c r="J223" s="6" t="str">
        <f>IFERROR(__xludf.DUMMYFUNCTION("""COMPUTED_VALUE"""),"Information Technology")</f>
        <v>Information Technology</v>
      </c>
      <c r="K223" s="6" t="str">
        <f>IFERROR(__xludf.DUMMYFUNCTION("""COMPUTED_VALUE"""),"Information Technology")</f>
        <v>Information Technology</v>
      </c>
      <c r="L223" s="6" t="str">
        <f>IFERROR(__xludf.DUMMYFUNCTION("""COMPUTED_VALUE"""),"IT - Software")</f>
        <v>IT - Software</v>
      </c>
      <c r="M223" s="6" t="str">
        <f>IFERROR(__xludf.DUMMYFUNCTION("""COMPUTED_VALUE"""),"Computers - Software &amp; Consulting")</f>
        <v>Computers - Software &amp; Consulting</v>
      </c>
      <c r="N223" s="5">
        <f>IFERROR(__xludf.DUMMYFUNCTION("""COMPUTED_VALUE"""),34926.0392809)</f>
        <v>34926.03928</v>
      </c>
      <c r="O223" s="6">
        <f t="shared" si="4"/>
        <v>36</v>
      </c>
      <c r="P223" s="6">
        <f t="shared" ref="P223:Q223" si="448">COUNTIFS(L:L,L223)</f>
        <v>27</v>
      </c>
      <c r="Q223" s="24">
        <f t="shared" si="448"/>
        <v>22</v>
      </c>
      <c r="R223" s="6" t="str">
        <f t="shared" si="6"/>
        <v>Information Technology</v>
      </c>
      <c r="S223" s="6" t="str">
        <f t="shared" si="7"/>
        <v>Information Technology</v>
      </c>
      <c r="T223" s="6">
        <f>IFERROR(__xludf.DUMMYFUNCTION("COUNTA(UNIQUE(query($A$2:$P$800,""select L where K='""&amp; K223&amp;""'"")))"),3.0)</f>
        <v>3</v>
      </c>
      <c r="U223" s="23">
        <f t="shared" si="8"/>
        <v>0.125</v>
      </c>
      <c r="V223" s="23">
        <f t="shared" ref="V223:W223" si="449">P223/O223</f>
        <v>0.75</v>
      </c>
      <c r="W223" s="23">
        <f t="shared" si="449"/>
        <v>0.8148148148</v>
      </c>
    </row>
    <row r="224">
      <c r="A224" s="6">
        <f>IFERROR(__xludf.DUMMYFUNCTION("""COMPUTED_VALUE"""),532514.0)</f>
        <v>532514</v>
      </c>
      <c r="B224" s="6" t="str">
        <f>IFERROR(__xludf.DUMMYFUNCTION("""COMPUTED_VALUE"""),"Indraprashtha Gas Ltd.")</f>
        <v>Indraprashtha Gas Ltd.</v>
      </c>
      <c r="C224" s="6" t="str">
        <f>IFERROR(__xludf.DUMMYFUNCTION("""COMPUTED_VALUE"""),"IGL")</f>
        <v>IGL</v>
      </c>
      <c r="D224" s="6" t="str">
        <f>IFERROR(__xludf.DUMMYFUNCTION("""COMPUTED_VALUE"""),"INDRAPRASTHA GAS LTD.")</f>
        <v>INDRAPRASTHA GAS LTD.</v>
      </c>
      <c r="E224" s="6" t="str">
        <f>IFERROR(__xludf.DUMMYFUNCTION("""COMPUTED_VALUE"""),"Active")</f>
        <v>Active</v>
      </c>
      <c r="F224" s="6" t="str">
        <f>IFERROR(__xludf.DUMMYFUNCTION("""COMPUTED_VALUE"""),"A")</f>
        <v>A</v>
      </c>
      <c r="G224" s="6">
        <f>IFERROR(__xludf.DUMMYFUNCTION("""COMPUTED_VALUE"""),2.0)</f>
        <v>2</v>
      </c>
      <c r="H224" s="6" t="str">
        <f>IFERROR(__xludf.DUMMYFUNCTION("""COMPUTED_VALUE"""),"INE203G01027")</f>
        <v>INE203G01027</v>
      </c>
      <c r="I224" s="6" t="str">
        <f>IFERROR(__xludf.DUMMYFUNCTION("""COMPUTED_VALUE"""),"Equity")</f>
        <v>Equity</v>
      </c>
      <c r="J224" s="6" t="str">
        <f>IFERROR(__xludf.DUMMYFUNCTION("""COMPUTED_VALUE"""),"Energy")</f>
        <v>Energy</v>
      </c>
      <c r="K224" s="6" t="str">
        <f>IFERROR(__xludf.DUMMYFUNCTION("""COMPUTED_VALUE"""),"Oil, Gas &amp; Consumable, Fuels")</f>
        <v>Oil, Gas &amp; Consumable, Fuels</v>
      </c>
      <c r="L224" s="6" t="str">
        <f>IFERROR(__xludf.DUMMYFUNCTION("""COMPUTED_VALUE"""),"Gas")</f>
        <v>Gas</v>
      </c>
      <c r="M224" s="6" t="str">
        <f>IFERROR(__xludf.DUMMYFUNCTION("""COMPUTED_VALUE"""),"LPG/CNG/PNG/LNG Supplier")</f>
        <v>LPG/CNG/PNG/LNG Supplier</v>
      </c>
      <c r="N224" s="5">
        <f>IFERROR(__xludf.DUMMYFUNCTION("""COMPUTED_VALUE"""),34913.0991825)</f>
        <v>34913.09918</v>
      </c>
      <c r="O224" s="6">
        <f t="shared" si="4"/>
        <v>20</v>
      </c>
      <c r="P224" s="6">
        <f t="shared" ref="P224:Q224" si="450">COUNTIFS(L:L,L224)</f>
        <v>8</v>
      </c>
      <c r="Q224" s="24">
        <f t="shared" si="450"/>
        <v>5</v>
      </c>
      <c r="R224" s="6" t="str">
        <f t="shared" si="6"/>
        <v>Oil, Gas &amp; Consumable, Fuels</v>
      </c>
      <c r="S224" s="6" t="str">
        <f t="shared" si="7"/>
        <v>Oil, Gas &amp; Consumable, Fuels</v>
      </c>
      <c r="T224" s="6">
        <f>IFERROR(__xludf.DUMMYFUNCTION("COUNTA(UNIQUE(query($A$2:$P$800,""select L where K='""&amp; K224&amp;""'"")))"),4.0)</f>
        <v>4</v>
      </c>
      <c r="U224" s="23">
        <f t="shared" si="8"/>
        <v>0.3</v>
      </c>
      <c r="V224" s="23">
        <f t="shared" ref="V224:W224" si="451">P224/O224</f>
        <v>0.4</v>
      </c>
      <c r="W224" s="23">
        <f t="shared" si="451"/>
        <v>0.625</v>
      </c>
    </row>
    <row r="225">
      <c r="A225" s="6">
        <f>IFERROR(__xludf.DUMMYFUNCTION("""COMPUTED_VALUE"""),506401.0)</f>
        <v>506401</v>
      </c>
      <c r="B225" s="6" t="str">
        <f>IFERROR(__xludf.DUMMYFUNCTION("""COMPUTED_VALUE"""),"Deepak Nitrite Limited")</f>
        <v>Deepak Nitrite Limited</v>
      </c>
      <c r="C225" s="6" t="str">
        <f>IFERROR(__xludf.DUMMYFUNCTION("""COMPUTED_VALUE"""),"DEEPAKNTR")</f>
        <v>DEEPAKNTR</v>
      </c>
      <c r="D225" s="6" t="str">
        <f>IFERROR(__xludf.DUMMYFUNCTION("""COMPUTED_VALUE"""),"DEEPAK NITRITE LTD.-$")</f>
        <v>DEEPAK NITRITE LTD.-$</v>
      </c>
      <c r="E225" s="6" t="str">
        <f>IFERROR(__xludf.DUMMYFUNCTION("""COMPUTED_VALUE"""),"Active")</f>
        <v>Active</v>
      </c>
      <c r="F225" s="6" t="str">
        <f>IFERROR(__xludf.DUMMYFUNCTION("""COMPUTED_VALUE"""),"A")</f>
        <v>A</v>
      </c>
      <c r="G225" s="6">
        <f>IFERROR(__xludf.DUMMYFUNCTION("""COMPUTED_VALUE"""),2.0)</f>
        <v>2</v>
      </c>
      <c r="H225" s="6" t="str">
        <f>IFERROR(__xludf.DUMMYFUNCTION("""COMPUTED_VALUE"""),"INE288B01029")</f>
        <v>INE288B01029</v>
      </c>
      <c r="I225" s="6" t="str">
        <f>IFERROR(__xludf.DUMMYFUNCTION("""COMPUTED_VALUE"""),"Equity")</f>
        <v>Equity</v>
      </c>
      <c r="J225" s="6" t="str">
        <f>IFERROR(__xludf.DUMMYFUNCTION("""COMPUTED_VALUE"""),"Commodities")</f>
        <v>Commodities</v>
      </c>
      <c r="K225" s="6" t="str">
        <f>IFERROR(__xludf.DUMMYFUNCTION("""COMPUTED_VALUE"""),"Chemicals")</f>
        <v>Chemicals</v>
      </c>
      <c r="L225" s="6" t="str">
        <f>IFERROR(__xludf.DUMMYFUNCTION("""COMPUTED_VALUE"""),"Chemicals &amp; Petrochemicals")</f>
        <v>Chemicals &amp; Petrochemicals</v>
      </c>
      <c r="M225" s="6" t="str">
        <f>IFERROR(__xludf.DUMMYFUNCTION("""COMPUTED_VALUE"""),"Specialty Chemicals")</f>
        <v>Specialty Chemicals</v>
      </c>
      <c r="N225" s="5">
        <f>IFERROR(__xludf.DUMMYFUNCTION("""COMPUTED_VALUE"""),34850.1416458)</f>
        <v>34850.14165</v>
      </c>
      <c r="O225" s="6">
        <f t="shared" si="4"/>
        <v>52</v>
      </c>
      <c r="P225" s="6">
        <f t="shared" ref="P225:Q225" si="452">COUNTIFS(L:L,L225)</f>
        <v>37</v>
      </c>
      <c r="Q225" s="24">
        <f t="shared" si="452"/>
        <v>25</v>
      </c>
      <c r="R225" s="6" t="str">
        <f t="shared" si="6"/>
        <v>Chemicals</v>
      </c>
      <c r="S225" s="6" t="str">
        <f t="shared" si="7"/>
        <v>Chemicals</v>
      </c>
      <c r="T225" s="6">
        <f>IFERROR(__xludf.DUMMYFUNCTION("COUNTA(UNIQUE(query($A$2:$P$800,""select L where K='""&amp; K225&amp;""'"")))"),2.0)</f>
        <v>2</v>
      </c>
      <c r="U225" s="23">
        <f t="shared" si="8"/>
        <v>0.05769230769</v>
      </c>
      <c r="V225" s="23">
        <f t="shared" ref="V225:W225" si="453">P225/O225</f>
        <v>0.7115384615</v>
      </c>
      <c r="W225" s="23">
        <f t="shared" si="453"/>
        <v>0.6756756757</v>
      </c>
    </row>
    <row r="226">
      <c r="A226" s="6">
        <f>IFERROR(__xludf.DUMMYFUNCTION("""COMPUTED_VALUE"""),542812.0)</f>
        <v>542812</v>
      </c>
      <c r="B226" s="6" t="str">
        <f>IFERROR(__xludf.DUMMYFUNCTION("""COMPUTED_VALUE"""),"Gujarat Fluorochemicals Limited")</f>
        <v>Gujarat Fluorochemicals Limited</v>
      </c>
      <c r="C226" s="6" t="str">
        <f>IFERROR(__xludf.DUMMYFUNCTION("""COMPUTED_VALUE"""),"FLUOROCHEM")</f>
        <v>FLUOROCHEM</v>
      </c>
      <c r="D226" s="6" t="str">
        <f>IFERROR(__xludf.DUMMYFUNCTION("""COMPUTED_VALUE"""),"Gujarat Fluorochemicals Ltd")</f>
        <v>Gujarat Fluorochemicals Ltd</v>
      </c>
      <c r="E226" s="6" t="str">
        <f>IFERROR(__xludf.DUMMYFUNCTION("""COMPUTED_VALUE"""),"Active")</f>
        <v>Active</v>
      </c>
      <c r="F226" s="6" t="str">
        <f>IFERROR(__xludf.DUMMYFUNCTION("""COMPUTED_VALUE"""),"A")</f>
        <v>A</v>
      </c>
      <c r="G226" s="6">
        <f>IFERROR(__xludf.DUMMYFUNCTION("""COMPUTED_VALUE"""),1.0)</f>
        <v>1</v>
      </c>
      <c r="H226" s="6" t="str">
        <f>IFERROR(__xludf.DUMMYFUNCTION("""COMPUTED_VALUE"""),"INE09N301011")</f>
        <v>INE09N301011</v>
      </c>
      <c r="I226" s="6" t="str">
        <f>IFERROR(__xludf.DUMMYFUNCTION("""COMPUTED_VALUE"""),"Equity")</f>
        <v>Equity</v>
      </c>
      <c r="J226" s="6" t="str">
        <f>IFERROR(__xludf.DUMMYFUNCTION("""COMPUTED_VALUE"""),"Commodities")</f>
        <v>Commodities</v>
      </c>
      <c r="K226" s="6" t="str">
        <f>IFERROR(__xludf.DUMMYFUNCTION("""COMPUTED_VALUE"""),"Chemicals")</f>
        <v>Chemicals</v>
      </c>
      <c r="L226" s="6" t="str">
        <f>IFERROR(__xludf.DUMMYFUNCTION("""COMPUTED_VALUE"""),"Chemicals &amp; Petrochemicals")</f>
        <v>Chemicals &amp; Petrochemicals</v>
      </c>
      <c r="M226" s="6" t="str">
        <f>IFERROR(__xludf.DUMMYFUNCTION("""COMPUTED_VALUE"""),"Specialty Chemicals")</f>
        <v>Specialty Chemicals</v>
      </c>
      <c r="N226" s="5">
        <f>IFERROR(__xludf.DUMMYFUNCTION("""COMPUTED_VALUE"""),34763.008325)</f>
        <v>34763.00833</v>
      </c>
      <c r="O226" s="6">
        <f t="shared" si="4"/>
        <v>52</v>
      </c>
      <c r="P226" s="6">
        <f t="shared" ref="P226:Q226" si="454">COUNTIFS(L:L,L226)</f>
        <v>37</v>
      </c>
      <c r="Q226" s="24">
        <f t="shared" si="454"/>
        <v>25</v>
      </c>
      <c r="R226" s="6" t="str">
        <f t="shared" si="6"/>
        <v>Chemicals</v>
      </c>
      <c r="S226" s="6" t="str">
        <f t="shared" si="7"/>
        <v>Chemicals</v>
      </c>
      <c r="T226" s="6">
        <f>IFERROR(__xludf.DUMMYFUNCTION("COUNTA(UNIQUE(query($A$2:$P$800,""select L where K='""&amp; K226&amp;""'"")))"),2.0)</f>
        <v>2</v>
      </c>
      <c r="U226" s="23">
        <f t="shared" si="8"/>
        <v>0.05769230769</v>
      </c>
      <c r="V226" s="23">
        <f t="shared" ref="V226:W226" si="455">P226/O226</f>
        <v>0.7115384615</v>
      </c>
      <c r="W226" s="23">
        <f t="shared" si="455"/>
        <v>0.6756756757</v>
      </c>
    </row>
    <row r="227">
      <c r="A227" s="6">
        <f>IFERROR(__xludf.DUMMYFUNCTION("""COMPUTED_VALUE"""),532234.0)</f>
        <v>532234</v>
      </c>
      <c r="B227" s="6" t="str">
        <f>IFERROR(__xludf.DUMMYFUNCTION("""COMPUTED_VALUE"""),"National Aluminium Co. Ltd.")</f>
        <v>National Aluminium Co. Ltd.</v>
      </c>
      <c r="C227" s="6" t="str">
        <f>IFERROR(__xludf.DUMMYFUNCTION("""COMPUTED_VALUE"""),"NATIONALUM")</f>
        <v>NATIONALUM</v>
      </c>
      <c r="D227" s="6" t="str">
        <f>IFERROR(__xludf.DUMMYFUNCTION("""COMPUTED_VALUE"""),"NATIONAL ALUMINIUM CO.LTD.")</f>
        <v>NATIONAL ALUMINIUM CO.LTD.</v>
      </c>
      <c r="E227" s="6" t="str">
        <f>IFERROR(__xludf.DUMMYFUNCTION("""COMPUTED_VALUE"""),"Active")</f>
        <v>Active</v>
      </c>
      <c r="F227" s="6" t="str">
        <f>IFERROR(__xludf.DUMMYFUNCTION("""COMPUTED_VALUE"""),"A")</f>
        <v>A</v>
      </c>
      <c r="G227" s="6">
        <f>IFERROR(__xludf.DUMMYFUNCTION("""COMPUTED_VALUE"""),5.0)</f>
        <v>5</v>
      </c>
      <c r="H227" s="6" t="str">
        <f>IFERROR(__xludf.DUMMYFUNCTION("""COMPUTED_VALUE"""),"INE139A01034")</f>
        <v>INE139A01034</v>
      </c>
      <c r="I227" s="6" t="str">
        <f>IFERROR(__xludf.DUMMYFUNCTION("""COMPUTED_VALUE"""),"Equity")</f>
        <v>Equity</v>
      </c>
      <c r="J227" s="6" t="str">
        <f>IFERROR(__xludf.DUMMYFUNCTION("""COMPUTED_VALUE"""),"Commodities")</f>
        <v>Commodities</v>
      </c>
      <c r="K227" s="6" t="str">
        <f>IFERROR(__xludf.DUMMYFUNCTION("""COMPUTED_VALUE"""),"Metals &amp; Mining")</f>
        <v>Metals &amp; Mining</v>
      </c>
      <c r="L227" s="6" t="str">
        <f>IFERROR(__xludf.DUMMYFUNCTION("""COMPUTED_VALUE"""),"Non - Ferrous Metals")</f>
        <v>Non - Ferrous Metals</v>
      </c>
      <c r="M227" s="6" t="str">
        <f>IFERROR(__xludf.DUMMYFUNCTION("""COMPUTED_VALUE"""),"Aluminium")</f>
        <v>Aluminium</v>
      </c>
      <c r="N227" s="5">
        <f>IFERROR(__xludf.DUMMYFUNCTION("""COMPUTED_VALUE"""),34650.8035137)</f>
        <v>34650.80351</v>
      </c>
      <c r="O227" s="6">
        <f t="shared" si="4"/>
        <v>20</v>
      </c>
      <c r="P227" s="6">
        <f t="shared" ref="P227:Q227" si="456">COUNTIFS(L:L,L227)</f>
        <v>4</v>
      </c>
      <c r="Q227" s="24">
        <f t="shared" si="456"/>
        <v>2</v>
      </c>
      <c r="R227" s="6" t="str">
        <f t="shared" si="6"/>
        <v>Metals &amp; Mining</v>
      </c>
      <c r="S227" s="6" t="str">
        <f t="shared" si="7"/>
        <v>Metals &amp; Mining</v>
      </c>
      <c r="T227" s="6">
        <f>IFERROR(__xludf.DUMMYFUNCTION("COUNTA(UNIQUE(query($A$2:$P$800,""select L where K='""&amp; K227&amp;""'"")))"),5.0)</f>
        <v>5</v>
      </c>
      <c r="U227" s="23">
        <f t="shared" si="8"/>
        <v>0.375</v>
      </c>
      <c r="V227" s="23">
        <f t="shared" ref="V227:W227" si="457">P227/O227</f>
        <v>0.2</v>
      </c>
      <c r="W227" s="23">
        <f t="shared" si="457"/>
        <v>0.5</v>
      </c>
    </row>
    <row r="228">
      <c r="A228" s="6">
        <f>IFERROR(__xludf.DUMMYFUNCTION("""COMPUTED_VALUE"""),532259.0)</f>
        <v>532259</v>
      </c>
      <c r="B228" s="6" t="str">
        <f>IFERROR(__xludf.DUMMYFUNCTION("""COMPUTED_VALUE"""),"Apar Industries Ltd")</f>
        <v>Apar Industries Ltd</v>
      </c>
      <c r="C228" s="6" t="str">
        <f>IFERROR(__xludf.DUMMYFUNCTION("""COMPUTED_VALUE"""),"APARINDS")</f>
        <v>APARINDS</v>
      </c>
      <c r="D228" s="6" t="str">
        <f>IFERROR(__xludf.DUMMYFUNCTION("""COMPUTED_VALUE"""),"APAR INDUSTRIES LTD.")</f>
        <v>APAR INDUSTRIES LTD.</v>
      </c>
      <c r="E228" s="6" t="str">
        <f>IFERROR(__xludf.DUMMYFUNCTION("""COMPUTED_VALUE"""),"Active")</f>
        <v>Active</v>
      </c>
      <c r="F228" s="6" t="str">
        <f>IFERROR(__xludf.DUMMYFUNCTION("""COMPUTED_VALUE"""),"A")</f>
        <v>A</v>
      </c>
      <c r="G228" s="6">
        <f>IFERROR(__xludf.DUMMYFUNCTION("""COMPUTED_VALUE"""),10.0)</f>
        <v>10</v>
      </c>
      <c r="H228" s="6" t="str">
        <f>IFERROR(__xludf.DUMMYFUNCTION("""COMPUTED_VALUE"""),"INE372A01015")</f>
        <v>INE372A01015</v>
      </c>
      <c r="I228" s="6" t="str">
        <f>IFERROR(__xludf.DUMMYFUNCTION("""COMPUTED_VALUE"""),"Equity")</f>
        <v>Equity</v>
      </c>
      <c r="J228" s="6" t="str">
        <f>IFERROR(__xludf.DUMMYFUNCTION("""COMPUTED_VALUE"""),"Industrials")</f>
        <v>Industrials</v>
      </c>
      <c r="K228" s="6" t="str">
        <f>IFERROR(__xludf.DUMMYFUNCTION("""COMPUTED_VALUE"""),"Capital Goods")</f>
        <v>Capital Goods</v>
      </c>
      <c r="L228" s="6" t="str">
        <f>IFERROR(__xludf.DUMMYFUNCTION("""COMPUTED_VALUE"""),"Electrical Equipment")</f>
        <v>Electrical Equipment</v>
      </c>
      <c r="M228" s="6" t="str">
        <f>IFERROR(__xludf.DUMMYFUNCTION("""COMPUTED_VALUE"""),"Other Electrical Equipment")</f>
        <v>Other Electrical Equipment</v>
      </c>
      <c r="N228" s="5">
        <f>IFERROR(__xludf.DUMMYFUNCTION("""COMPUTED_VALUE"""),34426.919466)</f>
        <v>34426.91947</v>
      </c>
      <c r="O228" s="6">
        <f t="shared" si="4"/>
        <v>110</v>
      </c>
      <c r="P228" s="6">
        <f t="shared" ref="P228:Q228" si="458">COUNTIFS(L:L,L228)</f>
        <v>22</v>
      </c>
      <c r="Q228" s="24">
        <f t="shared" si="458"/>
        <v>5</v>
      </c>
      <c r="R228" s="6" t="str">
        <f t="shared" si="6"/>
        <v>Electrical Equipment</v>
      </c>
      <c r="S228" s="6" t="str">
        <f t="shared" si="7"/>
        <v>Electrical Equipment</v>
      </c>
      <c r="T228" s="6">
        <f>IFERROR(__xludf.DUMMYFUNCTION("COUNTA(UNIQUE(query($A$2:$P$800,""select L where K='""&amp; K228&amp;""'"")))"),5.0)</f>
        <v>5</v>
      </c>
      <c r="U228" s="23">
        <f t="shared" si="8"/>
        <v>0.06818181818</v>
      </c>
      <c r="V228" s="23">
        <f t="shared" ref="V228:W228" si="459">P228/O228</f>
        <v>0.2</v>
      </c>
      <c r="W228" s="23">
        <f t="shared" si="459"/>
        <v>0.2272727273</v>
      </c>
    </row>
    <row r="229">
      <c r="A229" s="6">
        <f>IFERROR(__xludf.DUMMYFUNCTION("""COMPUTED_VALUE"""),542216.0)</f>
        <v>542216</v>
      </c>
      <c r="B229" s="6" t="str">
        <f>IFERROR(__xludf.DUMMYFUNCTION("""COMPUTED_VALUE"""),"DALMIA BHARAT LIMITED")</f>
        <v>DALMIA BHARAT LIMITED</v>
      </c>
      <c r="C229" s="6" t="str">
        <f>IFERROR(__xludf.DUMMYFUNCTION("""COMPUTED_VALUE"""),"DALBHARAT")</f>
        <v>DALBHARAT</v>
      </c>
      <c r="D229" s="6" t="str">
        <f>IFERROR(__xludf.DUMMYFUNCTION("""COMPUTED_VALUE"""),"Dalmia Bharat Ltd")</f>
        <v>Dalmia Bharat Ltd</v>
      </c>
      <c r="E229" s="6" t="str">
        <f>IFERROR(__xludf.DUMMYFUNCTION("""COMPUTED_VALUE"""),"Active")</f>
        <v>Active</v>
      </c>
      <c r="F229" s="6" t="str">
        <f>IFERROR(__xludf.DUMMYFUNCTION("""COMPUTED_VALUE"""),"A")</f>
        <v>A</v>
      </c>
      <c r="G229" s="6">
        <f>IFERROR(__xludf.DUMMYFUNCTION("""COMPUTED_VALUE"""),2.0)</f>
        <v>2</v>
      </c>
      <c r="H229" s="6" t="str">
        <f>IFERROR(__xludf.DUMMYFUNCTION("""COMPUTED_VALUE"""),"INE00R701025")</f>
        <v>INE00R701025</v>
      </c>
      <c r="I229" s="6" t="str">
        <f>IFERROR(__xludf.DUMMYFUNCTION("""COMPUTED_VALUE"""),"Equity")</f>
        <v>Equity</v>
      </c>
      <c r="J229" s="6" t="str">
        <f>IFERROR(__xludf.DUMMYFUNCTION("""COMPUTED_VALUE"""),"Commodities")</f>
        <v>Commodities</v>
      </c>
      <c r="K229" s="6" t="str">
        <f>IFERROR(__xludf.DUMMYFUNCTION("""COMPUTED_VALUE"""),"Construction Materials")</f>
        <v>Construction Materials</v>
      </c>
      <c r="L229" s="6" t="str">
        <f>IFERROR(__xludf.DUMMYFUNCTION("""COMPUTED_VALUE"""),"Cement &amp; Cement Products")</f>
        <v>Cement &amp; Cement Products</v>
      </c>
      <c r="M229" s="6" t="str">
        <f>IFERROR(__xludf.DUMMYFUNCTION("""COMPUTED_VALUE"""),"Cement &amp; Cement Products")</f>
        <v>Cement &amp; Cement Products</v>
      </c>
      <c r="N229" s="5">
        <f>IFERROR(__xludf.DUMMYFUNCTION("""COMPUTED_VALUE"""),33671.61468)</f>
        <v>33671.61468</v>
      </c>
      <c r="O229" s="6">
        <f t="shared" si="4"/>
        <v>17</v>
      </c>
      <c r="P229" s="6">
        <f t="shared" ref="P229:Q229" si="460">COUNTIFS(L:L,L229)</f>
        <v>17</v>
      </c>
      <c r="Q229" s="24">
        <f t="shared" si="460"/>
        <v>17</v>
      </c>
      <c r="R229" s="6" t="str">
        <f t="shared" si="6"/>
        <v>Construction Materials</v>
      </c>
      <c r="S229" s="6" t="str">
        <f t="shared" si="7"/>
        <v>Construction Materials</v>
      </c>
      <c r="T229" s="6">
        <f>IFERROR(__xludf.DUMMYFUNCTION("COUNTA(UNIQUE(query($A$2:$P$800,""select L where K='""&amp; K229&amp;""'"")))"),1.0)</f>
        <v>1</v>
      </c>
      <c r="U229" s="23">
        <f t="shared" si="8"/>
        <v>0.08823529412</v>
      </c>
      <c r="V229" s="23">
        <f t="shared" ref="V229:W229" si="461">P229/O229</f>
        <v>1</v>
      </c>
      <c r="W229" s="23">
        <f t="shared" si="461"/>
        <v>1</v>
      </c>
    </row>
    <row r="230">
      <c r="A230" s="6">
        <f>IFERROR(__xludf.DUMMYFUNCTION("""COMPUTED_VALUE"""),500877.0)</f>
        <v>500877</v>
      </c>
      <c r="B230" s="6" t="str">
        <f>IFERROR(__xludf.DUMMYFUNCTION("""COMPUTED_VALUE"""),"Apollo Tyres Ltd")</f>
        <v>Apollo Tyres Ltd</v>
      </c>
      <c r="C230" s="6" t="str">
        <f>IFERROR(__xludf.DUMMYFUNCTION("""COMPUTED_VALUE"""),"APOLLOTYRE")</f>
        <v>APOLLOTYRE</v>
      </c>
      <c r="D230" s="6" t="str">
        <f>IFERROR(__xludf.DUMMYFUNCTION("""COMPUTED_VALUE"""),"APOLLO TYRES LTD.")</f>
        <v>APOLLO TYRES LTD.</v>
      </c>
      <c r="E230" s="6" t="str">
        <f>IFERROR(__xludf.DUMMYFUNCTION("""COMPUTED_VALUE"""),"Active")</f>
        <v>Active</v>
      </c>
      <c r="F230" s="6" t="str">
        <f>IFERROR(__xludf.DUMMYFUNCTION("""COMPUTED_VALUE"""),"A")</f>
        <v>A</v>
      </c>
      <c r="G230" s="6">
        <f>IFERROR(__xludf.DUMMYFUNCTION("""COMPUTED_VALUE"""),1.0)</f>
        <v>1</v>
      </c>
      <c r="H230" s="6" t="str">
        <f>IFERROR(__xludf.DUMMYFUNCTION("""COMPUTED_VALUE"""),"INE438A01022")</f>
        <v>INE438A01022</v>
      </c>
      <c r="I230" s="6" t="str">
        <f>IFERROR(__xludf.DUMMYFUNCTION("""COMPUTED_VALUE"""),"Equity")</f>
        <v>Equity</v>
      </c>
      <c r="J230" s="6" t="str">
        <f>IFERROR(__xludf.DUMMYFUNCTION("""COMPUTED_VALUE"""),"Consumer Discretionary")</f>
        <v>Consumer Discretionary</v>
      </c>
      <c r="K230" s="6" t="str">
        <f>IFERROR(__xludf.DUMMYFUNCTION("""COMPUTED_VALUE"""),"Automobile and Auto Components")</f>
        <v>Automobile and Auto Components</v>
      </c>
      <c r="L230" s="6" t="str">
        <f>IFERROR(__xludf.DUMMYFUNCTION("""COMPUTED_VALUE"""),"Auto Components")</f>
        <v>Auto Components</v>
      </c>
      <c r="M230" s="6" t="str">
        <f>IFERROR(__xludf.DUMMYFUNCTION("""COMPUTED_VALUE"""),"Tyres &amp; Rubber Products")</f>
        <v>Tyres &amp; Rubber Products</v>
      </c>
      <c r="N230" s="5">
        <f>IFERROR(__xludf.DUMMYFUNCTION("""COMPUTED_VALUE"""),33602.84109)</f>
        <v>33602.84109</v>
      </c>
      <c r="O230" s="6">
        <f t="shared" si="4"/>
        <v>47</v>
      </c>
      <c r="P230" s="6">
        <f t="shared" ref="P230:Q230" si="462">COUNTIFS(L:L,L230)</f>
        <v>37</v>
      </c>
      <c r="Q230" s="24">
        <f t="shared" si="462"/>
        <v>5</v>
      </c>
      <c r="R230" s="6" t="str">
        <f t="shared" si="6"/>
        <v>Automobile and Auto Components</v>
      </c>
      <c r="S230" s="6" t="str">
        <f t="shared" si="7"/>
        <v>Automobile and Auto Components</v>
      </c>
      <c r="T230" s="6">
        <f>IFERROR(__xludf.DUMMYFUNCTION("COUNTA(UNIQUE(query($A$2:$P$800,""select L where K='""&amp; K230&amp;""'"")))"),2.0)</f>
        <v>2</v>
      </c>
      <c r="U230" s="23">
        <f t="shared" si="8"/>
        <v>0.06382978723</v>
      </c>
      <c r="V230" s="23">
        <f t="shared" ref="V230:W230" si="463">P230/O230</f>
        <v>0.7872340426</v>
      </c>
      <c r="W230" s="23">
        <f t="shared" si="463"/>
        <v>0.1351351351</v>
      </c>
    </row>
    <row r="231">
      <c r="A231" s="6" t="str">
        <f>IFERROR(__xludf.DUMMYFUNCTION("""COMPUTED_VALUE"""),"BSE")</f>
        <v>BSE</v>
      </c>
      <c r="B231" s="6" t="str">
        <f>IFERROR(__xludf.DUMMYFUNCTION("""COMPUTED_VALUE"""),"BSE")</f>
        <v>BSE</v>
      </c>
      <c r="C231" s="6" t="str">
        <f>IFERROR(__xludf.DUMMYFUNCTION("""COMPUTED_VALUE"""),"BSE")</f>
        <v>BSE</v>
      </c>
      <c r="D231" s="6" t="str">
        <f>IFERROR(__xludf.DUMMYFUNCTION("""COMPUTED_VALUE"""),"BSE")</f>
        <v>BSE</v>
      </c>
      <c r="E231" s="6" t="str">
        <f>IFERROR(__xludf.DUMMYFUNCTION("""COMPUTED_VALUE"""),"Active")</f>
        <v>Active</v>
      </c>
      <c r="F231" s="6"/>
      <c r="G231" s="6"/>
      <c r="H231" s="6" t="str">
        <f>IFERROR(__xludf.DUMMYFUNCTION("""COMPUTED_VALUE"""),"INE118H01025")</f>
        <v>INE118H01025</v>
      </c>
      <c r="I231" s="6" t="str">
        <f>IFERROR(__xludf.DUMMYFUNCTION("""COMPUTED_VALUE"""),"Equity")</f>
        <v>Equity</v>
      </c>
      <c r="J231" s="6" t="str">
        <f>IFERROR(__xludf.DUMMYFUNCTION("""COMPUTED_VALUE"""),"Financial Services")</f>
        <v>Financial Services</v>
      </c>
      <c r="K231" s="6" t="str">
        <f>IFERROR(__xludf.DUMMYFUNCTION("""COMPUTED_VALUE"""),"Financial Services")</f>
        <v>Financial Services</v>
      </c>
      <c r="L231" s="6" t="str">
        <f>IFERROR(__xludf.DUMMYFUNCTION("""COMPUTED_VALUE"""),"Capital Markets")</f>
        <v>Capital Markets</v>
      </c>
      <c r="M231" s="6" t="str">
        <f>IFERROR(__xludf.DUMMYFUNCTION("""COMPUTED_VALUE"""),"Exchange and Data Platform")</f>
        <v>Exchange and Data Platform</v>
      </c>
      <c r="N231" s="5">
        <f>IFERROR(__xludf.DUMMYFUNCTION("""COMPUTED_VALUE"""),33542.2813983)</f>
        <v>33542.2814</v>
      </c>
      <c r="O231" s="6">
        <f t="shared" si="4"/>
        <v>123</v>
      </c>
      <c r="P231" s="6">
        <f t="shared" ref="P231:Q231" si="464">COUNTIFS(L:L,L231)</f>
        <v>19</v>
      </c>
      <c r="Q231" s="24">
        <f t="shared" si="464"/>
        <v>3</v>
      </c>
      <c r="R231" s="6" t="str">
        <f t="shared" si="6"/>
        <v>Capital Markets</v>
      </c>
      <c r="S231" s="6" t="str">
        <f t="shared" si="7"/>
        <v>Capital Markets</v>
      </c>
      <c r="T231" s="6">
        <f>IFERROR(__xludf.DUMMYFUNCTION("COUNTA(UNIQUE(query($A$2:$P$800,""select L where K='""&amp; K231&amp;""'"")))"),5.0)</f>
        <v>5</v>
      </c>
      <c r="U231" s="23">
        <f t="shared" si="8"/>
        <v>0.06097560976</v>
      </c>
      <c r="V231" s="23">
        <f t="shared" ref="V231:W231" si="465">P231/O231</f>
        <v>0.1544715447</v>
      </c>
      <c r="W231" s="23">
        <f t="shared" si="465"/>
        <v>0.1578947368</v>
      </c>
    </row>
    <row r="232">
      <c r="A232" s="6">
        <f>IFERROR(__xludf.DUMMYFUNCTION("""COMPUTED_VALUE"""),543426.0)</f>
        <v>543426</v>
      </c>
      <c r="B232" s="6" t="str">
        <f>IFERROR(__xludf.DUMMYFUNCTION("""COMPUTED_VALUE"""),"Metro Brands Limited")</f>
        <v>Metro Brands Limited</v>
      </c>
      <c r="C232" s="6" t="str">
        <f>IFERROR(__xludf.DUMMYFUNCTION("""COMPUTED_VALUE"""),"METROBRAND")</f>
        <v>METROBRAND</v>
      </c>
      <c r="D232" s="6" t="str">
        <f>IFERROR(__xludf.DUMMYFUNCTION("""COMPUTED_VALUE"""),"Metro Brands Ltd")</f>
        <v>Metro Brands Ltd</v>
      </c>
      <c r="E232" s="6" t="str">
        <f>IFERROR(__xludf.DUMMYFUNCTION("""COMPUTED_VALUE"""),"Active")</f>
        <v>Active</v>
      </c>
      <c r="F232" s="6" t="str">
        <f>IFERROR(__xludf.DUMMYFUNCTION("""COMPUTED_VALUE"""),"A")</f>
        <v>A</v>
      </c>
      <c r="G232" s="6">
        <f>IFERROR(__xludf.DUMMYFUNCTION("""COMPUTED_VALUE"""),5.0)</f>
        <v>5</v>
      </c>
      <c r="H232" s="6" t="str">
        <f>IFERROR(__xludf.DUMMYFUNCTION("""COMPUTED_VALUE"""),"INE317I01021")</f>
        <v>INE317I01021</v>
      </c>
      <c r="I232" s="6" t="str">
        <f>IFERROR(__xludf.DUMMYFUNCTION("""COMPUTED_VALUE"""),"Equity")</f>
        <v>Equity</v>
      </c>
      <c r="J232" s="6" t="str">
        <f>IFERROR(__xludf.DUMMYFUNCTION("""COMPUTED_VALUE"""),"Consumer Discretionary")</f>
        <v>Consumer Discretionary</v>
      </c>
      <c r="K232" s="6" t="str">
        <f>IFERROR(__xludf.DUMMYFUNCTION("""COMPUTED_VALUE"""),"Consumer Durables")</f>
        <v>Consumer Durables</v>
      </c>
      <c r="L232" s="6" t="str">
        <f>IFERROR(__xludf.DUMMYFUNCTION("""COMPUTED_VALUE"""),"Consumer Durables")</f>
        <v>Consumer Durables</v>
      </c>
      <c r="M232" s="6" t="str">
        <f>IFERROR(__xludf.DUMMYFUNCTION("""COMPUTED_VALUE"""),"Footwear")</f>
        <v>Footwear</v>
      </c>
      <c r="N232" s="5">
        <f>IFERROR(__xludf.DUMMYFUNCTION("""COMPUTED_VALUE"""),33478.618802)</f>
        <v>33478.6188</v>
      </c>
      <c r="O232" s="6">
        <f t="shared" si="4"/>
        <v>42</v>
      </c>
      <c r="P232" s="6">
        <f t="shared" ref="P232:Q232" si="466">COUNTIFS(L:L,L232)</f>
        <v>42</v>
      </c>
      <c r="Q232" s="24">
        <f t="shared" si="466"/>
        <v>5</v>
      </c>
      <c r="R232" s="6" t="str">
        <f t="shared" si="6"/>
        <v>Consumer Durables</v>
      </c>
      <c r="S232" s="6" t="str">
        <f t="shared" si="7"/>
        <v>Consumer Durables</v>
      </c>
      <c r="T232" s="6">
        <f>IFERROR(__xludf.DUMMYFUNCTION("COUNTA(UNIQUE(query($A$2:$P$800,""select L where K='""&amp; K232&amp;""'"")))"),1.0)</f>
        <v>1</v>
      </c>
      <c r="U232" s="23">
        <f t="shared" si="8"/>
        <v>0.03571428571</v>
      </c>
      <c r="V232" s="23">
        <f t="shared" ref="V232:W232" si="467">P232/O232</f>
        <v>1</v>
      </c>
      <c r="W232" s="23">
        <f t="shared" si="467"/>
        <v>0.119047619</v>
      </c>
    </row>
    <row r="233">
      <c r="A233" s="6">
        <f>IFERROR(__xludf.DUMMYFUNCTION("""COMPUTED_VALUE"""),500067.0)</f>
        <v>500067</v>
      </c>
      <c r="B233" s="6" t="str">
        <f>IFERROR(__xludf.DUMMYFUNCTION("""COMPUTED_VALUE"""),"Blue Star Ltd")</f>
        <v>Blue Star Ltd</v>
      </c>
      <c r="C233" s="6" t="str">
        <f>IFERROR(__xludf.DUMMYFUNCTION("""COMPUTED_VALUE"""),"BLUESTARCO")</f>
        <v>BLUESTARCO</v>
      </c>
      <c r="D233" s="6" t="str">
        <f>IFERROR(__xludf.DUMMYFUNCTION("""COMPUTED_VALUE"""),"BLUE STAR LTD.")</f>
        <v>BLUE STAR LTD.</v>
      </c>
      <c r="E233" s="6" t="str">
        <f>IFERROR(__xludf.DUMMYFUNCTION("""COMPUTED_VALUE"""),"Active")</f>
        <v>Active</v>
      </c>
      <c r="F233" s="6" t="str">
        <f>IFERROR(__xludf.DUMMYFUNCTION("""COMPUTED_VALUE"""),"A")</f>
        <v>A</v>
      </c>
      <c r="G233" s="6">
        <f>IFERROR(__xludf.DUMMYFUNCTION("""COMPUTED_VALUE"""),2.0)</f>
        <v>2</v>
      </c>
      <c r="H233" s="6" t="str">
        <f>IFERROR(__xludf.DUMMYFUNCTION("""COMPUTED_VALUE"""),"INE472A01039")</f>
        <v>INE472A01039</v>
      </c>
      <c r="I233" s="6" t="str">
        <f>IFERROR(__xludf.DUMMYFUNCTION("""COMPUTED_VALUE"""),"Equity")</f>
        <v>Equity</v>
      </c>
      <c r="J233" s="6" t="str">
        <f>IFERROR(__xludf.DUMMYFUNCTION("""COMPUTED_VALUE"""),"Consumer Discretionary")</f>
        <v>Consumer Discretionary</v>
      </c>
      <c r="K233" s="6" t="str">
        <f>IFERROR(__xludf.DUMMYFUNCTION("""COMPUTED_VALUE"""),"Consumer Durables")</f>
        <v>Consumer Durables</v>
      </c>
      <c r="L233" s="6" t="str">
        <f>IFERROR(__xludf.DUMMYFUNCTION("""COMPUTED_VALUE"""),"Consumer Durables")</f>
        <v>Consumer Durables</v>
      </c>
      <c r="M233" s="6" t="str">
        <f>IFERROR(__xludf.DUMMYFUNCTION("""COMPUTED_VALUE"""),"Household Appliances")</f>
        <v>Household Appliances</v>
      </c>
      <c r="N233" s="5">
        <f>IFERROR(__xludf.DUMMYFUNCTION("""COMPUTED_VALUE"""),33373.7188851)</f>
        <v>33373.71889</v>
      </c>
      <c r="O233" s="6">
        <f t="shared" si="4"/>
        <v>42</v>
      </c>
      <c r="P233" s="6">
        <f t="shared" ref="P233:Q233" si="468">COUNTIFS(L:L,L233)</f>
        <v>42</v>
      </c>
      <c r="Q233" s="24">
        <f t="shared" si="468"/>
        <v>13</v>
      </c>
      <c r="R233" s="6" t="str">
        <f t="shared" si="6"/>
        <v>Consumer Durables</v>
      </c>
      <c r="S233" s="6" t="str">
        <f t="shared" si="7"/>
        <v>Consumer Durables</v>
      </c>
      <c r="T233" s="6">
        <f>IFERROR(__xludf.DUMMYFUNCTION("COUNTA(UNIQUE(query($A$2:$P$800,""select L where K='""&amp; K233&amp;""'"")))"),1.0)</f>
        <v>1</v>
      </c>
      <c r="U233" s="23">
        <f t="shared" si="8"/>
        <v>0.03571428571</v>
      </c>
      <c r="V233" s="23">
        <f t="shared" ref="V233:W233" si="469">P233/O233</f>
        <v>1</v>
      </c>
      <c r="W233" s="23">
        <f t="shared" si="469"/>
        <v>0.3095238095</v>
      </c>
    </row>
    <row r="234">
      <c r="A234" s="6">
        <f>IFERROR(__xludf.DUMMYFUNCTION("""COMPUTED_VALUE"""),501301.0)</f>
        <v>501301</v>
      </c>
      <c r="B234" s="6" t="str">
        <f>IFERROR(__xludf.DUMMYFUNCTION("""COMPUTED_VALUE"""),"Tata Investment Corporation Ltd.")</f>
        <v>Tata Investment Corporation Ltd.</v>
      </c>
      <c r="C234" s="6" t="str">
        <f>IFERROR(__xludf.DUMMYFUNCTION("""COMPUTED_VALUE"""),"TATAINVEST")</f>
        <v>TATAINVEST</v>
      </c>
      <c r="D234" s="6" t="str">
        <f>IFERROR(__xludf.DUMMYFUNCTION("""COMPUTED_VALUE"""),"TATA INVESTMENT CORPORATION LTD.")</f>
        <v>TATA INVESTMENT CORPORATION LTD.</v>
      </c>
      <c r="E234" s="6" t="str">
        <f>IFERROR(__xludf.DUMMYFUNCTION("""COMPUTED_VALUE"""),"Active")</f>
        <v>Active</v>
      </c>
      <c r="F234" s="6" t="str">
        <f>IFERROR(__xludf.DUMMYFUNCTION("""COMPUTED_VALUE"""),"A")</f>
        <v>A</v>
      </c>
      <c r="G234" s="6">
        <f>IFERROR(__xludf.DUMMYFUNCTION("""COMPUTED_VALUE"""),10.0)</f>
        <v>10</v>
      </c>
      <c r="H234" s="6" t="str">
        <f>IFERROR(__xludf.DUMMYFUNCTION("""COMPUTED_VALUE"""),"INE672A01018")</f>
        <v>INE672A01018</v>
      </c>
      <c r="I234" s="6" t="str">
        <f>IFERROR(__xludf.DUMMYFUNCTION("""COMPUTED_VALUE"""),"Equity")</f>
        <v>Equity</v>
      </c>
      <c r="J234" s="6" t="str">
        <f>IFERROR(__xludf.DUMMYFUNCTION("""COMPUTED_VALUE"""),"Financial Services")</f>
        <v>Financial Services</v>
      </c>
      <c r="K234" s="6" t="str">
        <f>IFERROR(__xludf.DUMMYFUNCTION("""COMPUTED_VALUE"""),"Financial Services")</f>
        <v>Financial Services</v>
      </c>
      <c r="L234" s="6" t="str">
        <f>IFERROR(__xludf.DUMMYFUNCTION("""COMPUTED_VALUE"""),"Finance")</f>
        <v>Finance</v>
      </c>
      <c r="M234" s="6" t="str">
        <f>IFERROR(__xludf.DUMMYFUNCTION("""COMPUTED_VALUE"""),"Investment Company")</f>
        <v>Investment Company</v>
      </c>
      <c r="N234" s="5">
        <f>IFERROR(__xludf.DUMMYFUNCTION("""COMPUTED_VALUE"""),33310.469761)</f>
        <v>33310.46976</v>
      </c>
      <c r="O234" s="6">
        <f t="shared" si="4"/>
        <v>123</v>
      </c>
      <c r="P234" s="6">
        <f t="shared" ref="P234:Q234" si="470">COUNTIFS(L:L,L234)</f>
        <v>56</v>
      </c>
      <c r="Q234" s="24">
        <f t="shared" si="470"/>
        <v>8</v>
      </c>
      <c r="R234" s="6" t="str">
        <f t="shared" si="6"/>
        <v>Finance</v>
      </c>
      <c r="S234" s="6" t="str">
        <f t="shared" si="7"/>
        <v>Finance</v>
      </c>
      <c r="T234" s="6">
        <f>IFERROR(__xludf.DUMMYFUNCTION("COUNTA(UNIQUE(query($A$2:$P$800,""select L where K='""&amp; K234&amp;""'"")))"),5.0)</f>
        <v>5</v>
      </c>
      <c r="U234" s="23">
        <f t="shared" si="8"/>
        <v>0.06097560976</v>
      </c>
      <c r="V234" s="23">
        <f t="shared" ref="V234:W234" si="471">P234/O234</f>
        <v>0.4552845528</v>
      </c>
      <c r="W234" s="23">
        <f t="shared" si="471"/>
        <v>0.1428571429</v>
      </c>
    </row>
    <row r="235">
      <c r="A235" s="6">
        <f>IFERROR(__xludf.DUMMYFUNCTION("""COMPUTED_VALUE"""),500271.0)</f>
        <v>500271</v>
      </c>
      <c r="B235" s="6" t="str">
        <f>IFERROR(__xludf.DUMMYFUNCTION("""COMPUTED_VALUE"""),"Max Financial Services Limited")</f>
        <v>Max Financial Services Limited</v>
      </c>
      <c r="C235" s="6" t="str">
        <f>IFERROR(__xludf.DUMMYFUNCTION("""COMPUTED_VALUE"""),"MFSL")</f>
        <v>MFSL</v>
      </c>
      <c r="D235" s="6" t="str">
        <f>IFERROR(__xludf.DUMMYFUNCTION("""COMPUTED_VALUE"""),"Max Financial Services Ltd")</f>
        <v>Max Financial Services Ltd</v>
      </c>
      <c r="E235" s="6" t="str">
        <f>IFERROR(__xludf.DUMMYFUNCTION("""COMPUTED_VALUE"""),"Active")</f>
        <v>Active</v>
      </c>
      <c r="F235" s="6" t="str">
        <f>IFERROR(__xludf.DUMMYFUNCTION("""COMPUTED_VALUE"""),"A")</f>
        <v>A</v>
      </c>
      <c r="G235" s="6">
        <f>IFERROR(__xludf.DUMMYFUNCTION("""COMPUTED_VALUE"""),2.0)</f>
        <v>2</v>
      </c>
      <c r="H235" s="6" t="str">
        <f>IFERROR(__xludf.DUMMYFUNCTION("""COMPUTED_VALUE"""),"INE180A01020")</f>
        <v>INE180A01020</v>
      </c>
      <c r="I235" s="6" t="str">
        <f>IFERROR(__xludf.DUMMYFUNCTION("""COMPUTED_VALUE"""),"Equity")</f>
        <v>Equity</v>
      </c>
      <c r="J235" s="6" t="str">
        <f>IFERROR(__xludf.DUMMYFUNCTION("""COMPUTED_VALUE"""),"Financial Services")</f>
        <v>Financial Services</v>
      </c>
      <c r="K235" s="6" t="str">
        <f>IFERROR(__xludf.DUMMYFUNCTION("""COMPUTED_VALUE"""),"Financial Services")</f>
        <v>Financial Services</v>
      </c>
      <c r="L235" s="6" t="str">
        <f>IFERROR(__xludf.DUMMYFUNCTION("""COMPUTED_VALUE"""),"Insurance")</f>
        <v>Insurance</v>
      </c>
      <c r="M235" s="6" t="str">
        <f>IFERROR(__xludf.DUMMYFUNCTION("""COMPUTED_VALUE"""),"Life Insurance")</f>
        <v>Life Insurance</v>
      </c>
      <c r="N235" s="5">
        <f>IFERROR(__xludf.DUMMYFUNCTION("""COMPUTED_VALUE"""),33122.2227001)</f>
        <v>33122.2227</v>
      </c>
      <c r="O235" s="6">
        <f t="shared" si="4"/>
        <v>123</v>
      </c>
      <c r="P235" s="6">
        <f t="shared" ref="P235:Q235" si="472">COUNTIFS(L:L,L235)</f>
        <v>10</v>
      </c>
      <c r="Q235" s="24">
        <f t="shared" si="472"/>
        <v>5</v>
      </c>
      <c r="R235" s="6" t="str">
        <f t="shared" si="6"/>
        <v>Financial Services</v>
      </c>
      <c r="S235" s="6" t="str">
        <f t="shared" si="7"/>
        <v>Financial Services</v>
      </c>
      <c r="T235" s="6">
        <f>IFERROR(__xludf.DUMMYFUNCTION("COUNTA(UNIQUE(query($A$2:$P$800,""select L where K='""&amp; K235&amp;""'"")))"),5.0)</f>
        <v>5</v>
      </c>
      <c r="U235" s="23">
        <f t="shared" si="8"/>
        <v>0.06097560976</v>
      </c>
      <c r="V235" s="23">
        <f t="shared" ref="V235:W235" si="473">P235/O235</f>
        <v>0.08130081301</v>
      </c>
      <c r="W235" s="23">
        <f t="shared" si="473"/>
        <v>0.5</v>
      </c>
    </row>
    <row r="236">
      <c r="A236" s="6">
        <f>IFERROR(__xludf.DUMMYFUNCTION("""COMPUTED_VALUE"""),543412.0)</f>
        <v>543412</v>
      </c>
      <c r="B236" s="6" t="str">
        <f>IFERROR(__xludf.DUMMYFUNCTION("""COMPUTED_VALUE"""),"Star Health and Allied Insurance Company Limited")</f>
        <v>Star Health and Allied Insurance Company Limited</v>
      </c>
      <c r="C236" s="6" t="str">
        <f>IFERROR(__xludf.DUMMYFUNCTION("""COMPUTED_VALUE"""),"STARHEALTH")</f>
        <v>STARHEALTH</v>
      </c>
      <c r="D236" s="6" t="str">
        <f>IFERROR(__xludf.DUMMYFUNCTION("""COMPUTED_VALUE"""),"Star Health and Allied Insurance Company Ltd")</f>
        <v>Star Health and Allied Insurance Company Ltd</v>
      </c>
      <c r="E236" s="6" t="str">
        <f>IFERROR(__xludf.DUMMYFUNCTION("""COMPUTED_VALUE"""),"Active")</f>
        <v>Active</v>
      </c>
      <c r="F236" s="6" t="str">
        <f>IFERROR(__xludf.DUMMYFUNCTION("""COMPUTED_VALUE"""),"A")</f>
        <v>A</v>
      </c>
      <c r="G236" s="6">
        <f>IFERROR(__xludf.DUMMYFUNCTION("""COMPUTED_VALUE"""),10.0)</f>
        <v>10</v>
      </c>
      <c r="H236" s="6" t="str">
        <f>IFERROR(__xludf.DUMMYFUNCTION("""COMPUTED_VALUE"""),"INE575P01011")</f>
        <v>INE575P01011</v>
      </c>
      <c r="I236" s="6" t="str">
        <f>IFERROR(__xludf.DUMMYFUNCTION("""COMPUTED_VALUE"""),"Equity")</f>
        <v>Equity</v>
      </c>
      <c r="J236" s="6" t="str">
        <f>IFERROR(__xludf.DUMMYFUNCTION("""COMPUTED_VALUE"""),"Financial Services")</f>
        <v>Financial Services</v>
      </c>
      <c r="K236" s="6" t="str">
        <f>IFERROR(__xludf.DUMMYFUNCTION("""COMPUTED_VALUE"""),"Financial Services")</f>
        <v>Financial Services</v>
      </c>
      <c r="L236" s="6" t="str">
        <f>IFERROR(__xludf.DUMMYFUNCTION("""COMPUTED_VALUE"""),"Insurance")</f>
        <v>Insurance</v>
      </c>
      <c r="M236" s="6" t="str">
        <f>IFERROR(__xludf.DUMMYFUNCTION("""COMPUTED_VALUE"""),"General Insurance")</f>
        <v>General Insurance</v>
      </c>
      <c r="N236" s="5">
        <f>IFERROR(__xludf.DUMMYFUNCTION("""COMPUTED_VALUE"""),32950.6997181)</f>
        <v>32950.69972</v>
      </c>
      <c r="O236" s="6">
        <f t="shared" si="4"/>
        <v>123</v>
      </c>
      <c r="P236" s="6">
        <f t="shared" ref="P236:Q236" si="474">COUNTIFS(L:L,L236)</f>
        <v>10</v>
      </c>
      <c r="Q236" s="24">
        <f t="shared" si="474"/>
        <v>5</v>
      </c>
      <c r="R236" s="6" t="str">
        <f t="shared" si="6"/>
        <v>Financial Services</v>
      </c>
      <c r="S236" s="6" t="str">
        <f t="shared" si="7"/>
        <v>Financial Services</v>
      </c>
      <c r="T236" s="6">
        <f>IFERROR(__xludf.DUMMYFUNCTION("COUNTA(UNIQUE(query($A$2:$P$800,""select L where K='""&amp; K236&amp;""'"")))"),5.0)</f>
        <v>5</v>
      </c>
      <c r="U236" s="23">
        <f t="shared" si="8"/>
        <v>0.06097560976</v>
      </c>
      <c r="V236" s="23">
        <f t="shared" ref="V236:W236" si="475">P236/O236</f>
        <v>0.08130081301</v>
      </c>
      <c r="W236" s="23">
        <f t="shared" si="475"/>
        <v>0.5</v>
      </c>
    </row>
    <row r="237">
      <c r="A237" s="6">
        <f>IFERROR(__xludf.DUMMYFUNCTION("""COMPUTED_VALUE"""),522113.0)</f>
        <v>522113</v>
      </c>
      <c r="B237" s="6" t="str">
        <f>IFERROR(__xludf.DUMMYFUNCTION("""COMPUTED_VALUE"""),"Timken India Ltd")</f>
        <v>Timken India Ltd</v>
      </c>
      <c r="C237" s="6" t="str">
        <f>IFERROR(__xludf.DUMMYFUNCTION("""COMPUTED_VALUE"""),"TIMKEN")</f>
        <v>TIMKEN</v>
      </c>
      <c r="D237" s="6" t="str">
        <f>IFERROR(__xludf.DUMMYFUNCTION("""COMPUTED_VALUE"""),"TIMKEN INDIA LTD.")</f>
        <v>TIMKEN INDIA LTD.</v>
      </c>
      <c r="E237" s="6" t="str">
        <f>IFERROR(__xludf.DUMMYFUNCTION("""COMPUTED_VALUE"""),"Active")</f>
        <v>Active</v>
      </c>
      <c r="F237" s="6" t="str">
        <f>IFERROR(__xludf.DUMMYFUNCTION("""COMPUTED_VALUE"""),"A")</f>
        <v>A</v>
      </c>
      <c r="G237" s="6">
        <f>IFERROR(__xludf.DUMMYFUNCTION("""COMPUTED_VALUE"""),10.0)</f>
        <v>10</v>
      </c>
      <c r="H237" s="6" t="str">
        <f>IFERROR(__xludf.DUMMYFUNCTION("""COMPUTED_VALUE"""),"INE325A01013")</f>
        <v>INE325A01013</v>
      </c>
      <c r="I237" s="6" t="str">
        <f>IFERROR(__xludf.DUMMYFUNCTION("""COMPUTED_VALUE"""),"Equity")</f>
        <v>Equity</v>
      </c>
      <c r="J237" s="6" t="str">
        <f>IFERROR(__xludf.DUMMYFUNCTION("""COMPUTED_VALUE"""),"Industrials")</f>
        <v>Industrials</v>
      </c>
      <c r="K237" s="6" t="str">
        <f>IFERROR(__xludf.DUMMYFUNCTION("""COMPUTED_VALUE"""),"Capital Goods")</f>
        <v>Capital Goods</v>
      </c>
      <c r="L237" s="6" t="str">
        <f>IFERROR(__xludf.DUMMYFUNCTION("""COMPUTED_VALUE"""),"Industrial Products")</f>
        <v>Industrial Products</v>
      </c>
      <c r="M237" s="6" t="str">
        <f>IFERROR(__xludf.DUMMYFUNCTION("""COMPUTED_VALUE"""),"Abrasives &amp; Bearings")</f>
        <v>Abrasives &amp; Bearings</v>
      </c>
      <c r="N237" s="5">
        <f>IFERROR(__xludf.DUMMYFUNCTION("""COMPUTED_VALUE"""),32908.3368858)</f>
        <v>32908.33689</v>
      </c>
      <c r="O237" s="6">
        <f t="shared" si="4"/>
        <v>110</v>
      </c>
      <c r="P237" s="6">
        <f t="shared" ref="P237:Q237" si="476">COUNTIFS(L:L,L237)</f>
        <v>51</v>
      </c>
      <c r="Q237" s="24">
        <f t="shared" si="476"/>
        <v>4</v>
      </c>
      <c r="R237" s="6" t="str">
        <f t="shared" si="6"/>
        <v>Industrial Products</v>
      </c>
      <c r="S237" s="6" t="str">
        <f t="shared" si="7"/>
        <v>Industrial Products</v>
      </c>
      <c r="T237" s="6">
        <f>IFERROR(__xludf.DUMMYFUNCTION("COUNTA(UNIQUE(query($A$2:$P$800,""select L where K='""&amp; K237&amp;""'"")))"),5.0)</f>
        <v>5</v>
      </c>
      <c r="U237" s="23">
        <f t="shared" si="8"/>
        <v>0.06818181818</v>
      </c>
      <c r="V237" s="23">
        <f t="shared" ref="V237:W237" si="477">P237/O237</f>
        <v>0.4636363636</v>
      </c>
      <c r="W237" s="23">
        <f t="shared" si="477"/>
        <v>0.07843137255</v>
      </c>
    </row>
    <row r="238">
      <c r="A238" s="6">
        <f>IFERROR(__xludf.DUMMYFUNCTION("""COMPUTED_VALUE"""),532644.0)</f>
        <v>532644</v>
      </c>
      <c r="B238" s="6" t="str">
        <f>IFERROR(__xludf.DUMMYFUNCTION("""COMPUTED_VALUE"""),"J.K. CEMENT LTD")</f>
        <v>J.K. CEMENT LTD</v>
      </c>
      <c r="C238" s="6" t="str">
        <f>IFERROR(__xludf.DUMMYFUNCTION("""COMPUTED_VALUE"""),"JKCEMENT")</f>
        <v>JKCEMENT</v>
      </c>
      <c r="D238" s="6" t="str">
        <f>IFERROR(__xludf.DUMMYFUNCTION("""COMPUTED_VALUE"""),"J.K.CEMENT LTD.")</f>
        <v>J.K.CEMENT LTD.</v>
      </c>
      <c r="E238" s="6" t="str">
        <f>IFERROR(__xludf.DUMMYFUNCTION("""COMPUTED_VALUE"""),"Active")</f>
        <v>Active</v>
      </c>
      <c r="F238" s="6" t="str">
        <f>IFERROR(__xludf.DUMMYFUNCTION("""COMPUTED_VALUE"""),"A")</f>
        <v>A</v>
      </c>
      <c r="G238" s="6">
        <f>IFERROR(__xludf.DUMMYFUNCTION("""COMPUTED_VALUE"""),10.0)</f>
        <v>10</v>
      </c>
      <c r="H238" s="6" t="str">
        <f>IFERROR(__xludf.DUMMYFUNCTION("""COMPUTED_VALUE"""),"INE823G01014")</f>
        <v>INE823G01014</v>
      </c>
      <c r="I238" s="6" t="str">
        <f>IFERROR(__xludf.DUMMYFUNCTION("""COMPUTED_VALUE"""),"Equity")</f>
        <v>Equity</v>
      </c>
      <c r="J238" s="6" t="str">
        <f>IFERROR(__xludf.DUMMYFUNCTION("""COMPUTED_VALUE"""),"Commodities")</f>
        <v>Commodities</v>
      </c>
      <c r="K238" s="6" t="str">
        <f>IFERROR(__xludf.DUMMYFUNCTION("""COMPUTED_VALUE"""),"Construction Materials")</f>
        <v>Construction Materials</v>
      </c>
      <c r="L238" s="6" t="str">
        <f>IFERROR(__xludf.DUMMYFUNCTION("""COMPUTED_VALUE"""),"Cement &amp; Cement Products")</f>
        <v>Cement &amp; Cement Products</v>
      </c>
      <c r="M238" s="6" t="str">
        <f>IFERROR(__xludf.DUMMYFUNCTION("""COMPUTED_VALUE"""),"Cement &amp; Cement Products")</f>
        <v>Cement &amp; Cement Products</v>
      </c>
      <c r="N238" s="5">
        <f>IFERROR(__xludf.DUMMYFUNCTION("""COMPUTED_VALUE"""),32902.2928019)</f>
        <v>32902.2928</v>
      </c>
      <c r="O238" s="6">
        <f t="shared" si="4"/>
        <v>17</v>
      </c>
      <c r="P238" s="6">
        <f t="shared" ref="P238:Q238" si="478">COUNTIFS(L:L,L238)</f>
        <v>17</v>
      </c>
      <c r="Q238" s="24">
        <f t="shared" si="478"/>
        <v>17</v>
      </c>
      <c r="R238" s="6" t="str">
        <f t="shared" si="6"/>
        <v>Construction Materials</v>
      </c>
      <c r="S238" s="6" t="str">
        <f t="shared" si="7"/>
        <v>Construction Materials</v>
      </c>
      <c r="T238" s="6">
        <f>IFERROR(__xludf.DUMMYFUNCTION("COUNTA(UNIQUE(query($A$2:$P$800,""select L where K='""&amp; K238&amp;""'"")))"),1.0)</f>
        <v>1</v>
      </c>
      <c r="U238" s="23">
        <f t="shared" si="8"/>
        <v>0.08823529412</v>
      </c>
      <c r="V238" s="23">
        <f t="shared" ref="V238:W238" si="479">P238/O238</f>
        <v>1</v>
      </c>
      <c r="W238" s="23">
        <f t="shared" si="479"/>
        <v>1</v>
      </c>
    </row>
    <row r="239">
      <c r="A239" s="6">
        <f>IFERROR(__xludf.DUMMYFUNCTION("""COMPUTED_VALUE"""),513375.0)</f>
        <v>513375</v>
      </c>
      <c r="B239" s="6" t="str">
        <f>IFERROR(__xludf.DUMMYFUNCTION("""COMPUTED_VALUE"""),"Carborundum Universal Ltd.")</f>
        <v>Carborundum Universal Ltd.</v>
      </c>
      <c r="C239" s="6" t="str">
        <f>IFERROR(__xludf.DUMMYFUNCTION("""COMPUTED_VALUE"""),"CARBORUNIV")</f>
        <v>CARBORUNIV</v>
      </c>
      <c r="D239" s="6" t="str">
        <f>IFERROR(__xludf.DUMMYFUNCTION("""COMPUTED_VALUE"""),"CARBORUNDUM UNIVERSAL LTD.")</f>
        <v>CARBORUNDUM UNIVERSAL LTD.</v>
      </c>
      <c r="E239" s="6" t="str">
        <f>IFERROR(__xludf.DUMMYFUNCTION("""COMPUTED_VALUE"""),"Active")</f>
        <v>Active</v>
      </c>
      <c r="F239" s="6" t="str">
        <f>IFERROR(__xludf.DUMMYFUNCTION("""COMPUTED_VALUE"""),"A")</f>
        <v>A</v>
      </c>
      <c r="G239" s="6">
        <f>IFERROR(__xludf.DUMMYFUNCTION("""COMPUTED_VALUE"""),1.0)</f>
        <v>1</v>
      </c>
      <c r="H239" s="6" t="str">
        <f>IFERROR(__xludf.DUMMYFUNCTION("""COMPUTED_VALUE"""),"INE120A01034")</f>
        <v>INE120A01034</v>
      </c>
      <c r="I239" s="6" t="str">
        <f>IFERROR(__xludf.DUMMYFUNCTION("""COMPUTED_VALUE"""),"Equity")</f>
        <v>Equity</v>
      </c>
      <c r="J239" s="6" t="str">
        <f>IFERROR(__xludf.DUMMYFUNCTION("""COMPUTED_VALUE"""),"Industrials")</f>
        <v>Industrials</v>
      </c>
      <c r="K239" s="6" t="str">
        <f>IFERROR(__xludf.DUMMYFUNCTION("""COMPUTED_VALUE"""),"Capital Goods")</f>
        <v>Capital Goods</v>
      </c>
      <c r="L239" s="6" t="str">
        <f>IFERROR(__xludf.DUMMYFUNCTION("""COMPUTED_VALUE"""),"Industrial Products")</f>
        <v>Industrial Products</v>
      </c>
      <c r="M239" s="6" t="str">
        <f>IFERROR(__xludf.DUMMYFUNCTION("""COMPUTED_VALUE"""),"Abrasives &amp; Bearings")</f>
        <v>Abrasives &amp; Bearings</v>
      </c>
      <c r="N239" s="5">
        <f>IFERROR(__xludf.DUMMYFUNCTION("""COMPUTED_VALUE"""),32836.6690468)</f>
        <v>32836.66905</v>
      </c>
      <c r="O239" s="6">
        <f t="shared" si="4"/>
        <v>110</v>
      </c>
      <c r="P239" s="6">
        <f t="shared" ref="P239:Q239" si="480">COUNTIFS(L:L,L239)</f>
        <v>51</v>
      </c>
      <c r="Q239" s="24">
        <f t="shared" si="480"/>
        <v>4</v>
      </c>
      <c r="R239" s="6" t="str">
        <f t="shared" si="6"/>
        <v>Industrial Products</v>
      </c>
      <c r="S239" s="6" t="str">
        <f t="shared" si="7"/>
        <v>Industrial Products</v>
      </c>
      <c r="T239" s="6">
        <f>IFERROR(__xludf.DUMMYFUNCTION("COUNTA(UNIQUE(query($A$2:$P$800,""select L where K='""&amp; K239&amp;""'"")))"),5.0)</f>
        <v>5</v>
      </c>
      <c r="U239" s="23">
        <f t="shared" si="8"/>
        <v>0.06818181818</v>
      </c>
      <c r="V239" s="23">
        <f t="shared" ref="V239:W239" si="481">P239/O239</f>
        <v>0.4636363636</v>
      </c>
      <c r="W239" s="23">
        <f t="shared" si="481"/>
        <v>0.07843137255</v>
      </c>
    </row>
    <row r="240">
      <c r="A240" s="6">
        <f>IFERROR(__xludf.DUMMYFUNCTION("""COMPUTED_VALUE"""),541153.0)</f>
        <v>541153</v>
      </c>
      <c r="B240" s="6" t="str">
        <f>IFERROR(__xludf.DUMMYFUNCTION("""COMPUTED_VALUE"""),"Bandhan Bank Limited")</f>
        <v>Bandhan Bank Limited</v>
      </c>
      <c r="C240" s="6" t="str">
        <f>IFERROR(__xludf.DUMMYFUNCTION("""COMPUTED_VALUE"""),"BANDHANBNK")</f>
        <v>BANDHANBNK</v>
      </c>
      <c r="D240" s="6" t="str">
        <f>IFERROR(__xludf.DUMMYFUNCTION("""COMPUTED_VALUE"""),"Bandhan Bank Ltd")</f>
        <v>Bandhan Bank Ltd</v>
      </c>
      <c r="E240" s="6" t="str">
        <f>IFERROR(__xludf.DUMMYFUNCTION("""COMPUTED_VALUE"""),"Active")</f>
        <v>Active</v>
      </c>
      <c r="F240" s="6" t="str">
        <f>IFERROR(__xludf.DUMMYFUNCTION("""COMPUTED_VALUE"""),"A")</f>
        <v>A</v>
      </c>
      <c r="G240" s="6">
        <f>IFERROR(__xludf.DUMMYFUNCTION("""COMPUTED_VALUE"""),10.0)</f>
        <v>10</v>
      </c>
      <c r="H240" s="6" t="str">
        <f>IFERROR(__xludf.DUMMYFUNCTION("""COMPUTED_VALUE"""),"INE545U01014")</f>
        <v>INE545U01014</v>
      </c>
      <c r="I240" s="6" t="str">
        <f>IFERROR(__xludf.DUMMYFUNCTION("""COMPUTED_VALUE"""),"Equity")</f>
        <v>Equity</v>
      </c>
      <c r="J240" s="6" t="str">
        <f>IFERROR(__xludf.DUMMYFUNCTION("""COMPUTED_VALUE"""),"Financial Services")</f>
        <v>Financial Services</v>
      </c>
      <c r="K240" s="6" t="str">
        <f>IFERROR(__xludf.DUMMYFUNCTION("""COMPUTED_VALUE"""),"Financial Services")</f>
        <v>Financial Services</v>
      </c>
      <c r="L240" s="6" t="str">
        <f>IFERROR(__xludf.DUMMYFUNCTION("""COMPUTED_VALUE"""),"Banks")</f>
        <v>Banks</v>
      </c>
      <c r="M240" s="6" t="str">
        <f>IFERROR(__xludf.DUMMYFUNCTION("""COMPUTED_VALUE"""),"Private Sector Bank")</f>
        <v>Private Sector Bank</v>
      </c>
      <c r="N240" s="5">
        <f>IFERROR(__xludf.DUMMYFUNCTION("""COMPUTED_VALUE"""),32748.5950093)</f>
        <v>32748.59501</v>
      </c>
      <c r="O240" s="6">
        <f t="shared" si="4"/>
        <v>123</v>
      </c>
      <c r="P240" s="6">
        <f t="shared" ref="P240:Q240" si="482">COUNTIFS(L:L,L240)</f>
        <v>35</v>
      </c>
      <c r="Q240" s="24">
        <f t="shared" si="482"/>
        <v>23</v>
      </c>
      <c r="R240" s="6" t="str">
        <f t="shared" si="6"/>
        <v>Banks</v>
      </c>
      <c r="S240" s="6" t="str">
        <f t="shared" si="7"/>
        <v>Banks</v>
      </c>
      <c r="T240" s="6">
        <f>IFERROR(__xludf.DUMMYFUNCTION("COUNTA(UNIQUE(query($A$2:$P$800,""select L where K='""&amp; K240&amp;""'"")))"),5.0)</f>
        <v>5</v>
      </c>
      <c r="U240" s="23">
        <f t="shared" si="8"/>
        <v>0.06097560976</v>
      </c>
      <c r="V240" s="23">
        <f t="shared" ref="V240:W240" si="483">P240/O240</f>
        <v>0.2845528455</v>
      </c>
      <c r="W240" s="23">
        <f t="shared" si="483"/>
        <v>0.6571428571</v>
      </c>
    </row>
    <row r="241">
      <c r="A241" s="6">
        <f>IFERROR(__xludf.DUMMYFUNCTION("""COMPUTED_VALUE"""),543498.0)</f>
        <v>543498</v>
      </c>
      <c r="B241" s="6" t="str">
        <f>IFERROR(__xludf.DUMMYFUNCTION("""COMPUTED_VALUE"""),"Motherson Sumi Wiring India Limited")</f>
        <v>Motherson Sumi Wiring India Limited</v>
      </c>
      <c r="C241" s="6" t="str">
        <f>IFERROR(__xludf.DUMMYFUNCTION("""COMPUTED_VALUE"""),"MSUMI")</f>
        <v>MSUMI</v>
      </c>
      <c r="D241" s="6" t="str">
        <f>IFERROR(__xludf.DUMMYFUNCTION("""COMPUTED_VALUE"""),"Motherson Sumi Wiring India Ltd")</f>
        <v>Motherson Sumi Wiring India Ltd</v>
      </c>
      <c r="E241" s="6" t="str">
        <f>IFERROR(__xludf.DUMMYFUNCTION("""COMPUTED_VALUE"""),"Active")</f>
        <v>Active</v>
      </c>
      <c r="F241" s="6" t="str">
        <f>IFERROR(__xludf.DUMMYFUNCTION("""COMPUTED_VALUE"""),"A")</f>
        <v>A</v>
      </c>
      <c r="G241" s="6">
        <f>IFERROR(__xludf.DUMMYFUNCTION("""COMPUTED_VALUE"""),1.0)</f>
        <v>1</v>
      </c>
      <c r="H241" s="6" t="str">
        <f>IFERROR(__xludf.DUMMYFUNCTION("""COMPUTED_VALUE"""),"INE0FS801015")</f>
        <v>INE0FS801015</v>
      </c>
      <c r="I241" s="6" t="str">
        <f>IFERROR(__xludf.DUMMYFUNCTION("""COMPUTED_VALUE"""),"Equity")</f>
        <v>Equity</v>
      </c>
      <c r="J241" s="6" t="str">
        <f>IFERROR(__xludf.DUMMYFUNCTION("""COMPUTED_VALUE"""),"Consumer Discretionary")</f>
        <v>Consumer Discretionary</v>
      </c>
      <c r="K241" s="6" t="str">
        <f>IFERROR(__xludf.DUMMYFUNCTION("""COMPUTED_VALUE"""),"Automobile and Auto Components")</f>
        <v>Automobile and Auto Components</v>
      </c>
      <c r="L241" s="6" t="str">
        <f>IFERROR(__xludf.DUMMYFUNCTION("""COMPUTED_VALUE"""),"Auto Components")</f>
        <v>Auto Components</v>
      </c>
      <c r="M241" s="6" t="str">
        <f>IFERROR(__xludf.DUMMYFUNCTION("""COMPUTED_VALUE"""),"Auto Components &amp; Equipments")</f>
        <v>Auto Components &amp; Equipments</v>
      </c>
      <c r="N241" s="5">
        <f>IFERROR(__xludf.DUMMYFUNCTION("""COMPUTED_VALUE"""),32747.9844015)</f>
        <v>32747.9844</v>
      </c>
      <c r="O241" s="6">
        <f t="shared" si="4"/>
        <v>47</v>
      </c>
      <c r="P241" s="6">
        <f t="shared" ref="P241:Q241" si="484">COUNTIFS(L:L,L241)</f>
        <v>37</v>
      </c>
      <c r="Q241" s="24">
        <f t="shared" si="484"/>
        <v>32</v>
      </c>
      <c r="R241" s="6" t="str">
        <f t="shared" si="6"/>
        <v>Automobile and Auto Components</v>
      </c>
      <c r="S241" s="6" t="str">
        <f t="shared" si="7"/>
        <v>Automobile and Auto Components</v>
      </c>
      <c r="T241" s="6">
        <f>IFERROR(__xludf.DUMMYFUNCTION("COUNTA(UNIQUE(query($A$2:$P$800,""select L where K='""&amp; K241&amp;""'"")))"),2.0)</f>
        <v>2</v>
      </c>
      <c r="U241" s="23">
        <f t="shared" si="8"/>
        <v>0.06382978723</v>
      </c>
      <c r="V241" s="23">
        <f t="shared" ref="V241:W241" si="485">P241/O241</f>
        <v>0.7872340426</v>
      </c>
      <c r="W241" s="23">
        <f t="shared" si="485"/>
        <v>0.8648648649</v>
      </c>
    </row>
    <row r="242">
      <c r="A242" s="6">
        <f>IFERROR(__xludf.DUMMYFUNCTION("""COMPUTED_VALUE"""),535755.0)</f>
        <v>535755</v>
      </c>
      <c r="B242" s="6" t="str">
        <f>IFERROR(__xludf.DUMMYFUNCTION("""COMPUTED_VALUE"""),"Aditya Birla Fashion and Retail Limited")</f>
        <v>Aditya Birla Fashion and Retail Limited</v>
      </c>
      <c r="C242" s="6" t="str">
        <f>IFERROR(__xludf.DUMMYFUNCTION("""COMPUTED_VALUE"""),"ABFRL")</f>
        <v>ABFRL</v>
      </c>
      <c r="D242" s="6" t="str">
        <f>IFERROR(__xludf.DUMMYFUNCTION("""COMPUTED_VALUE"""),"Aditya Birla Fashion and Retail Ltd")</f>
        <v>Aditya Birla Fashion and Retail Ltd</v>
      </c>
      <c r="E242" s="6" t="str">
        <f>IFERROR(__xludf.DUMMYFUNCTION("""COMPUTED_VALUE"""),"Active")</f>
        <v>Active</v>
      </c>
      <c r="F242" s="6" t="str">
        <f>IFERROR(__xludf.DUMMYFUNCTION("""COMPUTED_VALUE"""),"A")</f>
        <v>A</v>
      </c>
      <c r="G242" s="6">
        <f>IFERROR(__xludf.DUMMYFUNCTION("""COMPUTED_VALUE"""),10.0)</f>
        <v>10</v>
      </c>
      <c r="H242" s="6" t="str">
        <f>IFERROR(__xludf.DUMMYFUNCTION("""COMPUTED_VALUE"""),"INE647O01011")</f>
        <v>INE647O01011</v>
      </c>
      <c r="I242" s="6" t="str">
        <f>IFERROR(__xludf.DUMMYFUNCTION("""COMPUTED_VALUE"""),"Equity")</f>
        <v>Equity</v>
      </c>
      <c r="J242" s="6" t="str">
        <f>IFERROR(__xludf.DUMMYFUNCTION("""COMPUTED_VALUE"""),"Consumer Discretionary")</f>
        <v>Consumer Discretionary</v>
      </c>
      <c r="K242" s="6" t="str">
        <f>IFERROR(__xludf.DUMMYFUNCTION("""COMPUTED_VALUE"""),"Consumer Services")</f>
        <v>Consumer Services</v>
      </c>
      <c r="L242" s="6" t="str">
        <f>IFERROR(__xludf.DUMMYFUNCTION("""COMPUTED_VALUE"""),"Retailing")</f>
        <v>Retailing</v>
      </c>
      <c r="M242" s="6" t="str">
        <f>IFERROR(__xludf.DUMMYFUNCTION("""COMPUTED_VALUE"""),"Speciality Retail")</f>
        <v>Speciality Retail</v>
      </c>
      <c r="N242" s="5">
        <f>IFERROR(__xludf.DUMMYFUNCTION("""COMPUTED_VALUE"""),32194.7107412)</f>
        <v>32194.71074</v>
      </c>
      <c r="O242" s="6">
        <f t="shared" si="4"/>
        <v>37</v>
      </c>
      <c r="P242" s="6">
        <f t="shared" ref="P242:Q242" si="486">COUNTIFS(L:L,L242)</f>
        <v>18</v>
      </c>
      <c r="Q242" s="24">
        <f t="shared" si="486"/>
        <v>6</v>
      </c>
      <c r="R242" s="6" t="str">
        <f t="shared" si="6"/>
        <v>Retailing</v>
      </c>
      <c r="S242" s="6" t="str">
        <f t="shared" si="7"/>
        <v>Retailing</v>
      </c>
      <c r="T242" s="6">
        <f>IFERROR(__xludf.DUMMYFUNCTION("COUNTA(UNIQUE(query($A$2:$P$800,""select L where K='""&amp; K242&amp;""'"")))"),3.0)</f>
        <v>3</v>
      </c>
      <c r="U242" s="23">
        <f t="shared" si="8"/>
        <v>0.1216216216</v>
      </c>
      <c r="V242" s="23">
        <f t="shared" ref="V242:W242" si="487">P242/O242</f>
        <v>0.4864864865</v>
      </c>
      <c r="W242" s="23">
        <f t="shared" si="487"/>
        <v>0.3333333333</v>
      </c>
    </row>
    <row r="243">
      <c r="A243" s="6">
        <f>IFERROR(__xludf.DUMMYFUNCTION("""COMPUTED_VALUE"""),500472.0)</f>
        <v>500472</v>
      </c>
      <c r="B243" s="6" t="str">
        <f>IFERROR(__xludf.DUMMYFUNCTION("""COMPUTED_VALUE"""),"SKF India Ltd.")</f>
        <v>SKF India Ltd.</v>
      </c>
      <c r="C243" s="6" t="str">
        <f>IFERROR(__xludf.DUMMYFUNCTION("""COMPUTED_VALUE"""),"SKFINDIA")</f>
        <v>SKFINDIA</v>
      </c>
      <c r="D243" s="6" t="str">
        <f>IFERROR(__xludf.DUMMYFUNCTION("""COMPUTED_VALUE"""),"SKF India Ltd")</f>
        <v>SKF India Ltd</v>
      </c>
      <c r="E243" s="6" t="str">
        <f>IFERROR(__xludf.DUMMYFUNCTION("""COMPUTED_VALUE"""),"Active")</f>
        <v>Active</v>
      </c>
      <c r="F243" s="6" t="str">
        <f>IFERROR(__xludf.DUMMYFUNCTION("""COMPUTED_VALUE"""),"A")</f>
        <v>A</v>
      </c>
      <c r="G243" s="6">
        <f>IFERROR(__xludf.DUMMYFUNCTION("""COMPUTED_VALUE"""),10.0)</f>
        <v>10</v>
      </c>
      <c r="H243" s="6" t="str">
        <f>IFERROR(__xludf.DUMMYFUNCTION("""COMPUTED_VALUE"""),"INE640A01023")</f>
        <v>INE640A01023</v>
      </c>
      <c r="I243" s="6" t="str">
        <f>IFERROR(__xludf.DUMMYFUNCTION("""COMPUTED_VALUE"""),"Equity")</f>
        <v>Equity</v>
      </c>
      <c r="J243" s="6" t="str">
        <f>IFERROR(__xludf.DUMMYFUNCTION("""COMPUTED_VALUE"""),"Industrials")</f>
        <v>Industrials</v>
      </c>
      <c r="K243" s="6" t="str">
        <f>IFERROR(__xludf.DUMMYFUNCTION("""COMPUTED_VALUE"""),"Capital Goods")</f>
        <v>Capital Goods</v>
      </c>
      <c r="L243" s="6" t="str">
        <f>IFERROR(__xludf.DUMMYFUNCTION("""COMPUTED_VALUE"""),"Industrial Products")</f>
        <v>Industrial Products</v>
      </c>
      <c r="M243" s="6" t="str">
        <f>IFERROR(__xludf.DUMMYFUNCTION("""COMPUTED_VALUE"""),"Abrasives &amp; Bearings")</f>
        <v>Abrasives &amp; Bearings</v>
      </c>
      <c r="N243" s="5">
        <f>IFERROR(__xludf.DUMMYFUNCTION("""COMPUTED_VALUE"""),31924.82835)</f>
        <v>31924.82835</v>
      </c>
      <c r="O243" s="6">
        <f t="shared" si="4"/>
        <v>110</v>
      </c>
      <c r="P243" s="6">
        <f t="shared" ref="P243:Q243" si="488">COUNTIFS(L:L,L243)</f>
        <v>51</v>
      </c>
      <c r="Q243" s="24">
        <f t="shared" si="488"/>
        <v>4</v>
      </c>
      <c r="R243" s="6" t="str">
        <f t="shared" si="6"/>
        <v>Industrial Products</v>
      </c>
      <c r="S243" s="6" t="str">
        <f t="shared" si="7"/>
        <v>Industrial Products</v>
      </c>
      <c r="T243" s="6">
        <f>IFERROR(__xludf.DUMMYFUNCTION("COUNTA(UNIQUE(query($A$2:$P$800,""select L where K='""&amp; K243&amp;""'"")))"),5.0)</f>
        <v>5</v>
      </c>
      <c r="U243" s="23">
        <f t="shared" si="8"/>
        <v>0.06818181818</v>
      </c>
      <c r="V243" s="23">
        <f t="shared" ref="V243:W243" si="489">P243/O243</f>
        <v>0.4636363636</v>
      </c>
      <c r="W243" s="23">
        <f t="shared" si="489"/>
        <v>0.07843137255</v>
      </c>
    </row>
    <row r="244">
      <c r="A244" s="6">
        <f>IFERROR(__xludf.DUMMYFUNCTION("""COMPUTED_VALUE"""),524000.0)</f>
        <v>524000</v>
      </c>
      <c r="B244" s="6" t="str">
        <f>IFERROR(__xludf.DUMMYFUNCTION("""COMPUTED_VALUE"""),"POONAWALLA FINCORP LIMITED")</f>
        <v>POONAWALLA FINCORP LIMITED</v>
      </c>
      <c r="C244" s="6" t="str">
        <f>IFERROR(__xludf.DUMMYFUNCTION("""COMPUTED_VALUE"""),"POONAWALLA")</f>
        <v>POONAWALLA</v>
      </c>
      <c r="D244" s="6" t="str">
        <f>IFERROR(__xludf.DUMMYFUNCTION("""COMPUTED_VALUE"""),"Poonawalla Fincorp Ltd")</f>
        <v>Poonawalla Fincorp Ltd</v>
      </c>
      <c r="E244" s="6" t="str">
        <f>IFERROR(__xludf.DUMMYFUNCTION("""COMPUTED_VALUE"""),"Active")</f>
        <v>Active</v>
      </c>
      <c r="F244" s="6" t="str">
        <f>IFERROR(__xludf.DUMMYFUNCTION("""COMPUTED_VALUE"""),"A")</f>
        <v>A</v>
      </c>
      <c r="G244" s="6">
        <f>IFERROR(__xludf.DUMMYFUNCTION("""COMPUTED_VALUE"""),2.0)</f>
        <v>2</v>
      </c>
      <c r="H244" s="6" t="str">
        <f>IFERROR(__xludf.DUMMYFUNCTION("""COMPUTED_VALUE"""),"INE511C01022")</f>
        <v>INE511C01022</v>
      </c>
      <c r="I244" s="6" t="str">
        <f>IFERROR(__xludf.DUMMYFUNCTION("""COMPUTED_VALUE"""),"Equity")</f>
        <v>Equity</v>
      </c>
      <c r="J244" s="6" t="str">
        <f>IFERROR(__xludf.DUMMYFUNCTION("""COMPUTED_VALUE"""),"Financial Services")</f>
        <v>Financial Services</v>
      </c>
      <c r="K244" s="6" t="str">
        <f>IFERROR(__xludf.DUMMYFUNCTION("""COMPUTED_VALUE"""),"Financial Services")</f>
        <v>Financial Services</v>
      </c>
      <c r="L244" s="6" t="str">
        <f>IFERROR(__xludf.DUMMYFUNCTION("""COMPUTED_VALUE"""),"Finance")</f>
        <v>Finance</v>
      </c>
      <c r="M244" s="6" t="str">
        <f>IFERROR(__xludf.DUMMYFUNCTION("""COMPUTED_VALUE"""),"Non Banking Financial Company (NBFC)")</f>
        <v>Non Banking Financial Company (NBFC)</v>
      </c>
      <c r="N244" s="5">
        <f>IFERROR(__xludf.DUMMYFUNCTION("""COMPUTED_VALUE"""),31634.796985)</f>
        <v>31634.79699</v>
      </c>
      <c r="O244" s="6">
        <f t="shared" si="4"/>
        <v>123</v>
      </c>
      <c r="P244" s="6">
        <f t="shared" ref="P244:Q244" si="490">COUNTIFS(L:L,L244)</f>
        <v>56</v>
      </c>
      <c r="Q244" s="24">
        <f t="shared" si="490"/>
        <v>21</v>
      </c>
      <c r="R244" s="6" t="str">
        <f t="shared" si="6"/>
        <v>Non Banking Financial Company (NBFC)</v>
      </c>
      <c r="S244" s="6" t="str">
        <f t="shared" si="7"/>
        <v>Non Banking Financial Company (NBFC)</v>
      </c>
      <c r="T244" s="6">
        <f>IFERROR(__xludf.DUMMYFUNCTION("COUNTA(UNIQUE(query($A$2:$P$800,""select L where K='""&amp; K244&amp;""'"")))"),5.0)</f>
        <v>5</v>
      </c>
      <c r="U244" s="23">
        <f t="shared" si="8"/>
        <v>0.06097560976</v>
      </c>
      <c r="V244" s="23">
        <f t="shared" ref="V244:W244" si="491">P244/O244</f>
        <v>0.4552845528</v>
      </c>
      <c r="W244" s="23">
        <f t="shared" si="491"/>
        <v>0.375</v>
      </c>
    </row>
    <row r="245">
      <c r="A245" s="6">
        <f>IFERROR(__xludf.DUMMYFUNCTION("""COMPUTED_VALUE"""),532929.0)</f>
        <v>532929</v>
      </c>
      <c r="B245" s="6" t="str">
        <f>IFERROR(__xludf.DUMMYFUNCTION("""COMPUTED_VALUE"""),"Brigade Enterprises Limited")</f>
        <v>Brigade Enterprises Limited</v>
      </c>
      <c r="C245" s="6" t="str">
        <f>IFERROR(__xludf.DUMMYFUNCTION("""COMPUTED_VALUE"""),"BRIGADE")</f>
        <v>BRIGADE</v>
      </c>
      <c r="D245" s="6" t="str">
        <f>IFERROR(__xludf.DUMMYFUNCTION("""COMPUTED_VALUE"""),"BRIGADE ENTERPRISES LTD.")</f>
        <v>BRIGADE ENTERPRISES LTD.</v>
      </c>
      <c r="E245" s="6" t="str">
        <f>IFERROR(__xludf.DUMMYFUNCTION("""COMPUTED_VALUE"""),"Active")</f>
        <v>Active</v>
      </c>
      <c r="F245" s="6" t="str">
        <f>IFERROR(__xludf.DUMMYFUNCTION("""COMPUTED_VALUE"""),"A")</f>
        <v>A</v>
      </c>
      <c r="G245" s="6">
        <f>IFERROR(__xludf.DUMMYFUNCTION("""COMPUTED_VALUE"""),10.0)</f>
        <v>10</v>
      </c>
      <c r="H245" s="6" t="str">
        <f>IFERROR(__xludf.DUMMYFUNCTION("""COMPUTED_VALUE"""),"INE791I01019")</f>
        <v>INE791I01019</v>
      </c>
      <c r="I245" s="6" t="str">
        <f>IFERROR(__xludf.DUMMYFUNCTION("""COMPUTED_VALUE"""),"Equity")</f>
        <v>Equity</v>
      </c>
      <c r="J245" s="6" t="str">
        <f>IFERROR(__xludf.DUMMYFUNCTION("""COMPUTED_VALUE"""),"Consumer Discretionary")</f>
        <v>Consumer Discretionary</v>
      </c>
      <c r="K245" s="6" t="str">
        <f>IFERROR(__xludf.DUMMYFUNCTION("""COMPUTED_VALUE"""),"Realty")</f>
        <v>Realty</v>
      </c>
      <c r="L245" s="6" t="str">
        <f>IFERROR(__xludf.DUMMYFUNCTION("""COMPUTED_VALUE"""),"Realty")</f>
        <v>Realty</v>
      </c>
      <c r="M245" s="6" t="str">
        <f>IFERROR(__xludf.DUMMYFUNCTION("""COMPUTED_VALUE"""),"Residential, Commercial Projects")</f>
        <v>Residential, Commercial Projects</v>
      </c>
      <c r="N245" s="5">
        <f>IFERROR(__xludf.DUMMYFUNCTION("""COMPUTED_VALUE"""),31474.7732946)</f>
        <v>31474.77329</v>
      </c>
      <c r="O245" s="6">
        <f t="shared" si="4"/>
        <v>20</v>
      </c>
      <c r="P245" s="6">
        <f t="shared" ref="P245:Q245" si="492">COUNTIFS(L:L,L245)</f>
        <v>20</v>
      </c>
      <c r="Q245" s="24">
        <f t="shared" si="492"/>
        <v>20</v>
      </c>
      <c r="R245" s="6" t="str">
        <f t="shared" si="6"/>
        <v>Realty</v>
      </c>
      <c r="S245" s="6" t="str">
        <f t="shared" si="7"/>
        <v>Realty</v>
      </c>
      <c r="T245" s="6">
        <f>IFERROR(__xludf.DUMMYFUNCTION("COUNTA(UNIQUE(query($A$2:$P$800,""select L where K='""&amp; K245&amp;""'"")))"),1.0)</f>
        <v>1</v>
      </c>
      <c r="U245" s="23">
        <f t="shared" si="8"/>
        <v>0.075</v>
      </c>
      <c r="V245" s="23">
        <f t="shared" ref="V245:W245" si="493">P245/O245</f>
        <v>1</v>
      </c>
      <c r="W245" s="23">
        <f t="shared" si="493"/>
        <v>1</v>
      </c>
    </row>
    <row r="246">
      <c r="A246" s="6">
        <f>IFERROR(__xludf.DUMMYFUNCTION("""COMPUTED_VALUE"""),513599.0)</f>
        <v>513599</v>
      </c>
      <c r="B246" s="6" t="str">
        <f>IFERROR(__xludf.DUMMYFUNCTION("""COMPUTED_VALUE"""),"Hindustan Copper Ltd.")</f>
        <v>Hindustan Copper Ltd.</v>
      </c>
      <c r="C246" s="6" t="str">
        <f>IFERROR(__xludf.DUMMYFUNCTION("""COMPUTED_VALUE"""),"HINDCOPPER")</f>
        <v>HINDCOPPER</v>
      </c>
      <c r="D246" s="6" t="str">
        <f>IFERROR(__xludf.DUMMYFUNCTION("""COMPUTED_VALUE"""),"HINDUSTAN COPPER LTD.")</f>
        <v>HINDUSTAN COPPER LTD.</v>
      </c>
      <c r="E246" s="6" t="str">
        <f>IFERROR(__xludf.DUMMYFUNCTION("""COMPUTED_VALUE"""),"Active")</f>
        <v>Active</v>
      </c>
      <c r="F246" s="6" t="str">
        <f>IFERROR(__xludf.DUMMYFUNCTION("""COMPUTED_VALUE"""),"A")</f>
        <v>A</v>
      </c>
      <c r="G246" s="6">
        <f>IFERROR(__xludf.DUMMYFUNCTION("""COMPUTED_VALUE"""),5.0)</f>
        <v>5</v>
      </c>
      <c r="H246" s="6" t="str">
        <f>IFERROR(__xludf.DUMMYFUNCTION("""COMPUTED_VALUE"""),"INE531E01026")</f>
        <v>INE531E01026</v>
      </c>
      <c r="I246" s="6" t="str">
        <f>IFERROR(__xludf.DUMMYFUNCTION("""COMPUTED_VALUE"""),"Equity")</f>
        <v>Equity</v>
      </c>
      <c r="J246" s="6" t="str">
        <f>IFERROR(__xludf.DUMMYFUNCTION("""COMPUTED_VALUE"""),"Commodities")</f>
        <v>Commodities</v>
      </c>
      <c r="K246" s="6" t="str">
        <f>IFERROR(__xludf.DUMMYFUNCTION("""COMPUTED_VALUE"""),"Metals &amp; Mining")</f>
        <v>Metals &amp; Mining</v>
      </c>
      <c r="L246" s="6" t="str">
        <f>IFERROR(__xludf.DUMMYFUNCTION("""COMPUTED_VALUE"""),"Non - Ferrous Metals")</f>
        <v>Non - Ferrous Metals</v>
      </c>
      <c r="M246" s="6" t="str">
        <f>IFERROR(__xludf.DUMMYFUNCTION("""COMPUTED_VALUE"""),"Copper")</f>
        <v>Copper</v>
      </c>
      <c r="N246" s="5">
        <f>IFERROR(__xludf.DUMMYFUNCTION("""COMPUTED_VALUE"""),30957.7770639)</f>
        <v>30957.77706</v>
      </c>
      <c r="O246" s="6">
        <f t="shared" si="4"/>
        <v>20</v>
      </c>
      <c r="P246" s="6">
        <f t="shared" ref="P246:Q246" si="494">COUNTIFS(L:L,L246)</f>
        <v>4</v>
      </c>
      <c r="Q246" s="24">
        <f t="shared" si="494"/>
        <v>1</v>
      </c>
      <c r="R246" s="6" t="str">
        <f t="shared" si="6"/>
        <v>Metals &amp; Mining</v>
      </c>
      <c r="S246" s="6" t="str">
        <f t="shared" si="7"/>
        <v>Metals &amp; Mining</v>
      </c>
      <c r="T246" s="6">
        <f>IFERROR(__xludf.DUMMYFUNCTION("COUNTA(UNIQUE(query($A$2:$P$800,""select L where K='""&amp; K246&amp;""'"")))"),5.0)</f>
        <v>5</v>
      </c>
      <c r="U246" s="23">
        <f t="shared" si="8"/>
        <v>0.375</v>
      </c>
      <c r="V246" s="23">
        <f t="shared" ref="V246:W246" si="495">P246/O246</f>
        <v>0.2</v>
      </c>
      <c r="W246" s="23">
        <f t="shared" si="495"/>
        <v>0.25</v>
      </c>
    </row>
    <row r="247">
      <c r="A247" s="6">
        <f>IFERROR(__xludf.DUMMYFUNCTION("""COMPUTED_VALUE"""),544081.0)</f>
        <v>544081</v>
      </c>
      <c r="B247" s="6" t="str">
        <f>IFERROR(__xludf.DUMMYFUNCTION("""COMPUTED_VALUE"""),"Jyoti CNC Automation Limited")</f>
        <v>Jyoti CNC Automation Limited</v>
      </c>
      <c r="C247" s="6" t="str">
        <f>IFERROR(__xludf.DUMMYFUNCTION("""COMPUTED_VALUE"""),"JYOTICNC")</f>
        <v>JYOTICNC</v>
      </c>
      <c r="D247" s="6" t="str">
        <f>IFERROR(__xludf.DUMMYFUNCTION("""COMPUTED_VALUE"""),"Jyoti CNC Automation Ltd")</f>
        <v>Jyoti CNC Automation Ltd</v>
      </c>
      <c r="E247" s="6" t="str">
        <f>IFERROR(__xludf.DUMMYFUNCTION("""COMPUTED_VALUE"""),"Active")</f>
        <v>Active</v>
      </c>
      <c r="F247" s="6" t="str">
        <f>IFERROR(__xludf.DUMMYFUNCTION("""COMPUTED_VALUE"""),"B")</f>
        <v>B</v>
      </c>
      <c r="G247" s="6">
        <f>IFERROR(__xludf.DUMMYFUNCTION("""COMPUTED_VALUE"""),2.0)</f>
        <v>2</v>
      </c>
      <c r="H247" s="6" t="str">
        <f>IFERROR(__xludf.DUMMYFUNCTION("""COMPUTED_VALUE"""),"INE980O01024")</f>
        <v>INE980O01024</v>
      </c>
      <c r="I247" s="6" t="str">
        <f>IFERROR(__xludf.DUMMYFUNCTION("""COMPUTED_VALUE"""),"Equity")</f>
        <v>Equity</v>
      </c>
      <c r="J247" s="6" t="str">
        <f>IFERROR(__xludf.DUMMYFUNCTION("""COMPUTED_VALUE"""),"Industrials")</f>
        <v>Industrials</v>
      </c>
      <c r="K247" s="6" t="str">
        <f>IFERROR(__xludf.DUMMYFUNCTION("""COMPUTED_VALUE"""),"Capital Goods")</f>
        <v>Capital Goods</v>
      </c>
      <c r="L247" s="6" t="str">
        <f>IFERROR(__xludf.DUMMYFUNCTION("""COMPUTED_VALUE"""),"Industrial Manufacturing")</f>
        <v>Industrial Manufacturing</v>
      </c>
      <c r="M247" s="6" t="str">
        <f>IFERROR(__xludf.DUMMYFUNCTION("""COMPUTED_VALUE"""),"Industrial Products")</f>
        <v>Industrial Products</v>
      </c>
      <c r="N247" s="5">
        <f>IFERROR(__xludf.DUMMYFUNCTION("""COMPUTED_VALUE"""),30933.7456613)</f>
        <v>30933.74566</v>
      </c>
      <c r="O247" s="6">
        <f t="shared" si="4"/>
        <v>110</v>
      </c>
      <c r="P247" s="6">
        <f t="shared" ref="P247:Q247" si="496">COUNTIFS(L:L,L247)</f>
        <v>21</v>
      </c>
      <c r="Q247" s="24">
        <f t="shared" si="496"/>
        <v>17</v>
      </c>
      <c r="R247" s="6" t="str">
        <f t="shared" si="6"/>
        <v>Industrial Manufacturing</v>
      </c>
      <c r="S247" s="6" t="str">
        <f t="shared" si="7"/>
        <v>Industrial Manufacturing</v>
      </c>
      <c r="T247" s="6">
        <f>IFERROR(__xludf.DUMMYFUNCTION("COUNTA(UNIQUE(query($A$2:$P$800,""select L where K='""&amp; K247&amp;""'"")))"),5.0)</f>
        <v>5</v>
      </c>
      <c r="U247" s="23">
        <f t="shared" si="8"/>
        <v>0.06818181818</v>
      </c>
      <c r="V247" s="23">
        <f t="shared" ref="V247:W247" si="497">P247/O247</f>
        <v>0.1909090909</v>
      </c>
      <c r="W247" s="23">
        <f t="shared" si="497"/>
        <v>0.8095238095</v>
      </c>
    </row>
    <row r="248">
      <c r="A248" s="6">
        <f>IFERROR(__xludf.DUMMYFUNCTION("""COMPUTED_VALUE"""),506076.0)</f>
        <v>506076</v>
      </c>
      <c r="B248" s="6" t="str">
        <f>IFERROR(__xludf.DUMMYFUNCTION("""COMPUTED_VALUE"""),"Grindwell Norton Ltd.")</f>
        <v>Grindwell Norton Ltd.</v>
      </c>
      <c r="C248" s="6" t="str">
        <f>IFERROR(__xludf.DUMMYFUNCTION("""COMPUTED_VALUE"""),"GRINDWELL")</f>
        <v>GRINDWELL</v>
      </c>
      <c r="D248" s="6" t="str">
        <f>IFERROR(__xludf.DUMMYFUNCTION("""COMPUTED_VALUE"""),"GRINDWELL NORTON LTD.-$")</f>
        <v>GRINDWELL NORTON LTD.-$</v>
      </c>
      <c r="E248" s="6" t="str">
        <f>IFERROR(__xludf.DUMMYFUNCTION("""COMPUTED_VALUE"""),"Active")</f>
        <v>Active</v>
      </c>
      <c r="F248" s="6" t="str">
        <f>IFERROR(__xludf.DUMMYFUNCTION("""COMPUTED_VALUE"""),"A")</f>
        <v>A</v>
      </c>
      <c r="G248" s="6">
        <f>IFERROR(__xludf.DUMMYFUNCTION("""COMPUTED_VALUE"""),5.0)</f>
        <v>5</v>
      </c>
      <c r="H248" s="6" t="str">
        <f>IFERROR(__xludf.DUMMYFUNCTION("""COMPUTED_VALUE"""),"INE536A01023")</f>
        <v>INE536A01023</v>
      </c>
      <c r="I248" s="6" t="str">
        <f>IFERROR(__xludf.DUMMYFUNCTION("""COMPUTED_VALUE"""),"Equity")</f>
        <v>Equity</v>
      </c>
      <c r="J248" s="6" t="str">
        <f>IFERROR(__xludf.DUMMYFUNCTION("""COMPUTED_VALUE"""),"Industrials")</f>
        <v>Industrials</v>
      </c>
      <c r="K248" s="6" t="str">
        <f>IFERROR(__xludf.DUMMYFUNCTION("""COMPUTED_VALUE"""),"Capital Goods")</f>
        <v>Capital Goods</v>
      </c>
      <c r="L248" s="6" t="str">
        <f>IFERROR(__xludf.DUMMYFUNCTION("""COMPUTED_VALUE"""),"Industrial Products")</f>
        <v>Industrial Products</v>
      </c>
      <c r="M248" s="6" t="str">
        <f>IFERROR(__xludf.DUMMYFUNCTION("""COMPUTED_VALUE"""),"Abrasives &amp; Bearings")</f>
        <v>Abrasives &amp; Bearings</v>
      </c>
      <c r="N248" s="5">
        <f>IFERROR(__xludf.DUMMYFUNCTION("""COMPUTED_VALUE"""),30578.9154751)</f>
        <v>30578.91548</v>
      </c>
      <c r="O248" s="6">
        <f t="shared" si="4"/>
        <v>110</v>
      </c>
      <c r="P248" s="6">
        <f t="shared" ref="P248:Q248" si="498">COUNTIFS(L:L,L248)</f>
        <v>51</v>
      </c>
      <c r="Q248" s="24">
        <f t="shared" si="498"/>
        <v>4</v>
      </c>
      <c r="R248" s="6" t="str">
        <f t="shared" si="6"/>
        <v>Industrial Products</v>
      </c>
      <c r="S248" s="6" t="str">
        <f t="shared" si="7"/>
        <v>Industrial Products</v>
      </c>
      <c r="T248" s="6">
        <f>IFERROR(__xludf.DUMMYFUNCTION("COUNTA(UNIQUE(query($A$2:$P$800,""select L where K='""&amp; K248&amp;""'"")))"),5.0)</f>
        <v>5</v>
      </c>
      <c r="U248" s="23">
        <f t="shared" si="8"/>
        <v>0.06818181818</v>
      </c>
      <c r="V248" s="23">
        <f t="shared" ref="V248:W248" si="499">P248/O248</f>
        <v>0.4636363636</v>
      </c>
      <c r="W248" s="23">
        <f t="shared" si="499"/>
        <v>0.07843137255</v>
      </c>
    </row>
    <row r="249">
      <c r="A249" s="6">
        <f>IFERROR(__xludf.DUMMYFUNCTION("""COMPUTED_VALUE"""),500003.0)</f>
        <v>500003</v>
      </c>
      <c r="B249" s="6" t="str">
        <f>IFERROR(__xludf.DUMMYFUNCTION("""COMPUTED_VALUE"""),"Aegis Logistics Ltd.")</f>
        <v>Aegis Logistics Ltd.</v>
      </c>
      <c r="C249" s="6" t="str">
        <f>IFERROR(__xludf.DUMMYFUNCTION("""COMPUTED_VALUE"""),"AEGISLOG")</f>
        <v>AEGISLOG</v>
      </c>
      <c r="D249" s="6" t="str">
        <f>IFERROR(__xludf.DUMMYFUNCTION("""COMPUTED_VALUE"""),"AEGIS LOGISTICS LTD.")</f>
        <v>AEGIS LOGISTICS LTD.</v>
      </c>
      <c r="E249" s="6" t="str">
        <f>IFERROR(__xludf.DUMMYFUNCTION("""COMPUTED_VALUE"""),"Active")</f>
        <v>Active</v>
      </c>
      <c r="F249" s="6" t="str">
        <f>IFERROR(__xludf.DUMMYFUNCTION("""COMPUTED_VALUE"""),"A")</f>
        <v>A</v>
      </c>
      <c r="G249" s="6">
        <f>IFERROR(__xludf.DUMMYFUNCTION("""COMPUTED_VALUE"""),1.0)</f>
        <v>1</v>
      </c>
      <c r="H249" s="6" t="str">
        <f>IFERROR(__xludf.DUMMYFUNCTION("""COMPUTED_VALUE"""),"INE208C01025")</f>
        <v>INE208C01025</v>
      </c>
      <c r="I249" s="6" t="str">
        <f>IFERROR(__xludf.DUMMYFUNCTION("""COMPUTED_VALUE"""),"Equity")</f>
        <v>Equity</v>
      </c>
      <c r="J249" s="6" t="str">
        <f>IFERROR(__xludf.DUMMYFUNCTION("""COMPUTED_VALUE"""),"Energy")</f>
        <v>Energy</v>
      </c>
      <c r="K249" s="6" t="str">
        <f>IFERROR(__xludf.DUMMYFUNCTION("""COMPUTED_VALUE"""),"Oil, Gas &amp; Consumable, Fuels")</f>
        <v>Oil, Gas &amp; Consumable, Fuels</v>
      </c>
      <c r="L249" s="6" t="str">
        <f>IFERROR(__xludf.DUMMYFUNCTION("""COMPUTED_VALUE"""),"Gas")</f>
        <v>Gas</v>
      </c>
      <c r="M249" s="6" t="str">
        <f>IFERROR(__xludf.DUMMYFUNCTION("""COMPUTED_VALUE"""),"Trading - Gas")</f>
        <v>Trading - Gas</v>
      </c>
      <c r="N249" s="5">
        <f>IFERROR(__xludf.DUMMYFUNCTION("""COMPUTED_VALUE"""),30576.2026745)</f>
        <v>30576.20267</v>
      </c>
      <c r="O249" s="6">
        <f t="shared" si="4"/>
        <v>20</v>
      </c>
      <c r="P249" s="6">
        <f t="shared" ref="P249:Q249" si="500">COUNTIFS(L:L,L249)</f>
        <v>8</v>
      </c>
      <c r="Q249" s="24">
        <f t="shared" si="500"/>
        <v>1</v>
      </c>
      <c r="R249" s="6" t="str">
        <f t="shared" si="6"/>
        <v>Oil, Gas &amp; Consumable, Fuels</v>
      </c>
      <c r="S249" s="6" t="str">
        <f t="shared" si="7"/>
        <v>Oil, Gas &amp; Consumable, Fuels</v>
      </c>
      <c r="T249" s="6">
        <f>IFERROR(__xludf.DUMMYFUNCTION("COUNTA(UNIQUE(query($A$2:$P$800,""select L where K='""&amp; K249&amp;""'"")))"),4.0)</f>
        <v>4</v>
      </c>
      <c r="U249" s="23">
        <f t="shared" si="8"/>
        <v>0.3</v>
      </c>
      <c r="V249" s="23">
        <f t="shared" ref="V249:W249" si="501">P249/O249</f>
        <v>0.4</v>
      </c>
      <c r="W249" s="23">
        <f t="shared" si="501"/>
        <v>0.125</v>
      </c>
    </row>
    <row r="250">
      <c r="A250" s="6">
        <f>IFERROR(__xludf.DUMMYFUNCTION("""COMPUTED_VALUE"""),544179.0)</f>
        <v>544179</v>
      </c>
      <c r="B250" s="6" t="str">
        <f>IFERROR(__xludf.DUMMYFUNCTION("""COMPUTED_VALUE"""),"Go Digit General Insurance Limited")</f>
        <v>Go Digit General Insurance Limited</v>
      </c>
      <c r="C250" s="6" t="str">
        <f>IFERROR(__xludf.DUMMYFUNCTION("""COMPUTED_VALUE"""),"GODIGIT")</f>
        <v>GODIGIT</v>
      </c>
      <c r="D250" s="6" t="str">
        <f>IFERROR(__xludf.DUMMYFUNCTION("""COMPUTED_VALUE"""),"Go Digit General Insurance Ltd")</f>
        <v>Go Digit General Insurance Ltd</v>
      </c>
      <c r="E250" s="6" t="str">
        <f>IFERROR(__xludf.DUMMYFUNCTION("""COMPUTED_VALUE"""),"Active")</f>
        <v>Active</v>
      </c>
      <c r="F250" s="6" t="str">
        <f>IFERROR(__xludf.DUMMYFUNCTION("""COMPUTED_VALUE"""),"B")</f>
        <v>B</v>
      </c>
      <c r="G250" s="6">
        <f>IFERROR(__xludf.DUMMYFUNCTION("""COMPUTED_VALUE"""),10.0)</f>
        <v>10</v>
      </c>
      <c r="H250" s="6" t="str">
        <f>IFERROR(__xludf.DUMMYFUNCTION("""COMPUTED_VALUE"""),"INE03JT01014")</f>
        <v>INE03JT01014</v>
      </c>
      <c r="I250" s="6" t="str">
        <f>IFERROR(__xludf.DUMMYFUNCTION("""COMPUTED_VALUE"""),"Equity")</f>
        <v>Equity</v>
      </c>
      <c r="J250" s="6" t="str">
        <f>IFERROR(__xludf.DUMMYFUNCTION("""COMPUTED_VALUE"""),"Financial Services")</f>
        <v>Financial Services</v>
      </c>
      <c r="K250" s="6" t="str">
        <f>IFERROR(__xludf.DUMMYFUNCTION("""COMPUTED_VALUE"""),"Financial Services")</f>
        <v>Financial Services</v>
      </c>
      <c r="L250" s="6" t="str">
        <f>IFERROR(__xludf.DUMMYFUNCTION("""COMPUTED_VALUE"""),"Insurance")</f>
        <v>Insurance</v>
      </c>
      <c r="M250" s="6" t="str">
        <f>IFERROR(__xludf.DUMMYFUNCTION("""COMPUTED_VALUE"""),"General Insurance")</f>
        <v>General Insurance</v>
      </c>
      <c r="N250" s="5">
        <f>IFERROR(__xludf.DUMMYFUNCTION("""COMPUTED_VALUE"""),30502.4142055)</f>
        <v>30502.41421</v>
      </c>
      <c r="O250" s="6">
        <f t="shared" si="4"/>
        <v>123</v>
      </c>
      <c r="P250" s="6">
        <f t="shared" ref="P250:Q250" si="502">COUNTIFS(L:L,L250)</f>
        <v>10</v>
      </c>
      <c r="Q250" s="24">
        <f t="shared" si="502"/>
        <v>5</v>
      </c>
      <c r="R250" s="6" t="str">
        <f t="shared" si="6"/>
        <v>Financial Services</v>
      </c>
      <c r="S250" s="6" t="str">
        <f t="shared" si="7"/>
        <v>Financial Services</v>
      </c>
      <c r="T250" s="6">
        <f>IFERROR(__xludf.DUMMYFUNCTION("COUNTA(UNIQUE(query($A$2:$P$800,""select L where K='""&amp; K250&amp;""'"")))"),5.0)</f>
        <v>5</v>
      </c>
      <c r="U250" s="23">
        <f t="shared" si="8"/>
        <v>0.06097560976</v>
      </c>
      <c r="V250" s="23">
        <f t="shared" ref="V250:W250" si="503">P250/O250</f>
        <v>0.08130081301</v>
      </c>
      <c r="W250" s="23">
        <f t="shared" si="503"/>
        <v>0.5</v>
      </c>
    </row>
    <row r="251">
      <c r="A251" s="6">
        <f>IFERROR(__xludf.DUMMYFUNCTION("""COMPUTED_VALUE"""),500008.0)</f>
        <v>500008</v>
      </c>
      <c r="B251" s="6" t="str">
        <f>IFERROR(__xludf.DUMMYFUNCTION("""COMPUTED_VALUE"""),"Amara Raja Energy &amp; Mobility Limited")</f>
        <v>Amara Raja Energy &amp; Mobility Limited</v>
      </c>
      <c r="C251" s="6" t="str">
        <f>IFERROR(__xludf.DUMMYFUNCTION("""COMPUTED_VALUE"""),"ARE&amp;M")</f>
        <v>ARE&amp;M</v>
      </c>
      <c r="D251" s="6" t="str">
        <f>IFERROR(__xludf.DUMMYFUNCTION("""COMPUTED_VALUE"""),"Amara Raja Energy &amp; Mobility Ltd")</f>
        <v>Amara Raja Energy &amp; Mobility Ltd</v>
      </c>
      <c r="E251" s="6" t="str">
        <f>IFERROR(__xludf.DUMMYFUNCTION("""COMPUTED_VALUE"""),"Active")</f>
        <v>Active</v>
      </c>
      <c r="F251" s="6" t="str">
        <f>IFERROR(__xludf.DUMMYFUNCTION("""COMPUTED_VALUE"""),"A")</f>
        <v>A</v>
      </c>
      <c r="G251" s="6">
        <f>IFERROR(__xludf.DUMMYFUNCTION("""COMPUTED_VALUE"""),1.0)</f>
        <v>1</v>
      </c>
      <c r="H251" s="6" t="str">
        <f>IFERROR(__xludf.DUMMYFUNCTION("""COMPUTED_VALUE"""),"INE885A01032")</f>
        <v>INE885A01032</v>
      </c>
      <c r="I251" s="6" t="str">
        <f>IFERROR(__xludf.DUMMYFUNCTION("""COMPUTED_VALUE"""),"Equity")</f>
        <v>Equity</v>
      </c>
      <c r="J251" s="6" t="str">
        <f>IFERROR(__xludf.DUMMYFUNCTION("""COMPUTED_VALUE"""),"Consumer Discretionary")</f>
        <v>Consumer Discretionary</v>
      </c>
      <c r="K251" s="6" t="str">
        <f>IFERROR(__xludf.DUMMYFUNCTION("""COMPUTED_VALUE"""),"Automobile and Auto Components")</f>
        <v>Automobile and Auto Components</v>
      </c>
      <c r="L251" s="6" t="str">
        <f>IFERROR(__xludf.DUMMYFUNCTION("""COMPUTED_VALUE"""),"Auto Components")</f>
        <v>Auto Components</v>
      </c>
      <c r="M251" s="6" t="str">
        <f>IFERROR(__xludf.DUMMYFUNCTION("""COMPUTED_VALUE"""),"Auto Components &amp; Equipments")</f>
        <v>Auto Components &amp; Equipments</v>
      </c>
      <c r="N251" s="5">
        <f>IFERROR(__xludf.DUMMYFUNCTION("""COMPUTED_VALUE"""),30439.86)</f>
        <v>30439.86</v>
      </c>
      <c r="O251" s="6">
        <f t="shared" si="4"/>
        <v>47</v>
      </c>
      <c r="P251" s="6">
        <f t="shared" ref="P251:Q251" si="504">COUNTIFS(L:L,L251)</f>
        <v>37</v>
      </c>
      <c r="Q251" s="24">
        <f t="shared" si="504"/>
        <v>32</v>
      </c>
      <c r="R251" s="6" t="str">
        <f t="shared" si="6"/>
        <v>Automobile and Auto Components</v>
      </c>
      <c r="S251" s="6" t="str">
        <f t="shared" si="7"/>
        <v>Automobile and Auto Components</v>
      </c>
      <c r="T251" s="6">
        <f>IFERROR(__xludf.DUMMYFUNCTION("COUNTA(UNIQUE(query($A$2:$P$800,""select L where K='""&amp; K251&amp;""'"")))"),2.0)</f>
        <v>2</v>
      </c>
      <c r="U251" s="23">
        <f t="shared" si="8"/>
        <v>0.06382978723</v>
      </c>
      <c r="V251" s="23">
        <f t="shared" ref="V251:W251" si="505">P251/O251</f>
        <v>0.7872340426</v>
      </c>
      <c r="W251" s="23">
        <f t="shared" si="505"/>
        <v>0.8648648649</v>
      </c>
    </row>
    <row r="252">
      <c r="A252" s="6">
        <f>IFERROR(__xludf.DUMMYFUNCTION("""COMPUTED_VALUE"""),532733.0)</f>
        <v>532733</v>
      </c>
      <c r="B252" s="6" t="str">
        <f>IFERROR(__xludf.DUMMYFUNCTION("""COMPUTED_VALUE"""),"SUN TV NETWORK LIMITED")</f>
        <v>SUN TV NETWORK LIMITED</v>
      </c>
      <c r="C252" s="6" t="str">
        <f>IFERROR(__xludf.DUMMYFUNCTION("""COMPUTED_VALUE"""),"SUNTV")</f>
        <v>SUNTV</v>
      </c>
      <c r="D252" s="6" t="str">
        <f>IFERROR(__xludf.DUMMYFUNCTION("""COMPUTED_VALUE"""),"SUN TV NETWORK LTD.")</f>
        <v>SUN TV NETWORK LTD.</v>
      </c>
      <c r="E252" s="6" t="str">
        <f>IFERROR(__xludf.DUMMYFUNCTION("""COMPUTED_VALUE"""),"Active")</f>
        <v>Active</v>
      </c>
      <c r="F252" s="6" t="str">
        <f>IFERROR(__xludf.DUMMYFUNCTION("""COMPUTED_VALUE"""),"A")</f>
        <v>A</v>
      </c>
      <c r="G252" s="6">
        <f>IFERROR(__xludf.DUMMYFUNCTION("""COMPUTED_VALUE"""),5.0)</f>
        <v>5</v>
      </c>
      <c r="H252" s="6" t="str">
        <f>IFERROR(__xludf.DUMMYFUNCTION("""COMPUTED_VALUE"""),"INE424H01027")</f>
        <v>INE424H01027</v>
      </c>
      <c r="I252" s="6" t="str">
        <f>IFERROR(__xludf.DUMMYFUNCTION("""COMPUTED_VALUE"""),"Equity")</f>
        <v>Equity</v>
      </c>
      <c r="J252" s="6" t="str">
        <f>IFERROR(__xludf.DUMMYFUNCTION("""COMPUTED_VALUE"""),"Consumer Discretionary")</f>
        <v>Consumer Discretionary</v>
      </c>
      <c r="K252" s="6" t="str">
        <f>IFERROR(__xludf.DUMMYFUNCTION("""COMPUTED_VALUE"""),"Media, Entertainment &amp; Publication")</f>
        <v>Media, Entertainment &amp; Publication</v>
      </c>
      <c r="L252" s="6" t="str">
        <f>IFERROR(__xludf.DUMMYFUNCTION("""COMPUTED_VALUE"""),"Entertainment")</f>
        <v>Entertainment</v>
      </c>
      <c r="M252" s="6" t="str">
        <f>IFERROR(__xludf.DUMMYFUNCTION("""COMPUTED_VALUE"""),"TV Broadcasting &amp; Software Production")</f>
        <v>TV Broadcasting &amp; Software Production</v>
      </c>
      <c r="N252" s="5">
        <f>IFERROR(__xludf.DUMMYFUNCTION("""COMPUTED_VALUE"""),30109.688226)</f>
        <v>30109.68823</v>
      </c>
      <c r="O252" s="6">
        <f t="shared" si="4"/>
        <v>9</v>
      </c>
      <c r="P252" s="6">
        <f t="shared" ref="P252:Q252" si="506">COUNTIFS(L:L,L252)</f>
        <v>8</v>
      </c>
      <c r="Q252" s="24">
        <f t="shared" si="506"/>
        <v>3</v>
      </c>
      <c r="R252" s="6" t="str">
        <f t="shared" si="6"/>
        <v>Media, Entertainment &amp; Publication</v>
      </c>
      <c r="S252" s="6" t="str">
        <f t="shared" si="7"/>
        <v>Media, Entertainment &amp; Publication</v>
      </c>
      <c r="T252" s="6">
        <f>IFERROR(__xludf.DUMMYFUNCTION("COUNTA(UNIQUE(query($A$2:$P$800,""select L where K='""&amp; K252&amp;""'"")))"),2.0)</f>
        <v>2</v>
      </c>
      <c r="U252" s="23">
        <f t="shared" si="8"/>
        <v>0.3333333333</v>
      </c>
      <c r="V252" s="23">
        <f t="shared" ref="V252:W252" si="507">P252/O252</f>
        <v>0.8888888889</v>
      </c>
      <c r="W252" s="23">
        <f t="shared" si="507"/>
        <v>0.375</v>
      </c>
    </row>
    <row r="253">
      <c r="A253" s="6">
        <f>IFERROR(__xludf.DUMMYFUNCTION("""COMPUTED_VALUE"""),531162.0)</f>
        <v>531162</v>
      </c>
      <c r="B253" s="6" t="str">
        <f>IFERROR(__xludf.DUMMYFUNCTION("""COMPUTED_VALUE"""),"Emami Ltd")</f>
        <v>Emami Ltd</v>
      </c>
      <c r="C253" s="6" t="str">
        <f>IFERROR(__xludf.DUMMYFUNCTION("""COMPUTED_VALUE"""),"EMAMILTD")</f>
        <v>EMAMILTD</v>
      </c>
      <c r="D253" s="6" t="str">
        <f>IFERROR(__xludf.DUMMYFUNCTION("""COMPUTED_VALUE"""),"EMAMI LTD.-$")</f>
        <v>EMAMI LTD.-$</v>
      </c>
      <c r="E253" s="6" t="str">
        <f>IFERROR(__xludf.DUMMYFUNCTION("""COMPUTED_VALUE"""),"Active")</f>
        <v>Active</v>
      </c>
      <c r="F253" s="6" t="str">
        <f>IFERROR(__xludf.DUMMYFUNCTION("""COMPUTED_VALUE"""),"A")</f>
        <v>A</v>
      </c>
      <c r="G253" s="6">
        <f>IFERROR(__xludf.DUMMYFUNCTION("""COMPUTED_VALUE"""),1.0)</f>
        <v>1</v>
      </c>
      <c r="H253" s="6" t="str">
        <f>IFERROR(__xludf.DUMMYFUNCTION("""COMPUTED_VALUE"""),"INE548C01032")</f>
        <v>INE548C01032</v>
      </c>
      <c r="I253" s="6" t="str">
        <f>IFERROR(__xludf.DUMMYFUNCTION("""COMPUTED_VALUE"""),"Equity")</f>
        <v>Equity</v>
      </c>
      <c r="J253" s="6" t="str">
        <f>IFERROR(__xludf.DUMMYFUNCTION("""COMPUTED_VALUE"""),"Fast Moving Consumer Goods")</f>
        <v>Fast Moving Consumer Goods</v>
      </c>
      <c r="K253" s="6" t="str">
        <f>IFERROR(__xludf.DUMMYFUNCTION("""COMPUTED_VALUE"""),"Fast Moving Consumer Goods")</f>
        <v>Fast Moving Consumer Goods</v>
      </c>
      <c r="L253" s="6" t="str">
        <f>IFERROR(__xludf.DUMMYFUNCTION("""COMPUTED_VALUE"""),"Personal Products")</f>
        <v>Personal Products</v>
      </c>
      <c r="M253" s="6" t="str">
        <f>IFERROR(__xludf.DUMMYFUNCTION("""COMPUTED_VALUE"""),"Personal Care")</f>
        <v>Personal Care</v>
      </c>
      <c r="N253" s="5">
        <f>IFERROR(__xludf.DUMMYFUNCTION("""COMPUTED_VALUE"""),30104.6076006)</f>
        <v>30104.6076</v>
      </c>
      <c r="O253" s="6">
        <f t="shared" si="4"/>
        <v>44</v>
      </c>
      <c r="P253" s="6">
        <f t="shared" ref="P253:Q253" si="508">COUNTIFS(L:L,L253)</f>
        <v>7</v>
      </c>
      <c r="Q253" s="24">
        <f t="shared" si="508"/>
        <v>7</v>
      </c>
      <c r="R253" s="6" t="str">
        <f t="shared" si="6"/>
        <v>Fast Moving Consumer Goods</v>
      </c>
      <c r="S253" s="6" t="str">
        <f t="shared" si="7"/>
        <v>Fast Moving Consumer Goods</v>
      </c>
      <c r="T253" s="6">
        <f>IFERROR(__xludf.DUMMYFUNCTION("COUNTA(UNIQUE(query($A$2:$P$800,""select L where K='""&amp; K253&amp;""'"")))"),7.0)</f>
        <v>7</v>
      </c>
      <c r="U253" s="23">
        <f t="shared" si="8"/>
        <v>0.2386363636</v>
      </c>
      <c r="V253" s="23">
        <f t="shared" ref="V253:W253" si="509">P253/O253</f>
        <v>0.1590909091</v>
      </c>
      <c r="W253" s="23">
        <f t="shared" si="509"/>
        <v>1</v>
      </c>
    </row>
    <row r="254">
      <c r="A254" s="6">
        <f>IFERROR(__xludf.DUMMYFUNCTION("""COMPUTED_VALUE"""),500092.0)</f>
        <v>500092</v>
      </c>
      <c r="B254" s="6" t="str">
        <f>IFERROR(__xludf.DUMMYFUNCTION("""COMPUTED_VALUE"""),"CRISIL Ltd.")</f>
        <v>CRISIL Ltd.</v>
      </c>
      <c r="C254" s="6" t="str">
        <f>IFERROR(__xludf.DUMMYFUNCTION("""COMPUTED_VALUE"""),"CRISIL")</f>
        <v>CRISIL</v>
      </c>
      <c r="D254" s="6" t="str">
        <f>IFERROR(__xludf.DUMMYFUNCTION("""COMPUTED_VALUE"""),"CRISIL LTD.")</f>
        <v>CRISIL LTD.</v>
      </c>
      <c r="E254" s="6" t="str">
        <f>IFERROR(__xludf.DUMMYFUNCTION("""COMPUTED_VALUE"""),"Active")</f>
        <v>Active</v>
      </c>
      <c r="F254" s="6" t="str">
        <f>IFERROR(__xludf.DUMMYFUNCTION("""COMPUTED_VALUE"""),"A")</f>
        <v>A</v>
      </c>
      <c r="G254" s="6">
        <f>IFERROR(__xludf.DUMMYFUNCTION("""COMPUTED_VALUE"""),1.0)</f>
        <v>1</v>
      </c>
      <c r="H254" s="6" t="str">
        <f>IFERROR(__xludf.DUMMYFUNCTION("""COMPUTED_VALUE"""),"INE007A01025")</f>
        <v>INE007A01025</v>
      </c>
      <c r="I254" s="6" t="str">
        <f>IFERROR(__xludf.DUMMYFUNCTION("""COMPUTED_VALUE"""),"Equity")</f>
        <v>Equity</v>
      </c>
      <c r="J254" s="6" t="str">
        <f>IFERROR(__xludf.DUMMYFUNCTION("""COMPUTED_VALUE"""),"Financial Services")</f>
        <v>Financial Services</v>
      </c>
      <c r="K254" s="6" t="str">
        <f>IFERROR(__xludf.DUMMYFUNCTION("""COMPUTED_VALUE"""),"Financial Services")</f>
        <v>Financial Services</v>
      </c>
      <c r="L254" s="6" t="str">
        <f>IFERROR(__xludf.DUMMYFUNCTION("""COMPUTED_VALUE"""),"Finance")</f>
        <v>Finance</v>
      </c>
      <c r="M254" s="6" t="str">
        <f>IFERROR(__xludf.DUMMYFUNCTION("""COMPUTED_VALUE"""),"Other Financial Services")</f>
        <v>Other Financial Services</v>
      </c>
      <c r="N254" s="5">
        <f>IFERROR(__xludf.DUMMYFUNCTION("""COMPUTED_VALUE"""),30062.107356)</f>
        <v>30062.10736</v>
      </c>
      <c r="O254" s="6">
        <f t="shared" si="4"/>
        <v>123</v>
      </c>
      <c r="P254" s="6">
        <f t="shared" ref="P254:Q254" si="510">COUNTIFS(L:L,L254)</f>
        <v>56</v>
      </c>
      <c r="Q254" s="24">
        <f t="shared" si="510"/>
        <v>1</v>
      </c>
      <c r="R254" s="6" t="str">
        <f t="shared" si="6"/>
        <v>Finance</v>
      </c>
      <c r="S254" s="6" t="str">
        <f t="shared" si="7"/>
        <v>Finance</v>
      </c>
      <c r="T254" s="6">
        <f>IFERROR(__xludf.DUMMYFUNCTION("COUNTA(UNIQUE(query($A$2:$P$800,""select L where K='""&amp; K254&amp;""'"")))"),5.0)</f>
        <v>5</v>
      </c>
      <c r="U254" s="23">
        <f t="shared" si="8"/>
        <v>0.06097560976</v>
      </c>
      <c r="V254" s="23">
        <f t="shared" ref="V254:W254" si="511">P254/O254</f>
        <v>0.4552845528</v>
      </c>
      <c r="W254" s="23">
        <f t="shared" si="511"/>
        <v>0.01785714286</v>
      </c>
    </row>
    <row r="255">
      <c r="A255" s="6">
        <f>IFERROR(__xludf.DUMMYFUNCTION("""COMPUTED_VALUE"""),543245.0)</f>
        <v>543245</v>
      </c>
      <c r="B255" s="6" t="str">
        <f>IFERROR(__xludf.DUMMYFUNCTION("""COMPUTED_VALUE"""),"Gland Pharma Limited")</f>
        <v>Gland Pharma Limited</v>
      </c>
      <c r="C255" s="6" t="str">
        <f>IFERROR(__xludf.DUMMYFUNCTION("""COMPUTED_VALUE"""),"GLAND")</f>
        <v>GLAND</v>
      </c>
      <c r="D255" s="6" t="str">
        <f>IFERROR(__xludf.DUMMYFUNCTION("""COMPUTED_VALUE"""),"Gland Pharma Ltd")</f>
        <v>Gland Pharma Ltd</v>
      </c>
      <c r="E255" s="6" t="str">
        <f>IFERROR(__xludf.DUMMYFUNCTION("""COMPUTED_VALUE"""),"Active")</f>
        <v>Active</v>
      </c>
      <c r="F255" s="6" t="str">
        <f>IFERROR(__xludf.DUMMYFUNCTION("""COMPUTED_VALUE"""),"A")</f>
        <v>A</v>
      </c>
      <c r="G255" s="6">
        <f>IFERROR(__xludf.DUMMYFUNCTION("""COMPUTED_VALUE"""),1.0)</f>
        <v>1</v>
      </c>
      <c r="H255" s="6" t="str">
        <f>IFERROR(__xludf.DUMMYFUNCTION("""COMPUTED_VALUE"""),"INE068V01023")</f>
        <v>INE068V01023</v>
      </c>
      <c r="I255" s="6" t="str">
        <f>IFERROR(__xludf.DUMMYFUNCTION("""COMPUTED_VALUE"""),"Equity")</f>
        <v>Equity</v>
      </c>
      <c r="J255" s="6" t="str">
        <f>IFERROR(__xludf.DUMMYFUNCTION("""COMPUTED_VALUE"""),"Healthcare")</f>
        <v>Healthcare</v>
      </c>
      <c r="K255" s="6" t="str">
        <f>IFERROR(__xludf.DUMMYFUNCTION("""COMPUTED_VALUE"""),"Healthcare")</f>
        <v>Healthcare</v>
      </c>
      <c r="L255" s="6" t="str">
        <f>IFERROR(__xludf.DUMMYFUNCTION("""COMPUTED_VALUE"""),"Pharmaceuticals &amp; Biotechnology")</f>
        <v>Pharmaceuticals &amp; Biotechnology</v>
      </c>
      <c r="M255" s="6" t="str">
        <f>IFERROR(__xludf.DUMMYFUNCTION("""COMPUTED_VALUE"""),"Pharmaceuticals")</f>
        <v>Pharmaceuticals</v>
      </c>
      <c r="N255" s="5">
        <f>IFERROR(__xludf.DUMMYFUNCTION("""COMPUTED_VALUE"""),29979.55044)</f>
        <v>29979.55044</v>
      </c>
      <c r="O255" s="6">
        <f t="shared" si="4"/>
        <v>62</v>
      </c>
      <c r="P255" s="6">
        <f t="shared" ref="P255:Q255" si="512">COUNTIFS(L:L,L255)</f>
        <v>45</v>
      </c>
      <c r="Q255" s="24">
        <f t="shared" si="512"/>
        <v>45</v>
      </c>
      <c r="R255" s="6" t="str">
        <f t="shared" si="6"/>
        <v>Healthcare</v>
      </c>
      <c r="S255" s="6" t="str">
        <f t="shared" si="7"/>
        <v>Healthcare</v>
      </c>
      <c r="T255" s="6">
        <f>IFERROR(__xludf.DUMMYFUNCTION("COUNTA(UNIQUE(query($A$2:$P$800,""select L where K='""&amp; K255&amp;""'"")))"),3.0)</f>
        <v>3</v>
      </c>
      <c r="U255" s="23">
        <f t="shared" si="8"/>
        <v>0.07258064516</v>
      </c>
      <c r="V255" s="23">
        <f t="shared" ref="V255:W255" si="513">P255/O255</f>
        <v>0.7258064516</v>
      </c>
      <c r="W255" s="23">
        <f t="shared" si="513"/>
        <v>1</v>
      </c>
    </row>
    <row r="256">
      <c r="A256" s="6">
        <f>IFERROR(__xludf.DUMMYFUNCTION("""COMPUTED_VALUE"""),534309.0)</f>
        <v>534309</v>
      </c>
      <c r="B256" s="6" t="str">
        <f>IFERROR(__xludf.DUMMYFUNCTION("""COMPUTED_VALUE"""),"NBCC (India) Limited")</f>
        <v>NBCC (India) Limited</v>
      </c>
      <c r="C256" s="6" t="str">
        <f>IFERROR(__xludf.DUMMYFUNCTION("""COMPUTED_VALUE"""),"NBCC")</f>
        <v>NBCC</v>
      </c>
      <c r="D256" s="6" t="str">
        <f>IFERROR(__xludf.DUMMYFUNCTION("""COMPUTED_VALUE"""),"NBCC (India) Ltd")</f>
        <v>NBCC (India) Ltd</v>
      </c>
      <c r="E256" s="6" t="str">
        <f>IFERROR(__xludf.DUMMYFUNCTION("""COMPUTED_VALUE"""),"Active")</f>
        <v>Active</v>
      </c>
      <c r="F256" s="6" t="str">
        <f>IFERROR(__xludf.DUMMYFUNCTION("""COMPUTED_VALUE"""),"A")</f>
        <v>A</v>
      </c>
      <c r="G256" s="6">
        <f>IFERROR(__xludf.DUMMYFUNCTION("""COMPUTED_VALUE"""),1.0)</f>
        <v>1</v>
      </c>
      <c r="H256" s="6" t="str">
        <f>IFERROR(__xludf.DUMMYFUNCTION("""COMPUTED_VALUE"""),"INE095N01031")</f>
        <v>INE095N01031</v>
      </c>
      <c r="I256" s="6" t="str">
        <f>IFERROR(__xludf.DUMMYFUNCTION("""COMPUTED_VALUE"""),"Equity")</f>
        <v>Equity</v>
      </c>
      <c r="J256" s="6" t="str">
        <f>IFERROR(__xludf.DUMMYFUNCTION("""COMPUTED_VALUE"""),"Industrials")</f>
        <v>Industrials</v>
      </c>
      <c r="K256" s="6" t="str">
        <f>IFERROR(__xludf.DUMMYFUNCTION("""COMPUTED_VALUE"""),"Construction")</f>
        <v>Construction</v>
      </c>
      <c r="L256" s="6" t="str">
        <f>IFERROR(__xludf.DUMMYFUNCTION("""COMPUTED_VALUE"""),"Construction")</f>
        <v>Construction</v>
      </c>
      <c r="M256" s="6" t="str">
        <f>IFERROR(__xludf.DUMMYFUNCTION("""COMPUTED_VALUE"""),"Civil Construction")</f>
        <v>Civil Construction</v>
      </c>
      <c r="N256" s="5">
        <f>IFERROR(__xludf.DUMMYFUNCTION("""COMPUTED_VALUE"""),29876.5098211)</f>
        <v>29876.50982</v>
      </c>
      <c r="O256" s="6">
        <f t="shared" si="4"/>
        <v>27</v>
      </c>
      <c r="P256" s="6">
        <f t="shared" ref="P256:Q256" si="514">COUNTIFS(L:L,L256)</f>
        <v>27</v>
      </c>
      <c r="Q256" s="24">
        <f t="shared" si="514"/>
        <v>27</v>
      </c>
      <c r="R256" s="6" t="str">
        <f t="shared" si="6"/>
        <v>Construction</v>
      </c>
      <c r="S256" s="6" t="str">
        <f t="shared" si="7"/>
        <v>Construction</v>
      </c>
      <c r="T256" s="6">
        <f>IFERROR(__xludf.DUMMYFUNCTION("COUNTA(UNIQUE(query($A$2:$P$800,""select L where K='""&amp; K256&amp;""'"")))"),1.0)</f>
        <v>1</v>
      </c>
      <c r="U256" s="23">
        <f t="shared" si="8"/>
        <v>0.05555555556</v>
      </c>
      <c r="V256" s="23">
        <f t="shared" ref="V256:W256" si="515">P256/O256</f>
        <v>1</v>
      </c>
      <c r="W256" s="23">
        <f t="shared" si="515"/>
        <v>1</v>
      </c>
    </row>
    <row r="257">
      <c r="A257" s="6">
        <f>IFERROR(__xludf.DUMMYFUNCTION("""COMPUTED_VALUE"""),506285.0)</f>
        <v>506285</v>
      </c>
      <c r="B257" s="6" t="str">
        <f>IFERROR(__xludf.DUMMYFUNCTION("""COMPUTED_VALUE"""),"Bayer CropScience Limited.")</f>
        <v>Bayer CropScience Limited.</v>
      </c>
      <c r="C257" s="6" t="str">
        <f>IFERROR(__xludf.DUMMYFUNCTION("""COMPUTED_VALUE"""),"BAYERCROP")</f>
        <v>BAYERCROP</v>
      </c>
      <c r="D257" s="6" t="str">
        <f>IFERROR(__xludf.DUMMYFUNCTION("""COMPUTED_VALUE"""),"BAYER CROPSCIENCE LTD.")</f>
        <v>BAYER CROPSCIENCE LTD.</v>
      </c>
      <c r="E257" s="6" t="str">
        <f>IFERROR(__xludf.DUMMYFUNCTION("""COMPUTED_VALUE"""),"Active")</f>
        <v>Active</v>
      </c>
      <c r="F257" s="6" t="str">
        <f>IFERROR(__xludf.DUMMYFUNCTION("""COMPUTED_VALUE"""),"A")</f>
        <v>A</v>
      </c>
      <c r="G257" s="6">
        <f>IFERROR(__xludf.DUMMYFUNCTION("""COMPUTED_VALUE"""),10.0)</f>
        <v>10</v>
      </c>
      <c r="H257" s="6" t="str">
        <f>IFERROR(__xludf.DUMMYFUNCTION("""COMPUTED_VALUE"""),"INE462A01022")</f>
        <v>INE462A01022</v>
      </c>
      <c r="I257" s="6" t="str">
        <f>IFERROR(__xludf.DUMMYFUNCTION("""COMPUTED_VALUE"""),"Equity")</f>
        <v>Equity</v>
      </c>
      <c r="J257" s="6" t="str">
        <f>IFERROR(__xludf.DUMMYFUNCTION("""COMPUTED_VALUE"""),"Commodities")</f>
        <v>Commodities</v>
      </c>
      <c r="K257" s="6" t="str">
        <f>IFERROR(__xludf.DUMMYFUNCTION("""COMPUTED_VALUE"""),"Chemicals")</f>
        <v>Chemicals</v>
      </c>
      <c r="L257" s="6" t="str">
        <f>IFERROR(__xludf.DUMMYFUNCTION("""COMPUTED_VALUE"""),"Fertilizers &amp; Agrochemicals")</f>
        <v>Fertilizers &amp; Agrochemicals</v>
      </c>
      <c r="M257" s="6" t="str">
        <f>IFERROR(__xludf.DUMMYFUNCTION("""COMPUTED_VALUE"""),"Pesticides &amp; Agrochemicals")</f>
        <v>Pesticides &amp; Agrochemicals</v>
      </c>
      <c r="N257" s="5">
        <f>IFERROR(__xludf.DUMMYFUNCTION("""COMPUTED_VALUE"""),29861.818264)</f>
        <v>29861.81826</v>
      </c>
      <c r="O257" s="6">
        <f t="shared" si="4"/>
        <v>52</v>
      </c>
      <c r="P257" s="6">
        <f t="shared" ref="P257:Q257" si="516">COUNTIFS(L:L,L257)</f>
        <v>15</v>
      </c>
      <c r="Q257" s="24">
        <f t="shared" si="516"/>
        <v>7</v>
      </c>
      <c r="R257" s="6" t="str">
        <f t="shared" si="6"/>
        <v>Fertilizers &amp; Agrochemicals</v>
      </c>
      <c r="S257" s="6" t="str">
        <f t="shared" si="7"/>
        <v>Fertilizers &amp; Agrochemicals</v>
      </c>
      <c r="T257" s="6">
        <f>IFERROR(__xludf.DUMMYFUNCTION("COUNTA(UNIQUE(query($A$2:$P$800,""select L where K='""&amp; K257&amp;""'"")))"),2.0)</f>
        <v>2</v>
      </c>
      <c r="U257" s="23">
        <f t="shared" si="8"/>
        <v>0.05769230769</v>
      </c>
      <c r="V257" s="23">
        <f t="shared" ref="V257:W257" si="517">P257/O257</f>
        <v>0.2884615385</v>
      </c>
      <c r="W257" s="23">
        <f t="shared" si="517"/>
        <v>0.4666666667</v>
      </c>
    </row>
    <row r="258">
      <c r="A258" s="6">
        <f>IFERROR(__xludf.DUMMYFUNCTION("""COMPUTED_VALUE"""),523610.0)</f>
        <v>523610</v>
      </c>
      <c r="B258" s="6" t="str">
        <f>IFERROR(__xludf.DUMMYFUNCTION("""COMPUTED_VALUE"""),"ITI Limited (Indian Teleph.Ind.Ltd)")</f>
        <v>ITI Limited (Indian Teleph.Ind.Ltd)</v>
      </c>
      <c r="C258" s="6" t="str">
        <f>IFERROR(__xludf.DUMMYFUNCTION("""COMPUTED_VALUE"""),"ITI")</f>
        <v>ITI</v>
      </c>
      <c r="D258" s="6" t="str">
        <f>IFERROR(__xludf.DUMMYFUNCTION("""COMPUTED_VALUE"""),"ITI LTD.")</f>
        <v>ITI LTD.</v>
      </c>
      <c r="E258" s="6" t="str">
        <f>IFERROR(__xludf.DUMMYFUNCTION("""COMPUTED_VALUE"""),"Active")</f>
        <v>Active</v>
      </c>
      <c r="F258" s="6" t="str">
        <f>IFERROR(__xludf.DUMMYFUNCTION("""COMPUTED_VALUE"""),"A")</f>
        <v>A</v>
      </c>
      <c r="G258" s="6">
        <f>IFERROR(__xludf.DUMMYFUNCTION("""COMPUTED_VALUE"""),10.0)</f>
        <v>10</v>
      </c>
      <c r="H258" s="6" t="str">
        <f>IFERROR(__xludf.DUMMYFUNCTION("""COMPUTED_VALUE"""),"INE248A01017")</f>
        <v>INE248A01017</v>
      </c>
      <c r="I258" s="6" t="str">
        <f>IFERROR(__xludf.DUMMYFUNCTION("""COMPUTED_VALUE"""),"Equity")</f>
        <v>Equity</v>
      </c>
      <c r="J258" s="6" t="str">
        <f>IFERROR(__xludf.DUMMYFUNCTION("""COMPUTED_VALUE"""),"Telecommunication")</f>
        <v>Telecommunication</v>
      </c>
      <c r="K258" s="6" t="str">
        <f>IFERROR(__xludf.DUMMYFUNCTION("""COMPUTED_VALUE"""),"Telecommunication")</f>
        <v>Telecommunication</v>
      </c>
      <c r="L258" s="6" t="str">
        <f>IFERROR(__xludf.DUMMYFUNCTION("""COMPUTED_VALUE"""),"Telecom - Equipment &amp; Accessories")</f>
        <v>Telecom - Equipment &amp; Accessories</v>
      </c>
      <c r="M258" s="6" t="str">
        <f>IFERROR(__xludf.DUMMYFUNCTION("""COMPUTED_VALUE"""),"Telecom - Equipment &amp; Accessories")</f>
        <v>Telecom - Equipment &amp; Accessories</v>
      </c>
      <c r="N258" s="5">
        <f>IFERROR(__xludf.DUMMYFUNCTION("""COMPUTED_VALUE"""),29696.17854)</f>
        <v>29696.17854</v>
      </c>
      <c r="O258" s="6">
        <f t="shared" si="4"/>
        <v>14</v>
      </c>
      <c r="P258" s="6">
        <f t="shared" ref="P258:Q258" si="518">COUNTIFS(L:L,L258)</f>
        <v>3</v>
      </c>
      <c r="Q258" s="24">
        <f t="shared" si="518"/>
        <v>3</v>
      </c>
      <c r="R258" s="6" t="str">
        <f t="shared" si="6"/>
        <v>Telecommunication</v>
      </c>
      <c r="S258" s="6" t="str">
        <f t="shared" si="7"/>
        <v>Telecommunication</v>
      </c>
      <c r="T258" s="6">
        <f>IFERROR(__xludf.DUMMYFUNCTION("COUNTA(UNIQUE(query($A$2:$P$800,""select L where K='""&amp; K258&amp;""'"")))"),2.0)</f>
        <v>2</v>
      </c>
      <c r="U258" s="23">
        <f t="shared" si="8"/>
        <v>0.2142857143</v>
      </c>
      <c r="V258" s="23">
        <f t="shared" ref="V258:W258" si="519">P258/O258</f>
        <v>0.2142857143</v>
      </c>
      <c r="W258" s="23">
        <f t="shared" si="519"/>
        <v>1</v>
      </c>
    </row>
    <row r="259">
      <c r="A259" s="6">
        <f>IFERROR(__xludf.DUMMYFUNCTION("""COMPUTED_VALUE"""),533023.0)</f>
        <v>533023</v>
      </c>
      <c r="B259" s="6" t="str">
        <f>IFERROR(__xludf.DUMMYFUNCTION("""COMPUTED_VALUE"""),"ZF Commercial Vehicle Control Systems India Limited")</f>
        <v>ZF Commercial Vehicle Control Systems India Limited</v>
      </c>
      <c r="C259" s="6" t="str">
        <f>IFERROR(__xludf.DUMMYFUNCTION("""COMPUTED_VALUE"""),"ZFCVINDIA")</f>
        <v>ZFCVINDIA</v>
      </c>
      <c r="D259" s="6" t="str">
        <f>IFERROR(__xludf.DUMMYFUNCTION("""COMPUTED_VALUE"""),"ZF Commercial Vehicle Control Systems India Ltd")</f>
        <v>ZF Commercial Vehicle Control Systems India Ltd</v>
      </c>
      <c r="E259" s="6" t="str">
        <f>IFERROR(__xludf.DUMMYFUNCTION("""COMPUTED_VALUE"""),"Active")</f>
        <v>Active</v>
      </c>
      <c r="F259" s="6" t="str">
        <f>IFERROR(__xludf.DUMMYFUNCTION("""COMPUTED_VALUE"""),"A")</f>
        <v>A</v>
      </c>
      <c r="G259" s="6">
        <f>IFERROR(__xludf.DUMMYFUNCTION("""COMPUTED_VALUE"""),5.0)</f>
        <v>5</v>
      </c>
      <c r="H259" s="6" t="str">
        <f>IFERROR(__xludf.DUMMYFUNCTION("""COMPUTED_VALUE"""),"INE342J01019")</f>
        <v>INE342J01019</v>
      </c>
      <c r="I259" s="6" t="str">
        <f>IFERROR(__xludf.DUMMYFUNCTION("""COMPUTED_VALUE"""),"Equity")</f>
        <v>Equity</v>
      </c>
      <c r="J259" s="6" t="str">
        <f>IFERROR(__xludf.DUMMYFUNCTION("""COMPUTED_VALUE"""),"Consumer Discretionary")</f>
        <v>Consumer Discretionary</v>
      </c>
      <c r="K259" s="6" t="str">
        <f>IFERROR(__xludf.DUMMYFUNCTION("""COMPUTED_VALUE"""),"Automobile and Auto Components")</f>
        <v>Automobile and Auto Components</v>
      </c>
      <c r="L259" s="6" t="str">
        <f>IFERROR(__xludf.DUMMYFUNCTION("""COMPUTED_VALUE"""),"Auto Components")</f>
        <v>Auto Components</v>
      </c>
      <c r="M259" s="6" t="str">
        <f>IFERROR(__xludf.DUMMYFUNCTION("""COMPUTED_VALUE"""),"Auto Components &amp; Equipments")</f>
        <v>Auto Components &amp; Equipments</v>
      </c>
      <c r="N259" s="5">
        <f>IFERROR(__xludf.DUMMYFUNCTION("""COMPUTED_VALUE"""),29525.886496)</f>
        <v>29525.8865</v>
      </c>
      <c r="O259" s="6">
        <f t="shared" si="4"/>
        <v>47</v>
      </c>
      <c r="P259" s="6">
        <f t="shared" ref="P259:Q259" si="520">COUNTIFS(L:L,L259)</f>
        <v>37</v>
      </c>
      <c r="Q259" s="24">
        <f t="shared" si="520"/>
        <v>32</v>
      </c>
      <c r="R259" s="6" t="str">
        <f t="shared" si="6"/>
        <v>Automobile and Auto Components</v>
      </c>
      <c r="S259" s="6" t="str">
        <f t="shared" si="7"/>
        <v>Automobile and Auto Components</v>
      </c>
      <c r="T259" s="6">
        <f>IFERROR(__xludf.DUMMYFUNCTION("COUNTA(UNIQUE(query($A$2:$P$800,""select L where K='""&amp; K259&amp;""'"")))"),2.0)</f>
        <v>2</v>
      </c>
      <c r="U259" s="23">
        <f t="shared" si="8"/>
        <v>0.06382978723</v>
      </c>
      <c r="V259" s="23">
        <f t="shared" ref="V259:W259" si="521">P259/O259</f>
        <v>0.7872340426</v>
      </c>
      <c r="W259" s="23">
        <f t="shared" si="521"/>
        <v>0.8648648649</v>
      </c>
    </row>
    <row r="260">
      <c r="A260" s="6">
        <f>IFERROR(__xludf.DUMMYFUNCTION("""COMPUTED_VALUE"""),500403.0)</f>
        <v>500403</v>
      </c>
      <c r="B260" s="6" t="str">
        <f>IFERROR(__xludf.DUMMYFUNCTION("""COMPUTED_VALUE"""),"Sundram Fasteners Ltd.")</f>
        <v>Sundram Fasteners Ltd.</v>
      </c>
      <c r="C260" s="6" t="str">
        <f>IFERROR(__xludf.DUMMYFUNCTION("""COMPUTED_VALUE"""),"SUNDRMFAST")</f>
        <v>SUNDRMFAST</v>
      </c>
      <c r="D260" s="6" t="str">
        <f>IFERROR(__xludf.DUMMYFUNCTION("""COMPUTED_VALUE"""),"SUNDRAM FASTENERS LTD.")</f>
        <v>SUNDRAM FASTENERS LTD.</v>
      </c>
      <c r="E260" s="6" t="str">
        <f>IFERROR(__xludf.DUMMYFUNCTION("""COMPUTED_VALUE"""),"Active")</f>
        <v>Active</v>
      </c>
      <c r="F260" s="6" t="str">
        <f>IFERROR(__xludf.DUMMYFUNCTION("""COMPUTED_VALUE"""),"A")</f>
        <v>A</v>
      </c>
      <c r="G260" s="6">
        <f>IFERROR(__xludf.DUMMYFUNCTION("""COMPUTED_VALUE"""),1.0)</f>
        <v>1</v>
      </c>
      <c r="H260" s="6" t="str">
        <f>IFERROR(__xludf.DUMMYFUNCTION("""COMPUTED_VALUE"""),"INE387A01021")</f>
        <v>INE387A01021</v>
      </c>
      <c r="I260" s="6" t="str">
        <f>IFERROR(__xludf.DUMMYFUNCTION("""COMPUTED_VALUE"""),"Equity")</f>
        <v>Equity</v>
      </c>
      <c r="J260" s="6" t="str">
        <f>IFERROR(__xludf.DUMMYFUNCTION("""COMPUTED_VALUE"""),"Consumer Discretionary")</f>
        <v>Consumer Discretionary</v>
      </c>
      <c r="K260" s="6" t="str">
        <f>IFERROR(__xludf.DUMMYFUNCTION("""COMPUTED_VALUE"""),"Automobile and Auto Components")</f>
        <v>Automobile and Auto Components</v>
      </c>
      <c r="L260" s="6" t="str">
        <f>IFERROR(__xludf.DUMMYFUNCTION("""COMPUTED_VALUE"""),"Auto Components")</f>
        <v>Auto Components</v>
      </c>
      <c r="M260" s="6" t="str">
        <f>IFERROR(__xludf.DUMMYFUNCTION("""COMPUTED_VALUE"""),"Auto Components &amp; Equipments")</f>
        <v>Auto Components &amp; Equipments</v>
      </c>
      <c r="N260" s="5">
        <f>IFERROR(__xludf.DUMMYFUNCTION("""COMPUTED_VALUE"""),29497.6949865)</f>
        <v>29497.69499</v>
      </c>
      <c r="O260" s="6">
        <f t="shared" si="4"/>
        <v>47</v>
      </c>
      <c r="P260" s="6">
        <f t="shared" ref="P260:Q260" si="522">COUNTIFS(L:L,L260)</f>
        <v>37</v>
      </c>
      <c r="Q260" s="24">
        <f t="shared" si="522"/>
        <v>32</v>
      </c>
      <c r="R260" s="6" t="str">
        <f t="shared" si="6"/>
        <v>Automobile and Auto Components</v>
      </c>
      <c r="S260" s="6" t="str">
        <f t="shared" si="7"/>
        <v>Automobile and Auto Components</v>
      </c>
      <c r="T260" s="6">
        <f>IFERROR(__xludf.DUMMYFUNCTION("COUNTA(UNIQUE(query($A$2:$P$800,""select L where K='""&amp; K260&amp;""'"")))"),2.0)</f>
        <v>2</v>
      </c>
      <c r="U260" s="23">
        <f t="shared" si="8"/>
        <v>0.06382978723</v>
      </c>
      <c r="V260" s="23">
        <f t="shared" ref="V260:W260" si="523">P260/O260</f>
        <v>0.7872340426</v>
      </c>
      <c r="W260" s="23">
        <f t="shared" si="523"/>
        <v>0.8648648649</v>
      </c>
    </row>
    <row r="261">
      <c r="A261" s="6">
        <f>IFERROR(__xludf.DUMMYFUNCTION("""COMPUTED_VALUE"""),543529.0)</f>
        <v>543529</v>
      </c>
      <c r="B261" s="6" t="str">
        <f>IFERROR(__xludf.DUMMYFUNCTION("""COMPUTED_VALUE"""),"Delhivery Limited")</f>
        <v>Delhivery Limited</v>
      </c>
      <c r="C261" s="6" t="str">
        <f>IFERROR(__xludf.DUMMYFUNCTION("""COMPUTED_VALUE"""),"DELHIVERY")</f>
        <v>DELHIVERY</v>
      </c>
      <c r="D261" s="6" t="str">
        <f>IFERROR(__xludf.DUMMYFUNCTION("""COMPUTED_VALUE"""),"Delhivery Ltd")</f>
        <v>Delhivery Ltd</v>
      </c>
      <c r="E261" s="6" t="str">
        <f>IFERROR(__xludf.DUMMYFUNCTION("""COMPUTED_VALUE"""),"Active")</f>
        <v>Active</v>
      </c>
      <c r="F261" s="6" t="str">
        <f>IFERROR(__xludf.DUMMYFUNCTION("""COMPUTED_VALUE"""),"A")</f>
        <v>A</v>
      </c>
      <c r="G261" s="6">
        <f>IFERROR(__xludf.DUMMYFUNCTION("""COMPUTED_VALUE"""),1.0)</f>
        <v>1</v>
      </c>
      <c r="H261" s="6" t="str">
        <f>IFERROR(__xludf.DUMMYFUNCTION("""COMPUTED_VALUE"""),"INE148O01028")</f>
        <v>INE148O01028</v>
      </c>
      <c r="I261" s="6" t="str">
        <f>IFERROR(__xludf.DUMMYFUNCTION("""COMPUTED_VALUE"""),"Equity")</f>
        <v>Equity</v>
      </c>
      <c r="J261" s="6" t="str">
        <f>IFERROR(__xludf.DUMMYFUNCTION("""COMPUTED_VALUE"""),"Services")</f>
        <v>Services</v>
      </c>
      <c r="K261" s="6" t="str">
        <f>IFERROR(__xludf.DUMMYFUNCTION("""COMPUTED_VALUE"""),"Services")</f>
        <v>Services</v>
      </c>
      <c r="L261" s="6" t="str">
        <f>IFERROR(__xludf.DUMMYFUNCTION("""COMPUTED_VALUE"""),"Transport Services")</f>
        <v>Transport Services</v>
      </c>
      <c r="M261" s="6" t="str">
        <f>IFERROR(__xludf.DUMMYFUNCTION("""COMPUTED_VALUE"""),"Logistics Solution Provider")</f>
        <v>Logistics Solution Provider</v>
      </c>
      <c r="N261" s="5">
        <f>IFERROR(__xludf.DUMMYFUNCTION("""COMPUTED_VALUE"""),29486.5589717)</f>
        <v>29486.55897</v>
      </c>
      <c r="O261" s="6">
        <f t="shared" si="4"/>
        <v>27</v>
      </c>
      <c r="P261" s="6">
        <f t="shared" ref="P261:Q261" si="524">COUNTIFS(L:L,L261)</f>
        <v>12</v>
      </c>
      <c r="Q261" s="24">
        <f t="shared" si="524"/>
        <v>9</v>
      </c>
      <c r="R261" s="6" t="str">
        <f t="shared" si="6"/>
        <v>Services</v>
      </c>
      <c r="S261" s="6" t="str">
        <f t="shared" si="7"/>
        <v>Services</v>
      </c>
      <c r="T261" s="6">
        <f>IFERROR(__xludf.DUMMYFUNCTION("COUNTA(UNIQUE(query($A$2:$P$800,""select L where K='""&amp; K261&amp;""'"")))"),3.0)</f>
        <v>3</v>
      </c>
      <c r="U261" s="23">
        <f t="shared" si="8"/>
        <v>0.1666666667</v>
      </c>
      <c r="V261" s="23">
        <f t="shared" ref="V261:W261" si="525">P261/O261</f>
        <v>0.4444444444</v>
      </c>
      <c r="W261" s="23">
        <f t="shared" si="525"/>
        <v>0.75</v>
      </c>
    </row>
    <row r="262">
      <c r="A262" s="6">
        <f>IFERROR(__xludf.DUMMYFUNCTION("""COMPUTED_VALUE"""),532889.0)</f>
        <v>532889</v>
      </c>
      <c r="B262" s="6" t="str">
        <f>IFERROR(__xludf.DUMMYFUNCTION("""COMPUTED_VALUE"""),"K.P.R. Mill Ltd.")</f>
        <v>K.P.R. Mill Ltd.</v>
      </c>
      <c r="C262" s="6" t="str">
        <f>IFERROR(__xludf.DUMMYFUNCTION("""COMPUTED_VALUE"""),"KPRMILL")</f>
        <v>KPRMILL</v>
      </c>
      <c r="D262" s="6" t="str">
        <f>IFERROR(__xludf.DUMMYFUNCTION("""COMPUTED_VALUE"""),"K.P.R. Mill Limited")</f>
        <v>K.P.R. Mill Limited</v>
      </c>
      <c r="E262" s="6" t="str">
        <f>IFERROR(__xludf.DUMMYFUNCTION("""COMPUTED_VALUE"""),"Active")</f>
        <v>Active</v>
      </c>
      <c r="F262" s="6" t="str">
        <f>IFERROR(__xludf.DUMMYFUNCTION("""COMPUTED_VALUE"""),"A")</f>
        <v>A</v>
      </c>
      <c r="G262" s="6">
        <f>IFERROR(__xludf.DUMMYFUNCTION("""COMPUTED_VALUE"""),1.0)</f>
        <v>1</v>
      </c>
      <c r="H262" s="6" t="str">
        <f>IFERROR(__xludf.DUMMYFUNCTION("""COMPUTED_VALUE"""),"INE930H01031")</f>
        <v>INE930H01031</v>
      </c>
      <c r="I262" s="6" t="str">
        <f>IFERROR(__xludf.DUMMYFUNCTION("""COMPUTED_VALUE"""),"Equity")</f>
        <v>Equity</v>
      </c>
      <c r="J262" s="6" t="str">
        <f>IFERROR(__xludf.DUMMYFUNCTION("""COMPUTED_VALUE"""),"Consumer Discretionary")</f>
        <v>Consumer Discretionary</v>
      </c>
      <c r="K262" s="6" t="str">
        <f>IFERROR(__xludf.DUMMYFUNCTION("""COMPUTED_VALUE"""),"Textiles")</f>
        <v>Textiles</v>
      </c>
      <c r="L262" s="6" t="str">
        <f>IFERROR(__xludf.DUMMYFUNCTION("""COMPUTED_VALUE"""),"Textiles &amp; Apparels")</f>
        <v>Textiles &amp; Apparels</v>
      </c>
      <c r="M262" s="6" t="str">
        <f>IFERROR(__xludf.DUMMYFUNCTION("""COMPUTED_VALUE"""),"Other Textile Products")</f>
        <v>Other Textile Products</v>
      </c>
      <c r="N262" s="5">
        <f>IFERROR(__xludf.DUMMYFUNCTION("""COMPUTED_VALUE"""),29361.441285)</f>
        <v>29361.44129</v>
      </c>
      <c r="O262" s="6">
        <f t="shared" si="4"/>
        <v>13</v>
      </c>
      <c r="P262" s="6">
        <f t="shared" ref="P262:Q262" si="526">COUNTIFS(L:L,L262)</f>
        <v>13</v>
      </c>
      <c r="Q262" s="24">
        <f t="shared" si="526"/>
        <v>8</v>
      </c>
      <c r="R262" s="6" t="str">
        <f t="shared" si="6"/>
        <v>Textiles</v>
      </c>
      <c r="S262" s="6" t="str">
        <f t="shared" si="7"/>
        <v>Textiles</v>
      </c>
      <c r="T262" s="6">
        <f>IFERROR(__xludf.DUMMYFUNCTION("COUNTA(UNIQUE(query($A$2:$P$800,""select L where K='""&amp; K262&amp;""'"")))"),1.0)</f>
        <v>1</v>
      </c>
      <c r="U262" s="23">
        <f t="shared" si="8"/>
        <v>0.1153846154</v>
      </c>
      <c r="V262" s="23">
        <f t="shared" ref="V262:W262" si="527">P262/O262</f>
        <v>1</v>
      </c>
      <c r="W262" s="23">
        <f t="shared" si="527"/>
        <v>0.6153846154</v>
      </c>
    </row>
    <row r="263">
      <c r="A263" s="6">
        <f>IFERROR(__xludf.DUMMYFUNCTION("""COMPUTED_VALUE"""),520056.0)</f>
        <v>520056</v>
      </c>
      <c r="B263" s="6" t="str">
        <f>IFERROR(__xludf.DUMMYFUNCTION("""COMPUTED_VALUE"""),"TVS Holdings Limited")</f>
        <v>TVS Holdings Limited</v>
      </c>
      <c r="C263" s="6" t="str">
        <f>IFERROR(__xludf.DUMMYFUNCTION("""COMPUTED_VALUE"""),"TVSHLTD")</f>
        <v>TVSHLTD</v>
      </c>
      <c r="D263" s="6" t="str">
        <f>IFERROR(__xludf.DUMMYFUNCTION("""COMPUTED_VALUE"""),"TVS Holdings Ltd")</f>
        <v>TVS Holdings Ltd</v>
      </c>
      <c r="E263" s="6" t="str">
        <f>IFERROR(__xludf.DUMMYFUNCTION("""COMPUTED_VALUE"""),"Active")</f>
        <v>Active</v>
      </c>
      <c r="F263" s="6" t="str">
        <f>IFERROR(__xludf.DUMMYFUNCTION("""COMPUTED_VALUE"""),"A")</f>
        <v>A</v>
      </c>
      <c r="G263" s="6">
        <f>IFERROR(__xludf.DUMMYFUNCTION("""COMPUTED_VALUE"""),5.0)</f>
        <v>5</v>
      </c>
      <c r="H263" s="6" t="str">
        <f>IFERROR(__xludf.DUMMYFUNCTION("""COMPUTED_VALUE"""),"INE105A01035")</f>
        <v>INE105A01035</v>
      </c>
      <c r="I263" s="6" t="str">
        <f>IFERROR(__xludf.DUMMYFUNCTION("""COMPUTED_VALUE"""),"Equity")</f>
        <v>Equity</v>
      </c>
      <c r="J263" s="6" t="str">
        <f>IFERROR(__xludf.DUMMYFUNCTION("""COMPUTED_VALUE"""),"Financial Services")</f>
        <v>Financial Services</v>
      </c>
      <c r="K263" s="6" t="str">
        <f>IFERROR(__xludf.DUMMYFUNCTION("""COMPUTED_VALUE"""),"Financial Services")</f>
        <v>Financial Services</v>
      </c>
      <c r="L263" s="6" t="str">
        <f>IFERROR(__xludf.DUMMYFUNCTION("""COMPUTED_VALUE"""),"Finance")</f>
        <v>Finance</v>
      </c>
      <c r="M263" s="6" t="str">
        <f>IFERROR(__xludf.DUMMYFUNCTION("""COMPUTED_VALUE"""),"Investment Company")</f>
        <v>Investment Company</v>
      </c>
      <c r="N263" s="5">
        <f>IFERROR(__xludf.DUMMYFUNCTION("""COMPUTED_VALUE"""),29358.78)</f>
        <v>29358.78</v>
      </c>
      <c r="O263" s="6">
        <f t="shared" si="4"/>
        <v>123</v>
      </c>
      <c r="P263" s="6">
        <f t="shared" ref="P263:Q263" si="528">COUNTIFS(L:L,L263)</f>
        <v>56</v>
      </c>
      <c r="Q263" s="24">
        <f t="shared" si="528"/>
        <v>8</v>
      </c>
      <c r="R263" s="6" t="str">
        <f t="shared" si="6"/>
        <v>Finance</v>
      </c>
      <c r="S263" s="6" t="str">
        <f t="shared" si="7"/>
        <v>Finance</v>
      </c>
      <c r="T263" s="6">
        <f>IFERROR(__xludf.DUMMYFUNCTION("COUNTA(UNIQUE(query($A$2:$P$800,""select L where K='""&amp; K263&amp;""'"")))"),5.0)</f>
        <v>5</v>
      </c>
      <c r="U263" s="23">
        <f t="shared" si="8"/>
        <v>0.06097560976</v>
      </c>
      <c r="V263" s="23">
        <f t="shared" ref="V263:W263" si="529">P263/O263</f>
        <v>0.4552845528</v>
      </c>
      <c r="W263" s="23">
        <f t="shared" si="529"/>
        <v>0.1428571429</v>
      </c>
    </row>
    <row r="264">
      <c r="A264" s="6">
        <f>IFERROR(__xludf.DUMMYFUNCTION("""COMPUTED_VALUE"""),500164.0)</f>
        <v>500164</v>
      </c>
      <c r="B264" s="6" t="str">
        <f>IFERROR(__xludf.DUMMYFUNCTION("""COMPUTED_VALUE"""),"Godrej Industries Ltd.")</f>
        <v>Godrej Industries Ltd.</v>
      </c>
      <c r="C264" s="6" t="str">
        <f>IFERROR(__xludf.DUMMYFUNCTION("""COMPUTED_VALUE"""),"GODREJIND")</f>
        <v>GODREJIND</v>
      </c>
      <c r="D264" s="6" t="str">
        <f>IFERROR(__xludf.DUMMYFUNCTION("""COMPUTED_VALUE"""),"GODREJ INDUSTRIES LTD.")</f>
        <v>GODREJ INDUSTRIES LTD.</v>
      </c>
      <c r="E264" s="6" t="str">
        <f>IFERROR(__xludf.DUMMYFUNCTION("""COMPUTED_VALUE"""),"Active")</f>
        <v>Active</v>
      </c>
      <c r="F264" s="6" t="str">
        <f>IFERROR(__xludf.DUMMYFUNCTION("""COMPUTED_VALUE"""),"A")</f>
        <v>A</v>
      </c>
      <c r="G264" s="6">
        <f>IFERROR(__xludf.DUMMYFUNCTION("""COMPUTED_VALUE"""),1.0)</f>
        <v>1</v>
      </c>
      <c r="H264" s="6" t="str">
        <f>IFERROR(__xludf.DUMMYFUNCTION("""COMPUTED_VALUE"""),"INE233A01035")</f>
        <v>INE233A01035</v>
      </c>
      <c r="I264" s="6" t="str">
        <f>IFERROR(__xludf.DUMMYFUNCTION("""COMPUTED_VALUE"""),"Equity")</f>
        <v>Equity</v>
      </c>
      <c r="J264" s="6" t="str">
        <f>IFERROR(__xludf.DUMMYFUNCTION("""COMPUTED_VALUE"""),"Diversified")</f>
        <v>Diversified</v>
      </c>
      <c r="K264" s="6" t="str">
        <f>IFERROR(__xludf.DUMMYFUNCTION("""COMPUTED_VALUE"""),"Diversified")</f>
        <v>Diversified</v>
      </c>
      <c r="L264" s="6" t="str">
        <f>IFERROR(__xludf.DUMMYFUNCTION("""COMPUTED_VALUE"""),"Diversified")</f>
        <v>Diversified</v>
      </c>
      <c r="M264" s="6" t="str">
        <f>IFERROR(__xludf.DUMMYFUNCTION("""COMPUTED_VALUE"""),"Diversified")</f>
        <v>Diversified</v>
      </c>
      <c r="N264" s="5">
        <f>IFERROR(__xludf.DUMMYFUNCTION("""COMPUTED_VALUE"""),28919.795492)</f>
        <v>28919.79549</v>
      </c>
      <c r="O264" s="6">
        <f t="shared" si="4"/>
        <v>5</v>
      </c>
      <c r="P264" s="6">
        <f t="shared" ref="P264:Q264" si="530">COUNTIFS(L:L,L264)</f>
        <v>5</v>
      </c>
      <c r="Q264" s="24">
        <f t="shared" si="530"/>
        <v>5</v>
      </c>
      <c r="R264" s="6" t="str">
        <f t="shared" si="6"/>
        <v>Diversified</v>
      </c>
      <c r="S264" s="6" t="str">
        <f t="shared" si="7"/>
        <v>Misc.</v>
      </c>
      <c r="T264" s="6">
        <f>IFERROR(__xludf.DUMMYFUNCTION("COUNTA(UNIQUE(query($A$2:$P$800,""select L where K='""&amp; K264&amp;""'"")))"),1.0)</f>
        <v>1</v>
      </c>
      <c r="U264" s="23">
        <f t="shared" si="8"/>
        <v>0.3</v>
      </c>
      <c r="V264" s="23">
        <f t="shared" ref="V264:W264" si="531">P264/O264</f>
        <v>1</v>
      </c>
      <c r="W264" s="23">
        <f t="shared" si="531"/>
        <v>1</v>
      </c>
    </row>
    <row r="265">
      <c r="A265" s="6">
        <f>IFERROR(__xludf.DUMMYFUNCTION("""COMPUTED_VALUE"""),524494.0)</f>
        <v>524494</v>
      </c>
      <c r="B265" s="6" t="str">
        <f>IFERROR(__xludf.DUMMYFUNCTION("""COMPUTED_VALUE"""),"Ipca Laboratories Ltd.")</f>
        <v>Ipca Laboratories Ltd.</v>
      </c>
      <c r="C265" s="6" t="str">
        <f>IFERROR(__xludf.DUMMYFUNCTION("""COMPUTED_VALUE"""),"IPCALAB")</f>
        <v>IPCALAB</v>
      </c>
      <c r="D265" s="6" t="str">
        <f>IFERROR(__xludf.DUMMYFUNCTION("""COMPUTED_VALUE"""),"IPCA LABORATORIES LTD.")</f>
        <v>IPCA LABORATORIES LTD.</v>
      </c>
      <c r="E265" s="6" t="str">
        <f>IFERROR(__xludf.DUMMYFUNCTION("""COMPUTED_VALUE"""),"Active")</f>
        <v>Active</v>
      </c>
      <c r="F265" s="6" t="str">
        <f>IFERROR(__xludf.DUMMYFUNCTION("""COMPUTED_VALUE"""),"A")</f>
        <v>A</v>
      </c>
      <c r="G265" s="6">
        <f>IFERROR(__xludf.DUMMYFUNCTION("""COMPUTED_VALUE"""),1.0)</f>
        <v>1</v>
      </c>
      <c r="H265" s="6" t="str">
        <f>IFERROR(__xludf.DUMMYFUNCTION("""COMPUTED_VALUE"""),"INE571A01038")</f>
        <v>INE571A01038</v>
      </c>
      <c r="I265" s="6" t="str">
        <f>IFERROR(__xludf.DUMMYFUNCTION("""COMPUTED_VALUE"""),"Equity")</f>
        <v>Equity</v>
      </c>
      <c r="J265" s="6" t="str">
        <f>IFERROR(__xludf.DUMMYFUNCTION("""COMPUTED_VALUE"""),"Healthcare")</f>
        <v>Healthcare</v>
      </c>
      <c r="K265" s="6" t="str">
        <f>IFERROR(__xludf.DUMMYFUNCTION("""COMPUTED_VALUE"""),"Healthcare")</f>
        <v>Healthcare</v>
      </c>
      <c r="L265" s="6" t="str">
        <f>IFERROR(__xludf.DUMMYFUNCTION("""COMPUTED_VALUE"""),"Pharmaceuticals &amp; Biotechnology")</f>
        <v>Pharmaceuticals &amp; Biotechnology</v>
      </c>
      <c r="M265" s="6" t="str">
        <f>IFERROR(__xludf.DUMMYFUNCTION("""COMPUTED_VALUE"""),"Pharmaceuticals")</f>
        <v>Pharmaceuticals</v>
      </c>
      <c r="N265" s="5">
        <f>IFERROR(__xludf.DUMMYFUNCTION("""COMPUTED_VALUE"""),28908.3801022)</f>
        <v>28908.3801</v>
      </c>
      <c r="O265" s="6">
        <f t="shared" si="4"/>
        <v>62</v>
      </c>
      <c r="P265" s="6">
        <f t="shared" ref="P265:Q265" si="532">COUNTIFS(L:L,L265)</f>
        <v>45</v>
      </c>
      <c r="Q265" s="24">
        <f t="shared" si="532"/>
        <v>45</v>
      </c>
      <c r="R265" s="6" t="str">
        <f t="shared" si="6"/>
        <v>Healthcare</v>
      </c>
      <c r="S265" s="6" t="str">
        <f t="shared" si="7"/>
        <v>Healthcare</v>
      </c>
      <c r="T265" s="6">
        <f>IFERROR(__xludf.DUMMYFUNCTION("COUNTA(UNIQUE(query($A$2:$P$800,""select L where K='""&amp; K265&amp;""'"")))"),3.0)</f>
        <v>3</v>
      </c>
      <c r="U265" s="23">
        <f t="shared" si="8"/>
        <v>0.07258064516</v>
      </c>
      <c r="V265" s="23">
        <f t="shared" ref="V265:W265" si="533">P265/O265</f>
        <v>0.7258064516</v>
      </c>
      <c r="W265" s="23">
        <f t="shared" si="533"/>
        <v>1</v>
      </c>
    </row>
    <row r="266">
      <c r="A266" s="6">
        <f>IFERROR(__xludf.DUMMYFUNCTION("""COMPUTED_VALUE"""),532331.0)</f>
        <v>532331</v>
      </c>
      <c r="B266" s="6" t="str">
        <f>IFERROR(__xludf.DUMMYFUNCTION("""COMPUTED_VALUE"""),"Ajanta Pharma Ltd.")</f>
        <v>Ajanta Pharma Ltd.</v>
      </c>
      <c r="C266" s="6" t="str">
        <f>IFERROR(__xludf.DUMMYFUNCTION("""COMPUTED_VALUE"""),"AJANTPHARM")</f>
        <v>AJANTPHARM</v>
      </c>
      <c r="D266" s="6" t="str">
        <f>IFERROR(__xludf.DUMMYFUNCTION("""COMPUTED_VALUE"""),"AJANTA PHARMA LTD.")</f>
        <v>AJANTA PHARMA LTD.</v>
      </c>
      <c r="E266" s="6" t="str">
        <f>IFERROR(__xludf.DUMMYFUNCTION("""COMPUTED_VALUE"""),"Active")</f>
        <v>Active</v>
      </c>
      <c r="F266" s="6" t="str">
        <f>IFERROR(__xludf.DUMMYFUNCTION("""COMPUTED_VALUE"""),"A")</f>
        <v>A</v>
      </c>
      <c r="G266" s="6">
        <f>IFERROR(__xludf.DUMMYFUNCTION("""COMPUTED_VALUE"""),2.0)</f>
        <v>2</v>
      </c>
      <c r="H266" s="6" t="str">
        <f>IFERROR(__xludf.DUMMYFUNCTION("""COMPUTED_VALUE"""),"INE031B01049")</f>
        <v>INE031B01049</v>
      </c>
      <c r="I266" s="6" t="str">
        <f>IFERROR(__xludf.DUMMYFUNCTION("""COMPUTED_VALUE"""),"Equity")</f>
        <v>Equity</v>
      </c>
      <c r="J266" s="6" t="str">
        <f>IFERROR(__xludf.DUMMYFUNCTION("""COMPUTED_VALUE"""),"Healthcare")</f>
        <v>Healthcare</v>
      </c>
      <c r="K266" s="6" t="str">
        <f>IFERROR(__xludf.DUMMYFUNCTION("""COMPUTED_VALUE"""),"Healthcare")</f>
        <v>Healthcare</v>
      </c>
      <c r="L266" s="6" t="str">
        <f>IFERROR(__xludf.DUMMYFUNCTION("""COMPUTED_VALUE"""),"Pharmaceuticals &amp; Biotechnology")</f>
        <v>Pharmaceuticals &amp; Biotechnology</v>
      </c>
      <c r="M266" s="6" t="str">
        <f>IFERROR(__xludf.DUMMYFUNCTION("""COMPUTED_VALUE"""),"Pharmaceuticals")</f>
        <v>Pharmaceuticals</v>
      </c>
      <c r="N266" s="5">
        <f>IFERROR(__xludf.DUMMYFUNCTION("""COMPUTED_VALUE"""),28691.7834314)</f>
        <v>28691.78343</v>
      </c>
      <c r="O266" s="6">
        <f t="shared" si="4"/>
        <v>62</v>
      </c>
      <c r="P266" s="6">
        <f t="shared" ref="P266:Q266" si="534">COUNTIFS(L:L,L266)</f>
        <v>45</v>
      </c>
      <c r="Q266" s="24">
        <f t="shared" si="534"/>
        <v>45</v>
      </c>
      <c r="R266" s="6" t="str">
        <f t="shared" si="6"/>
        <v>Healthcare</v>
      </c>
      <c r="S266" s="6" t="str">
        <f t="shared" si="7"/>
        <v>Healthcare</v>
      </c>
      <c r="T266" s="6">
        <f>IFERROR(__xludf.DUMMYFUNCTION("COUNTA(UNIQUE(query($A$2:$P$800,""select L where K='""&amp; K266&amp;""'"")))"),3.0)</f>
        <v>3</v>
      </c>
      <c r="U266" s="23">
        <f t="shared" si="8"/>
        <v>0.07258064516</v>
      </c>
      <c r="V266" s="23">
        <f t="shared" ref="V266:W266" si="535">P266/O266</f>
        <v>0.7258064516</v>
      </c>
      <c r="W266" s="23">
        <f t="shared" si="535"/>
        <v>1</v>
      </c>
    </row>
    <row r="267">
      <c r="A267" s="6">
        <f>IFERROR(__xludf.DUMMYFUNCTION("""COMPUTED_VALUE"""),539268.0)</f>
        <v>539268</v>
      </c>
      <c r="B267" s="6" t="str">
        <f>IFERROR(__xludf.DUMMYFUNCTION("""COMPUTED_VALUE"""),"Syngene International Limited")</f>
        <v>Syngene International Limited</v>
      </c>
      <c r="C267" s="6" t="str">
        <f>IFERROR(__xludf.DUMMYFUNCTION("""COMPUTED_VALUE"""),"SYNGENE")</f>
        <v>SYNGENE</v>
      </c>
      <c r="D267" s="6" t="str">
        <f>IFERROR(__xludf.DUMMYFUNCTION("""COMPUTED_VALUE"""),"Syngene International Ltd")</f>
        <v>Syngene International Ltd</v>
      </c>
      <c r="E267" s="6" t="str">
        <f>IFERROR(__xludf.DUMMYFUNCTION("""COMPUTED_VALUE"""),"Active")</f>
        <v>Active</v>
      </c>
      <c r="F267" s="6" t="str">
        <f>IFERROR(__xludf.DUMMYFUNCTION("""COMPUTED_VALUE"""),"A")</f>
        <v>A</v>
      </c>
      <c r="G267" s="6">
        <f>IFERROR(__xludf.DUMMYFUNCTION("""COMPUTED_VALUE"""),10.0)</f>
        <v>10</v>
      </c>
      <c r="H267" s="6" t="str">
        <f>IFERROR(__xludf.DUMMYFUNCTION("""COMPUTED_VALUE"""),"INE398R01022")</f>
        <v>INE398R01022</v>
      </c>
      <c r="I267" s="6" t="str">
        <f>IFERROR(__xludf.DUMMYFUNCTION("""COMPUTED_VALUE"""),"Equity")</f>
        <v>Equity</v>
      </c>
      <c r="J267" s="6" t="str">
        <f>IFERROR(__xludf.DUMMYFUNCTION("""COMPUTED_VALUE"""),"Healthcare")</f>
        <v>Healthcare</v>
      </c>
      <c r="K267" s="6" t="str">
        <f>IFERROR(__xludf.DUMMYFUNCTION("""COMPUTED_VALUE"""),"Healthcare")</f>
        <v>Healthcare</v>
      </c>
      <c r="L267" s="6" t="str">
        <f>IFERROR(__xludf.DUMMYFUNCTION("""COMPUTED_VALUE"""),"Healthcare Services")</f>
        <v>Healthcare Services</v>
      </c>
      <c r="M267" s="6" t="str">
        <f>IFERROR(__xludf.DUMMYFUNCTION("""COMPUTED_VALUE"""),"Healthcare Research, Analytics &amp; Technology")</f>
        <v>Healthcare Research, Analytics &amp; Technology</v>
      </c>
      <c r="N267" s="5">
        <f>IFERROR(__xludf.DUMMYFUNCTION("""COMPUTED_VALUE"""),28623.179721)</f>
        <v>28623.17972</v>
      </c>
      <c r="O267" s="6">
        <f t="shared" si="4"/>
        <v>62</v>
      </c>
      <c r="P267" s="6">
        <f t="shared" ref="P267:Q267" si="536">COUNTIFS(L:L,L267)</f>
        <v>16</v>
      </c>
      <c r="Q267" s="24">
        <f t="shared" si="536"/>
        <v>2</v>
      </c>
      <c r="R267" s="6" t="str">
        <f t="shared" si="6"/>
        <v>Healthcare Services</v>
      </c>
      <c r="S267" s="6" t="str">
        <f t="shared" si="7"/>
        <v>Healthcare Services</v>
      </c>
      <c r="T267" s="6">
        <f>IFERROR(__xludf.DUMMYFUNCTION("COUNTA(UNIQUE(query($A$2:$P$800,""select L where K='""&amp; K267&amp;""'"")))"),3.0)</f>
        <v>3</v>
      </c>
      <c r="U267" s="23">
        <f t="shared" si="8"/>
        <v>0.07258064516</v>
      </c>
      <c r="V267" s="23">
        <f t="shared" ref="V267:W267" si="537">P267/O267</f>
        <v>0.2580645161</v>
      </c>
      <c r="W267" s="23">
        <f t="shared" si="537"/>
        <v>0.125</v>
      </c>
    </row>
    <row r="268">
      <c r="A268" s="6">
        <f>IFERROR(__xludf.DUMMYFUNCTION("""COMPUTED_VALUE"""),533272.0)</f>
        <v>533272</v>
      </c>
      <c r="B268" s="6" t="str">
        <f>IFERROR(__xludf.DUMMYFUNCTION("""COMPUTED_VALUE"""),"JUPITER WAGONS LIMITED")</f>
        <v>JUPITER WAGONS LIMITED</v>
      </c>
      <c r="C268" s="6" t="str">
        <f>IFERROR(__xludf.DUMMYFUNCTION("""COMPUTED_VALUE"""),"JWL")</f>
        <v>JWL</v>
      </c>
      <c r="D268" s="6" t="str">
        <f>IFERROR(__xludf.DUMMYFUNCTION("""COMPUTED_VALUE"""),"Jupiter Wagons Ltd")</f>
        <v>Jupiter Wagons Ltd</v>
      </c>
      <c r="E268" s="6" t="str">
        <f>IFERROR(__xludf.DUMMYFUNCTION("""COMPUTED_VALUE"""),"Active")</f>
        <v>Active</v>
      </c>
      <c r="F268" s="6" t="str">
        <f>IFERROR(__xludf.DUMMYFUNCTION("""COMPUTED_VALUE"""),"A")</f>
        <v>A</v>
      </c>
      <c r="G268" s="6">
        <f>IFERROR(__xludf.DUMMYFUNCTION("""COMPUTED_VALUE"""),10.0)</f>
        <v>10</v>
      </c>
      <c r="H268" s="6" t="str">
        <f>IFERROR(__xludf.DUMMYFUNCTION("""COMPUTED_VALUE"""),"INE209L01016")</f>
        <v>INE209L01016</v>
      </c>
      <c r="I268" s="6" t="str">
        <f>IFERROR(__xludf.DUMMYFUNCTION("""COMPUTED_VALUE"""),"Equity")</f>
        <v>Equity</v>
      </c>
      <c r="J268" s="6" t="str">
        <f>IFERROR(__xludf.DUMMYFUNCTION("""COMPUTED_VALUE"""),"Industrials")</f>
        <v>Industrials</v>
      </c>
      <c r="K268" s="6" t="str">
        <f>IFERROR(__xludf.DUMMYFUNCTION("""COMPUTED_VALUE"""),"Capital Goods")</f>
        <v>Capital Goods</v>
      </c>
      <c r="L268" s="6" t="str">
        <f>IFERROR(__xludf.DUMMYFUNCTION("""COMPUTED_VALUE"""),"Industrial Manufacturing")</f>
        <v>Industrial Manufacturing</v>
      </c>
      <c r="M268" s="6" t="str">
        <f>IFERROR(__xludf.DUMMYFUNCTION("""COMPUTED_VALUE"""),"Railway Wagons")</f>
        <v>Railway Wagons</v>
      </c>
      <c r="N268" s="5">
        <f>IFERROR(__xludf.DUMMYFUNCTION("""COMPUTED_VALUE"""),28417.34)</f>
        <v>28417.34</v>
      </c>
      <c r="O268" s="6">
        <f t="shared" si="4"/>
        <v>110</v>
      </c>
      <c r="P268" s="6">
        <f t="shared" ref="P268:Q268" si="538">COUNTIFS(L:L,L268)</f>
        <v>21</v>
      </c>
      <c r="Q268" s="24">
        <f t="shared" si="538"/>
        <v>2</v>
      </c>
      <c r="R268" s="6" t="str">
        <f t="shared" si="6"/>
        <v>Industrial Manufacturing</v>
      </c>
      <c r="S268" s="6" t="str">
        <f t="shared" si="7"/>
        <v>Industrial Manufacturing</v>
      </c>
      <c r="T268" s="6">
        <f>IFERROR(__xludf.DUMMYFUNCTION("COUNTA(UNIQUE(query($A$2:$P$800,""select L where K='""&amp; K268&amp;""'"")))"),5.0)</f>
        <v>5</v>
      </c>
      <c r="U268" s="23">
        <f t="shared" si="8"/>
        <v>0.06818181818</v>
      </c>
      <c r="V268" s="23">
        <f t="shared" ref="V268:W268" si="539">P268/O268</f>
        <v>0.1909090909</v>
      </c>
      <c r="W268" s="23">
        <f t="shared" si="539"/>
        <v>0.09523809524</v>
      </c>
    </row>
    <row r="269">
      <c r="A269" s="6">
        <f>IFERROR(__xludf.DUMMYFUNCTION("""COMPUTED_VALUE"""),540680.0)</f>
        <v>540680</v>
      </c>
      <c r="B269" s="6" t="str">
        <f>IFERROR(__xludf.DUMMYFUNCTION("""COMPUTED_VALUE"""),"KIOCL Limited")</f>
        <v>KIOCL Limited</v>
      </c>
      <c r="C269" s="6" t="str">
        <f>IFERROR(__xludf.DUMMYFUNCTION("""COMPUTED_VALUE"""),"KIOCL")</f>
        <v>KIOCL</v>
      </c>
      <c r="D269" s="6" t="str">
        <f>IFERROR(__xludf.DUMMYFUNCTION("""COMPUTED_VALUE"""),"KIOCL Ltd")</f>
        <v>KIOCL Ltd</v>
      </c>
      <c r="E269" s="6" t="str">
        <f>IFERROR(__xludf.DUMMYFUNCTION("""COMPUTED_VALUE"""),"Active")</f>
        <v>Active</v>
      </c>
      <c r="F269" s="6" t="str">
        <f>IFERROR(__xludf.DUMMYFUNCTION("""COMPUTED_VALUE"""),"A")</f>
        <v>A</v>
      </c>
      <c r="G269" s="6">
        <f>IFERROR(__xludf.DUMMYFUNCTION("""COMPUTED_VALUE"""),10.0)</f>
        <v>10</v>
      </c>
      <c r="H269" s="6" t="str">
        <f>IFERROR(__xludf.DUMMYFUNCTION("""COMPUTED_VALUE"""),"INE880L01014")</f>
        <v>INE880L01014</v>
      </c>
      <c r="I269" s="6" t="str">
        <f>IFERROR(__xludf.DUMMYFUNCTION("""COMPUTED_VALUE"""),"Equity")</f>
        <v>Equity</v>
      </c>
      <c r="J269" s="6" t="str">
        <f>IFERROR(__xludf.DUMMYFUNCTION("""COMPUTED_VALUE"""),"Commodities")</f>
        <v>Commodities</v>
      </c>
      <c r="K269" s="6" t="str">
        <f>IFERROR(__xludf.DUMMYFUNCTION("""COMPUTED_VALUE"""),"Metals &amp; Mining")</f>
        <v>Metals &amp; Mining</v>
      </c>
      <c r="L269" s="6" t="str">
        <f>IFERROR(__xludf.DUMMYFUNCTION("""COMPUTED_VALUE"""),"Ferrous Metals")</f>
        <v>Ferrous Metals</v>
      </c>
      <c r="M269" s="6" t="str">
        <f>IFERROR(__xludf.DUMMYFUNCTION("""COMPUTED_VALUE"""),"Sponge Iron")</f>
        <v>Sponge Iron</v>
      </c>
      <c r="N269" s="5">
        <f>IFERROR(__xludf.DUMMYFUNCTION("""COMPUTED_VALUE"""),28274.2179473)</f>
        <v>28274.21795</v>
      </c>
      <c r="O269" s="6">
        <f t="shared" si="4"/>
        <v>20</v>
      </c>
      <c r="P269" s="6">
        <f t="shared" ref="P269:Q269" si="540">COUNTIFS(L:L,L269)</f>
        <v>10</v>
      </c>
      <c r="Q269" s="24">
        <f t="shared" si="540"/>
        <v>2</v>
      </c>
      <c r="R269" s="6" t="str">
        <f t="shared" si="6"/>
        <v>Metals &amp; Mining</v>
      </c>
      <c r="S269" s="6" t="str">
        <f t="shared" si="7"/>
        <v>Metals &amp; Mining</v>
      </c>
      <c r="T269" s="6">
        <f>IFERROR(__xludf.DUMMYFUNCTION("COUNTA(UNIQUE(query($A$2:$P$800,""select L where K='""&amp; K269&amp;""'"")))"),5.0)</f>
        <v>5</v>
      </c>
      <c r="U269" s="23">
        <f t="shared" si="8"/>
        <v>0.375</v>
      </c>
      <c r="V269" s="23">
        <f t="shared" ref="V269:W269" si="541">P269/O269</f>
        <v>0.5</v>
      </c>
      <c r="W269" s="23">
        <f t="shared" si="541"/>
        <v>0.2</v>
      </c>
    </row>
    <row r="270">
      <c r="A270" s="6">
        <f>IFERROR(__xludf.DUMMYFUNCTION("""COMPUTED_VALUE"""),500770.0)</f>
        <v>500770</v>
      </c>
      <c r="B270" s="6" t="str">
        <f>IFERROR(__xludf.DUMMYFUNCTION("""COMPUTED_VALUE"""),"Tata Chemicals Ltd")</f>
        <v>Tata Chemicals Ltd</v>
      </c>
      <c r="C270" s="6" t="str">
        <f>IFERROR(__xludf.DUMMYFUNCTION("""COMPUTED_VALUE"""),"TATACHEM")</f>
        <v>TATACHEM</v>
      </c>
      <c r="D270" s="6" t="str">
        <f>IFERROR(__xludf.DUMMYFUNCTION("""COMPUTED_VALUE"""),"TATA CHEMICALS LTD.")</f>
        <v>TATA CHEMICALS LTD.</v>
      </c>
      <c r="E270" s="6" t="str">
        <f>IFERROR(__xludf.DUMMYFUNCTION("""COMPUTED_VALUE"""),"Active")</f>
        <v>Active</v>
      </c>
      <c r="F270" s="6" t="str">
        <f>IFERROR(__xludf.DUMMYFUNCTION("""COMPUTED_VALUE"""),"A")</f>
        <v>A</v>
      </c>
      <c r="G270" s="6">
        <f>IFERROR(__xludf.DUMMYFUNCTION("""COMPUTED_VALUE"""),10.0)</f>
        <v>10</v>
      </c>
      <c r="H270" s="6" t="str">
        <f>IFERROR(__xludf.DUMMYFUNCTION("""COMPUTED_VALUE"""),"INE092A01019")</f>
        <v>INE092A01019</v>
      </c>
      <c r="I270" s="6" t="str">
        <f>IFERROR(__xludf.DUMMYFUNCTION("""COMPUTED_VALUE"""),"Equity")</f>
        <v>Equity</v>
      </c>
      <c r="J270" s="6" t="str">
        <f>IFERROR(__xludf.DUMMYFUNCTION("""COMPUTED_VALUE"""),"Commodities")</f>
        <v>Commodities</v>
      </c>
      <c r="K270" s="6" t="str">
        <f>IFERROR(__xludf.DUMMYFUNCTION("""COMPUTED_VALUE"""),"Chemicals")</f>
        <v>Chemicals</v>
      </c>
      <c r="L270" s="6" t="str">
        <f>IFERROR(__xludf.DUMMYFUNCTION("""COMPUTED_VALUE"""),"Chemicals &amp; Petrochemicals")</f>
        <v>Chemicals &amp; Petrochemicals</v>
      </c>
      <c r="M270" s="6" t="str">
        <f>IFERROR(__xludf.DUMMYFUNCTION("""COMPUTED_VALUE"""),"Commodity Chemicals")</f>
        <v>Commodity Chemicals</v>
      </c>
      <c r="N270" s="5">
        <f>IFERROR(__xludf.DUMMYFUNCTION("""COMPUTED_VALUE"""),28065.3649345)</f>
        <v>28065.36493</v>
      </c>
      <c r="O270" s="6">
        <f t="shared" si="4"/>
        <v>52</v>
      </c>
      <c r="P270" s="6">
        <f t="shared" ref="P270:Q270" si="542">COUNTIFS(L:L,L270)</f>
        <v>37</v>
      </c>
      <c r="Q270" s="24">
        <f t="shared" si="542"/>
        <v>6</v>
      </c>
      <c r="R270" s="6" t="str">
        <f t="shared" si="6"/>
        <v>Chemicals</v>
      </c>
      <c r="S270" s="6" t="str">
        <f t="shared" si="7"/>
        <v>Chemicals</v>
      </c>
      <c r="T270" s="6">
        <f>IFERROR(__xludf.DUMMYFUNCTION("COUNTA(UNIQUE(query($A$2:$P$800,""select L where K='""&amp; K270&amp;""'"")))"),2.0)</f>
        <v>2</v>
      </c>
      <c r="U270" s="23">
        <f t="shared" si="8"/>
        <v>0.05769230769</v>
      </c>
      <c r="V270" s="23">
        <f t="shared" ref="V270:W270" si="543">P270/O270</f>
        <v>0.7115384615</v>
      </c>
      <c r="W270" s="23">
        <f t="shared" si="543"/>
        <v>0.1621621622</v>
      </c>
    </row>
    <row r="271">
      <c r="A271" s="6">
        <f>IFERROR(__xludf.DUMMYFUNCTION("""COMPUTED_VALUE"""),506943.0)</f>
        <v>506943</v>
      </c>
      <c r="B271" s="6" t="str">
        <f>IFERROR(__xludf.DUMMYFUNCTION("""COMPUTED_VALUE"""),"J.B. Chemicals &amp; Pharmaceuticals Lt")</f>
        <v>J.B. Chemicals &amp; Pharmaceuticals Lt</v>
      </c>
      <c r="C271" s="6" t="str">
        <f>IFERROR(__xludf.DUMMYFUNCTION("""COMPUTED_VALUE"""),"JBCHEPHARM")</f>
        <v>JBCHEPHARM</v>
      </c>
      <c r="D271" s="6" t="str">
        <f>IFERROR(__xludf.DUMMYFUNCTION("""COMPUTED_VALUE"""),"J.B.CHEMICALS &amp; PHARMACEUTICALS LTD.")</f>
        <v>J.B.CHEMICALS &amp; PHARMACEUTICALS LTD.</v>
      </c>
      <c r="E271" s="6" t="str">
        <f>IFERROR(__xludf.DUMMYFUNCTION("""COMPUTED_VALUE"""),"Active")</f>
        <v>Active</v>
      </c>
      <c r="F271" s="6" t="str">
        <f>IFERROR(__xludf.DUMMYFUNCTION("""COMPUTED_VALUE"""),"A")</f>
        <v>A</v>
      </c>
      <c r="G271" s="6">
        <f>IFERROR(__xludf.DUMMYFUNCTION("""COMPUTED_VALUE"""),1.0)</f>
        <v>1</v>
      </c>
      <c r="H271" s="6" t="str">
        <f>IFERROR(__xludf.DUMMYFUNCTION("""COMPUTED_VALUE"""),"INE572A01036")</f>
        <v>INE572A01036</v>
      </c>
      <c r="I271" s="6" t="str">
        <f>IFERROR(__xludf.DUMMYFUNCTION("""COMPUTED_VALUE"""),"Equity")</f>
        <v>Equity</v>
      </c>
      <c r="J271" s="6" t="str">
        <f>IFERROR(__xludf.DUMMYFUNCTION("""COMPUTED_VALUE"""),"Healthcare")</f>
        <v>Healthcare</v>
      </c>
      <c r="K271" s="6" t="str">
        <f>IFERROR(__xludf.DUMMYFUNCTION("""COMPUTED_VALUE"""),"Healthcare")</f>
        <v>Healthcare</v>
      </c>
      <c r="L271" s="6" t="str">
        <f>IFERROR(__xludf.DUMMYFUNCTION("""COMPUTED_VALUE"""),"Pharmaceuticals &amp; Biotechnology")</f>
        <v>Pharmaceuticals &amp; Biotechnology</v>
      </c>
      <c r="M271" s="6" t="str">
        <f>IFERROR(__xludf.DUMMYFUNCTION("""COMPUTED_VALUE"""),"Pharmaceuticals")</f>
        <v>Pharmaceuticals</v>
      </c>
      <c r="N271" s="5">
        <f>IFERROR(__xludf.DUMMYFUNCTION("""COMPUTED_VALUE"""),27229.1251327)</f>
        <v>27229.12513</v>
      </c>
      <c r="O271" s="6">
        <f t="shared" si="4"/>
        <v>62</v>
      </c>
      <c r="P271" s="6">
        <f t="shared" ref="P271:Q271" si="544">COUNTIFS(L:L,L271)</f>
        <v>45</v>
      </c>
      <c r="Q271" s="24">
        <f t="shared" si="544"/>
        <v>45</v>
      </c>
      <c r="R271" s="6" t="str">
        <f t="shared" si="6"/>
        <v>Healthcare</v>
      </c>
      <c r="S271" s="6" t="str">
        <f t="shared" si="7"/>
        <v>Healthcare</v>
      </c>
      <c r="T271" s="6">
        <f>IFERROR(__xludf.DUMMYFUNCTION("COUNTA(UNIQUE(query($A$2:$P$800,""select L where K='""&amp; K271&amp;""'"")))"),3.0)</f>
        <v>3</v>
      </c>
      <c r="U271" s="23">
        <f t="shared" si="8"/>
        <v>0.07258064516</v>
      </c>
      <c r="V271" s="23">
        <f t="shared" ref="V271:W271" si="545">P271/O271</f>
        <v>0.7258064516</v>
      </c>
      <c r="W271" s="23">
        <f t="shared" si="545"/>
        <v>1</v>
      </c>
    </row>
    <row r="272">
      <c r="A272" s="6">
        <f>IFERROR(__xludf.DUMMYFUNCTION("""COMPUTED_VALUE"""),500840.0)</f>
        <v>500840</v>
      </c>
      <c r="B272" s="6" t="str">
        <f>IFERROR(__xludf.DUMMYFUNCTION("""COMPUTED_VALUE"""),"EIH Ltd")</f>
        <v>EIH Ltd</v>
      </c>
      <c r="C272" s="6" t="str">
        <f>IFERROR(__xludf.DUMMYFUNCTION("""COMPUTED_VALUE"""),"EIHOTEL")</f>
        <v>EIHOTEL</v>
      </c>
      <c r="D272" s="6" t="str">
        <f>IFERROR(__xludf.DUMMYFUNCTION("""COMPUTED_VALUE"""),"EIH LTD.")</f>
        <v>EIH LTD.</v>
      </c>
      <c r="E272" s="6" t="str">
        <f>IFERROR(__xludf.DUMMYFUNCTION("""COMPUTED_VALUE"""),"Active")</f>
        <v>Active</v>
      </c>
      <c r="F272" s="6" t="str">
        <f>IFERROR(__xludf.DUMMYFUNCTION("""COMPUTED_VALUE"""),"A")</f>
        <v>A</v>
      </c>
      <c r="G272" s="6">
        <f>IFERROR(__xludf.DUMMYFUNCTION("""COMPUTED_VALUE"""),2.0)</f>
        <v>2</v>
      </c>
      <c r="H272" s="6" t="str">
        <f>IFERROR(__xludf.DUMMYFUNCTION("""COMPUTED_VALUE"""),"INE230A01023")</f>
        <v>INE230A01023</v>
      </c>
      <c r="I272" s="6" t="str">
        <f>IFERROR(__xludf.DUMMYFUNCTION("""COMPUTED_VALUE"""),"Equity")</f>
        <v>Equity</v>
      </c>
      <c r="J272" s="6" t="str">
        <f>IFERROR(__xludf.DUMMYFUNCTION("""COMPUTED_VALUE"""),"Consumer Discretionary")</f>
        <v>Consumer Discretionary</v>
      </c>
      <c r="K272" s="6" t="str">
        <f>IFERROR(__xludf.DUMMYFUNCTION("""COMPUTED_VALUE"""),"Consumer Services")</f>
        <v>Consumer Services</v>
      </c>
      <c r="L272" s="6" t="str">
        <f>IFERROR(__xludf.DUMMYFUNCTION("""COMPUTED_VALUE"""),"Leisure Services")</f>
        <v>Leisure Services</v>
      </c>
      <c r="M272" s="6" t="str">
        <f>IFERROR(__xludf.DUMMYFUNCTION("""COMPUTED_VALUE"""),"Hotels &amp; Resorts")</f>
        <v>Hotels &amp; Resorts</v>
      </c>
      <c r="N272" s="5">
        <f>IFERROR(__xludf.DUMMYFUNCTION("""COMPUTED_VALUE"""),26721.5865527)</f>
        <v>26721.58655</v>
      </c>
      <c r="O272" s="6">
        <f t="shared" si="4"/>
        <v>37</v>
      </c>
      <c r="P272" s="6">
        <f t="shared" ref="P272:Q272" si="546">COUNTIFS(L:L,L272)</f>
        <v>18</v>
      </c>
      <c r="Q272" s="24">
        <f t="shared" si="546"/>
        <v>7</v>
      </c>
      <c r="R272" s="6" t="str">
        <f t="shared" si="6"/>
        <v>Leisure Services</v>
      </c>
      <c r="S272" s="6" t="str">
        <f t="shared" si="7"/>
        <v>Leisure Services</v>
      </c>
      <c r="T272" s="6">
        <f>IFERROR(__xludf.DUMMYFUNCTION("COUNTA(UNIQUE(query($A$2:$P$800,""select L where K='""&amp; K272&amp;""'"")))"),3.0)</f>
        <v>3</v>
      </c>
      <c r="U272" s="23">
        <f t="shared" si="8"/>
        <v>0.1216216216</v>
      </c>
      <c r="V272" s="23">
        <f t="shared" ref="V272:W272" si="547">P272/O272</f>
        <v>0.4864864865</v>
      </c>
      <c r="W272" s="23">
        <f t="shared" si="547"/>
        <v>0.3888888889</v>
      </c>
    </row>
    <row r="273">
      <c r="A273" s="6">
        <f>IFERROR(__xludf.DUMMYFUNCTION("""COMPUTED_VALUE"""),500040.0)</f>
        <v>500040</v>
      </c>
      <c r="B273" s="6" t="str">
        <f>IFERROR(__xludf.DUMMYFUNCTION("""COMPUTED_VALUE"""),"Century Textiles &amp; Industries Ltd.")</f>
        <v>Century Textiles &amp; Industries Ltd.</v>
      </c>
      <c r="C273" s="6" t="str">
        <f>IFERROR(__xludf.DUMMYFUNCTION("""COMPUTED_VALUE"""),"CENTURYTEX")</f>
        <v>CENTURYTEX</v>
      </c>
      <c r="D273" s="6" t="str">
        <f>IFERROR(__xludf.DUMMYFUNCTION("""COMPUTED_VALUE"""),"CENTURY TEXTILES &amp; INDUSTRIES LTD.")</f>
        <v>CENTURY TEXTILES &amp; INDUSTRIES LTD.</v>
      </c>
      <c r="E273" s="6" t="str">
        <f>IFERROR(__xludf.DUMMYFUNCTION("""COMPUTED_VALUE"""),"Active")</f>
        <v>Active</v>
      </c>
      <c r="F273" s="6" t="str">
        <f>IFERROR(__xludf.DUMMYFUNCTION("""COMPUTED_VALUE"""),"A")</f>
        <v>A</v>
      </c>
      <c r="G273" s="6">
        <f>IFERROR(__xludf.DUMMYFUNCTION("""COMPUTED_VALUE"""),10.0)</f>
        <v>10</v>
      </c>
      <c r="H273" s="6" t="str">
        <f>IFERROR(__xludf.DUMMYFUNCTION("""COMPUTED_VALUE"""),"INE055A01016")</f>
        <v>INE055A01016</v>
      </c>
      <c r="I273" s="6" t="str">
        <f>IFERROR(__xludf.DUMMYFUNCTION("""COMPUTED_VALUE"""),"Equity")</f>
        <v>Equity</v>
      </c>
      <c r="J273" s="6" t="str">
        <f>IFERROR(__xludf.DUMMYFUNCTION("""COMPUTED_VALUE"""),"Commodities")</f>
        <v>Commodities</v>
      </c>
      <c r="K273" s="6" t="str">
        <f>IFERROR(__xludf.DUMMYFUNCTION("""COMPUTED_VALUE"""),"Forest Materials")</f>
        <v>Forest Materials</v>
      </c>
      <c r="L273" s="6" t="str">
        <f>IFERROR(__xludf.DUMMYFUNCTION("""COMPUTED_VALUE"""),"Paper, Forest &amp; Jute Products")</f>
        <v>Paper, Forest &amp; Jute Products</v>
      </c>
      <c r="M273" s="6" t="str">
        <f>IFERROR(__xludf.DUMMYFUNCTION("""COMPUTED_VALUE"""),"Paper &amp; Paper Products")</f>
        <v>Paper &amp; Paper Products</v>
      </c>
      <c r="N273" s="5">
        <f>IFERROR(__xludf.DUMMYFUNCTION("""COMPUTED_VALUE"""),26446.3775297)</f>
        <v>26446.37753</v>
      </c>
      <c r="O273" s="6">
        <f t="shared" si="4"/>
        <v>3</v>
      </c>
      <c r="P273" s="6">
        <f t="shared" ref="P273:Q273" si="548">COUNTIFS(L:L,L273)</f>
        <v>3</v>
      </c>
      <c r="Q273" s="24">
        <f t="shared" si="548"/>
        <v>3</v>
      </c>
      <c r="R273" s="6" t="str">
        <f t="shared" si="6"/>
        <v>Forest Materials</v>
      </c>
      <c r="S273" s="6" t="str">
        <f t="shared" si="7"/>
        <v>Misc.</v>
      </c>
      <c r="T273" s="6">
        <f>IFERROR(__xludf.DUMMYFUNCTION("COUNTA(UNIQUE(query($A$2:$P$800,""select L where K='""&amp; K273&amp;""'"")))"),1.0)</f>
        <v>1</v>
      </c>
      <c r="U273" s="23">
        <f t="shared" si="8"/>
        <v>0.5</v>
      </c>
      <c r="V273" s="23">
        <f t="shared" ref="V273:W273" si="549">P273/O273</f>
        <v>1</v>
      </c>
      <c r="W273" s="23">
        <f t="shared" si="549"/>
        <v>1</v>
      </c>
    </row>
    <row r="274">
      <c r="A274" s="6">
        <f>IFERROR(__xludf.DUMMYFUNCTION("""COMPUTED_VALUE"""),543396.0)</f>
        <v>543396</v>
      </c>
      <c r="B274" s="6" t="str">
        <f>IFERROR(__xludf.DUMMYFUNCTION("""COMPUTED_VALUE"""),"One 97 Communications Limited")</f>
        <v>One 97 Communications Limited</v>
      </c>
      <c r="C274" s="6" t="str">
        <f>IFERROR(__xludf.DUMMYFUNCTION("""COMPUTED_VALUE"""),"PAYTM")</f>
        <v>PAYTM</v>
      </c>
      <c r="D274" s="6" t="str">
        <f>IFERROR(__xludf.DUMMYFUNCTION("""COMPUTED_VALUE"""),"One 97 Communications Ltd")</f>
        <v>One 97 Communications Ltd</v>
      </c>
      <c r="E274" s="6" t="str">
        <f>IFERROR(__xludf.DUMMYFUNCTION("""COMPUTED_VALUE"""),"Active")</f>
        <v>Active</v>
      </c>
      <c r="F274" s="6" t="str">
        <f>IFERROR(__xludf.DUMMYFUNCTION("""COMPUTED_VALUE"""),"A")</f>
        <v>A</v>
      </c>
      <c r="G274" s="6">
        <f>IFERROR(__xludf.DUMMYFUNCTION("""COMPUTED_VALUE"""),1.0)</f>
        <v>1</v>
      </c>
      <c r="H274" s="6" t="str">
        <f>IFERROR(__xludf.DUMMYFUNCTION("""COMPUTED_VALUE"""),"INE982J01020")</f>
        <v>INE982J01020</v>
      </c>
      <c r="I274" s="6" t="str">
        <f>IFERROR(__xludf.DUMMYFUNCTION("""COMPUTED_VALUE"""),"Equity")</f>
        <v>Equity</v>
      </c>
      <c r="J274" s="6" t="str">
        <f>IFERROR(__xludf.DUMMYFUNCTION("""COMPUTED_VALUE"""),"Financial Services")</f>
        <v>Financial Services</v>
      </c>
      <c r="K274" s="6" t="str">
        <f>IFERROR(__xludf.DUMMYFUNCTION("""COMPUTED_VALUE"""),"Financial Services")</f>
        <v>Financial Services</v>
      </c>
      <c r="L274" s="6" t="str">
        <f>IFERROR(__xludf.DUMMYFUNCTION("""COMPUTED_VALUE"""),"Financial Technology (Fintech)")</f>
        <v>Financial Technology (Fintech)</v>
      </c>
      <c r="M274" s="6" t="str">
        <f>IFERROR(__xludf.DUMMYFUNCTION("""COMPUTED_VALUE"""),"Financial Technology (Fintech)")</f>
        <v>Financial Technology (Fintech)</v>
      </c>
      <c r="N274" s="5">
        <f>IFERROR(__xludf.DUMMYFUNCTION("""COMPUTED_VALUE"""),26081.4474613)</f>
        <v>26081.44746</v>
      </c>
      <c r="O274" s="6">
        <f t="shared" si="4"/>
        <v>123</v>
      </c>
      <c r="P274" s="6">
        <f t="shared" ref="P274:Q274" si="550">COUNTIFS(L:L,L274)</f>
        <v>3</v>
      </c>
      <c r="Q274" s="24">
        <f t="shared" si="550"/>
        <v>3</v>
      </c>
      <c r="R274" s="6" t="str">
        <f t="shared" si="6"/>
        <v>Financial Services</v>
      </c>
      <c r="S274" s="6" t="str">
        <f t="shared" si="7"/>
        <v>Financial Services</v>
      </c>
      <c r="T274" s="6">
        <f>IFERROR(__xludf.DUMMYFUNCTION("COUNTA(UNIQUE(query($A$2:$P$800,""select L where K='""&amp; K274&amp;""'"")))"),5.0)</f>
        <v>5</v>
      </c>
      <c r="U274" s="23">
        <f t="shared" si="8"/>
        <v>0.06097560976</v>
      </c>
      <c r="V274" s="23">
        <f t="shared" ref="V274:W274" si="551">P274/O274</f>
        <v>0.0243902439</v>
      </c>
      <c r="W274" s="23">
        <f t="shared" si="551"/>
        <v>1</v>
      </c>
    </row>
    <row r="275">
      <c r="A275" s="6">
        <f>IFERROR(__xludf.DUMMYFUNCTION("""COMPUTED_VALUE"""),543463.0)</f>
        <v>543463</v>
      </c>
      <c r="B275" s="6" t="str">
        <f>IFERROR(__xludf.DUMMYFUNCTION("""COMPUTED_VALUE"""),"Vedant Fashions Limited")</f>
        <v>Vedant Fashions Limited</v>
      </c>
      <c r="C275" s="6" t="str">
        <f>IFERROR(__xludf.DUMMYFUNCTION("""COMPUTED_VALUE"""),"MANYAVAR")</f>
        <v>MANYAVAR</v>
      </c>
      <c r="D275" s="6" t="str">
        <f>IFERROR(__xludf.DUMMYFUNCTION("""COMPUTED_VALUE"""),"Vedant Fashions Ltd")</f>
        <v>Vedant Fashions Ltd</v>
      </c>
      <c r="E275" s="6" t="str">
        <f>IFERROR(__xludf.DUMMYFUNCTION("""COMPUTED_VALUE"""),"Active")</f>
        <v>Active</v>
      </c>
      <c r="F275" s="6" t="str">
        <f>IFERROR(__xludf.DUMMYFUNCTION("""COMPUTED_VALUE"""),"A")</f>
        <v>A</v>
      </c>
      <c r="G275" s="6">
        <f>IFERROR(__xludf.DUMMYFUNCTION("""COMPUTED_VALUE"""),1.0)</f>
        <v>1</v>
      </c>
      <c r="H275" s="6" t="str">
        <f>IFERROR(__xludf.DUMMYFUNCTION("""COMPUTED_VALUE"""),"INE825V01034")</f>
        <v>INE825V01034</v>
      </c>
      <c r="I275" s="6" t="str">
        <f>IFERROR(__xludf.DUMMYFUNCTION("""COMPUTED_VALUE"""),"Equity")</f>
        <v>Equity</v>
      </c>
      <c r="J275" s="6" t="str">
        <f>IFERROR(__xludf.DUMMYFUNCTION("""COMPUTED_VALUE"""),"Consumer Discretionary")</f>
        <v>Consumer Discretionary</v>
      </c>
      <c r="K275" s="6" t="str">
        <f>IFERROR(__xludf.DUMMYFUNCTION("""COMPUTED_VALUE"""),"Consumer Services")</f>
        <v>Consumer Services</v>
      </c>
      <c r="L275" s="6" t="str">
        <f>IFERROR(__xludf.DUMMYFUNCTION("""COMPUTED_VALUE"""),"Retailing")</f>
        <v>Retailing</v>
      </c>
      <c r="M275" s="6" t="str">
        <f>IFERROR(__xludf.DUMMYFUNCTION("""COMPUTED_VALUE"""),"Speciality Retail")</f>
        <v>Speciality Retail</v>
      </c>
      <c r="N275" s="5">
        <f>IFERROR(__xludf.DUMMYFUNCTION("""COMPUTED_VALUE"""),25937.2791975)</f>
        <v>25937.2792</v>
      </c>
      <c r="O275" s="6">
        <f t="shared" si="4"/>
        <v>37</v>
      </c>
      <c r="P275" s="6">
        <f t="shared" ref="P275:Q275" si="552">COUNTIFS(L:L,L275)</f>
        <v>18</v>
      </c>
      <c r="Q275" s="24">
        <f t="shared" si="552"/>
        <v>6</v>
      </c>
      <c r="R275" s="6" t="str">
        <f t="shared" si="6"/>
        <v>Retailing</v>
      </c>
      <c r="S275" s="6" t="str">
        <f t="shared" si="7"/>
        <v>Retailing</v>
      </c>
      <c r="T275" s="6">
        <f>IFERROR(__xludf.DUMMYFUNCTION("COUNTA(UNIQUE(query($A$2:$P$800,""select L where K='""&amp; K275&amp;""'"")))"),3.0)</f>
        <v>3</v>
      </c>
      <c r="U275" s="23">
        <f t="shared" si="8"/>
        <v>0.1216216216</v>
      </c>
      <c r="V275" s="23">
        <f t="shared" ref="V275:W275" si="553">P275/O275</f>
        <v>0.4864864865</v>
      </c>
      <c r="W275" s="23">
        <f t="shared" si="553"/>
        <v>0.3333333333</v>
      </c>
    </row>
    <row r="276">
      <c r="A276" s="6">
        <f>IFERROR(__xludf.DUMMYFUNCTION("""COMPUTED_VALUE"""),539876.0)</f>
        <v>539876</v>
      </c>
      <c r="B276" s="6" t="str">
        <f>IFERROR(__xludf.DUMMYFUNCTION("""COMPUTED_VALUE"""),"Crompton Greaves Consumer Electricals Limited")</f>
        <v>Crompton Greaves Consumer Electricals Limited</v>
      </c>
      <c r="C276" s="6" t="str">
        <f>IFERROR(__xludf.DUMMYFUNCTION("""COMPUTED_VALUE"""),"CROMPTON")</f>
        <v>CROMPTON</v>
      </c>
      <c r="D276" s="6" t="str">
        <f>IFERROR(__xludf.DUMMYFUNCTION("""COMPUTED_VALUE"""),"Crompton Greaves Consumer Electricals Ltd")</f>
        <v>Crompton Greaves Consumer Electricals Ltd</v>
      </c>
      <c r="E276" s="6" t="str">
        <f>IFERROR(__xludf.DUMMYFUNCTION("""COMPUTED_VALUE"""),"Active")</f>
        <v>Active</v>
      </c>
      <c r="F276" s="6" t="str">
        <f>IFERROR(__xludf.DUMMYFUNCTION("""COMPUTED_VALUE"""),"A")</f>
        <v>A</v>
      </c>
      <c r="G276" s="6">
        <f>IFERROR(__xludf.DUMMYFUNCTION("""COMPUTED_VALUE"""),2.0)</f>
        <v>2</v>
      </c>
      <c r="H276" s="6" t="str">
        <f>IFERROR(__xludf.DUMMYFUNCTION("""COMPUTED_VALUE"""),"INE299U01018")</f>
        <v>INE299U01018</v>
      </c>
      <c r="I276" s="6" t="str">
        <f>IFERROR(__xludf.DUMMYFUNCTION("""COMPUTED_VALUE"""),"Equity")</f>
        <v>Equity</v>
      </c>
      <c r="J276" s="6" t="str">
        <f>IFERROR(__xludf.DUMMYFUNCTION("""COMPUTED_VALUE"""),"Consumer Discretionary")</f>
        <v>Consumer Discretionary</v>
      </c>
      <c r="K276" s="6" t="str">
        <f>IFERROR(__xludf.DUMMYFUNCTION("""COMPUTED_VALUE"""),"Consumer Durables")</f>
        <v>Consumer Durables</v>
      </c>
      <c r="L276" s="6" t="str">
        <f>IFERROR(__xludf.DUMMYFUNCTION("""COMPUTED_VALUE"""),"Consumer Durables")</f>
        <v>Consumer Durables</v>
      </c>
      <c r="M276" s="6" t="str">
        <f>IFERROR(__xludf.DUMMYFUNCTION("""COMPUTED_VALUE"""),"Household Appliances")</f>
        <v>Household Appliances</v>
      </c>
      <c r="N276" s="5">
        <f>IFERROR(__xludf.DUMMYFUNCTION("""COMPUTED_VALUE"""),25929.33252)</f>
        <v>25929.33252</v>
      </c>
      <c r="O276" s="6">
        <f t="shared" si="4"/>
        <v>42</v>
      </c>
      <c r="P276" s="6">
        <f t="shared" ref="P276:Q276" si="554">COUNTIFS(L:L,L276)</f>
        <v>42</v>
      </c>
      <c r="Q276" s="24">
        <f t="shared" si="554"/>
        <v>13</v>
      </c>
      <c r="R276" s="6" t="str">
        <f t="shared" si="6"/>
        <v>Consumer Durables</v>
      </c>
      <c r="S276" s="6" t="str">
        <f t="shared" si="7"/>
        <v>Consumer Durables</v>
      </c>
      <c r="T276" s="6">
        <f>IFERROR(__xludf.DUMMYFUNCTION("COUNTA(UNIQUE(query($A$2:$P$800,""select L where K='""&amp; K276&amp;""'"")))"),1.0)</f>
        <v>1</v>
      </c>
      <c r="U276" s="23">
        <f t="shared" si="8"/>
        <v>0.03571428571</v>
      </c>
      <c r="V276" s="23">
        <f t="shared" ref="V276:W276" si="555">P276/O276</f>
        <v>1</v>
      </c>
      <c r="W276" s="23">
        <f t="shared" si="555"/>
        <v>0.3095238095</v>
      </c>
    </row>
    <row r="277">
      <c r="A277" s="6">
        <f>IFERROR(__xludf.DUMMYFUNCTION("""COMPUTED_VALUE"""),504973.0)</f>
        <v>504973</v>
      </c>
      <c r="B277" s="6" t="str">
        <f>IFERROR(__xludf.DUMMYFUNCTION("""COMPUTED_VALUE"""),"CHOLAMANDALAM FINANCIAL HOLDINGS LIMITED")</f>
        <v>CHOLAMANDALAM FINANCIAL HOLDINGS LIMITED</v>
      </c>
      <c r="C277" s="6" t="str">
        <f>IFERROR(__xludf.DUMMYFUNCTION("""COMPUTED_VALUE"""),"CHOLAHLDNG")</f>
        <v>CHOLAHLDNG</v>
      </c>
      <c r="D277" s="6" t="str">
        <f>IFERROR(__xludf.DUMMYFUNCTION("""COMPUTED_VALUE"""),"Cholamandalam Financial Holdings Ltd")</f>
        <v>Cholamandalam Financial Holdings Ltd</v>
      </c>
      <c r="E277" s="6" t="str">
        <f>IFERROR(__xludf.DUMMYFUNCTION("""COMPUTED_VALUE"""),"Active")</f>
        <v>Active</v>
      </c>
      <c r="F277" s="6" t="str">
        <f>IFERROR(__xludf.DUMMYFUNCTION("""COMPUTED_VALUE"""),"A")</f>
        <v>A</v>
      </c>
      <c r="G277" s="6">
        <f>IFERROR(__xludf.DUMMYFUNCTION("""COMPUTED_VALUE"""),1.0)</f>
        <v>1</v>
      </c>
      <c r="H277" s="6" t="str">
        <f>IFERROR(__xludf.DUMMYFUNCTION("""COMPUTED_VALUE"""),"INE149A01033")</f>
        <v>INE149A01033</v>
      </c>
      <c r="I277" s="6" t="str">
        <f>IFERROR(__xludf.DUMMYFUNCTION("""COMPUTED_VALUE"""),"Equity")</f>
        <v>Equity</v>
      </c>
      <c r="J277" s="6" t="str">
        <f>IFERROR(__xludf.DUMMYFUNCTION("""COMPUTED_VALUE"""),"Financial Services")</f>
        <v>Financial Services</v>
      </c>
      <c r="K277" s="6" t="str">
        <f>IFERROR(__xludf.DUMMYFUNCTION("""COMPUTED_VALUE"""),"Financial Services")</f>
        <v>Financial Services</v>
      </c>
      <c r="L277" s="6" t="str">
        <f>IFERROR(__xludf.DUMMYFUNCTION("""COMPUTED_VALUE"""),"Finance")</f>
        <v>Finance</v>
      </c>
      <c r="M277" s="6" t="str">
        <f>IFERROR(__xludf.DUMMYFUNCTION("""COMPUTED_VALUE"""),"Investment Company")</f>
        <v>Investment Company</v>
      </c>
      <c r="N277" s="5">
        <f>IFERROR(__xludf.DUMMYFUNCTION("""COMPUTED_VALUE"""),25901.0362758)</f>
        <v>25901.03628</v>
      </c>
      <c r="O277" s="6">
        <f t="shared" si="4"/>
        <v>123</v>
      </c>
      <c r="P277" s="6">
        <f t="shared" ref="P277:Q277" si="556">COUNTIFS(L:L,L277)</f>
        <v>56</v>
      </c>
      <c r="Q277" s="24">
        <f t="shared" si="556"/>
        <v>8</v>
      </c>
      <c r="R277" s="6" t="str">
        <f t="shared" si="6"/>
        <v>Finance</v>
      </c>
      <c r="S277" s="6" t="str">
        <f t="shared" si="7"/>
        <v>Finance</v>
      </c>
      <c r="T277" s="6">
        <f>IFERROR(__xludf.DUMMYFUNCTION("COUNTA(UNIQUE(query($A$2:$P$800,""select L where K='""&amp; K277&amp;""'"")))"),5.0)</f>
        <v>5</v>
      </c>
      <c r="U277" s="23">
        <f t="shared" si="8"/>
        <v>0.06097560976</v>
      </c>
      <c r="V277" s="23">
        <f t="shared" ref="V277:W277" si="557">P277/O277</f>
        <v>0.4552845528</v>
      </c>
      <c r="W277" s="23">
        <f t="shared" si="557"/>
        <v>0.1428571429</v>
      </c>
    </row>
    <row r="278">
      <c r="A278" s="6">
        <f>IFERROR(__xludf.DUMMYFUNCTION("""COMPUTED_VALUE"""),541956.0)</f>
        <v>541956</v>
      </c>
      <c r="B278" s="6" t="str">
        <f>IFERROR(__xludf.DUMMYFUNCTION("""COMPUTED_VALUE"""),"IRCON International Ltd")</f>
        <v>IRCON International Ltd</v>
      </c>
      <c r="C278" s="6" t="str">
        <f>IFERROR(__xludf.DUMMYFUNCTION("""COMPUTED_VALUE"""),"IRCON")</f>
        <v>IRCON</v>
      </c>
      <c r="D278" s="6" t="str">
        <f>IFERROR(__xludf.DUMMYFUNCTION("""COMPUTED_VALUE"""),"IRCON International Ltd")</f>
        <v>IRCON International Ltd</v>
      </c>
      <c r="E278" s="6" t="str">
        <f>IFERROR(__xludf.DUMMYFUNCTION("""COMPUTED_VALUE"""),"Active")</f>
        <v>Active</v>
      </c>
      <c r="F278" s="6" t="str">
        <f>IFERROR(__xludf.DUMMYFUNCTION("""COMPUTED_VALUE"""),"A")</f>
        <v>A</v>
      </c>
      <c r="G278" s="6">
        <f>IFERROR(__xludf.DUMMYFUNCTION("""COMPUTED_VALUE"""),2.0)</f>
        <v>2</v>
      </c>
      <c r="H278" s="6" t="str">
        <f>IFERROR(__xludf.DUMMYFUNCTION("""COMPUTED_VALUE"""),"INE962Y01021")</f>
        <v>INE962Y01021</v>
      </c>
      <c r="I278" s="6" t="str">
        <f>IFERROR(__xludf.DUMMYFUNCTION("""COMPUTED_VALUE"""),"Equity")</f>
        <v>Equity</v>
      </c>
      <c r="J278" s="6" t="str">
        <f>IFERROR(__xludf.DUMMYFUNCTION("""COMPUTED_VALUE"""),"Industrials")</f>
        <v>Industrials</v>
      </c>
      <c r="K278" s="6" t="str">
        <f>IFERROR(__xludf.DUMMYFUNCTION("""COMPUTED_VALUE"""),"Construction")</f>
        <v>Construction</v>
      </c>
      <c r="L278" s="6" t="str">
        <f>IFERROR(__xludf.DUMMYFUNCTION("""COMPUTED_VALUE"""),"Construction")</f>
        <v>Construction</v>
      </c>
      <c r="M278" s="6" t="str">
        <f>IFERROR(__xludf.DUMMYFUNCTION("""COMPUTED_VALUE"""),"Civil Construction")</f>
        <v>Civil Construction</v>
      </c>
      <c r="N278" s="5">
        <f>IFERROR(__xludf.DUMMYFUNCTION("""COMPUTED_VALUE"""),25833.1674616)</f>
        <v>25833.16746</v>
      </c>
      <c r="O278" s="6">
        <f t="shared" si="4"/>
        <v>27</v>
      </c>
      <c r="P278" s="6">
        <f t="shared" ref="P278:Q278" si="558">COUNTIFS(L:L,L278)</f>
        <v>27</v>
      </c>
      <c r="Q278" s="24">
        <f t="shared" si="558"/>
        <v>27</v>
      </c>
      <c r="R278" s="6" t="str">
        <f t="shared" si="6"/>
        <v>Construction</v>
      </c>
      <c r="S278" s="6" t="str">
        <f t="shared" si="7"/>
        <v>Construction</v>
      </c>
      <c r="T278" s="6">
        <f>IFERROR(__xludf.DUMMYFUNCTION("COUNTA(UNIQUE(query($A$2:$P$800,""select L where K='""&amp; K278&amp;""'"")))"),1.0)</f>
        <v>1</v>
      </c>
      <c r="U278" s="23">
        <f t="shared" si="8"/>
        <v>0.05555555556</v>
      </c>
      <c r="V278" s="23">
        <f t="shared" ref="V278:W278" si="559">P278/O278</f>
        <v>1</v>
      </c>
      <c r="W278" s="23">
        <f t="shared" si="559"/>
        <v>1</v>
      </c>
    </row>
    <row r="279">
      <c r="A279" s="6">
        <f>IFERROR(__xludf.DUMMYFUNCTION("""COMPUTED_VALUE"""),542920.0)</f>
        <v>542920</v>
      </c>
      <c r="B279" s="6" t="str">
        <f>IFERROR(__xludf.DUMMYFUNCTION("""COMPUTED_VALUE"""),"SUMITOMO CHEMICAL INDIA LIMITED")</f>
        <v>SUMITOMO CHEMICAL INDIA LIMITED</v>
      </c>
      <c r="C279" s="6" t="str">
        <f>IFERROR(__xludf.DUMMYFUNCTION("""COMPUTED_VALUE"""),"SUMICHEM")</f>
        <v>SUMICHEM</v>
      </c>
      <c r="D279" s="6" t="str">
        <f>IFERROR(__xludf.DUMMYFUNCTION("""COMPUTED_VALUE"""),"Sumitomo Chemical India Ltd")</f>
        <v>Sumitomo Chemical India Ltd</v>
      </c>
      <c r="E279" s="6" t="str">
        <f>IFERROR(__xludf.DUMMYFUNCTION("""COMPUTED_VALUE"""),"Active")</f>
        <v>Active</v>
      </c>
      <c r="F279" s="6" t="str">
        <f>IFERROR(__xludf.DUMMYFUNCTION("""COMPUTED_VALUE"""),"A")</f>
        <v>A</v>
      </c>
      <c r="G279" s="6">
        <f>IFERROR(__xludf.DUMMYFUNCTION("""COMPUTED_VALUE"""),10.0)</f>
        <v>10</v>
      </c>
      <c r="H279" s="6" t="str">
        <f>IFERROR(__xludf.DUMMYFUNCTION("""COMPUTED_VALUE"""),"INE258G01013")</f>
        <v>INE258G01013</v>
      </c>
      <c r="I279" s="6" t="str">
        <f>IFERROR(__xludf.DUMMYFUNCTION("""COMPUTED_VALUE"""),"Equity")</f>
        <v>Equity</v>
      </c>
      <c r="J279" s="6" t="str">
        <f>IFERROR(__xludf.DUMMYFUNCTION("""COMPUTED_VALUE"""),"Commodities")</f>
        <v>Commodities</v>
      </c>
      <c r="K279" s="6" t="str">
        <f>IFERROR(__xludf.DUMMYFUNCTION("""COMPUTED_VALUE"""),"Chemicals")</f>
        <v>Chemicals</v>
      </c>
      <c r="L279" s="6" t="str">
        <f>IFERROR(__xludf.DUMMYFUNCTION("""COMPUTED_VALUE"""),"Fertilizers &amp; Agrochemicals")</f>
        <v>Fertilizers &amp; Agrochemicals</v>
      </c>
      <c r="M279" s="6" t="str">
        <f>IFERROR(__xludf.DUMMYFUNCTION("""COMPUTED_VALUE"""),"Pesticides &amp; Agrochemicals")</f>
        <v>Pesticides &amp; Agrochemicals</v>
      </c>
      <c r="N279" s="5">
        <f>IFERROR(__xludf.DUMMYFUNCTION("""COMPUTED_VALUE"""),25477.8588954)</f>
        <v>25477.8589</v>
      </c>
      <c r="O279" s="6">
        <f t="shared" si="4"/>
        <v>52</v>
      </c>
      <c r="P279" s="6">
        <f t="shared" ref="P279:Q279" si="560">COUNTIFS(L:L,L279)</f>
        <v>15</v>
      </c>
      <c r="Q279" s="24">
        <f t="shared" si="560"/>
        <v>7</v>
      </c>
      <c r="R279" s="6" t="str">
        <f t="shared" si="6"/>
        <v>Fertilizers &amp; Agrochemicals</v>
      </c>
      <c r="S279" s="6" t="str">
        <f t="shared" si="7"/>
        <v>Fertilizers &amp; Agrochemicals</v>
      </c>
      <c r="T279" s="6">
        <f>IFERROR(__xludf.DUMMYFUNCTION("COUNTA(UNIQUE(query($A$2:$P$800,""select L where K='""&amp; K279&amp;""'"")))"),2.0)</f>
        <v>2</v>
      </c>
      <c r="U279" s="23">
        <f t="shared" si="8"/>
        <v>0.05769230769</v>
      </c>
      <c r="V279" s="23">
        <f t="shared" ref="V279:W279" si="561">P279/O279</f>
        <v>0.2884615385</v>
      </c>
      <c r="W279" s="23">
        <f t="shared" si="561"/>
        <v>0.4666666667</v>
      </c>
    </row>
    <row r="280">
      <c r="A280" s="6">
        <f>IFERROR(__xludf.DUMMYFUNCTION("""COMPUTED_VALUE"""),543664.0)</f>
        <v>543664</v>
      </c>
      <c r="B280" s="6" t="str">
        <f>IFERROR(__xludf.DUMMYFUNCTION("""COMPUTED_VALUE"""),"KAYNES TECHNOLOGY INDIA LIMITED")</f>
        <v>KAYNES TECHNOLOGY INDIA LIMITED</v>
      </c>
      <c r="C280" s="6" t="str">
        <f>IFERROR(__xludf.DUMMYFUNCTION("""COMPUTED_VALUE"""),"KAYNES")</f>
        <v>KAYNES</v>
      </c>
      <c r="D280" s="6" t="str">
        <f>IFERROR(__xludf.DUMMYFUNCTION("""COMPUTED_VALUE"""),"Kaynes Technology India Ltd")</f>
        <v>Kaynes Technology India Ltd</v>
      </c>
      <c r="E280" s="6" t="str">
        <f>IFERROR(__xludf.DUMMYFUNCTION("""COMPUTED_VALUE"""),"Active")</f>
        <v>Active</v>
      </c>
      <c r="F280" s="6" t="str">
        <f>IFERROR(__xludf.DUMMYFUNCTION("""COMPUTED_VALUE"""),"A")</f>
        <v>A</v>
      </c>
      <c r="G280" s="6">
        <f>IFERROR(__xludf.DUMMYFUNCTION("""COMPUTED_VALUE"""),10.0)</f>
        <v>10</v>
      </c>
      <c r="H280" s="6" t="str">
        <f>IFERROR(__xludf.DUMMYFUNCTION("""COMPUTED_VALUE"""),"INE918Z01012")</f>
        <v>INE918Z01012</v>
      </c>
      <c r="I280" s="6" t="str">
        <f>IFERROR(__xludf.DUMMYFUNCTION("""COMPUTED_VALUE"""),"Equity")</f>
        <v>Equity</v>
      </c>
      <c r="J280" s="6" t="str">
        <f>IFERROR(__xludf.DUMMYFUNCTION("""COMPUTED_VALUE"""),"Industrials")</f>
        <v>Industrials</v>
      </c>
      <c r="K280" s="6" t="str">
        <f>IFERROR(__xludf.DUMMYFUNCTION("""COMPUTED_VALUE"""),"Capital Goods")</f>
        <v>Capital Goods</v>
      </c>
      <c r="L280" s="6" t="str">
        <f>IFERROR(__xludf.DUMMYFUNCTION("""COMPUTED_VALUE"""),"Industrial Manufacturing")</f>
        <v>Industrial Manufacturing</v>
      </c>
      <c r="M280" s="6" t="str">
        <f>IFERROR(__xludf.DUMMYFUNCTION("""COMPUTED_VALUE"""),"Industrial Products")</f>
        <v>Industrial Products</v>
      </c>
      <c r="N280" s="5">
        <f>IFERROR(__xludf.DUMMYFUNCTION("""COMPUTED_VALUE"""),25410.4868227)</f>
        <v>25410.48682</v>
      </c>
      <c r="O280" s="6">
        <f t="shared" si="4"/>
        <v>110</v>
      </c>
      <c r="P280" s="6">
        <f t="shared" ref="P280:Q280" si="562">COUNTIFS(L:L,L280)</f>
        <v>21</v>
      </c>
      <c r="Q280" s="24">
        <f t="shared" si="562"/>
        <v>17</v>
      </c>
      <c r="R280" s="6" t="str">
        <f t="shared" si="6"/>
        <v>Industrial Manufacturing</v>
      </c>
      <c r="S280" s="6" t="str">
        <f t="shared" si="7"/>
        <v>Industrial Manufacturing</v>
      </c>
      <c r="T280" s="6">
        <f>IFERROR(__xludf.DUMMYFUNCTION("COUNTA(UNIQUE(query($A$2:$P$800,""select L where K='""&amp; K280&amp;""'"")))"),5.0)</f>
        <v>5</v>
      </c>
      <c r="U280" s="23">
        <f t="shared" si="8"/>
        <v>0.06818181818</v>
      </c>
      <c r="V280" s="23">
        <f t="shared" ref="V280:W280" si="563">P280/O280</f>
        <v>0.1909090909</v>
      </c>
      <c r="W280" s="23">
        <f t="shared" si="563"/>
        <v>0.8095238095</v>
      </c>
    </row>
    <row r="281">
      <c r="A281" s="6">
        <f>IFERROR(__xludf.DUMMYFUNCTION("""COMPUTED_VALUE"""),524208.0)</f>
        <v>524208</v>
      </c>
      <c r="B281" s="6" t="str">
        <f>IFERROR(__xludf.DUMMYFUNCTION("""COMPUTED_VALUE"""),"Aarti Industries Ltd")</f>
        <v>Aarti Industries Ltd</v>
      </c>
      <c r="C281" s="6" t="str">
        <f>IFERROR(__xludf.DUMMYFUNCTION("""COMPUTED_VALUE"""),"AARTIIND")</f>
        <v>AARTIIND</v>
      </c>
      <c r="D281" s="6" t="str">
        <f>IFERROR(__xludf.DUMMYFUNCTION("""COMPUTED_VALUE"""),"AARTI INDUSTRIES LTD.")</f>
        <v>AARTI INDUSTRIES LTD.</v>
      </c>
      <c r="E281" s="6" t="str">
        <f>IFERROR(__xludf.DUMMYFUNCTION("""COMPUTED_VALUE"""),"Active")</f>
        <v>Active</v>
      </c>
      <c r="F281" s="6" t="str">
        <f>IFERROR(__xludf.DUMMYFUNCTION("""COMPUTED_VALUE"""),"A")</f>
        <v>A</v>
      </c>
      <c r="G281" s="6">
        <f>IFERROR(__xludf.DUMMYFUNCTION("""COMPUTED_VALUE"""),5.0)</f>
        <v>5</v>
      </c>
      <c r="H281" s="6" t="str">
        <f>IFERROR(__xludf.DUMMYFUNCTION("""COMPUTED_VALUE"""),"INE769A01020")</f>
        <v>INE769A01020</v>
      </c>
      <c r="I281" s="6" t="str">
        <f>IFERROR(__xludf.DUMMYFUNCTION("""COMPUTED_VALUE"""),"Equity")</f>
        <v>Equity</v>
      </c>
      <c r="J281" s="6" t="str">
        <f>IFERROR(__xludf.DUMMYFUNCTION("""COMPUTED_VALUE"""),"Commodities")</f>
        <v>Commodities</v>
      </c>
      <c r="K281" s="6" t="str">
        <f>IFERROR(__xludf.DUMMYFUNCTION("""COMPUTED_VALUE"""),"Chemicals")</f>
        <v>Chemicals</v>
      </c>
      <c r="L281" s="6" t="str">
        <f>IFERROR(__xludf.DUMMYFUNCTION("""COMPUTED_VALUE"""),"Chemicals &amp; Petrochemicals")</f>
        <v>Chemicals &amp; Petrochemicals</v>
      </c>
      <c r="M281" s="6" t="str">
        <f>IFERROR(__xludf.DUMMYFUNCTION("""COMPUTED_VALUE"""),"Specialty Chemicals")</f>
        <v>Specialty Chemicals</v>
      </c>
      <c r="N281" s="5">
        <f>IFERROR(__xludf.DUMMYFUNCTION("""COMPUTED_VALUE"""),25079.7734183)</f>
        <v>25079.77342</v>
      </c>
      <c r="O281" s="6">
        <f t="shared" si="4"/>
        <v>52</v>
      </c>
      <c r="P281" s="6">
        <f t="shared" ref="P281:Q281" si="564">COUNTIFS(L:L,L281)</f>
        <v>37</v>
      </c>
      <c r="Q281" s="24">
        <f t="shared" si="564"/>
        <v>25</v>
      </c>
      <c r="R281" s="6" t="str">
        <f t="shared" si="6"/>
        <v>Chemicals</v>
      </c>
      <c r="S281" s="6" t="str">
        <f t="shared" si="7"/>
        <v>Chemicals</v>
      </c>
      <c r="T281" s="6">
        <f>IFERROR(__xludf.DUMMYFUNCTION("COUNTA(UNIQUE(query($A$2:$P$800,""select L where K='""&amp; K281&amp;""'"")))"),2.0)</f>
        <v>2</v>
      </c>
      <c r="U281" s="23">
        <f t="shared" si="8"/>
        <v>0.05769230769</v>
      </c>
      <c r="V281" s="23">
        <f t="shared" ref="V281:W281" si="565">P281/O281</f>
        <v>0.7115384615</v>
      </c>
      <c r="W281" s="23">
        <f t="shared" si="565"/>
        <v>0.6756756757</v>
      </c>
    </row>
    <row r="282">
      <c r="A282" s="6">
        <f>IFERROR(__xludf.DUMMYFUNCTION("""COMPUTED_VALUE"""),500238.0)</f>
        <v>500238</v>
      </c>
      <c r="B282" s="6" t="str">
        <f>IFERROR(__xludf.DUMMYFUNCTION("""COMPUTED_VALUE"""),"Whirlpool of India Ltd")</f>
        <v>Whirlpool of India Ltd</v>
      </c>
      <c r="C282" s="6" t="str">
        <f>IFERROR(__xludf.DUMMYFUNCTION("""COMPUTED_VALUE"""),"WHIRLPOOL")</f>
        <v>WHIRLPOOL</v>
      </c>
      <c r="D282" s="6" t="str">
        <f>IFERROR(__xludf.DUMMYFUNCTION("""COMPUTED_VALUE"""),"WHIRLPOOL OF INDIA LTD.")</f>
        <v>WHIRLPOOL OF INDIA LTD.</v>
      </c>
      <c r="E282" s="6" t="str">
        <f>IFERROR(__xludf.DUMMYFUNCTION("""COMPUTED_VALUE"""),"Active")</f>
        <v>Active</v>
      </c>
      <c r="F282" s="6" t="str">
        <f>IFERROR(__xludf.DUMMYFUNCTION("""COMPUTED_VALUE"""),"A")</f>
        <v>A</v>
      </c>
      <c r="G282" s="6">
        <f>IFERROR(__xludf.DUMMYFUNCTION("""COMPUTED_VALUE"""),10.0)</f>
        <v>10</v>
      </c>
      <c r="H282" s="6" t="str">
        <f>IFERROR(__xludf.DUMMYFUNCTION("""COMPUTED_VALUE"""),"INE716A01013")</f>
        <v>INE716A01013</v>
      </c>
      <c r="I282" s="6" t="str">
        <f>IFERROR(__xludf.DUMMYFUNCTION("""COMPUTED_VALUE"""),"Equity")</f>
        <v>Equity</v>
      </c>
      <c r="J282" s="6" t="str">
        <f>IFERROR(__xludf.DUMMYFUNCTION("""COMPUTED_VALUE"""),"Consumer Discretionary")</f>
        <v>Consumer Discretionary</v>
      </c>
      <c r="K282" s="6" t="str">
        <f>IFERROR(__xludf.DUMMYFUNCTION("""COMPUTED_VALUE"""),"Consumer Durables")</f>
        <v>Consumer Durables</v>
      </c>
      <c r="L282" s="6" t="str">
        <f>IFERROR(__xludf.DUMMYFUNCTION("""COMPUTED_VALUE"""),"Consumer Durables")</f>
        <v>Consumer Durables</v>
      </c>
      <c r="M282" s="6" t="str">
        <f>IFERROR(__xludf.DUMMYFUNCTION("""COMPUTED_VALUE"""),"Household Appliances")</f>
        <v>Household Appliances</v>
      </c>
      <c r="N282" s="5">
        <f>IFERROR(__xludf.DUMMYFUNCTION("""COMPUTED_VALUE"""),25054.1582912)</f>
        <v>25054.15829</v>
      </c>
      <c r="O282" s="6">
        <f t="shared" si="4"/>
        <v>42</v>
      </c>
      <c r="P282" s="6">
        <f t="shared" ref="P282:Q282" si="566">COUNTIFS(L:L,L282)</f>
        <v>42</v>
      </c>
      <c r="Q282" s="24">
        <f t="shared" si="566"/>
        <v>13</v>
      </c>
      <c r="R282" s="6" t="str">
        <f t="shared" si="6"/>
        <v>Consumer Durables</v>
      </c>
      <c r="S282" s="6" t="str">
        <f t="shared" si="7"/>
        <v>Consumer Durables</v>
      </c>
      <c r="T282" s="6">
        <f>IFERROR(__xludf.DUMMYFUNCTION("COUNTA(UNIQUE(query($A$2:$P$800,""select L where K='""&amp; K282&amp;""'"")))"),1.0)</f>
        <v>1</v>
      </c>
      <c r="U282" s="23">
        <f t="shared" si="8"/>
        <v>0.03571428571</v>
      </c>
      <c r="V282" s="23">
        <f t="shared" ref="V282:W282" si="567">P282/O282</f>
        <v>1</v>
      </c>
      <c r="W282" s="23">
        <f t="shared" si="567"/>
        <v>0.3095238095</v>
      </c>
    </row>
    <row r="283">
      <c r="A283" s="6">
        <f>IFERROR(__xludf.DUMMYFUNCTION("""COMPUTED_VALUE"""),520111.0)</f>
        <v>520111</v>
      </c>
      <c r="B283" s="6" t="str">
        <f>IFERROR(__xludf.DUMMYFUNCTION("""COMPUTED_VALUE"""),"Ratnamani Metals &amp; Tubes Ltd")</f>
        <v>Ratnamani Metals &amp; Tubes Ltd</v>
      </c>
      <c r="C283" s="6" t="str">
        <f>IFERROR(__xludf.DUMMYFUNCTION("""COMPUTED_VALUE"""),"RATNAMANI")</f>
        <v>RATNAMANI</v>
      </c>
      <c r="D283" s="6" t="str">
        <f>IFERROR(__xludf.DUMMYFUNCTION("""COMPUTED_VALUE"""),"RATNAMANI METALS &amp; TUBES LTD.-$")</f>
        <v>RATNAMANI METALS &amp; TUBES LTD.-$</v>
      </c>
      <c r="E283" s="6" t="str">
        <f>IFERROR(__xludf.DUMMYFUNCTION("""COMPUTED_VALUE"""),"Active")</f>
        <v>Active</v>
      </c>
      <c r="F283" s="6" t="str">
        <f>IFERROR(__xludf.DUMMYFUNCTION("""COMPUTED_VALUE"""),"A")</f>
        <v>A</v>
      </c>
      <c r="G283" s="6">
        <f>IFERROR(__xludf.DUMMYFUNCTION("""COMPUTED_VALUE"""),2.0)</f>
        <v>2</v>
      </c>
      <c r="H283" s="6" t="str">
        <f>IFERROR(__xludf.DUMMYFUNCTION("""COMPUTED_VALUE"""),"INE703B01027")</f>
        <v>INE703B01027</v>
      </c>
      <c r="I283" s="6" t="str">
        <f>IFERROR(__xludf.DUMMYFUNCTION("""COMPUTED_VALUE"""),"Equity")</f>
        <v>Equity</v>
      </c>
      <c r="J283" s="6" t="str">
        <f>IFERROR(__xludf.DUMMYFUNCTION("""COMPUTED_VALUE"""),"Industrials")</f>
        <v>Industrials</v>
      </c>
      <c r="K283" s="6" t="str">
        <f>IFERROR(__xludf.DUMMYFUNCTION("""COMPUTED_VALUE"""),"Capital Goods")</f>
        <v>Capital Goods</v>
      </c>
      <c r="L283" s="6" t="str">
        <f>IFERROR(__xludf.DUMMYFUNCTION("""COMPUTED_VALUE"""),"Industrial Products")</f>
        <v>Industrial Products</v>
      </c>
      <c r="M283" s="6" t="str">
        <f>IFERROR(__xludf.DUMMYFUNCTION("""COMPUTED_VALUE"""),"Iron &amp; Steel Products")</f>
        <v>Iron &amp; Steel Products</v>
      </c>
      <c r="N283" s="5">
        <f>IFERROR(__xludf.DUMMYFUNCTION("""COMPUTED_VALUE"""),25048.6127775)</f>
        <v>25048.61278</v>
      </c>
      <c r="O283" s="6">
        <f t="shared" si="4"/>
        <v>110</v>
      </c>
      <c r="P283" s="6">
        <f t="shared" ref="P283:Q283" si="568">COUNTIFS(L:L,L283)</f>
        <v>51</v>
      </c>
      <c r="Q283" s="24">
        <f t="shared" si="568"/>
        <v>13</v>
      </c>
      <c r="R283" s="6" t="str">
        <f t="shared" si="6"/>
        <v>Industrial Products</v>
      </c>
      <c r="S283" s="6" t="str">
        <f t="shared" si="7"/>
        <v>Industrial Products</v>
      </c>
      <c r="T283" s="6">
        <f>IFERROR(__xludf.DUMMYFUNCTION("COUNTA(UNIQUE(query($A$2:$P$800,""select L where K='""&amp; K283&amp;""'"")))"),5.0)</f>
        <v>5</v>
      </c>
      <c r="U283" s="23">
        <f t="shared" si="8"/>
        <v>0.06818181818</v>
      </c>
      <c r="V283" s="23">
        <f t="shared" ref="V283:W283" si="569">P283/O283</f>
        <v>0.4636363636</v>
      </c>
      <c r="W283" s="23">
        <f t="shared" si="569"/>
        <v>0.2549019608</v>
      </c>
    </row>
    <row r="284">
      <c r="A284" s="6">
        <f>IFERROR(__xludf.DUMMYFUNCTION("""COMPUTED_VALUE"""),541179.0)</f>
        <v>541179</v>
      </c>
      <c r="B284" s="6" t="str">
        <f>IFERROR(__xludf.DUMMYFUNCTION("""COMPUTED_VALUE"""),"ICICI Securities Limited")</f>
        <v>ICICI Securities Limited</v>
      </c>
      <c r="C284" s="6" t="str">
        <f>IFERROR(__xludf.DUMMYFUNCTION("""COMPUTED_VALUE"""),"ISEC")</f>
        <v>ISEC</v>
      </c>
      <c r="D284" s="6" t="str">
        <f>IFERROR(__xludf.DUMMYFUNCTION("""COMPUTED_VALUE"""),"ICICI Securities Ltd")</f>
        <v>ICICI Securities Ltd</v>
      </c>
      <c r="E284" s="6" t="str">
        <f>IFERROR(__xludf.DUMMYFUNCTION("""COMPUTED_VALUE"""),"Active")</f>
        <v>Active</v>
      </c>
      <c r="F284" s="6" t="str">
        <f>IFERROR(__xludf.DUMMYFUNCTION("""COMPUTED_VALUE"""),"A")</f>
        <v>A</v>
      </c>
      <c r="G284" s="6">
        <f>IFERROR(__xludf.DUMMYFUNCTION("""COMPUTED_VALUE"""),5.0)</f>
        <v>5</v>
      </c>
      <c r="H284" s="6" t="str">
        <f>IFERROR(__xludf.DUMMYFUNCTION("""COMPUTED_VALUE"""),"INE763G01038")</f>
        <v>INE763G01038</v>
      </c>
      <c r="I284" s="6" t="str">
        <f>IFERROR(__xludf.DUMMYFUNCTION("""COMPUTED_VALUE"""),"Equity")</f>
        <v>Equity</v>
      </c>
      <c r="J284" s="6" t="str">
        <f>IFERROR(__xludf.DUMMYFUNCTION("""COMPUTED_VALUE"""),"Financial Services")</f>
        <v>Financial Services</v>
      </c>
      <c r="K284" s="6" t="str">
        <f>IFERROR(__xludf.DUMMYFUNCTION("""COMPUTED_VALUE"""),"Financial Services")</f>
        <v>Financial Services</v>
      </c>
      <c r="L284" s="6" t="str">
        <f>IFERROR(__xludf.DUMMYFUNCTION("""COMPUTED_VALUE"""),"Capital Markets")</f>
        <v>Capital Markets</v>
      </c>
      <c r="M284" s="6" t="str">
        <f>IFERROR(__xludf.DUMMYFUNCTION("""COMPUTED_VALUE"""),"Stockbroking &amp; Allied")</f>
        <v>Stockbroking &amp; Allied</v>
      </c>
      <c r="N284" s="5">
        <f>IFERROR(__xludf.DUMMYFUNCTION("""COMPUTED_VALUE"""),24751.6654)</f>
        <v>24751.6654</v>
      </c>
      <c r="O284" s="6">
        <f t="shared" si="4"/>
        <v>123</v>
      </c>
      <c r="P284" s="6">
        <f t="shared" ref="P284:Q284" si="570">COUNTIFS(L:L,L284)</f>
        <v>19</v>
      </c>
      <c r="Q284" s="24">
        <f t="shared" si="570"/>
        <v>6</v>
      </c>
      <c r="R284" s="6" t="str">
        <f t="shared" si="6"/>
        <v>Capital Markets</v>
      </c>
      <c r="S284" s="6" t="str">
        <f t="shared" si="7"/>
        <v>Capital Markets</v>
      </c>
      <c r="T284" s="6">
        <f>IFERROR(__xludf.DUMMYFUNCTION("COUNTA(UNIQUE(query($A$2:$P$800,""select L where K='""&amp; K284&amp;""'"")))"),5.0)</f>
        <v>5</v>
      </c>
      <c r="U284" s="23">
        <f t="shared" si="8"/>
        <v>0.06097560976</v>
      </c>
      <c r="V284" s="23">
        <f t="shared" ref="V284:W284" si="571">P284/O284</f>
        <v>0.1544715447</v>
      </c>
      <c r="W284" s="23">
        <f t="shared" si="571"/>
        <v>0.3157894737</v>
      </c>
    </row>
    <row r="285">
      <c r="A285" s="6">
        <f>IFERROR(__xludf.DUMMYFUNCTION("""COMPUTED_VALUE"""),540595.0)</f>
        <v>540595</v>
      </c>
      <c r="B285" s="6" t="str">
        <f>IFERROR(__xludf.DUMMYFUNCTION("""COMPUTED_VALUE"""),"Tejas Networks Limited")</f>
        <v>Tejas Networks Limited</v>
      </c>
      <c r="C285" s="6" t="str">
        <f>IFERROR(__xludf.DUMMYFUNCTION("""COMPUTED_VALUE"""),"TEJASNET")</f>
        <v>TEJASNET</v>
      </c>
      <c r="D285" s="6" t="str">
        <f>IFERROR(__xludf.DUMMYFUNCTION("""COMPUTED_VALUE"""),"Tejas Networks Ltd")</f>
        <v>Tejas Networks Ltd</v>
      </c>
      <c r="E285" s="6" t="str">
        <f>IFERROR(__xludf.DUMMYFUNCTION("""COMPUTED_VALUE"""),"Active")</f>
        <v>Active</v>
      </c>
      <c r="F285" s="6" t="str">
        <f>IFERROR(__xludf.DUMMYFUNCTION("""COMPUTED_VALUE"""),"A")</f>
        <v>A</v>
      </c>
      <c r="G285" s="6">
        <f>IFERROR(__xludf.DUMMYFUNCTION("""COMPUTED_VALUE"""),10.0)</f>
        <v>10</v>
      </c>
      <c r="H285" s="6" t="str">
        <f>IFERROR(__xludf.DUMMYFUNCTION("""COMPUTED_VALUE"""),"INE010J01012")</f>
        <v>INE010J01012</v>
      </c>
      <c r="I285" s="6" t="str">
        <f>IFERROR(__xludf.DUMMYFUNCTION("""COMPUTED_VALUE"""),"Equity")</f>
        <v>Equity</v>
      </c>
      <c r="J285" s="6" t="str">
        <f>IFERROR(__xludf.DUMMYFUNCTION("""COMPUTED_VALUE"""),"Telecommunication")</f>
        <v>Telecommunication</v>
      </c>
      <c r="K285" s="6" t="str">
        <f>IFERROR(__xludf.DUMMYFUNCTION("""COMPUTED_VALUE"""),"Telecommunication")</f>
        <v>Telecommunication</v>
      </c>
      <c r="L285" s="6" t="str">
        <f>IFERROR(__xludf.DUMMYFUNCTION("""COMPUTED_VALUE"""),"Telecom - Equipment &amp; Accessories")</f>
        <v>Telecom - Equipment &amp; Accessories</v>
      </c>
      <c r="M285" s="6" t="str">
        <f>IFERROR(__xludf.DUMMYFUNCTION("""COMPUTED_VALUE"""),"Telecom - Equipment &amp; Accessories")</f>
        <v>Telecom - Equipment &amp; Accessories</v>
      </c>
      <c r="N285" s="5">
        <f>IFERROR(__xludf.DUMMYFUNCTION("""COMPUTED_VALUE"""),24711.5675336)</f>
        <v>24711.56753</v>
      </c>
      <c r="O285" s="6">
        <f t="shared" si="4"/>
        <v>14</v>
      </c>
      <c r="P285" s="6">
        <f t="shared" ref="P285:Q285" si="572">COUNTIFS(L:L,L285)</f>
        <v>3</v>
      </c>
      <c r="Q285" s="24">
        <f t="shared" si="572"/>
        <v>3</v>
      </c>
      <c r="R285" s="6" t="str">
        <f t="shared" si="6"/>
        <v>Telecommunication</v>
      </c>
      <c r="S285" s="6" t="str">
        <f t="shared" si="7"/>
        <v>Telecommunication</v>
      </c>
      <c r="T285" s="6">
        <f>IFERROR(__xludf.DUMMYFUNCTION("COUNTA(UNIQUE(query($A$2:$P$800,""select L where K='""&amp; K285&amp;""'"")))"),2.0)</f>
        <v>2</v>
      </c>
      <c r="U285" s="23">
        <f t="shared" si="8"/>
        <v>0.2142857143</v>
      </c>
      <c r="V285" s="23">
        <f t="shared" ref="V285:W285" si="573">P285/O285</f>
        <v>0.2142857143</v>
      </c>
      <c r="W285" s="23">
        <f t="shared" si="573"/>
        <v>1</v>
      </c>
    </row>
    <row r="286">
      <c r="A286" s="6">
        <f>IFERROR(__xludf.DUMMYFUNCTION("""COMPUTED_VALUE"""),539551.0)</f>
        <v>539551</v>
      </c>
      <c r="B286" s="6" t="str">
        <f>IFERROR(__xludf.DUMMYFUNCTION("""COMPUTED_VALUE"""),"Narayana Hrudayalaya Limited")</f>
        <v>Narayana Hrudayalaya Limited</v>
      </c>
      <c r="C286" s="6" t="str">
        <f>IFERROR(__xludf.DUMMYFUNCTION("""COMPUTED_VALUE"""),"NH")</f>
        <v>NH</v>
      </c>
      <c r="D286" s="6" t="str">
        <f>IFERROR(__xludf.DUMMYFUNCTION("""COMPUTED_VALUE"""),"Narayana Hrudayalaya Ltd")</f>
        <v>Narayana Hrudayalaya Ltd</v>
      </c>
      <c r="E286" s="6" t="str">
        <f>IFERROR(__xludf.DUMMYFUNCTION("""COMPUTED_VALUE"""),"Active")</f>
        <v>Active</v>
      </c>
      <c r="F286" s="6" t="str">
        <f>IFERROR(__xludf.DUMMYFUNCTION("""COMPUTED_VALUE"""),"A")</f>
        <v>A</v>
      </c>
      <c r="G286" s="6">
        <f>IFERROR(__xludf.DUMMYFUNCTION("""COMPUTED_VALUE"""),10.0)</f>
        <v>10</v>
      </c>
      <c r="H286" s="6" t="str">
        <f>IFERROR(__xludf.DUMMYFUNCTION("""COMPUTED_VALUE"""),"INE410P01011")</f>
        <v>INE410P01011</v>
      </c>
      <c r="I286" s="6" t="str">
        <f>IFERROR(__xludf.DUMMYFUNCTION("""COMPUTED_VALUE"""),"Equity")</f>
        <v>Equity</v>
      </c>
      <c r="J286" s="6" t="str">
        <f>IFERROR(__xludf.DUMMYFUNCTION("""COMPUTED_VALUE"""),"Healthcare")</f>
        <v>Healthcare</v>
      </c>
      <c r="K286" s="6" t="str">
        <f>IFERROR(__xludf.DUMMYFUNCTION("""COMPUTED_VALUE"""),"Healthcare")</f>
        <v>Healthcare</v>
      </c>
      <c r="L286" s="6" t="str">
        <f>IFERROR(__xludf.DUMMYFUNCTION("""COMPUTED_VALUE"""),"Healthcare Services")</f>
        <v>Healthcare Services</v>
      </c>
      <c r="M286" s="6" t="str">
        <f>IFERROR(__xludf.DUMMYFUNCTION("""COMPUTED_VALUE"""),"Hospital")</f>
        <v>Hospital</v>
      </c>
      <c r="N286" s="5">
        <f>IFERROR(__xludf.DUMMYFUNCTION("""COMPUTED_VALUE"""),24688.7623434)</f>
        <v>24688.76234</v>
      </c>
      <c r="O286" s="6">
        <f t="shared" si="4"/>
        <v>62</v>
      </c>
      <c r="P286" s="6">
        <f t="shared" ref="P286:Q286" si="574">COUNTIFS(L:L,L286)</f>
        <v>16</v>
      </c>
      <c r="Q286" s="24">
        <f t="shared" si="574"/>
        <v>11</v>
      </c>
      <c r="R286" s="6" t="str">
        <f t="shared" si="6"/>
        <v>Healthcare Services</v>
      </c>
      <c r="S286" s="6" t="str">
        <f t="shared" si="7"/>
        <v>Healthcare Services</v>
      </c>
      <c r="T286" s="6">
        <f>IFERROR(__xludf.DUMMYFUNCTION("COUNTA(UNIQUE(query($A$2:$P$800,""select L where K='""&amp; K286&amp;""'"")))"),3.0)</f>
        <v>3</v>
      </c>
      <c r="U286" s="23">
        <f t="shared" si="8"/>
        <v>0.07258064516</v>
      </c>
      <c r="V286" s="23">
        <f t="shared" ref="V286:W286" si="575">P286/O286</f>
        <v>0.2580645161</v>
      </c>
      <c r="W286" s="23">
        <f t="shared" si="575"/>
        <v>0.6875</v>
      </c>
    </row>
    <row r="287">
      <c r="A287" s="6">
        <f>IFERROR(__xludf.DUMMYFUNCTION("""COMPUTED_VALUE"""),542011.0)</f>
        <v>542011</v>
      </c>
      <c r="B287" s="6" t="str">
        <f>IFERROR(__xludf.DUMMYFUNCTION("""COMPUTED_VALUE"""),"Garden Reach Shipbuilders &amp; Engineers Limited")</f>
        <v>Garden Reach Shipbuilders &amp; Engineers Limited</v>
      </c>
      <c r="C287" s="6" t="str">
        <f>IFERROR(__xludf.DUMMYFUNCTION("""COMPUTED_VALUE"""),"GRSE")</f>
        <v>GRSE</v>
      </c>
      <c r="D287" s="6" t="str">
        <f>IFERROR(__xludf.DUMMYFUNCTION("""COMPUTED_VALUE"""),"Garden Reach Shipbuilders &amp; Engineers Ltd")</f>
        <v>Garden Reach Shipbuilders &amp; Engineers Ltd</v>
      </c>
      <c r="E287" s="6" t="str">
        <f>IFERROR(__xludf.DUMMYFUNCTION("""COMPUTED_VALUE"""),"Active")</f>
        <v>Active</v>
      </c>
      <c r="F287" s="6" t="str">
        <f>IFERROR(__xludf.DUMMYFUNCTION("""COMPUTED_VALUE"""),"A")</f>
        <v>A</v>
      </c>
      <c r="G287" s="6">
        <f>IFERROR(__xludf.DUMMYFUNCTION("""COMPUTED_VALUE"""),10.0)</f>
        <v>10</v>
      </c>
      <c r="H287" s="6" t="str">
        <f>IFERROR(__xludf.DUMMYFUNCTION("""COMPUTED_VALUE"""),"INE382Z01011")</f>
        <v>INE382Z01011</v>
      </c>
      <c r="I287" s="6" t="str">
        <f>IFERROR(__xludf.DUMMYFUNCTION("""COMPUTED_VALUE"""),"Equity")</f>
        <v>Equity</v>
      </c>
      <c r="J287" s="6" t="str">
        <f>IFERROR(__xludf.DUMMYFUNCTION("""COMPUTED_VALUE"""),"Industrials")</f>
        <v>Industrials</v>
      </c>
      <c r="K287" s="6" t="str">
        <f>IFERROR(__xludf.DUMMYFUNCTION("""COMPUTED_VALUE"""),"Capital Goods")</f>
        <v>Capital Goods</v>
      </c>
      <c r="L287" s="6" t="str">
        <f>IFERROR(__xludf.DUMMYFUNCTION("""COMPUTED_VALUE"""),"Aerospace &amp; Defense")</f>
        <v>Aerospace &amp; Defense</v>
      </c>
      <c r="M287" s="6" t="str">
        <f>IFERROR(__xludf.DUMMYFUNCTION("""COMPUTED_VALUE"""),"Aerospace &amp; Defense")</f>
        <v>Aerospace &amp; Defense</v>
      </c>
      <c r="N287" s="5">
        <f>IFERROR(__xludf.DUMMYFUNCTION("""COMPUTED_VALUE"""),24496.7467145)</f>
        <v>24496.74671</v>
      </c>
      <c r="O287" s="6">
        <f t="shared" si="4"/>
        <v>110</v>
      </c>
      <c r="P287" s="6">
        <f t="shared" ref="P287:Q287" si="576">COUNTIFS(L:L,L287)</f>
        <v>11</v>
      </c>
      <c r="Q287" s="24">
        <f t="shared" si="576"/>
        <v>11</v>
      </c>
      <c r="R287" s="6" t="str">
        <f t="shared" si="6"/>
        <v>Capital Goods</v>
      </c>
      <c r="S287" s="6" t="str">
        <f t="shared" si="7"/>
        <v>Capital Goods</v>
      </c>
      <c r="T287" s="6">
        <f>IFERROR(__xludf.DUMMYFUNCTION("COUNTA(UNIQUE(query($A$2:$P$800,""select L where K='""&amp; K287&amp;""'"")))"),5.0)</f>
        <v>5</v>
      </c>
      <c r="U287" s="23">
        <f t="shared" si="8"/>
        <v>0.06818181818</v>
      </c>
      <c r="V287" s="23">
        <f t="shared" ref="V287:W287" si="577">P287/O287</f>
        <v>0.1</v>
      </c>
      <c r="W287" s="23">
        <f t="shared" si="577"/>
        <v>1</v>
      </c>
    </row>
    <row r="288">
      <c r="A288" s="6">
        <f>IFERROR(__xludf.DUMMYFUNCTION("""COMPUTED_VALUE"""),532714.0)</f>
        <v>532714</v>
      </c>
      <c r="B288" s="6" t="str">
        <f>IFERROR(__xludf.DUMMYFUNCTION("""COMPUTED_VALUE"""),"KEC International Ltd.")</f>
        <v>KEC International Ltd.</v>
      </c>
      <c r="C288" s="6" t="str">
        <f>IFERROR(__xludf.DUMMYFUNCTION("""COMPUTED_VALUE"""),"KEC")</f>
        <v>KEC</v>
      </c>
      <c r="D288" s="6" t="str">
        <f>IFERROR(__xludf.DUMMYFUNCTION("""COMPUTED_VALUE"""),"KEC INTERNATIONAL LTD.")</f>
        <v>KEC INTERNATIONAL LTD.</v>
      </c>
      <c r="E288" s="6" t="str">
        <f>IFERROR(__xludf.DUMMYFUNCTION("""COMPUTED_VALUE"""),"Active")</f>
        <v>Active</v>
      </c>
      <c r="F288" s="6" t="str">
        <f>IFERROR(__xludf.DUMMYFUNCTION("""COMPUTED_VALUE"""),"A")</f>
        <v>A</v>
      </c>
      <c r="G288" s="6">
        <f>IFERROR(__xludf.DUMMYFUNCTION("""COMPUTED_VALUE"""),2.0)</f>
        <v>2</v>
      </c>
      <c r="H288" s="6" t="str">
        <f>IFERROR(__xludf.DUMMYFUNCTION("""COMPUTED_VALUE"""),"INE389H01022")</f>
        <v>INE389H01022</v>
      </c>
      <c r="I288" s="6" t="str">
        <f>IFERROR(__xludf.DUMMYFUNCTION("""COMPUTED_VALUE"""),"Equity")</f>
        <v>Equity</v>
      </c>
      <c r="J288" s="6" t="str">
        <f>IFERROR(__xludf.DUMMYFUNCTION("""COMPUTED_VALUE"""),"Industrials")</f>
        <v>Industrials</v>
      </c>
      <c r="K288" s="6" t="str">
        <f>IFERROR(__xludf.DUMMYFUNCTION("""COMPUTED_VALUE"""),"Construction")</f>
        <v>Construction</v>
      </c>
      <c r="L288" s="6" t="str">
        <f>IFERROR(__xludf.DUMMYFUNCTION("""COMPUTED_VALUE"""),"Construction")</f>
        <v>Construction</v>
      </c>
      <c r="M288" s="6" t="str">
        <f>IFERROR(__xludf.DUMMYFUNCTION("""COMPUTED_VALUE"""),"Civil Construction")</f>
        <v>Civil Construction</v>
      </c>
      <c r="N288" s="5">
        <f>IFERROR(__xludf.DUMMYFUNCTION("""COMPUTED_VALUE"""),24447.4221704)</f>
        <v>24447.42217</v>
      </c>
      <c r="O288" s="6">
        <f t="shared" si="4"/>
        <v>27</v>
      </c>
      <c r="P288" s="6">
        <f t="shared" ref="P288:Q288" si="578">COUNTIFS(L:L,L288)</f>
        <v>27</v>
      </c>
      <c r="Q288" s="24">
        <f t="shared" si="578"/>
        <v>27</v>
      </c>
      <c r="R288" s="6" t="str">
        <f t="shared" si="6"/>
        <v>Construction</v>
      </c>
      <c r="S288" s="6" t="str">
        <f t="shared" si="7"/>
        <v>Construction</v>
      </c>
      <c r="T288" s="6">
        <f>IFERROR(__xludf.DUMMYFUNCTION("COUNTA(UNIQUE(query($A$2:$P$800,""select L where K='""&amp; K288&amp;""'"")))"),1.0)</f>
        <v>1</v>
      </c>
      <c r="U288" s="23">
        <f t="shared" si="8"/>
        <v>0.05555555556</v>
      </c>
      <c r="V288" s="23">
        <f t="shared" ref="V288:W288" si="579">P288/O288</f>
        <v>1</v>
      </c>
      <c r="W288" s="23">
        <f t="shared" si="579"/>
        <v>1</v>
      </c>
    </row>
    <row r="289">
      <c r="A289" s="6">
        <f>IFERROR(__xludf.DUMMYFUNCTION("""COMPUTED_VALUE"""),532966.0)</f>
        <v>532966</v>
      </c>
      <c r="B289" s="6" t="str">
        <f>IFERROR(__xludf.DUMMYFUNCTION("""COMPUTED_VALUE"""),"TITAGARH RAIL SYSTEMS LIMITED")</f>
        <v>TITAGARH RAIL SYSTEMS LIMITED</v>
      </c>
      <c r="C289" s="6" t="str">
        <f>IFERROR(__xludf.DUMMYFUNCTION("""COMPUTED_VALUE"""),"TITAGARH")</f>
        <v>TITAGARH</v>
      </c>
      <c r="D289" s="6" t="str">
        <f>IFERROR(__xludf.DUMMYFUNCTION("""COMPUTED_VALUE"""),"Titagarh Rail Systems Ltd")</f>
        <v>Titagarh Rail Systems Ltd</v>
      </c>
      <c r="E289" s="6" t="str">
        <f>IFERROR(__xludf.DUMMYFUNCTION("""COMPUTED_VALUE"""),"Active")</f>
        <v>Active</v>
      </c>
      <c r="F289" s="6" t="str">
        <f>IFERROR(__xludf.DUMMYFUNCTION("""COMPUTED_VALUE"""),"A")</f>
        <v>A</v>
      </c>
      <c r="G289" s="6">
        <f>IFERROR(__xludf.DUMMYFUNCTION("""COMPUTED_VALUE"""),2.0)</f>
        <v>2</v>
      </c>
      <c r="H289" s="6" t="str">
        <f>IFERROR(__xludf.DUMMYFUNCTION("""COMPUTED_VALUE"""),"INE615H01020")</f>
        <v>INE615H01020</v>
      </c>
      <c r="I289" s="6" t="str">
        <f>IFERROR(__xludf.DUMMYFUNCTION("""COMPUTED_VALUE"""),"Equity")</f>
        <v>Equity</v>
      </c>
      <c r="J289" s="6" t="str">
        <f>IFERROR(__xludf.DUMMYFUNCTION("""COMPUTED_VALUE"""),"Industrials")</f>
        <v>Industrials</v>
      </c>
      <c r="K289" s="6" t="str">
        <f>IFERROR(__xludf.DUMMYFUNCTION("""COMPUTED_VALUE"""),"Capital Goods")</f>
        <v>Capital Goods</v>
      </c>
      <c r="L289" s="6" t="str">
        <f>IFERROR(__xludf.DUMMYFUNCTION("""COMPUTED_VALUE"""),"Industrial Manufacturing")</f>
        <v>Industrial Manufacturing</v>
      </c>
      <c r="M289" s="6" t="str">
        <f>IFERROR(__xludf.DUMMYFUNCTION("""COMPUTED_VALUE"""),"Railway Wagons")</f>
        <v>Railway Wagons</v>
      </c>
      <c r="N289" s="5">
        <f>IFERROR(__xludf.DUMMYFUNCTION("""COMPUTED_VALUE"""),24244.6511604)</f>
        <v>24244.65116</v>
      </c>
      <c r="O289" s="6">
        <f t="shared" si="4"/>
        <v>110</v>
      </c>
      <c r="P289" s="6">
        <f t="shared" ref="P289:Q289" si="580">COUNTIFS(L:L,L289)</f>
        <v>21</v>
      </c>
      <c r="Q289" s="24">
        <f t="shared" si="580"/>
        <v>2</v>
      </c>
      <c r="R289" s="6" t="str">
        <f t="shared" si="6"/>
        <v>Industrial Manufacturing</v>
      </c>
      <c r="S289" s="6" t="str">
        <f t="shared" si="7"/>
        <v>Industrial Manufacturing</v>
      </c>
      <c r="T289" s="6">
        <f>IFERROR(__xludf.DUMMYFUNCTION("COUNTA(UNIQUE(query($A$2:$P$800,""select L where K='""&amp; K289&amp;""'"")))"),5.0)</f>
        <v>5</v>
      </c>
      <c r="U289" s="23">
        <f t="shared" si="8"/>
        <v>0.06818181818</v>
      </c>
      <c r="V289" s="23">
        <f t="shared" ref="V289:W289" si="581">P289/O289</f>
        <v>0.1909090909</v>
      </c>
      <c r="W289" s="23">
        <f t="shared" si="581"/>
        <v>0.09523809524</v>
      </c>
    </row>
    <row r="290">
      <c r="A290" s="6">
        <f>IFERROR(__xludf.DUMMYFUNCTION("""COMPUTED_VALUE"""),500144.0)</f>
        <v>500144</v>
      </c>
      <c r="B290" s="6" t="str">
        <f>IFERROR(__xludf.DUMMYFUNCTION("""COMPUTED_VALUE"""),"Finolex Cables Ltd.")</f>
        <v>Finolex Cables Ltd.</v>
      </c>
      <c r="C290" s="6" t="str">
        <f>IFERROR(__xludf.DUMMYFUNCTION("""COMPUTED_VALUE"""),"FINCABLES")</f>
        <v>FINCABLES</v>
      </c>
      <c r="D290" s="6" t="str">
        <f>IFERROR(__xludf.DUMMYFUNCTION("""COMPUTED_VALUE"""),"FINOLEX CABLES LTD.")</f>
        <v>FINOLEX CABLES LTD.</v>
      </c>
      <c r="E290" s="6" t="str">
        <f>IFERROR(__xludf.DUMMYFUNCTION("""COMPUTED_VALUE"""),"Active")</f>
        <v>Active</v>
      </c>
      <c r="F290" s="6" t="str">
        <f>IFERROR(__xludf.DUMMYFUNCTION("""COMPUTED_VALUE"""),"A")</f>
        <v>A</v>
      </c>
      <c r="G290" s="6">
        <f>IFERROR(__xludf.DUMMYFUNCTION("""COMPUTED_VALUE"""),2.0)</f>
        <v>2</v>
      </c>
      <c r="H290" s="6" t="str">
        <f>IFERROR(__xludf.DUMMYFUNCTION("""COMPUTED_VALUE"""),"INE235A01022")</f>
        <v>INE235A01022</v>
      </c>
      <c r="I290" s="6" t="str">
        <f>IFERROR(__xludf.DUMMYFUNCTION("""COMPUTED_VALUE"""),"Equity")</f>
        <v>Equity</v>
      </c>
      <c r="J290" s="6" t="str">
        <f>IFERROR(__xludf.DUMMYFUNCTION("""COMPUTED_VALUE"""),"Industrials")</f>
        <v>Industrials</v>
      </c>
      <c r="K290" s="6" t="str">
        <f>IFERROR(__xludf.DUMMYFUNCTION("""COMPUTED_VALUE"""),"Capital Goods")</f>
        <v>Capital Goods</v>
      </c>
      <c r="L290" s="6" t="str">
        <f>IFERROR(__xludf.DUMMYFUNCTION("""COMPUTED_VALUE"""),"Industrial Products")</f>
        <v>Industrial Products</v>
      </c>
      <c r="M290" s="6" t="str">
        <f>IFERROR(__xludf.DUMMYFUNCTION("""COMPUTED_VALUE"""),"Cables - Electricals")</f>
        <v>Cables - Electricals</v>
      </c>
      <c r="N290" s="5">
        <f>IFERROR(__xludf.DUMMYFUNCTION("""COMPUTED_VALUE"""),23964.1023887)</f>
        <v>23964.10239</v>
      </c>
      <c r="O290" s="6">
        <f t="shared" si="4"/>
        <v>110</v>
      </c>
      <c r="P290" s="6">
        <f t="shared" ref="P290:Q290" si="582">COUNTIFS(L:L,L290)</f>
        <v>51</v>
      </c>
      <c r="Q290" s="24">
        <f t="shared" si="582"/>
        <v>4</v>
      </c>
      <c r="R290" s="6" t="str">
        <f t="shared" si="6"/>
        <v>Industrial Products</v>
      </c>
      <c r="S290" s="6" t="str">
        <f t="shared" si="7"/>
        <v>Industrial Products</v>
      </c>
      <c r="T290" s="6">
        <f>IFERROR(__xludf.DUMMYFUNCTION("COUNTA(UNIQUE(query($A$2:$P$800,""select L where K='""&amp; K290&amp;""'"")))"),5.0)</f>
        <v>5</v>
      </c>
      <c r="U290" s="23">
        <f t="shared" si="8"/>
        <v>0.06818181818</v>
      </c>
      <c r="V290" s="23">
        <f t="shared" ref="V290:W290" si="583">P290/O290</f>
        <v>0.4636363636</v>
      </c>
      <c r="W290" s="23">
        <f t="shared" si="583"/>
        <v>0.07843137255</v>
      </c>
    </row>
    <row r="291">
      <c r="A291" s="6">
        <f>IFERROR(__xludf.DUMMYFUNCTION("""COMPUTED_VALUE"""),531531.0)</f>
        <v>531531</v>
      </c>
      <c r="B291" s="6" t="str">
        <f>IFERROR(__xludf.DUMMYFUNCTION("""COMPUTED_VALUE"""),"Hatsun Agro Products Ltd.")</f>
        <v>Hatsun Agro Products Ltd.</v>
      </c>
      <c r="C291" s="6" t="str">
        <f>IFERROR(__xludf.DUMMYFUNCTION("""COMPUTED_VALUE"""),"HATSUN")</f>
        <v>HATSUN</v>
      </c>
      <c r="D291" s="6" t="str">
        <f>IFERROR(__xludf.DUMMYFUNCTION("""COMPUTED_VALUE"""),"HATSUN AGRO PRODUCT LTD.")</f>
        <v>HATSUN AGRO PRODUCT LTD.</v>
      </c>
      <c r="E291" s="6" t="str">
        <f>IFERROR(__xludf.DUMMYFUNCTION("""COMPUTED_VALUE"""),"Active")</f>
        <v>Active</v>
      </c>
      <c r="F291" s="6" t="str">
        <f>IFERROR(__xludf.DUMMYFUNCTION("""COMPUTED_VALUE"""),"A")</f>
        <v>A</v>
      </c>
      <c r="G291" s="6">
        <f>IFERROR(__xludf.DUMMYFUNCTION("""COMPUTED_VALUE"""),1.0)</f>
        <v>1</v>
      </c>
      <c r="H291" s="6" t="str">
        <f>IFERROR(__xludf.DUMMYFUNCTION("""COMPUTED_VALUE"""),"INE473B01035")</f>
        <v>INE473B01035</v>
      </c>
      <c r="I291" s="6" t="str">
        <f>IFERROR(__xludf.DUMMYFUNCTION("""COMPUTED_VALUE"""),"Equity")</f>
        <v>Equity</v>
      </c>
      <c r="J291" s="6" t="str">
        <f>IFERROR(__xludf.DUMMYFUNCTION("""COMPUTED_VALUE"""),"Fast Moving Consumer Goods")</f>
        <v>Fast Moving Consumer Goods</v>
      </c>
      <c r="K291" s="6" t="str">
        <f>IFERROR(__xludf.DUMMYFUNCTION("""COMPUTED_VALUE"""),"Fast Moving Consumer Goods")</f>
        <v>Fast Moving Consumer Goods</v>
      </c>
      <c r="L291" s="6" t="str">
        <f>IFERROR(__xludf.DUMMYFUNCTION("""COMPUTED_VALUE"""),"Food Products")</f>
        <v>Food Products</v>
      </c>
      <c r="M291" s="6" t="str">
        <f>IFERROR(__xludf.DUMMYFUNCTION("""COMPUTED_VALUE"""),"Dairy Products")</f>
        <v>Dairy Products</v>
      </c>
      <c r="N291" s="5">
        <f>IFERROR(__xludf.DUMMYFUNCTION("""COMPUTED_VALUE"""),23928.80596)</f>
        <v>23928.80596</v>
      </c>
      <c r="O291" s="6">
        <f t="shared" si="4"/>
        <v>44</v>
      </c>
      <c r="P291" s="6">
        <f t="shared" ref="P291:Q291" si="584">COUNTIFS(L:L,L291)</f>
        <v>11</v>
      </c>
      <c r="Q291" s="24">
        <f t="shared" si="584"/>
        <v>3</v>
      </c>
      <c r="R291" s="6" t="str">
        <f t="shared" si="6"/>
        <v>Fast Moving Consumer Goods</v>
      </c>
      <c r="S291" s="6" t="str">
        <f t="shared" si="7"/>
        <v>Fast Moving Consumer Goods</v>
      </c>
      <c r="T291" s="6">
        <f>IFERROR(__xludf.DUMMYFUNCTION("COUNTA(UNIQUE(query($A$2:$P$800,""select L where K='""&amp; K291&amp;""'"")))"),7.0)</f>
        <v>7</v>
      </c>
      <c r="U291" s="23">
        <f t="shared" si="8"/>
        <v>0.2386363636</v>
      </c>
      <c r="V291" s="23">
        <f t="shared" ref="V291:W291" si="585">P291/O291</f>
        <v>0.25</v>
      </c>
      <c r="W291" s="23">
        <f t="shared" si="585"/>
        <v>0.2727272727</v>
      </c>
    </row>
    <row r="292">
      <c r="A292" s="6" t="str">
        <f>IFERROR(__xludf.DUMMYFUNCTION("""COMPUTED_VALUE"""),"CDSL")</f>
        <v>CDSL</v>
      </c>
      <c r="B292" s="6" t="str">
        <f>IFERROR(__xludf.DUMMYFUNCTION("""COMPUTED_VALUE"""),"C D S L")</f>
        <v>C D S L</v>
      </c>
      <c r="C292" s="6" t="str">
        <f>IFERROR(__xludf.DUMMYFUNCTION("""COMPUTED_VALUE"""),"CDSL")</f>
        <v>CDSL</v>
      </c>
      <c r="D292" s="6" t="str">
        <f>IFERROR(__xludf.DUMMYFUNCTION("""COMPUTED_VALUE"""),"C D S L")</f>
        <v>C D S L</v>
      </c>
      <c r="E292" s="6" t="str">
        <f>IFERROR(__xludf.DUMMYFUNCTION("""COMPUTED_VALUE"""),"Active")</f>
        <v>Active</v>
      </c>
      <c r="F292" s="6"/>
      <c r="G292" s="6"/>
      <c r="H292" s="6" t="str">
        <f>IFERROR(__xludf.DUMMYFUNCTION("""COMPUTED_VALUE"""),"INE736A01011")</f>
        <v>INE736A01011</v>
      </c>
      <c r="I292" s="6" t="str">
        <f>IFERROR(__xludf.DUMMYFUNCTION("""COMPUTED_VALUE"""),"Equity")</f>
        <v>Equity</v>
      </c>
      <c r="J292" s="6" t="str">
        <f>IFERROR(__xludf.DUMMYFUNCTION("""COMPUTED_VALUE"""),"Financial Services")</f>
        <v>Financial Services</v>
      </c>
      <c r="K292" s="6" t="str">
        <f>IFERROR(__xludf.DUMMYFUNCTION("""COMPUTED_VALUE"""),"Financial Services")</f>
        <v>Financial Services</v>
      </c>
      <c r="L292" s="6" t="str">
        <f>IFERROR(__xludf.DUMMYFUNCTION("""COMPUTED_VALUE"""),"Capital Markets")</f>
        <v>Capital Markets</v>
      </c>
      <c r="M292" s="6" t="str">
        <f>IFERROR(__xludf.DUMMYFUNCTION("""COMPUTED_VALUE"""),"Depositories, Clearing Houses and Other Intermediaries")</f>
        <v>Depositories, Clearing Houses and Other Intermediaries</v>
      </c>
      <c r="N292" s="5">
        <f>IFERROR(__xludf.DUMMYFUNCTION("""COMPUTED_VALUE"""),23779.2127947)</f>
        <v>23779.21279</v>
      </c>
      <c r="O292" s="6">
        <f t="shared" si="4"/>
        <v>123</v>
      </c>
      <c r="P292" s="6">
        <f t="shared" ref="P292:Q292" si="586">COUNTIFS(L:L,L292)</f>
        <v>19</v>
      </c>
      <c r="Q292" s="24">
        <f t="shared" si="586"/>
        <v>3</v>
      </c>
      <c r="R292" s="6" t="str">
        <f t="shared" si="6"/>
        <v>Capital Markets</v>
      </c>
      <c r="S292" s="6" t="str">
        <f t="shared" si="7"/>
        <v>Capital Markets</v>
      </c>
      <c r="T292" s="6">
        <f>IFERROR(__xludf.DUMMYFUNCTION("COUNTA(UNIQUE(query($A$2:$P$800,""select L where K='""&amp; K292&amp;""'"")))"),5.0)</f>
        <v>5</v>
      </c>
      <c r="U292" s="23">
        <f t="shared" si="8"/>
        <v>0.06097560976</v>
      </c>
      <c r="V292" s="23">
        <f t="shared" ref="V292:W292" si="587">P292/O292</f>
        <v>0.1544715447</v>
      </c>
      <c r="W292" s="23">
        <f t="shared" si="587"/>
        <v>0.1578947368</v>
      </c>
    </row>
    <row r="293">
      <c r="A293" s="6">
        <f>IFERROR(__xludf.DUMMYFUNCTION("""COMPUTED_VALUE"""),507815.0)</f>
        <v>507815</v>
      </c>
      <c r="B293" s="6" t="str">
        <f>IFERROR(__xludf.DUMMYFUNCTION("""COMPUTED_VALUE"""),"Gillette India Ltd.")</f>
        <v>Gillette India Ltd.</v>
      </c>
      <c r="C293" s="6" t="str">
        <f>IFERROR(__xludf.DUMMYFUNCTION("""COMPUTED_VALUE"""),"GILLETTE")</f>
        <v>GILLETTE</v>
      </c>
      <c r="D293" s="6" t="str">
        <f>IFERROR(__xludf.DUMMYFUNCTION("""COMPUTED_VALUE"""),"GILLETTE INDIA LTD.")</f>
        <v>GILLETTE INDIA LTD.</v>
      </c>
      <c r="E293" s="6" t="str">
        <f>IFERROR(__xludf.DUMMYFUNCTION("""COMPUTED_VALUE"""),"Active")</f>
        <v>Active</v>
      </c>
      <c r="F293" s="6" t="str">
        <f>IFERROR(__xludf.DUMMYFUNCTION("""COMPUTED_VALUE"""),"A")</f>
        <v>A</v>
      </c>
      <c r="G293" s="6">
        <f>IFERROR(__xludf.DUMMYFUNCTION("""COMPUTED_VALUE"""),10.0)</f>
        <v>10</v>
      </c>
      <c r="H293" s="6" t="str">
        <f>IFERROR(__xludf.DUMMYFUNCTION("""COMPUTED_VALUE"""),"INE322A01010")</f>
        <v>INE322A01010</v>
      </c>
      <c r="I293" s="6" t="str">
        <f>IFERROR(__xludf.DUMMYFUNCTION("""COMPUTED_VALUE"""),"Equity")</f>
        <v>Equity</v>
      </c>
      <c r="J293" s="6" t="str">
        <f>IFERROR(__xludf.DUMMYFUNCTION("""COMPUTED_VALUE"""),"Fast Moving Consumer Goods")</f>
        <v>Fast Moving Consumer Goods</v>
      </c>
      <c r="K293" s="6" t="str">
        <f>IFERROR(__xludf.DUMMYFUNCTION("""COMPUTED_VALUE"""),"Fast Moving Consumer Goods")</f>
        <v>Fast Moving Consumer Goods</v>
      </c>
      <c r="L293" s="6" t="str">
        <f>IFERROR(__xludf.DUMMYFUNCTION("""COMPUTED_VALUE"""),"Personal Products")</f>
        <v>Personal Products</v>
      </c>
      <c r="M293" s="6" t="str">
        <f>IFERROR(__xludf.DUMMYFUNCTION("""COMPUTED_VALUE"""),"Personal Care")</f>
        <v>Personal Care</v>
      </c>
      <c r="N293" s="5">
        <f>IFERROR(__xludf.DUMMYFUNCTION("""COMPUTED_VALUE"""),23596.998165)</f>
        <v>23596.99817</v>
      </c>
      <c r="O293" s="6">
        <f t="shared" si="4"/>
        <v>44</v>
      </c>
      <c r="P293" s="6">
        <f t="shared" ref="P293:Q293" si="588">COUNTIFS(L:L,L293)</f>
        <v>7</v>
      </c>
      <c r="Q293" s="24">
        <f t="shared" si="588"/>
        <v>7</v>
      </c>
      <c r="R293" s="6" t="str">
        <f t="shared" si="6"/>
        <v>Fast Moving Consumer Goods</v>
      </c>
      <c r="S293" s="6" t="str">
        <f t="shared" si="7"/>
        <v>Fast Moving Consumer Goods</v>
      </c>
      <c r="T293" s="6">
        <f>IFERROR(__xludf.DUMMYFUNCTION("COUNTA(UNIQUE(query($A$2:$P$800,""select L where K='""&amp; K293&amp;""'"")))"),7.0)</f>
        <v>7</v>
      </c>
      <c r="U293" s="23">
        <f t="shared" si="8"/>
        <v>0.2386363636</v>
      </c>
      <c r="V293" s="23">
        <f t="shared" ref="V293:W293" si="589">P293/O293</f>
        <v>0.1590909091</v>
      </c>
      <c r="W293" s="23">
        <f t="shared" si="589"/>
        <v>1</v>
      </c>
    </row>
    <row r="294">
      <c r="A294" s="6">
        <f>IFERROR(__xludf.DUMMYFUNCTION("""COMPUTED_VALUE"""),532605.0)</f>
        <v>532605</v>
      </c>
      <c r="B294" s="6" t="str">
        <f>IFERROR(__xludf.DUMMYFUNCTION("""COMPUTED_VALUE"""),"JBM Auto Limited")</f>
        <v>JBM Auto Limited</v>
      </c>
      <c r="C294" s="6" t="str">
        <f>IFERROR(__xludf.DUMMYFUNCTION("""COMPUTED_VALUE"""),"JBMA")</f>
        <v>JBMA</v>
      </c>
      <c r="D294" s="6" t="str">
        <f>IFERROR(__xludf.DUMMYFUNCTION("""COMPUTED_VALUE"""),"JBM AUTO LTD.")</f>
        <v>JBM AUTO LTD.</v>
      </c>
      <c r="E294" s="6" t="str">
        <f>IFERROR(__xludf.DUMMYFUNCTION("""COMPUTED_VALUE"""),"Active")</f>
        <v>Active</v>
      </c>
      <c r="F294" s="6" t="str">
        <f>IFERROR(__xludf.DUMMYFUNCTION("""COMPUTED_VALUE"""),"A")</f>
        <v>A</v>
      </c>
      <c r="G294" s="6">
        <f>IFERROR(__xludf.DUMMYFUNCTION("""COMPUTED_VALUE"""),2.0)</f>
        <v>2</v>
      </c>
      <c r="H294" s="6" t="str">
        <f>IFERROR(__xludf.DUMMYFUNCTION("""COMPUTED_VALUE"""),"INE927D01044")</f>
        <v>INE927D01044</v>
      </c>
      <c r="I294" s="6" t="str">
        <f>IFERROR(__xludf.DUMMYFUNCTION("""COMPUTED_VALUE"""),"Equity")</f>
        <v>Equity</v>
      </c>
      <c r="J294" s="6" t="str">
        <f>IFERROR(__xludf.DUMMYFUNCTION("""COMPUTED_VALUE"""),"Consumer Discretionary")</f>
        <v>Consumer Discretionary</v>
      </c>
      <c r="K294" s="6" t="str">
        <f>IFERROR(__xludf.DUMMYFUNCTION("""COMPUTED_VALUE"""),"Automobile and Auto Components")</f>
        <v>Automobile and Auto Components</v>
      </c>
      <c r="L294" s="6" t="str">
        <f>IFERROR(__xludf.DUMMYFUNCTION("""COMPUTED_VALUE"""),"Auto Components")</f>
        <v>Auto Components</v>
      </c>
      <c r="M294" s="6" t="str">
        <f>IFERROR(__xludf.DUMMYFUNCTION("""COMPUTED_VALUE"""),"Auto Components &amp; Equipments")</f>
        <v>Auto Components &amp; Equipments</v>
      </c>
      <c r="N294" s="5">
        <f>IFERROR(__xludf.DUMMYFUNCTION("""COMPUTED_VALUE"""),23589.2593909)</f>
        <v>23589.25939</v>
      </c>
      <c r="O294" s="6">
        <f t="shared" si="4"/>
        <v>47</v>
      </c>
      <c r="P294" s="6">
        <f t="shared" ref="P294:Q294" si="590">COUNTIFS(L:L,L294)</f>
        <v>37</v>
      </c>
      <c r="Q294" s="24">
        <f t="shared" si="590"/>
        <v>32</v>
      </c>
      <c r="R294" s="6" t="str">
        <f t="shared" si="6"/>
        <v>Automobile and Auto Components</v>
      </c>
      <c r="S294" s="6" t="str">
        <f t="shared" si="7"/>
        <v>Automobile and Auto Components</v>
      </c>
      <c r="T294" s="6">
        <f>IFERROR(__xludf.DUMMYFUNCTION("COUNTA(UNIQUE(query($A$2:$P$800,""select L where K='""&amp; K294&amp;""'"")))"),2.0)</f>
        <v>2</v>
      </c>
      <c r="U294" s="23">
        <f t="shared" si="8"/>
        <v>0.06382978723</v>
      </c>
      <c r="V294" s="23">
        <f t="shared" ref="V294:W294" si="591">P294/O294</f>
        <v>0.7872340426</v>
      </c>
      <c r="W294" s="23">
        <f t="shared" si="591"/>
        <v>0.8648648649</v>
      </c>
    </row>
    <row r="295">
      <c r="A295" s="6">
        <f>IFERROR(__xludf.DUMMYFUNCTION("""COMPUTED_VALUE"""),532497.0)</f>
        <v>532497</v>
      </c>
      <c r="B295" s="6" t="str">
        <f>IFERROR(__xludf.DUMMYFUNCTION("""COMPUTED_VALUE"""),"Radico Khaitan Ltd.")</f>
        <v>Radico Khaitan Ltd.</v>
      </c>
      <c r="C295" s="6" t="str">
        <f>IFERROR(__xludf.DUMMYFUNCTION("""COMPUTED_VALUE"""),"RADICO")</f>
        <v>RADICO</v>
      </c>
      <c r="D295" s="6" t="str">
        <f>IFERROR(__xludf.DUMMYFUNCTION("""COMPUTED_VALUE"""),"RADICO KHAITAN LTD.")</f>
        <v>RADICO KHAITAN LTD.</v>
      </c>
      <c r="E295" s="6" t="str">
        <f>IFERROR(__xludf.DUMMYFUNCTION("""COMPUTED_VALUE"""),"Active")</f>
        <v>Active</v>
      </c>
      <c r="F295" s="6" t="str">
        <f>IFERROR(__xludf.DUMMYFUNCTION("""COMPUTED_VALUE"""),"A")</f>
        <v>A</v>
      </c>
      <c r="G295" s="6">
        <f>IFERROR(__xludf.DUMMYFUNCTION("""COMPUTED_VALUE"""),2.0)</f>
        <v>2</v>
      </c>
      <c r="H295" s="6" t="str">
        <f>IFERROR(__xludf.DUMMYFUNCTION("""COMPUTED_VALUE"""),"INE944F01028")</f>
        <v>INE944F01028</v>
      </c>
      <c r="I295" s="6" t="str">
        <f>IFERROR(__xludf.DUMMYFUNCTION("""COMPUTED_VALUE"""),"Equity")</f>
        <v>Equity</v>
      </c>
      <c r="J295" s="6" t="str">
        <f>IFERROR(__xludf.DUMMYFUNCTION("""COMPUTED_VALUE"""),"Fast Moving Consumer Goods")</f>
        <v>Fast Moving Consumer Goods</v>
      </c>
      <c r="K295" s="6" t="str">
        <f>IFERROR(__xludf.DUMMYFUNCTION("""COMPUTED_VALUE"""),"Fast Moving Consumer Goods")</f>
        <v>Fast Moving Consumer Goods</v>
      </c>
      <c r="L295" s="6" t="str">
        <f>IFERROR(__xludf.DUMMYFUNCTION("""COMPUTED_VALUE"""),"Beverages")</f>
        <v>Beverages</v>
      </c>
      <c r="M295" s="6" t="str">
        <f>IFERROR(__xludf.DUMMYFUNCTION("""COMPUTED_VALUE"""),"Breweries &amp; Distilleries")</f>
        <v>Breweries &amp; Distilleries</v>
      </c>
      <c r="N295" s="5">
        <f>IFERROR(__xludf.DUMMYFUNCTION("""COMPUTED_VALUE"""),23318.5856441)</f>
        <v>23318.58564</v>
      </c>
      <c r="O295" s="6">
        <f t="shared" si="4"/>
        <v>44</v>
      </c>
      <c r="P295" s="6">
        <f t="shared" ref="P295:Q295" si="592">COUNTIFS(L:L,L295)</f>
        <v>5</v>
      </c>
      <c r="Q295" s="24">
        <f t="shared" si="592"/>
        <v>4</v>
      </c>
      <c r="R295" s="6" t="str">
        <f t="shared" si="6"/>
        <v>Fast Moving Consumer Goods</v>
      </c>
      <c r="S295" s="6" t="str">
        <f t="shared" si="7"/>
        <v>Fast Moving Consumer Goods</v>
      </c>
      <c r="T295" s="6">
        <f>IFERROR(__xludf.DUMMYFUNCTION("COUNTA(UNIQUE(query($A$2:$P$800,""select L where K='""&amp; K295&amp;""'"")))"),7.0)</f>
        <v>7</v>
      </c>
      <c r="U295" s="23">
        <f t="shared" si="8"/>
        <v>0.2386363636</v>
      </c>
      <c r="V295" s="23">
        <f t="shared" ref="V295:W295" si="593">P295/O295</f>
        <v>0.1136363636</v>
      </c>
      <c r="W295" s="23">
        <f t="shared" si="593"/>
        <v>0.8</v>
      </c>
    </row>
    <row r="296">
      <c r="A296" s="6">
        <f>IFERROR(__xludf.DUMMYFUNCTION("""COMPUTED_VALUE"""),543663.0)</f>
        <v>543663</v>
      </c>
      <c r="B296" s="6" t="str">
        <f>IFERROR(__xludf.DUMMYFUNCTION("""COMPUTED_VALUE"""),"Five-Star Business Finance Ltd.")</f>
        <v>Five-Star Business Finance Ltd.</v>
      </c>
      <c r="C296" s="6" t="str">
        <f>IFERROR(__xludf.DUMMYFUNCTION("""COMPUTED_VALUE"""),"FIVESTAR")</f>
        <v>FIVESTAR</v>
      </c>
      <c r="D296" s="6" t="str">
        <f>IFERROR(__xludf.DUMMYFUNCTION("""COMPUTED_VALUE"""),"Five-Star Business Finance Ltd")</f>
        <v>Five-Star Business Finance Ltd</v>
      </c>
      <c r="E296" s="6" t="str">
        <f>IFERROR(__xludf.DUMMYFUNCTION("""COMPUTED_VALUE"""),"Active")</f>
        <v>Active</v>
      </c>
      <c r="F296" s="6" t="str">
        <f>IFERROR(__xludf.DUMMYFUNCTION("""COMPUTED_VALUE"""),"A")</f>
        <v>A</v>
      </c>
      <c r="G296" s="6">
        <f>IFERROR(__xludf.DUMMYFUNCTION("""COMPUTED_VALUE"""),1.0)</f>
        <v>1</v>
      </c>
      <c r="H296" s="6" t="str">
        <f>IFERROR(__xludf.DUMMYFUNCTION("""COMPUTED_VALUE"""),"INE128S01021")</f>
        <v>INE128S01021</v>
      </c>
      <c r="I296" s="6" t="str">
        <f>IFERROR(__xludf.DUMMYFUNCTION("""COMPUTED_VALUE"""),"Equity")</f>
        <v>Equity</v>
      </c>
      <c r="J296" s="6" t="str">
        <f>IFERROR(__xludf.DUMMYFUNCTION("""COMPUTED_VALUE"""),"Financial Services")</f>
        <v>Financial Services</v>
      </c>
      <c r="K296" s="6" t="str">
        <f>IFERROR(__xludf.DUMMYFUNCTION("""COMPUTED_VALUE"""),"Financial Services")</f>
        <v>Financial Services</v>
      </c>
      <c r="L296" s="6" t="str">
        <f>IFERROR(__xludf.DUMMYFUNCTION("""COMPUTED_VALUE"""),"Finance")</f>
        <v>Finance</v>
      </c>
      <c r="M296" s="6" t="str">
        <f>IFERROR(__xludf.DUMMYFUNCTION("""COMPUTED_VALUE"""),"Non Banking Financial Company (NBFC)")</f>
        <v>Non Banking Financial Company (NBFC)</v>
      </c>
      <c r="N296" s="5">
        <f>IFERROR(__xludf.DUMMYFUNCTION("""COMPUTED_VALUE"""),23300.9967262)</f>
        <v>23300.99673</v>
      </c>
      <c r="O296" s="6">
        <f t="shared" si="4"/>
        <v>123</v>
      </c>
      <c r="P296" s="6">
        <f t="shared" ref="P296:Q296" si="594">COUNTIFS(L:L,L296)</f>
        <v>56</v>
      </c>
      <c r="Q296" s="24">
        <f t="shared" si="594"/>
        <v>21</v>
      </c>
      <c r="R296" s="6" t="str">
        <f t="shared" si="6"/>
        <v>Non Banking Financial Company (NBFC)</v>
      </c>
      <c r="S296" s="6" t="str">
        <f t="shared" si="7"/>
        <v>Non Banking Financial Company (NBFC)</v>
      </c>
      <c r="T296" s="6">
        <f>IFERROR(__xludf.DUMMYFUNCTION("COUNTA(UNIQUE(query($A$2:$P$800,""select L where K='""&amp; K296&amp;""'"")))"),5.0)</f>
        <v>5</v>
      </c>
      <c r="U296" s="23">
        <f t="shared" si="8"/>
        <v>0.06097560976</v>
      </c>
      <c r="V296" s="23">
        <f t="shared" ref="V296:W296" si="595">P296/O296</f>
        <v>0.4552845528</v>
      </c>
      <c r="W296" s="23">
        <f t="shared" si="595"/>
        <v>0.375</v>
      </c>
    </row>
    <row r="297">
      <c r="A297" s="6">
        <f>IFERROR(__xludf.DUMMYFUNCTION("""COMPUTED_VALUE"""),539524.0)</f>
        <v>539524</v>
      </c>
      <c r="B297" s="6" t="str">
        <f>IFERROR(__xludf.DUMMYFUNCTION("""COMPUTED_VALUE"""),"Dr. Lal Pathlabs Limited")</f>
        <v>Dr. Lal Pathlabs Limited</v>
      </c>
      <c r="C297" s="6" t="str">
        <f>IFERROR(__xludf.DUMMYFUNCTION("""COMPUTED_VALUE"""),"LALPATHLAB")</f>
        <v>LALPATHLAB</v>
      </c>
      <c r="D297" s="6" t="str">
        <f>IFERROR(__xludf.DUMMYFUNCTION("""COMPUTED_VALUE"""),"Dr. Lal PathLabs Ltd")</f>
        <v>Dr. Lal PathLabs Ltd</v>
      </c>
      <c r="E297" s="6" t="str">
        <f>IFERROR(__xludf.DUMMYFUNCTION("""COMPUTED_VALUE"""),"Active")</f>
        <v>Active</v>
      </c>
      <c r="F297" s="6" t="str">
        <f>IFERROR(__xludf.DUMMYFUNCTION("""COMPUTED_VALUE"""),"A")</f>
        <v>A</v>
      </c>
      <c r="G297" s="6">
        <f>IFERROR(__xludf.DUMMYFUNCTION("""COMPUTED_VALUE"""),10.0)</f>
        <v>10</v>
      </c>
      <c r="H297" s="6" t="str">
        <f>IFERROR(__xludf.DUMMYFUNCTION("""COMPUTED_VALUE"""),"INE600L01024")</f>
        <v>INE600L01024</v>
      </c>
      <c r="I297" s="6" t="str">
        <f>IFERROR(__xludf.DUMMYFUNCTION("""COMPUTED_VALUE"""),"Equity")</f>
        <v>Equity</v>
      </c>
      <c r="J297" s="6" t="str">
        <f>IFERROR(__xludf.DUMMYFUNCTION("""COMPUTED_VALUE"""),"Healthcare")</f>
        <v>Healthcare</v>
      </c>
      <c r="K297" s="6" t="str">
        <f>IFERROR(__xludf.DUMMYFUNCTION("""COMPUTED_VALUE"""),"Healthcare")</f>
        <v>Healthcare</v>
      </c>
      <c r="L297" s="6" t="str">
        <f>IFERROR(__xludf.DUMMYFUNCTION("""COMPUTED_VALUE"""),"Healthcare Services")</f>
        <v>Healthcare Services</v>
      </c>
      <c r="M297" s="6" t="str">
        <f>IFERROR(__xludf.DUMMYFUNCTION("""COMPUTED_VALUE"""),"Healthcare Service Provider")</f>
        <v>Healthcare Service Provider</v>
      </c>
      <c r="N297" s="5">
        <f>IFERROR(__xludf.DUMMYFUNCTION("""COMPUTED_VALUE"""),23279.0819885)</f>
        <v>23279.08199</v>
      </c>
      <c r="O297" s="6">
        <f t="shared" si="4"/>
        <v>62</v>
      </c>
      <c r="P297" s="6">
        <f t="shared" ref="P297:Q297" si="596">COUNTIFS(L:L,L297)</f>
        <v>16</v>
      </c>
      <c r="Q297" s="24">
        <f t="shared" si="596"/>
        <v>3</v>
      </c>
      <c r="R297" s="6" t="str">
        <f t="shared" si="6"/>
        <v>Healthcare Services</v>
      </c>
      <c r="S297" s="6" t="str">
        <f t="shared" si="7"/>
        <v>Healthcare Services</v>
      </c>
      <c r="T297" s="6">
        <f>IFERROR(__xludf.DUMMYFUNCTION("COUNTA(UNIQUE(query($A$2:$P$800,""select L where K='""&amp; K297&amp;""'"")))"),3.0)</f>
        <v>3</v>
      </c>
      <c r="U297" s="23">
        <f t="shared" si="8"/>
        <v>0.07258064516</v>
      </c>
      <c r="V297" s="23">
        <f t="shared" ref="V297:W297" si="597">P297/O297</f>
        <v>0.2580645161</v>
      </c>
      <c r="W297" s="23">
        <f t="shared" si="597"/>
        <v>0.1875</v>
      </c>
    </row>
    <row r="298">
      <c r="A298" s="6">
        <f>IFERROR(__xludf.DUMMYFUNCTION("""COMPUTED_VALUE"""),540222.0)</f>
        <v>540222</v>
      </c>
      <c r="B298" s="6" t="str">
        <f>IFERROR(__xludf.DUMMYFUNCTION("""COMPUTED_VALUE"""),"Laurus Labs Limited")</f>
        <v>Laurus Labs Limited</v>
      </c>
      <c r="C298" s="6" t="str">
        <f>IFERROR(__xludf.DUMMYFUNCTION("""COMPUTED_VALUE"""),"LAURUSLABS")</f>
        <v>LAURUSLABS</v>
      </c>
      <c r="D298" s="6" t="str">
        <f>IFERROR(__xludf.DUMMYFUNCTION("""COMPUTED_VALUE"""),"Laurus Labs Ltd")</f>
        <v>Laurus Labs Ltd</v>
      </c>
      <c r="E298" s="6" t="str">
        <f>IFERROR(__xludf.DUMMYFUNCTION("""COMPUTED_VALUE"""),"Active")</f>
        <v>Active</v>
      </c>
      <c r="F298" s="6" t="str">
        <f>IFERROR(__xludf.DUMMYFUNCTION("""COMPUTED_VALUE"""),"A")</f>
        <v>A</v>
      </c>
      <c r="G298" s="6">
        <f>IFERROR(__xludf.DUMMYFUNCTION("""COMPUTED_VALUE"""),2.0)</f>
        <v>2</v>
      </c>
      <c r="H298" s="6" t="str">
        <f>IFERROR(__xludf.DUMMYFUNCTION("""COMPUTED_VALUE"""),"INE947Q01028")</f>
        <v>INE947Q01028</v>
      </c>
      <c r="I298" s="6" t="str">
        <f>IFERROR(__xludf.DUMMYFUNCTION("""COMPUTED_VALUE"""),"Equity")</f>
        <v>Equity</v>
      </c>
      <c r="J298" s="6" t="str">
        <f>IFERROR(__xludf.DUMMYFUNCTION("""COMPUTED_VALUE"""),"Healthcare")</f>
        <v>Healthcare</v>
      </c>
      <c r="K298" s="6" t="str">
        <f>IFERROR(__xludf.DUMMYFUNCTION("""COMPUTED_VALUE"""),"Healthcare")</f>
        <v>Healthcare</v>
      </c>
      <c r="L298" s="6" t="str">
        <f>IFERROR(__xludf.DUMMYFUNCTION("""COMPUTED_VALUE"""),"Pharmaceuticals &amp; Biotechnology")</f>
        <v>Pharmaceuticals &amp; Biotechnology</v>
      </c>
      <c r="M298" s="6" t="str">
        <f>IFERROR(__xludf.DUMMYFUNCTION("""COMPUTED_VALUE"""),"Pharmaceuticals")</f>
        <v>Pharmaceuticals</v>
      </c>
      <c r="N298" s="5">
        <f>IFERROR(__xludf.DUMMYFUNCTION("""COMPUTED_VALUE"""),23226.0283512)</f>
        <v>23226.02835</v>
      </c>
      <c r="O298" s="6">
        <f t="shared" si="4"/>
        <v>62</v>
      </c>
      <c r="P298" s="6">
        <f t="shared" ref="P298:Q298" si="598">COUNTIFS(L:L,L298)</f>
        <v>45</v>
      </c>
      <c r="Q298" s="24">
        <f t="shared" si="598"/>
        <v>45</v>
      </c>
      <c r="R298" s="6" t="str">
        <f t="shared" si="6"/>
        <v>Healthcare</v>
      </c>
      <c r="S298" s="6" t="str">
        <f t="shared" si="7"/>
        <v>Healthcare</v>
      </c>
      <c r="T298" s="6">
        <f>IFERROR(__xludf.DUMMYFUNCTION("COUNTA(UNIQUE(query($A$2:$P$800,""select L where K='""&amp; K298&amp;""'"")))"),3.0)</f>
        <v>3</v>
      </c>
      <c r="U298" s="23">
        <f t="shared" si="8"/>
        <v>0.07258064516</v>
      </c>
      <c r="V298" s="23">
        <f t="shared" ref="V298:W298" si="599">P298/O298</f>
        <v>0.7258064516</v>
      </c>
      <c r="W298" s="23">
        <f t="shared" si="599"/>
        <v>1</v>
      </c>
    </row>
    <row r="299">
      <c r="A299" s="6">
        <f>IFERROR(__xludf.DUMMYFUNCTION("""COMPUTED_VALUE"""),522074.0)</f>
        <v>522074</v>
      </c>
      <c r="B299" s="6" t="str">
        <f>IFERROR(__xludf.DUMMYFUNCTION("""COMPUTED_VALUE"""),"Elgi Equipments Ltd.")</f>
        <v>Elgi Equipments Ltd.</v>
      </c>
      <c r="C299" s="6" t="str">
        <f>IFERROR(__xludf.DUMMYFUNCTION("""COMPUTED_VALUE"""),"ELGIEQUIP")</f>
        <v>ELGIEQUIP</v>
      </c>
      <c r="D299" s="6" t="str">
        <f>IFERROR(__xludf.DUMMYFUNCTION("""COMPUTED_VALUE"""),"ELGI EQUIPMENTS LTD.")</f>
        <v>ELGI EQUIPMENTS LTD.</v>
      </c>
      <c r="E299" s="6" t="str">
        <f>IFERROR(__xludf.DUMMYFUNCTION("""COMPUTED_VALUE"""),"Active")</f>
        <v>Active</v>
      </c>
      <c r="F299" s="6" t="str">
        <f>IFERROR(__xludf.DUMMYFUNCTION("""COMPUTED_VALUE"""),"A")</f>
        <v>A</v>
      </c>
      <c r="G299" s="6">
        <f>IFERROR(__xludf.DUMMYFUNCTION("""COMPUTED_VALUE"""),1.0)</f>
        <v>1</v>
      </c>
      <c r="H299" s="6" t="str">
        <f>IFERROR(__xludf.DUMMYFUNCTION("""COMPUTED_VALUE"""),"INE285A01027")</f>
        <v>INE285A01027</v>
      </c>
      <c r="I299" s="6" t="str">
        <f>IFERROR(__xludf.DUMMYFUNCTION("""COMPUTED_VALUE"""),"Equity")</f>
        <v>Equity</v>
      </c>
      <c r="J299" s="6" t="str">
        <f>IFERROR(__xludf.DUMMYFUNCTION("""COMPUTED_VALUE"""),"Industrials")</f>
        <v>Industrials</v>
      </c>
      <c r="K299" s="6" t="str">
        <f>IFERROR(__xludf.DUMMYFUNCTION("""COMPUTED_VALUE"""),"Capital Goods")</f>
        <v>Capital Goods</v>
      </c>
      <c r="L299" s="6" t="str">
        <f>IFERROR(__xludf.DUMMYFUNCTION("""COMPUTED_VALUE"""),"Industrial Products")</f>
        <v>Industrial Products</v>
      </c>
      <c r="M299" s="6" t="str">
        <f>IFERROR(__xludf.DUMMYFUNCTION("""COMPUTED_VALUE"""),"Compressors, Pumps &amp; Diesel Engines")</f>
        <v>Compressors, Pumps &amp; Diesel Engines</v>
      </c>
      <c r="N299" s="5">
        <f>IFERROR(__xludf.DUMMYFUNCTION("""COMPUTED_VALUE"""),22968.703385)</f>
        <v>22968.70339</v>
      </c>
      <c r="O299" s="6">
        <f t="shared" si="4"/>
        <v>110</v>
      </c>
      <c r="P299" s="6">
        <f t="shared" ref="P299:Q299" si="600">COUNTIFS(L:L,L299)</f>
        <v>51</v>
      </c>
      <c r="Q299" s="24">
        <f t="shared" si="600"/>
        <v>7</v>
      </c>
      <c r="R299" s="6" t="str">
        <f t="shared" si="6"/>
        <v>Industrial Products</v>
      </c>
      <c r="S299" s="6" t="str">
        <f t="shared" si="7"/>
        <v>Industrial Products</v>
      </c>
      <c r="T299" s="6">
        <f>IFERROR(__xludf.DUMMYFUNCTION("COUNTA(UNIQUE(query($A$2:$P$800,""select L where K='""&amp; K299&amp;""'"")))"),5.0)</f>
        <v>5</v>
      </c>
      <c r="U299" s="23">
        <f t="shared" si="8"/>
        <v>0.06818181818</v>
      </c>
      <c r="V299" s="23">
        <f t="shared" ref="V299:W299" si="601">P299/O299</f>
        <v>0.4636363636</v>
      </c>
      <c r="W299" s="23">
        <f t="shared" si="601"/>
        <v>0.137254902</v>
      </c>
    </row>
    <row r="300">
      <c r="A300" s="6">
        <f>IFERROR(__xludf.DUMMYFUNCTION("""COMPUTED_VALUE"""),500042.0)</f>
        <v>500042</v>
      </c>
      <c r="B300" s="6" t="str">
        <f>IFERROR(__xludf.DUMMYFUNCTION("""COMPUTED_VALUE"""),"BASF India Ltd")</f>
        <v>BASF India Ltd</v>
      </c>
      <c r="C300" s="6" t="str">
        <f>IFERROR(__xludf.DUMMYFUNCTION("""COMPUTED_VALUE"""),"BASF")</f>
        <v>BASF</v>
      </c>
      <c r="D300" s="6" t="str">
        <f>IFERROR(__xludf.DUMMYFUNCTION("""COMPUTED_VALUE"""),"BASF INDIA LTD.")</f>
        <v>BASF INDIA LTD.</v>
      </c>
      <c r="E300" s="6" t="str">
        <f>IFERROR(__xludf.DUMMYFUNCTION("""COMPUTED_VALUE"""),"Active")</f>
        <v>Active</v>
      </c>
      <c r="F300" s="6" t="str">
        <f>IFERROR(__xludf.DUMMYFUNCTION("""COMPUTED_VALUE"""),"A")</f>
        <v>A</v>
      </c>
      <c r="G300" s="6">
        <f>IFERROR(__xludf.DUMMYFUNCTION("""COMPUTED_VALUE"""),10.0)</f>
        <v>10</v>
      </c>
      <c r="H300" s="6" t="str">
        <f>IFERROR(__xludf.DUMMYFUNCTION("""COMPUTED_VALUE"""),"INE373A01013")</f>
        <v>INE373A01013</v>
      </c>
      <c r="I300" s="6" t="str">
        <f>IFERROR(__xludf.DUMMYFUNCTION("""COMPUTED_VALUE"""),"Equity")</f>
        <v>Equity</v>
      </c>
      <c r="J300" s="6" t="str">
        <f>IFERROR(__xludf.DUMMYFUNCTION("""COMPUTED_VALUE"""),"Commodities")</f>
        <v>Commodities</v>
      </c>
      <c r="K300" s="6" t="str">
        <f>IFERROR(__xludf.DUMMYFUNCTION("""COMPUTED_VALUE"""),"Chemicals")</f>
        <v>Chemicals</v>
      </c>
      <c r="L300" s="6" t="str">
        <f>IFERROR(__xludf.DUMMYFUNCTION("""COMPUTED_VALUE"""),"Chemicals &amp; Petrochemicals")</f>
        <v>Chemicals &amp; Petrochemicals</v>
      </c>
      <c r="M300" s="6" t="str">
        <f>IFERROR(__xludf.DUMMYFUNCTION("""COMPUTED_VALUE"""),"Specialty Chemicals")</f>
        <v>Specialty Chemicals</v>
      </c>
      <c r="N300" s="5">
        <f>IFERROR(__xludf.DUMMYFUNCTION("""COMPUTED_VALUE"""),22490.4927783)</f>
        <v>22490.49278</v>
      </c>
      <c r="O300" s="6">
        <f t="shared" si="4"/>
        <v>52</v>
      </c>
      <c r="P300" s="6">
        <f t="shared" ref="P300:Q300" si="602">COUNTIFS(L:L,L300)</f>
        <v>37</v>
      </c>
      <c r="Q300" s="24">
        <f t="shared" si="602"/>
        <v>25</v>
      </c>
      <c r="R300" s="6" t="str">
        <f t="shared" si="6"/>
        <v>Chemicals</v>
      </c>
      <c r="S300" s="6" t="str">
        <f t="shared" si="7"/>
        <v>Chemicals</v>
      </c>
      <c r="T300" s="6">
        <f>IFERROR(__xludf.DUMMYFUNCTION("COUNTA(UNIQUE(query($A$2:$P$800,""select L where K='""&amp; K300&amp;""'"")))"),2.0)</f>
        <v>2</v>
      </c>
      <c r="U300" s="23">
        <f t="shared" si="8"/>
        <v>0.05769230769</v>
      </c>
      <c r="V300" s="23">
        <f t="shared" ref="V300:W300" si="603">P300/O300</f>
        <v>0.7115384615</v>
      </c>
      <c r="W300" s="23">
        <f t="shared" si="603"/>
        <v>0.6756756757</v>
      </c>
    </row>
    <row r="301">
      <c r="A301" s="6">
        <f>IFERROR(__xludf.DUMMYFUNCTION("""COMPUTED_VALUE"""),532636.0)</f>
        <v>532636</v>
      </c>
      <c r="B301" s="6" t="str">
        <f>IFERROR(__xludf.DUMMYFUNCTION("""COMPUTED_VALUE"""),"IIFL FINANCE LIMITED")</f>
        <v>IIFL FINANCE LIMITED</v>
      </c>
      <c r="C301" s="6" t="str">
        <f>IFERROR(__xludf.DUMMYFUNCTION("""COMPUTED_VALUE"""),"IIFL")</f>
        <v>IIFL</v>
      </c>
      <c r="D301" s="6" t="str">
        <f>IFERROR(__xludf.DUMMYFUNCTION("""COMPUTED_VALUE"""),"IIFL Finance Ltd")</f>
        <v>IIFL Finance Ltd</v>
      </c>
      <c r="E301" s="6" t="str">
        <f>IFERROR(__xludf.DUMMYFUNCTION("""COMPUTED_VALUE"""),"Active")</f>
        <v>Active</v>
      </c>
      <c r="F301" s="6" t="str">
        <f>IFERROR(__xludf.DUMMYFUNCTION("""COMPUTED_VALUE"""),"A")</f>
        <v>A</v>
      </c>
      <c r="G301" s="6">
        <f>IFERROR(__xludf.DUMMYFUNCTION("""COMPUTED_VALUE"""),2.0)</f>
        <v>2</v>
      </c>
      <c r="H301" s="6" t="str">
        <f>IFERROR(__xludf.DUMMYFUNCTION("""COMPUTED_VALUE"""),"INE530B01024")</f>
        <v>INE530B01024</v>
      </c>
      <c r="I301" s="6" t="str">
        <f>IFERROR(__xludf.DUMMYFUNCTION("""COMPUTED_VALUE"""),"Equity")</f>
        <v>Equity</v>
      </c>
      <c r="J301" s="6" t="str">
        <f>IFERROR(__xludf.DUMMYFUNCTION("""COMPUTED_VALUE"""),"Financial Services")</f>
        <v>Financial Services</v>
      </c>
      <c r="K301" s="6" t="str">
        <f>IFERROR(__xludf.DUMMYFUNCTION("""COMPUTED_VALUE"""),"Financial Services")</f>
        <v>Financial Services</v>
      </c>
      <c r="L301" s="6" t="str">
        <f>IFERROR(__xludf.DUMMYFUNCTION("""COMPUTED_VALUE"""),"Finance")</f>
        <v>Finance</v>
      </c>
      <c r="M301" s="6" t="str">
        <f>IFERROR(__xludf.DUMMYFUNCTION("""COMPUTED_VALUE"""),"Non Banking Financial Company (NBFC)")</f>
        <v>Non Banking Financial Company (NBFC)</v>
      </c>
      <c r="N301" s="5">
        <f>IFERROR(__xludf.DUMMYFUNCTION("""COMPUTED_VALUE"""),22168.8771553)</f>
        <v>22168.87716</v>
      </c>
      <c r="O301" s="6">
        <f t="shared" si="4"/>
        <v>123</v>
      </c>
      <c r="P301" s="6">
        <f t="shared" ref="P301:Q301" si="604">COUNTIFS(L:L,L301)</f>
        <v>56</v>
      </c>
      <c r="Q301" s="24">
        <f t="shared" si="604"/>
        <v>21</v>
      </c>
      <c r="R301" s="6" t="str">
        <f t="shared" si="6"/>
        <v>Non Banking Financial Company (NBFC)</v>
      </c>
      <c r="S301" s="6" t="str">
        <f t="shared" si="7"/>
        <v>Non Banking Financial Company (NBFC)</v>
      </c>
      <c r="T301" s="6">
        <f>IFERROR(__xludf.DUMMYFUNCTION("COUNTA(UNIQUE(query($A$2:$P$800,""select L where K='""&amp; K301&amp;""'"")))"),5.0)</f>
        <v>5</v>
      </c>
      <c r="U301" s="23">
        <f t="shared" si="8"/>
        <v>0.06097560976</v>
      </c>
      <c r="V301" s="23">
        <f t="shared" ref="V301:W301" si="605">P301/O301</f>
        <v>0.4552845528</v>
      </c>
      <c r="W301" s="23">
        <f t="shared" si="605"/>
        <v>0.375</v>
      </c>
    </row>
    <row r="302">
      <c r="A302" s="6">
        <f>IFERROR(__xludf.DUMMYFUNCTION("""COMPUTED_VALUE"""),500233.0)</f>
        <v>500233</v>
      </c>
      <c r="B302" s="6" t="str">
        <f>IFERROR(__xludf.DUMMYFUNCTION("""COMPUTED_VALUE"""),"Kajaria Ceramics Ltd")</f>
        <v>Kajaria Ceramics Ltd</v>
      </c>
      <c r="C302" s="6" t="str">
        <f>IFERROR(__xludf.DUMMYFUNCTION("""COMPUTED_VALUE"""),"KAJARIACER")</f>
        <v>KAJARIACER</v>
      </c>
      <c r="D302" s="6" t="str">
        <f>IFERROR(__xludf.DUMMYFUNCTION("""COMPUTED_VALUE"""),"KAJARIA CERAMICS LTD.")</f>
        <v>KAJARIA CERAMICS LTD.</v>
      </c>
      <c r="E302" s="6" t="str">
        <f>IFERROR(__xludf.DUMMYFUNCTION("""COMPUTED_VALUE"""),"Active")</f>
        <v>Active</v>
      </c>
      <c r="F302" s="6" t="str">
        <f>IFERROR(__xludf.DUMMYFUNCTION("""COMPUTED_VALUE"""),"A")</f>
        <v>A</v>
      </c>
      <c r="G302" s="6">
        <f>IFERROR(__xludf.DUMMYFUNCTION("""COMPUTED_VALUE"""),1.0)</f>
        <v>1</v>
      </c>
      <c r="H302" s="6" t="str">
        <f>IFERROR(__xludf.DUMMYFUNCTION("""COMPUTED_VALUE"""),"INE217B01036")</f>
        <v>INE217B01036</v>
      </c>
      <c r="I302" s="6" t="str">
        <f>IFERROR(__xludf.DUMMYFUNCTION("""COMPUTED_VALUE"""),"Equity")</f>
        <v>Equity</v>
      </c>
      <c r="J302" s="6" t="str">
        <f>IFERROR(__xludf.DUMMYFUNCTION("""COMPUTED_VALUE"""),"Consumer Discretionary")</f>
        <v>Consumer Discretionary</v>
      </c>
      <c r="K302" s="6" t="str">
        <f>IFERROR(__xludf.DUMMYFUNCTION("""COMPUTED_VALUE"""),"Consumer Durables")</f>
        <v>Consumer Durables</v>
      </c>
      <c r="L302" s="6" t="str">
        <f>IFERROR(__xludf.DUMMYFUNCTION("""COMPUTED_VALUE"""),"Consumer Durables")</f>
        <v>Consumer Durables</v>
      </c>
      <c r="M302" s="6" t="str">
        <f>IFERROR(__xludf.DUMMYFUNCTION("""COMPUTED_VALUE"""),"Ceramics")</f>
        <v>Ceramics</v>
      </c>
      <c r="N302" s="5">
        <f>IFERROR(__xludf.DUMMYFUNCTION("""COMPUTED_VALUE"""),22166.6645526)</f>
        <v>22166.66455</v>
      </c>
      <c r="O302" s="6">
        <f t="shared" si="4"/>
        <v>42</v>
      </c>
      <c r="P302" s="6">
        <f t="shared" ref="P302:Q302" si="606">COUNTIFS(L:L,L302)</f>
        <v>42</v>
      </c>
      <c r="Q302" s="24">
        <f t="shared" si="606"/>
        <v>1</v>
      </c>
      <c r="R302" s="6" t="str">
        <f t="shared" si="6"/>
        <v>Consumer Durables</v>
      </c>
      <c r="S302" s="6" t="str">
        <f t="shared" si="7"/>
        <v>Consumer Durables</v>
      </c>
      <c r="T302" s="6">
        <f>IFERROR(__xludf.DUMMYFUNCTION("COUNTA(UNIQUE(query($A$2:$P$800,""select L where K='""&amp; K302&amp;""'"")))"),1.0)</f>
        <v>1</v>
      </c>
      <c r="U302" s="23">
        <f t="shared" si="8"/>
        <v>0.03571428571</v>
      </c>
      <c r="V302" s="23">
        <f t="shared" ref="V302:W302" si="607">P302/O302</f>
        <v>1</v>
      </c>
      <c r="W302" s="23">
        <f t="shared" si="607"/>
        <v>0.02380952381</v>
      </c>
    </row>
    <row r="303">
      <c r="A303" s="6">
        <f>IFERROR(__xludf.DUMMYFUNCTION("""COMPUTED_VALUE"""),532756.0)</f>
        <v>532756</v>
      </c>
      <c r="B303" s="6" t="str">
        <f>IFERROR(__xludf.DUMMYFUNCTION("""COMPUTED_VALUE"""),"CIE Automotive India Limited")</f>
        <v>CIE Automotive India Limited</v>
      </c>
      <c r="C303" s="6" t="str">
        <f>IFERROR(__xludf.DUMMYFUNCTION("""COMPUTED_VALUE"""),"CIEINDIA")</f>
        <v>CIEINDIA</v>
      </c>
      <c r="D303" s="6" t="str">
        <f>IFERROR(__xludf.DUMMYFUNCTION("""COMPUTED_VALUE"""),"CIE Automotive India Ltd")</f>
        <v>CIE Automotive India Ltd</v>
      </c>
      <c r="E303" s="6" t="str">
        <f>IFERROR(__xludf.DUMMYFUNCTION("""COMPUTED_VALUE"""),"Active")</f>
        <v>Active</v>
      </c>
      <c r="F303" s="6" t="str">
        <f>IFERROR(__xludf.DUMMYFUNCTION("""COMPUTED_VALUE"""),"A")</f>
        <v>A</v>
      </c>
      <c r="G303" s="6">
        <f>IFERROR(__xludf.DUMMYFUNCTION("""COMPUTED_VALUE"""),10.0)</f>
        <v>10</v>
      </c>
      <c r="H303" s="6" t="str">
        <f>IFERROR(__xludf.DUMMYFUNCTION("""COMPUTED_VALUE"""),"INE536H01010")</f>
        <v>INE536H01010</v>
      </c>
      <c r="I303" s="6" t="str">
        <f>IFERROR(__xludf.DUMMYFUNCTION("""COMPUTED_VALUE"""),"Equity")</f>
        <v>Equity</v>
      </c>
      <c r="J303" s="6" t="str">
        <f>IFERROR(__xludf.DUMMYFUNCTION("""COMPUTED_VALUE"""),"Consumer Discretionary")</f>
        <v>Consumer Discretionary</v>
      </c>
      <c r="K303" s="6" t="str">
        <f>IFERROR(__xludf.DUMMYFUNCTION("""COMPUTED_VALUE"""),"Automobile and Auto Components")</f>
        <v>Automobile and Auto Components</v>
      </c>
      <c r="L303" s="6" t="str">
        <f>IFERROR(__xludf.DUMMYFUNCTION("""COMPUTED_VALUE"""),"Auto Components")</f>
        <v>Auto Components</v>
      </c>
      <c r="M303" s="6" t="str">
        <f>IFERROR(__xludf.DUMMYFUNCTION("""COMPUTED_VALUE"""),"Auto Components &amp; Equipments")</f>
        <v>Auto Components &amp; Equipments</v>
      </c>
      <c r="N303" s="5">
        <f>IFERROR(__xludf.DUMMYFUNCTION("""COMPUTED_VALUE"""),22092.4520683)</f>
        <v>22092.45207</v>
      </c>
      <c r="O303" s="6">
        <f t="shared" si="4"/>
        <v>47</v>
      </c>
      <c r="P303" s="6">
        <f t="shared" ref="P303:Q303" si="608">COUNTIFS(L:L,L303)</f>
        <v>37</v>
      </c>
      <c r="Q303" s="24">
        <f t="shared" si="608"/>
        <v>32</v>
      </c>
      <c r="R303" s="6" t="str">
        <f t="shared" si="6"/>
        <v>Automobile and Auto Components</v>
      </c>
      <c r="S303" s="6" t="str">
        <f t="shared" si="7"/>
        <v>Automobile and Auto Components</v>
      </c>
      <c r="T303" s="6">
        <f>IFERROR(__xludf.DUMMYFUNCTION("COUNTA(UNIQUE(query($A$2:$P$800,""select L where K='""&amp; K303&amp;""'"")))"),2.0)</f>
        <v>2</v>
      </c>
      <c r="U303" s="23">
        <f t="shared" si="8"/>
        <v>0.06382978723</v>
      </c>
      <c r="V303" s="23">
        <f t="shared" ref="V303:W303" si="609">P303/O303</f>
        <v>0.7872340426</v>
      </c>
      <c r="W303" s="23">
        <f t="shared" si="609"/>
        <v>0.8648648649</v>
      </c>
    </row>
    <row r="304">
      <c r="A304" s="6">
        <f>IFERROR(__xludf.DUMMYFUNCTION("""COMPUTED_VALUE"""),500165.0)</f>
        <v>500165</v>
      </c>
      <c r="B304" s="6" t="str">
        <f>IFERROR(__xludf.DUMMYFUNCTION("""COMPUTED_VALUE"""),"Kansai Nerolac Paints")</f>
        <v>Kansai Nerolac Paints</v>
      </c>
      <c r="C304" s="6" t="str">
        <f>IFERROR(__xludf.DUMMYFUNCTION("""COMPUTED_VALUE"""),"KANSAINER")</f>
        <v>KANSAINER</v>
      </c>
      <c r="D304" s="6" t="str">
        <f>IFERROR(__xludf.DUMMYFUNCTION("""COMPUTED_VALUE"""),"KANSAI NEROLAC PAINTS LTD.")</f>
        <v>KANSAI NEROLAC PAINTS LTD.</v>
      </c>
      <c r="E304" s="6" t="str">
        <f>IFERROR(__xludf.DUMMYFUNCTION("""COMPUTED_VALUE"""),"Active")</f>
        <v>Active</v>
      </c>
      <c r="F304" s="6" t="str">
        <f>IFERROR(__xludf.DUMMYFUNCTION("""COMPUTED_VALUE"""),"A")</f>
        <v>A</v>
      </c>
      <c r="G304" s="6">
        <f>IFERROR(__xludf.DUMMYFUNCTION("""COMPUTED_VALUE"""),1.0)</f>
        <v>1</v>
      </c>
      <c r="H304" s="6" t="str">
        <f>IFERROR(__xludf.DUMMYFUNCTION("""COMPUTED_VALUE"""),"INE531A01024")</f>
        <v>INE531A01024</v>
      </c>
      <c r="I304" s="6" t="str">
        <f>IFERROR(__xludf.DUMMYFUNCTION("""COMPUTED_VALUE"""),"Equity")</f>
        <v>Equity</v>
      </c>
      <c r="J304" s="6" t="str">
        <f>IFERROR(__xludf.DUMMYFUNCTION("""COMPUTED_VALUE"""),"Consumer Discretionary")</f>
        <v>Consumer Discretionary</v>
      </c>
      <c r="K304" s="6" t="str">
        <f>IFERROR(__xludf.DUMMYFUNCTION("""COMPUTED_VALUE"""),"Consumer Durables")</f>
        <v>Consumer Durables</v>
      </c>
      <c r="L304" s="6" t="str">
        <f>IFERROR(__xludf.DUMMYFUNCTION("""COMPUTED_VALUE"""),"Consumer Durables")</f>
        <v>Consumer Durables</v>
      </c>
      <c r="M304" s="6" t="str">
        <f>IFERROR(__xludf.DUMMYFUNCTION("""COMPUTED_VALUE"""),"Paints")</f>
        <v>Paints</v>
      </c>
      <c r="N304" s="5">
        <f>IFERROR(__xludf.DUMMYFUNCTION("""COMPUTED_VALUE"""),22040.5397068)</f>
        <v>22040.53971</v>
      </c>
      <c r="O304" s="6">
        <f t="shared" si="4"/>
        <v>42</v>
      </c>
      <c r="P304" s="6">
        <f t="shared" ref="P304:Q304" si="610">COUNTIFS(L:L,L304)</f>
        <v>42</v>
      </c>
      <c r="Q304" s="24">
        <f t="shared" si="610"/>
        <v>5</v>
      </c>
      <c r="R304" s="6" t="str">
        <f t="shared" si="6"/>
        <v>Consumer Durables</v>
      </c>
      <c r="S304" s="6" t="str">
        <f t="shared" si="7"/>
        <v>Consumer Durables</v>
      </c>
      <c r="T304" s="6">
        <f>IFERROR(__xludf.DUMMYFUNCTION("COUNTA(UNIQUE(query($A$2:$P$800,""select L where K='""&amp; K304&amp;""'"")))"),1.0)</f>
        <v>1</v>
      </c>
      <c r="U304" s="23">
        <f t="shared" si="8"/>
        <v>0.03571428571</v>
      </c>
      <c r="V304" s="23">
        <f t="shared" ref="V304:W304" si="611">P304/O304</f>
        <v>1</v>
      </c>
      <c r="W304" s="23">
        <f t="shared" si="611"/>
        <v>0.119047619</v>
      </c>
    </row>
    <row r="305">
      <c r="A305" s="6">
        <f>IFERROR(__xludf.DUMMYFUNCTION("""COMPUTED_VALUE"""),534139.0)</f>
        <v>534139</v>
      </c>
      <c r="B305" s="6" t="str">
        <f>IFERROR(__xludf.DUMMYFUNCTION("""COMPUTED_VALUE"""),"SCHNEIDER ELECTRIC INFRASTRUCTURE LIMITED")</f>
        <v>SCHNEIDER ELECTRIC INFRASTRUCTURE LIMITED</v>
      </c>
      <c r="C305" s="6" t="str">
        <f>IFERROR(__xludf.DUMMYFUNCTION("""COMPUTED_VALUE"""),"SCHNEIDER")</f>
        <v>SCHNEIDER</v>
      </c>
      <c r="D305" s="6" t="str">
        <f>IFERROR(__xludf.DUMMYFUNCTION("""COMPUTED_VALUE"""),"SCHNEIDER ELECTRIC INFRASTRUCTURE LTD.")</f>
        <v>SCHNEIDER ELECTRIC INFRASTRUCTURE LTD.</v>
      </c>
      <c r="E305" s="6" t="str">
        <f>IFERROR(__xludf.DUMMYFUNCTION("""COMPUTED_VALUE"""),"Active")</f>
        <v>Active</v>
      </c>
      <c r="F305" s="6" t="str">
        <f>IFERROR(__xludf.DUMMYFUNCTION("""COMPUTED_VALUE"""),"A")</f>
        <v>A</v>
      </c>
      <c r="G305" s="6">
        <f>IFERROR(__xludf.DUMMYFUNCTION("""COMPUTED_VALUE"""),2.0)</f>
        <v>2</v>
      </c>
      <c r="H305" s="6" t="str">
        <f>IFERROR(__xludf.DUMMYFUNCTION("""COMPUTED_VALUE"""),"INE839M01018")</f>
        <v>INE839M01018</v>
      </c>
      <c r="I305" s="6" t="str">
        <f>IFERROR(__xludf.DUMMYFUNCTION("""COMPUTED_VALUE"""),"Equity")</f>
        <v>Equity</v>
      </c>
      <c r="J305" s="6" t="str">
        <f>IFERROR(__xludf.DUMMYFUNCTION("""COMPUTED_VALUE"""),"Industrials")</f>
        <v>Industrials</v>
      </c>
      <c r="K305" s="6" t="str">
        <f>IFERROR(__xludf.DUMMYFUNCTION("""COMPUTED_VALUE"""),"Capital Goods")</f>
        <v>Capital Goods</v>
      </c>
      <c r="L305" s="6" t="str">
        <f>IFERROR(__xludf.DUMMYFUNCTION("""COMPUTED_VALUE"""),"Electrical Equipment")</f>
        <v>Electrical Equipment</v>
      </c>
      <c r="M305" s="6" t="str">
        <f>IFERROR(__xludf.DUMMYFUNCTION("""COMPUTED_VALUE"""),"Heavy Electrical Equipment")</f>
        <v>Heavy Electrical Equipment</v>
      </c>
      <c r="N305" s="5">
        <f>IFERROR(__xludf.DUMMYFUNCTION("""COMPUTED_VALUE"""),21614.193015)</f>
        <v>21614.19302</v>
      </c>
      <c r="O305" s="6">
        <f t="shared" si="4"/>
        <v>110</v>
      </c>
      <c r="P305" s="6">
        <f t="shared" ref="P305:Q305" si="612">COUNTIFS(L:L,L305)</f>
        <v>22</v>
      </c>
      <c r="Q305" s="24">
        <f t="shared" si="612"/>
        <v>17</v>
      </c>
      <c r="R305" s="6" t="str">
        <f t="shared" si="6"/>
        <v>Electrical Equipment</v>
      </c>
      <c r="S305" s="6" t="str">
        <f t="shared" si="7"/>
        <v>Electrical Equipment</v>
      </c>
      <c r="T305" s="6">
        <f>IFERROR(__xludf.DUMMYFUNCTION("COUNTA(UNIQUE(query($A$2:$P$800,""select L where K='""&amp; K305&amp;""'"")))"),5.0)</f>
        <v>5</v>
      </c>
      <c r="U305" s="23">
        <f t="shared" si="8"/>
        <v>0.06818181818</v>
      </c>
      <c r="V305" s="23">
        <f t="shared" ref="V305:W305" si="613">P305/O305</f>
        <v>0.2</v>
      </c>
      <c r="W305" s="23">
        <f t="shared" si="613"/>
        <v>0.7727272727</v>
      </c>
    </row>
    <row r="306">
      <c r="A306" s="6">
        <f>IFERROR(__xludf.DUMMYFUNCTION("""COMPUTED_VALUE"""),534618.0)</f>
        <v>534618</v>
      </c>
      <c r="B306" s="6" t="str">
        <f>IFERROR(__xludf.DUMMYFUNCTION("""COMPUTED_VALUE"""),"WAAREE RENEWABLE TECHNOLOGIES LIMITED")</f>
        <v>WAAREE RENEWABLE TECHNOLOGIES LIMITED</v>
      </c>
      <c r="C306" s="6" t="str">
        <f>IFERROR(__xludf.DUMMYFUNCTION("""COMPUTED_VALUE"""),"WAAREERTL")</f>
        <v>WAAREERTL</v>
      </c>
      <c r="D306" s="6" t="str">
        <f>IFERROR(__xludf.DUMMYFUNCTION("""COMPUTED_VALUE"""),"Waaree Renewable Technologies Ltd")</f>
        <v>Waaree Renewable Technologies Ltd</v>
      </c>
      <c r="E306" s="6" t="str">
        <f>IFERROR(__xludf.DUMMYFUNCTION("""COMPUTED_VALUE"""),"Active")</f>
        <v>Active</v>
      </c>
      <c r="F306" s="6" t="str">
        <f>IFERROR(__xludf.DUMMYFUNCTION("""COMPUTED_VALUE"""),"T")</f>
        <v>T</v>
      </c>
      <c r="G306" s="6">
        <f>IFERROR(__xludf.DUMMYFUNCTION("""COMPUTED_VALUE"""),2.0)</f>
        <v>2</v>
      </c>
      <c r="H306" s="6" t="str">
        <f>IFERROR(__xludf.DUMMYFUNCTION("""COMPUTED_VALUE"""),"INE299N01021")</f>
        <v>INE299N01021</v>
      </c>
      <c r="I306" s="6" t="str">
        <f>IFERROR(__xludf.DUMMYFUNCTION("""COMPUTED_VALUE"""),"Equity")</f>
        <v>Equity</v>
      </c>
      <c r="J306" s="6" t="str">
        <f>IFERROR(__xludf.DUMMYFUNCTION("""COMPUTED_VALUE"""),"Utilities")</f>
        <v>Utilities</v>
      </c>
      <c r="K306" s="6" t="str">
        <f>IFERROR(__xludf.DUMMYFUNCTION("""COMPUTED_VALUE"""),"Power")</f>
        <v>Power</v>
      </c>
      <c r="L306" s="6" t="str">
        <f>IFERROR(__xludf.DUMMYFUNCTION("""COMPUTED_VALUE"""),"Power")</f>
        <v>Power</v>
      </c>
      <c r="M306" s="6" t="str">
        <f>IFERROR(__xludf.DUMMYFUNCTION("""COMPUTED_VALUE"""),"Power Generation")</f>
        <v>Power Generation</v>
      </c>
      <c r="N306" s="5">
        <f>IFERROR(__xludf.DUMMYFUNCTION("""COMPUTED_VALUE"""),21538.07)</f>
        <v>21538.07</v>
      </c>
      <c r="O306" s="6">
        <f t="shared" si="4"/>
        <v>22</v>
      </c>
      <c r="P306" s="6">
        <f t="shared" ref="P306:Q306" si="614">COUNTIFS(L:L,L306)</f>
        <v>22</v>
      </c>
      <c r="Q306" s="24">
        <f t="shared" si="614"/>
        <v>13</v>
      </c>
      <c r="R306" s="6" t="str">
        <f t="shared" si="6"/>
        <v>Power</v>
      </c>
      <c r="S306" s="6" t="str">
        <f t="shared" si="7"/>
        <v>Power</v>
      </c>
      <c r="T306" s="6">
        <f>IFERROR(__xludf.DUMMYFUNCTION("COUNTA(UNIQUE(query($A$2:$P$800,""select L where K='""&amp; K306&amp;""'"")))"),1.0)</f>
        <v>1</v>
      </c>
      <c r="U306" s="23">
        <f t="shared" si="8"/>
        <v>0.06818181818</v>
      </c>
      <c r="V306" s="23">
        <f t="shared" ref="V306:W306" si="615">P306/O306</f>
        <v>1</v>
      </c>
      <c r="W306" s="23">
        <f t="shared" si="615"/>
        <v>0.5909090909</v>
      </c>
    </row>
    <row r="307">
      <c r="A307" s="6">
        <f>IFERROR(__xludf.DUMMYFUNCTION("""COMPUTED_VALUE"""),532784.0)</f>
        <v>532784</v>
      </c>
      <c r="B307" s="6" t="str">
        <f>IFERROR(__xludf.DUMMYFUNCTION("""COMPUTED_VALUE"""),"Sobha Limited")</f>
        <v>Sobha Limited</v>
      </c>
      <c r="C307" s="6" t="str">
        <f>IFERROR(__xludf.DUMMYFUNCTION("""COMPUTED_VALUE"""),"SOBHA")</f>
        <v>SOBHA</v>
      </c>
      <c r="D307" s="6" t="str">
        <f>IFERROR(__xludf.DUMMYFUNCTION("""COMPUTED_VALUE"""),"Sobha Limited")</f>
        <v>Sobha Limited</v>
      </c>
      <c r="E307" s="6" t="str">
        <f>IFERROR(__xludf.DUMMYFUNCTION("""COMPUTED_VALUE"""),"Active")</f>
        <v>Active</v>
      </c>
      <c r="F307" s="6" t="str">
        <f>IFERROR(__xludf.DUMMYFUNCTION("""COMPUTED_VALUE"""),"A")</f>
        <v>A</v>
      </c>
      <c r="G307" s="6">
        <f>IFERROR(__xludf.DUMMYFUNCTION("""COMPUTED_VALUE"""),10.0)</f>
        <v>10</v>
      </c>
      <c r="H307" s="6" t="str">
        <f>IFERROR(__xludf.DUMMYFUNCTION("""COMPUTED_VALUE"""),"INE671H01015")</f>
        <v>INE671H01015</v>
      </c>
      <c r="I307" s="6" t="str">
        <f>IFERROR(__xludf.DUMMYFUNCTION("""COMPUTED_VALUE"""),"Equity")</f>
        <v>Equity</v>
      </c>
      <c r="J307" s="6" t="str">
        <f>IFERROR(__xludf.DUMMYFUNCTION("""COMPUTED_VALUE"""),"Consumer Discretionary")</f>
        <v>Consumer Discretionary</v>
      </c>
      <c r="K307" s="6" t="str">
        <f>IFERROR(__xludf.DUMMYFUNCTION("""COMPUTED_VALUE"""),"Realty")</f>
        <v>Realty</v>
      </c>
      <c r="L307" s="6" t="str">
        <f>IFERROR(__xludf.DUMMYFUNCTION("""COMPUTED_VALUE"""),"Realty")</f>
        <v>Realty</v>
      </c>
      <c r="M307" s="6" t="str">
        <f>IFERROR(__xludf.DUMMYFUNCTION("""COMPUTED_VALUE"""),"Residential, Commercial Projects")</f>
        <v>Residential, Commercial Projects</v>
      </c>
      <c r="N307" s="5">
        <f>IFERROR(__xludf.DUMMYFUNCTION("""COMPUTED_VALUE"""),21519.1600266)</f>
        <v>21519.16003</v>
      </c>
      <c r="O307" s="6">
        <f t="shared" si="4"/>
        <v>20</v>
      </c>
      <c r="P307" s="6">
        <f t="shared" ref="P307:Q307" si="616">COUNTIFS(L:L,L307)</f>
        <v>20</v>
      </c>
      <c r="Q307" s="24">
        <f t="shared" si="616"/>
        <v>20</v>
      </c>
      <c r="R307" s="6" t="str">
        <f t="shared" si="6"/>
        <v>Realty</v>
      </c>
      <c r="S307" s="6" t="str">
        <f t="shared" si="7"/>
        <v>Realty</v>
      </c>
      <c r="T307" s="6">
        <f>IFERROR(__xludf.DUMMYFUNCTION("COUNTA(UNIQUE(query($A$2:$P$800,""select L where K='""&amp; K307&amp;""'"")))"),1.0)</f>
        <v>1</v>
      </c>
      <c r="U307" s="23">
        <f t="shared" si="8"/>
        <v>0.075</v>
      </c>
      <c r="V307" s="23">
        <f t="shared" ref="V307:W307" si="617">P307/O307</f>
        <v>1</v>
      </c>
      <c r="W307" s="23">
        <f t="shared" si="617"/>
        <v>1</v>
      </c>
    </row>
    <row r="308">
      <c r="A308" s="6">
        <f>IFERROR(__xludf.DUMMYFUNCTION("""COMPUTED_VALUE"""),500294.0)</f>
        <v>500294</v>
      </c>
      <c r="B308" s="6" t="str">
        <f>IFERROR(__xludf.DUMMYFUNCTION("""COMPUTED_VALUE"""),"NCC Limited")</f>
        <v>NCC Limited</v>
      </c>
      <c r="C308" s="6" t="str">
        <f>IFERROR(__xludf.DUMMYFUNCTION("""COMPUTED_VALUE"""),"NCC")</f>
        <v>NCC</v>
      </c>
      <c r="D308" s="6" t="str">
        <f>IFERROR(__xludf.DUMMYFUNCTION("""COMPUTED_VALUE"""),"NCC Limited")</f>
        <v>NCC Limited</v>
      </c>
      <c r="E308" s="6" t="str">
        <f>IFERROR(__xludf.DUMMYFUNCTION("""COMPUTED_VALUE"""),"Active")</f>
        <v>Active</v>
      </c>
      <c r="F308" s="6" t="str">
        <f>IFERROR(__xludf.DUMMYFUNCTION("""COMPUTED_VALUE"""),"A")</f>
        <v>A</v>
      </c>
      <c r="G308" s="6">
        <f>IFERROR(__xludf.DUMMYFUNCTION("""COMPUTED_VALUE"""),2.0)</f>
        <v>2</v>
      </c>
      <c r="H308" s="6" t="str">
        <f>IFERROR(__xludf.DUMMYFUNCTION("""COMPUTED_VALUE"""),"INE868B01028")</f>
        <v>INE868B01028</v>
      </c>
      <c r="I308" s="6" t="str">
        <f>IFERROR(__xludf.DUMMYFUNCTION("""COMPUTED_VALUE"""),"Equity")</f>
        <v>Equity</v>
      </c>
      <c r="J308" s="6" t="str">
        <f>IFERROR(__xludf.DUMMYFUNCTION("""COMPUTED_VALUE"""),"Industrials")</f>
        <v>Industrials</v>
      </c>
      <c r="K308" s="6" t="str">
        <f>IFERROR(__xludf.DUMMYFUNCTION("""COMPUTED_VALUE"""),"Construction")</f>
        <v>Construction</v>
      </c>
      <c r="L308" s="6" t="str">
        <f>IFERROR(__xludf.DUMMYFUNCTION("""COMPUTED_VALUE"""),"Construction")</f>
        <v>Construction</v>
      </c>
      <c r="M308" s="6" t="str">
        <f>IFERROR(__xludf.DUMMYFUNCTION("""COMPUTED_VALUE"""),"Civil Construction")</f>
        <v>Civil Construction</v>
      </c>
      <c r="N308" s="5">
        <f>IFERROR(__xludf.DUMMYFUNCTION("""COMPUTED_VALUE"""),21437.0686339)</f>
        <v>21437.06863</v>
      </c>
      <c r="O308" s="6">
        <f t="shared" si="4"/>
        <v>27</v>
      </c>
      <c r="P308" s="6">
        <f t="shared" ref="P308:Q308" si="618">COUNTIFS(L:L,L308)</f>
        <v>27</v>
      </c>
      <c r="Q308" s="24">
        <f t="shared" si="618"/>
        <v>27</v>
      </c>
      <c r="R308" s="6" t="str">
        <f t="shared" si="6"/>
        <v>Construction</v>
      </c>
      <c r="S308" s="6" t="str">
        <f t="shared" si="7"/>
        <v>Construction</v>
      </c>
      <c r="T308" s="6">
        <f>IFERROR(__xludf.DUMMYFUNCTION("COUNTA(UNIQUE(query($A$2:$P$800,""select L where K='""&amp; K308&amp;""'"")))"),1.0)</f>
        <v>1</v>
      </c>
      <c r="U308" s="23">
        <f t="shared" si="8"/>
        <v>0.05555555556</v>
      </c>
      <c r="V308" s="23">
        <f t="shared" ref="V308:W308" si="619">P308/O308</f>
        <v>1</v>
      </c>
      <c r="W308" s="23">
        <f t="shared" si="619"/>
        <v>1</v>
      </c>
    </row>
    <row r="309">
      <c r="A309" s="6">
        <f>IFERROR(__xludf.DUMMYFUNCTION("""COMPUTED_VALUE"""),524816.0)</f>
        <v>524816</v>
      </c>
      <c r="B309" s="6" t="str">
        <f>IFERROR(__xludf.DUMMYFUNCTION("""COMPUTED_VALUE"""),"Natco Pharma Ltd.")</f>
        <v>Natco Pharma Ltd.</v>
      </c>
      <c r="C309" s="6" t="str">
        <f>IFERROR(__xludf.DUMMYFUNCTION("""COMPUTED_VALUE"""),"NATCOPHARM")</f>
        <v>NATCOPHARM</v>
      </c>
      <c r="D309" s="6" t="str">
        <f>IFERROR(__xludf.DUMMYFUNCTION("""COMPUTED_VALUE"""),"NATCO PHARMA LTD.")</f>
        <v>NATCO PHARMA LTD.</v>
      </c>
      <c r="E309" s="6" t="str">
        <f>IFERROR(__xludf.DUMMYFUNCTION("""COMPUTED_VALUE"""),"Active")</f>
        <v>Active</v>
      </c>
      <c r="F309" s="6" t="str">
        <f>IFERROR(__xludf.DUMMYFUNCTION("""COMPUTED_VALUE"""),"A")</f>
        <v>A</v>
      </c>
      <c r="G309" s="6">
        <f>IFERROR(__xludf.DUMMYFUNCTION("""COMPUTED_VALUE"""),2.0)</f>
        <v>2</v>
      </c>
      <c r="H309" s="6" t="str">
        <f>IFERROR(__xludf.DUMMYFUNCTION("""COMPUTED_VALUE"""),"INE987B01026")</f>
        <v>INE987B01026</v>
      </c>
      <c r="I309" s="6" t="str">
        <f>IFERROR(__xludf.DUMMYFUNCTION("""COMPUTED_VALUE"""),"Equity")</f>
        <v>Equity</v>
      </c>
      <c r="J309" s="6" t="str">
        <f>IFERROR(__xludf.DUMMYFUNCTION("""COMPUTED_VALUE"""),"Healthcare")</f>
        <v>Healthcare</v>
      </c>
      <c r="K309" s="6" t="str">
        <f>IFERROR(__xludf.DUMMYFUNCTION("""COMPUTED_VALUE"""),"Healthcare")</f>
        <v>Healthcare</v>
      </c>
      <c r="L309" s="6" t="str">
        <f>IFERROR(__xludf.DUMMYFUNCTION("""COMPUTED_VALUE"""),"Pharmaceuticals &amp; Biotechnology")</f>
        <v>Pharmaceuticals &amp; Biotechnology</v>
      </c>
      <c r="M309" s="6" t="str">
        <f>IFERROR(__xludf.DUMMYFUNCTION("""COMPUTED_VALUE"""),"Pharmaceuticals")</f>
        <v>Pharmaceuticals</v>
      </c>
      <c r="N309" s="5">
        <f>IFERROR(__xludf.DUMMYFUNCTION("""COMPUTED_VALUE"""),21412.9178353)</f>
        <v>21412.91784</v>
      </c>
      <c r="O309" s="6">
        <f t="shared" si="4"/>
        <v>62</v>
      </c>
      <c r="P309" s="6">
        <f t="shared" ref="P309:Q309" si="620">COUNTIFS(L:L,L309)</f>
        <v>45</v>
      </c>
      <c r="Q309" s="24">
        <f t="shared" si="620"/>
        <v>45</v>
      </c>
      <c r="R309" s="6" t="str">
        <f t="shared" si="6"/>
        <v>Healthcare</v>
      </c>
      <c r="S309" s="6" t="str">
        <f t="shared" si="7"/>
        <v>Healthcare</v>
      </c>
      <c r="T309" s="6">
        <f>IFERROR(__xludf.DUMMYFUNCTION("COUNTA(UNIQUE(query($A$2:$P$800,""select L where K='""&amp; K309&amp;""'"")))"),3.0)</f>
        <v>3</v>
      </c>
      <c r="U309" s="23">
        <f t="shared" si="8"/>
        <v>0.07258064516</v>
      </c>
      <c r="V309" s="23">
        <f t="shared" ref="V309:W309" si="621">P309/O309</f>
        <v>0.7258064516</v>
      </c>
      <c r="W309" s="23">
        <f t="shared" si="621"/>
        <v>1</v>
      </c>
    </row>
    <row r="310">
      <c r="A310" s="6">
        <f>IFERROR(__xludf.DUMMYFUNCTION("""COMPUTED_VALUE"""),500163.0)</f>
        <v>500163</v>
      </c>
      <c r="B310" s="6" t="str">
        <f>IFERROR(__xludf.DUMMYFUNCTION("""COMPUTED_VALUE"""),"Godfrey Phillips India Ltd.")</f>
        <v>Godfrey Phillips India Ltd.</v>
      </c>
      <c r="C310" s="6" t="str">
        <f>IFERROR(__xludf.DUMMYFUNCTION("""COMPUTED_VALUE"""),"GODFRYPHLP")</f>
        <v>GODFRYPHLP</v>
      </c>
      <c r="D310" s="6" t="str">
        <f>IFERROR(__xludf.DUMMYFUNCTION("""COMPUTED_VALUE"""),"GODFREY PHILLIPS INDIA LTD.")</f>
        <v>GODFREY PHILLIPS INDIA LTD.</v>
      </c>
      <c r="E310" s="6" t="str">
        <f>IFERROR(__xludf.DUMMYFUNCTION("""COMPUTED_VALUE"""),"Active")</f>
        <v>Active</v>
      </c>
      <c r="F310" s="6" t="str">
        <f>IFERROR(__xludf.DUMMYFUNCTION("""COMPUTED_VALUE"""),"A")</f>
        <v>A</v>
      </c>
      <c r="G310" s="6">
        <f>IFERROR(__xludf.DUMMYFUNCTION("""COMPUTED_VALUE"""),2.0)</f>
        <v>2</v>
      </c>
      <c r="H310" s="6" t="str">
        <f>IFERROR(__xludf.DUMMYFUNCTION("""COMPUTED_VALUE"""),"INE260B01028")</f>
        <v>INE260B01028</v>
      </c>
      <c r="I310" s="6" t="str">
        <f>IFERROR(__xludf.DUMMYFUNCTION("""COMPUTED_VALUE"""),"Equity")</f>
        <v>Equity</v>
      </c>
      <c r="J310" s="6" t="str">
        <f>IFERROR(__xludf.DUMMYFUNCTION("""COMPUTED_VALUE"""),"Fast Moving Consumer Goods")</f>
        <v>Fast Moving Consumer Goods</v>
      </c>
      <c r="K310" s="6" t="str">
        <f>IFERROR(__xludf.DUMMYFUNCTION("""COMPUTED_VALUE"""),"Fast Moving Consumer Goods")</f>
        <v>Fast Moving Consumer Goods</v>
      </c>
      <c r="L310" s="6" t="str">
        <f>IFERROR(__xludf.DUMMYFUNCTION("""COMPUTED_VALUE"""),"Cigarettes &amp; Tobacco Products")</f>
        <v>Cigarettes &amp; Tobacco Products</v>
      </c>
      <c r="M310" s="6" t="str">
        <f>IFERROR(__xludf.DUMMYFUNCTION("""COMPUTED_VALUE"""),"Cigarettes &amp; Tobacco Products")</f>
        <v>Cigarettes &amp; Tobacco Products</v>
      </c>
      <c r="N310" s="5">
        <f>IFERROR(__xludf.DUMMYFUNCTION("""COMPUTED_VALUE"""),21401.7883069)</f>
        <v>21401.78831</v>
      </c>
      <c r="O310" s="6">
        <f t="shared" si="4"/>
        <v>44</v>
      </c>
      <c r="P310" s="6">
        <f t="shared" ref="P310:Q310" si="622">COUNTIFS(L:L,L310)</f>
        <v>2</v>
      </c>
      <c r="Q310" s="24">
        <f t="shared" si="622"/>
        <v>2</v>
      </c>
      <c r="R310" s="6" t="str">
        <f t="shared" si="6"/>
        <v>Fast Moving Consumer Goods</v>
      </c>
      <c r="S310" s="6" t="str">
        <f t="shared" si="7"/>
        <v>Fast Moving Consumer Goods</v>
      </c>
      <c r="T310" s="6">
        <f>IFERROR(__xludf.DUMMYFUNCTION("COUNTA(UNIQUE(query($A$2:$P$800,""select L where K='""&amp; K310&amp;""'"")))"),7.0)</f>
        <v>7</v>
      </c>
      <c r="U310" s="23">
        <f t="shared" si="8"/>
        <v>0.2386363636</v>
      </c>
      <c r="V310" s="23">
        <f t="shared" ref="V310:W310" si="623">P310/O310</f>
        <v>0.04545454545</v>
      </c>
      <c r="W310" s="23">
        <f t="shared" si="623"/>
        <v>1</v>
      </c>
    </row>
    <row r="311">
      <c r="A311" s="6">
        <f>IFERROR(__xludf.DUMMYFUNCTION("""COMPUTED_VALUE"""),500870.0)</f>
        <v>500870</v>
      </c>
      <c r="B311" s="6" t="str">
        <f>IFERROR(__xludf.DUMMYFUNCTION("""COMPUTED_VALUE"""),"Castrol India Ltd")</f>
        <v>Castrol India Ltd</v>
      </c>
      <c r="C311" s="6" t="str">
        <f>IFERROR(__xludf.DUMMYFUNCTION("""COMPUTED_VALUE"""),"CASTROLIND")</f>
        <v>CASTROLIND</v>
      </c>
      <c r="D311" s="6" t="str">
        <f>IFERROR(__xludf.DUMMYFUNCTION("""COMPUTED_VALUE"""),"CASTROL INDIA LTD.")</f>
        <v>CASTROL INDIA LTD.</v>
      </c>
      <c r="E311" s="6" t="str">
        <f>IFERROR(__xludf.DUMMYFUNCTION("""COMPUTED_VALUE"""),"Active")</f>
        <v>Active</v>
      </c>
      <c r="F311" s="6" t="str">
        <f>IFERROR(__xludf.DUMMYFUNCTION("""COMPUTED_VALUE"""),"A")</f>
        <v>A</v>
      </c>
      <c r="G311" s="6">
        <f>IFERROR(__xludf.DUMMYFUNCTION("""COMPUTED_VALUE"""),5.0)</f>
        <v>5</v>
      </c>
      <c r="H311" s="6" t="str">
        <f>IFERROR(__xludf.DUMMYFUNCTION("""COMPUTED_VALUE"""),"INE172A01027")</f>
        <v>INE172A01027</v>
      </c>
      <c r="I311" s="6" t="str">
        <f>IFERROR(__xludf.DUMMYFUNCTION("""COMPUTED_VALUE"""),"Equity")</f>
        <v>Equity</v>
      </c>
      <c r="J311" s="6" t="str">
        <f>IFERROR(__xludf.DUMMYFUNCTION("""COMPUTED_VALUE"""),"Energy")</f>
        <v>Energy</v>
      </c>
      <c r="K311" s="6" t="str">
        <f>IFERROR(__xludf.DUMMYFUNCTION("""COMPUTED_VALUE"""),"Oil, Gas &amp; Consumable, Fuels")</f>
        <v>Oil, Gas &amp; Consumable, Fuels</v>
      </c>
      <c r="L311" s="6" t="str">
        <f>IFERROR(__xludf.DUMMYFUNCTION("""COMPUTED_VALUE"""),"Petroleum Products")</f>
        <v>Petroleum Products</v>
      </c>
      <c r="M311" s="6" t="str">
        <f>IFERROR(__xludf.DUMMYFUNCTION("""COMPUTED_VALUE"""),"Lubricants")</f>
        <v>Lubricants</v>
      </c>
      <c r="N311" s="5">
        <f>IFERROR(__xludf.DUMMYFUNCTION("""COMPUTED_VALUE"""),21300.93223)</f>
        <v>21300.93223</v>
      </c>
      <c r="O311" s="6">
        <f t="shared" si="4"/>
        <v>20</v>
      </c>
      <c r="P311" s="6">
        <f t="shared" ref="P311:Q311" si="624">COUNTIFS(L:L,L311)</f>
        <v>8</v>
      </c>
      <c r="Q311" s="24">
        <f t="shared" si="624"/>
        <v>2</v>
      </c>
      <c r="R311" s="6" t="str">
        <f t="shared" si="6"/>
        <v>Oil, Gas &amp; Consumable, Fuels</v>
      </c>
      <c r="S311" s="6" t="str">
        <f t="shared" si="7"/>
        <v>Oil, Gas &amp; Consumable, Fuels</v>
      </c>
      <c r="T311" s="6">
        <f>IFERROR(__xludf.DUMMYFUNCTION("COUNTA(UNIQUE(query($A$2:$P$800,""select L where K='""&amp; K311&amp;""'"")))"),4.0)</f>
        <v>4</v>
      </c>
      <c r="U311" s="23">
        <f t="shared" si="8"/>
        <v>0.3</v>
      </c>
      <c r="V311" s="23">
        <f t="shared" ref="V311:W311" si="625">P311/O311</f>
        <v>0.4</v>
      </c>
      <c r="W311" s="23">
        <f t="shared" si="625"/>
        <v>0.25</v>
      </c>
    </row>
    <row r="312">
      <c r="A312" s="6">
        <f>IFERROR(__xludf.DUMMYFUNCTION("""COMPUTED_VALUE"""),500084.0)</f>
        <v>500084</v>
      </c>
      <c r="B312" s="6" t="str">
        <f>IFERROR(__xludf.DUMMYFUNCTION("""COMPUTED_VALUE"""),"CESC Limited")</f>
        <v>CESC Limited</v>
      </c>
      <c r="C312" s="6" t="str">
        <f>IFERROR(__xludf.DUMMYFUNCTION("""COMPUTED_VALUE"""),"CESC")</f>
        <v>CESC</v>
      </c>
      <c r="D312" s="6" t="str">
        <f>IFERROR(__xludf.DUMMYFUNCTION("""COMPUTED_VALUE"""),"CESC LTD.")</f>
        <v>CESC LTD.</v>
      </c>
      <c r="E312" s="6" t="str">
        <f>IFERROR(__xludf.DUMMYFUNCTION("""COMPUTED_VALUE"""),"Active")</f>
        <v>Active</v>
      </c>
      <c r="F312" s="6" t="str">
        <f>IFERROR(__xludf.DUMMYFUNCTION("""COMPUTED_VALUE"""),"A")</f>
        <v>A</v>
      </c>
      <c r="G312" s="6">
        <f>IFERROR(__xludf.DUMMYFUNCTION("""COMPUTED_VALUE"""),1.0)</f>
        <v>1</v>
      </c>
      <c r="H312" s="6" t="str">
        <f>IFERROR(__xludf.DUMMYFUNCTION("""COMPUTED_VALUE"""),"INE486A01021")</f>
        <v>INE486A01021</v>
      </c>
      <c r="I312" s="6" t="str">
        <f>IFERROR(__xludf.DUMMYFUNCTION("""COMPUTED_VALUE"""),"Equity")</f>
        <v>Equity</v>
      </c>
      <c r="J312" s="6" t="str">
        <f>IFERROR(__xludf.DUMMYFUNCTION("""COMPUTED_VALUE"""),"Utilities")</f>
        <v>Utilities</v>
      </c>
      <c r="K312" s="6" t="str">
        <f>IFERROR(__xludf.DUMMYFUNCTION("""COMPUTED_VALUE"""),"Power")</f>
        <v>Power</v>
      </c>
      <c r="L312" s="6" t="str">
        <f>IFERROR(__xludf.DUMMYFUNCTION("""COMPUTED_VALUE"""),"Power")</f>
        <v>Power</v>
      </c>
      <c r="M312" s="6" t="str">
        <f>IFERROR(__xludf.DUMMYFUNCTION("""COMPUTED_VALUE"""),"Integrated Power Utilities")</f>
        <v>Integrated Power Utilities</v>
      </c>
      <c r="N312" s="5">
        <f>IFERROR(__xludf.DUMMYFUNCTION("""COMPUTED_VALUE"""),21288.0893675)</f>
        <v>21288.08937</v>
      </c>
      <c r="O312" s="6">
        <f t="shared" si="4"/>
        <v>22</v>
      </c>
      <c r="P312" s="6">
        <f t="shared" ref="P312:Q312" si="626">COUNTIFS(L:L,L312)</f>
        <v>22</v>
      </c>
      <c r="Q312" s="24">
        <f t="shared" si="626"/>
        <v>6</v>
      </c>
      <c r="R312" s="6" t="str">
        <f t="shared" si="6"/>
        <v>Power</v>
      </c>
      <c r="S312" s="6" t="str">
        <f t="shared" si="7"/>
        <v>Power</v>
      </c>
      <c r="T312" s="6">
        <f>IFERROR(__xludf.DUMMYFUNCTION("COUNTA(UNIQUE(query($A$2:$P$800,""select L where K='""&amp; K312&amp;""'"")))"),1.0)</f>
        <v>1</v>
      </c>
      <c r="U312" s="23">
        <f t="shared" si="8"/>
        <v>0.06818181818</v>
      </c>
      <c r="V312" s="23">
        <f t="shared" ref="V312:W312" si="627">P312/O312</f>
        <v>1</v>
      </c>
      <c r="W312" s="23">
        <f t="shared" si="627"/>
        <v>0.2727272727</v>
      </c>
    </row>
    <row r="313">
      <c r="A313" s="6">
        <f>IFERROR(__xludf.DUMMYFUNCTION("""COMPUTED_VALUE"""),543235.0)</f>
        <v>543235</v>
      </c>
      <c r="B313" s="6" t="str">
        <f>IFERROR(__xludf.DUMMYFUNCTION("""COMPUTED_VALUE"""),"ANGEL ONE LIMITED")</f>
        <v>ANGEL ONE LIMITED</v>
      </c>
      <c r="C313" s="6" t="str">
        <f>IFERROR(__xludf.DUMMYFUNCTION("""COMPUTED_VALUE"""),"ANGELONE")</f>
        <v>ANGELONE</v>
      </c>
      <c r="D313" s="6" t="str">
        <f>IFERROR(__xludf.DUMMYFUNCTION("""COMPUTED_VALUE"""),"Angel One Ltd")</f>
        <v>Angel One Ltd</v>
      </c>
      <c r="E313" s="6" t="str">
        <f>IFERROR(__xludf.DUMMYFUNCTION("""COMPUTED_VALUE"""),"Active")</f>
        <v>Active</v>
      </c>
      <c r="F313" s="6" t="str">
        <f>IFERROR(__xludf.DUMMYFUNCTION("""COMPUTED_VALUE"""),"A")</f>
        <v>A</v>
      </c>
      <c r="G313" s="6">
        <f>IFERROR(__xludf.DUMMYFUNCTION("""COMPUTED_VALUE"""),10.0)</f>
        <v>10</v>
      </c>
      <c r="H313" s="6" t="str">
        <f>IFERROR(__xludf.DUMMYFUNCTION("""COMPUTED_VALUE"""),"INE732I01013")</f>
        <v>INE732I01013</v>
      </c>
      <c r="I313" s="6" t="str">
        <f>IFERROR(__xludf.DUMMYFUNCTION("""COMPUTED_VALUE"""),"Equity")</f>
        <v>Equity</v>
      </c>
      <c r="J313" s="6" t="str">
        <f>IFERROR(__xludf.DUMMYFUNCTION("""COMPUTED_VALUE"""),"Financial Services")</f>
        <v>Financial Services</v>
      </c>
      <c r="K313" s="6" t="str">
        <f>IFERROR(__xludf.DUMMYFUNCTION("""COMPUTED_VALUE"""),"Financial Services")</f>
        <v>Financial Services</v>
      </c>
      <c r="L313" s="6" t="str">
        <f>IFERROR(__xludf.DUMMYFUNCTION("""COMPUTED_VALUE"""),"Capital Markets")</f>
        <v>Capital Markets</v>
      </c>
      <c r="M313" s="6" t="str">
        <f>IFERROR(__xludf.DUMMYFUNCTION("""COMPUTED_VALUE"""),"Stockbroking &amp; Allied")</f>
        <v>Stockbroking &amp; Allied</v>
      </c>
      <c r="N313" s="5">
        <f>IFERROR(__xludf.DUMMYFUNCTION("""COMPUTED_VALUE"""),21116.135044)</f>
        <v>21116.13504</v>
      </c>
      <c r="O313" s="6">
        <f t="shared" si="4"/>
        <v>123</v>
      </c>
      <c r="P313" s="6">
        <f t="shared" ref="P313:Q313" si="628">COUNTIFS(L:L,L313)</f>
        <v>19</v>
      </c>
      <c r="Q313" s="24">
        <f t="shared" si="628"/>
        <v>6</v>
      </c>
      <c r="R313" s="6" t="str">
        <f t="shared" si="6"/>
        <v>Capital Markets</v>
      </c>
      <c r="S313" s="6" t="str">
        <f t="shared" si="7"/>
        <v>Capital Markets</v>
      </c>
      <c r="T313" s="6">
        <f>IFERROR(__xludf.DUMMYFUNCTION("COUNTA(UNIQUE(query($A$2:$P$800,""select L where K='""&amp; K313&amp;""'"")))"),5.0)</f>
        <v>5</v>
      </c>
      <c r="U313" s="23">
        <f t="shared" si="8"/>
        <v>0.06097560976</v>
      </c>
      <c r="V313" s="23">
        <f t="shared" ref="V313:W313" si="629">P313/O313</f>
        <v>0.1544715447</v>
      </c>
      <c r="W313" s="23">
        <f t="shared" si="629"/>
        <v>0.3157894737</v>
      </c>
    </row>
    <row r="314">
      <c r="A314" s="6">
        <f>IFERROR(__xludf.DUMMYFUNCTION("""COMPUTED_VALUE"""),543635.0)</f>
        <v>543635</v>
      </c>
      <c r="B314" s="6" t="str">
        <f>IFERROR(__xludf.DUMMYFUNCTION("""COMPUTED_VALUE"""),"PIRAMAL PHARMA LIMITED")</f>
        <v>PIRAMAL PHARMA LIMITED</v>
      </c>
      <c r="C314" s="6" t="str">
        <f>IFERROR(__xludf.DUMMYFUNCTION("""COMPUTED_VALUE"""),"PPLPHARMA")</f>
        <v>PPLPHARMA</v>
      </c>
      <c r="D314" s="6" t="str">
        <f>IFERROR(__xludf.DUMMYFUNCTION("""COMPUTED_VALUE"""),"Piramal Pharma Ltd")</f>
        <v>Piramal Pharma Ltd</v>
      </c>
      <c r="E314" s="6" t="str">
        <f>IFERROR(__xludf.DUMMYFUNCTION("""COMPUTED_VALUE"""),"Active")</f>
        <v>Active</v>
      </c>
      <c r="F314" s="6" t="str">
        <f>IFERROR(__xludf.DUMMYFUNCTION("""COMPUTED_VALUE"""),"A")</f>
        <v>A</v>
      </c>
      <c r="G314" s="6">
        <f>IFERROR(__xludf.DUMMYFUNCTION("""COMPUTED_VALUE"""),10.0)</f>
        <v>10</v>
      </c>
      <c r="H314" s="6" t="str">
        <f>IFERROR(__xludf.DUMMYFUNCTION("""COMPUTED_VALUE"""),"INE0DK501011")</f>
        <v>INE0DK501011</v>
      </c>
      <c r="I314" s="6" t="str">
        <f>IFERROR(__xludf.DUMMYFUNCTION("""COMPUTED_VALUE"""),"Equity")</f>
        <v>Equity</v>
      </c>
      <c r="J314" s="6" t="str">
        <f>IFERROR(__xludf.DUMMYFUNCTION("""COMPUTED_VALUE"""),"Healthcare")</f>
        <v>Healthcare</v>
      </c>
      <c r="K314" s="6" t="str">
        <f>IFERROR(__xludf.DUMMYFUNCTION("""COMPUTED_VALUE"""),"Healthcare")</f>
        <v>Healthcare</v>
      </c>
      <c r="L314" s="6" t="str">
        <f>IFERROR(__xludf.DUMMYFUNCTION("""COMPUTED_VALUE"""),"Pharmaceuticals &amp; Biotechnology")</f>
        <v>Pharmaceuticals &amp; Biotechnology</v>
      </c>
      <c r="M314" s="6" t="str">
        <f>IFERROR(__xludf.DUMMYFUNCTION("""COMPUTED_VALUE"""),"Pharmaceuticals")</f>
        <v>Pharmaceuticals</v>
      </c>
      <c r="N314" s="5">
        <f>IFERROR(__xludf.DUMMYFUNCTION("""COMPUTED_VALUE"""),21055.81845)</f>
        <v>21055.81845</v>
      </c>
      <c r="O314" s="6">
        <f t="shared" si="4"/>
        <v>62</v>
      </c>
      <c r="P314" s="6">
        <f t="shared" ref="P314:Q314" si="630">COUNTIFS(L:L,L314)</f>
        <v>45</v>
      </c>
      <c r="Q314" s="24">
        <f t="shared" si="630"/>
        <v>45</v>
      </c>
      <c r="R314" s="6" t="str">
        <f t="shared" si="6"/>
        <v>Healthcare</v>
      </c>
      <c r="S314" s="6" t="str">
        <f t="shared" si="7"/>
        <v>Healthcare</v>
      </c>
      <c r="T314" s="6">
        <f>IFERROR(__xludf.DUMMYFUNCTION("COUNTA(UNIQUE(query($A$2:$P$800,""select L where K='""&amp; K314&amp;""'"")))"),3.0)</f>
        <v>3</v>
      </c>
      <c r="U314" s="23">
        <f t="shared" si="8"/>
        <v>0.07258064516</v>
      </c>
      <c r="V314" s="23">
        <f t="shared" ref="V314:W314" si="631">P314/O314</f>
        <v>0.7258064516</v>
      </c>
      <c r="W314" s="23">
        <f t="shared" si="631"/>
        <v>1</v>
      </c>
    </row>
    <row r="315">
      <c r="A315" s="6">
        <f>IFERROR(__xludf.DUMMYFUNCTION("""COMPUTED_VALUE"""),500302.0)</f>
        <v>500302</v>
      </c>
      <c r="B315" s="6" t="str">
        <f>IFERROR(__xludf.DUMMYFUNCTION("""COMPUTED_VALUE"""),"Piramal Enterprises Limited")</f>
        <v>Piramal Enterprises Limited</v>
      </c>
      <c r="C315" s="6" t="str">
        <f>IFERROR(__xludf.DUMMYFUNCTION("""COMPUTED_VALUE"""),"PEL")</f>
        <v>PEL</v>
      </c>
      <c r="D315" s="6" t="str">
        <f>IFERROR(__xludf.DUMMYFUNCTION("""COMPUTED_VALUE"""),"PIRAMAL ENTERPRISES LTD.")</f>
        <v>PIRAMAL ENTERPRISES LTD.</v>
      </c>
      <c r="E315" s="6" t="str">
        <f>IFERROR(__xludf.DUMMYFUNCTION("""COMPUTED_VALUE"""),"Active")</f>
        <v>Active</v>
      </c>
      <c r="F315" s="6" t="str">
        <f>IFERROR(__xludf.DUMMYFUNCTION("""COMPUTED_VALUE"""),"A")</f>
        <v>A</v>
      </c>
      <c r="G315" s="6">
        <f>IFERROR(__xludf.DUMMYFUNCTION("""COMPUTED_VALUE"""),2.0)</f>
        <v>2</v>
      </c>
      <c r="H315" s="6" t="str">
        <f>IFERROR(__xludf.DUMMYFUNCTION("""COMPUTED_VALUE"""),"INE140A01024")</f>
        <v>INE140A01024</v>
      </c>
      <c r="I315" s="6" t="str">
        <f>IFERROR(__xludf.DUMMYFUNCTION("""COMPUTED_VALUE"""),"Equity")</f>
        <v>Equity</v>
      </c>
      <c r="J315" s="6" t="str">
        <f>IFERROR(__xludf.DUMMYFUNCTION("""COMPUTED_VALUE"""),"Financial Services")</f>
        <v>Financial Services</v>
      </c>
      <c r="K315" s="6" t="str">
        <f>IFERROR(__xludf.DUMMYFUNCTION("""COMPUTED_VALUE"""),"Financial Services")</f>
        <v>Financial Services</v>
      </c>
      <c r="L315" s="6" t="str">
        <f>IFERROR(__xludf.DUMMYFUNCTION("""COMPUTED_VALUE"""),"Finance")</f>
        <v>Finance</v>
      </c>
      <c r="M315" s="6" t="str">
        <f>IFERROR(__xludf.DUMMYFUNCTION("""COMPUTED_VALUE"""),"Non Banking Financial Company (NBFC)")</f>
        <v>Non Banking Financial Company (NBFC)</v>
      </c>
      <c r="N315" s="5">
        <f>IFERROR(__xludf.DUMMYFUNCTION("""COMPUTED_VALUE"""),20726.9756741)</f>
        <v>20726.97567</v>
      </c>
      <c r="O315" s="6">
        <f t="shared" si="4"/>
        <v>123</v>
      </c>
      <c r="P315" s="6">
        <f t="shared" ref="P315:Q315" si="632">COUNTIFS(L:L,L315)</f>
        <v>56</v>
      </c>
      <c r="Q315" s="24">
        <f t="shared" si="632"/>
        <v>21</v>
      </c>
      <c r="R315" s="6" t="str">
        <f t="shared" si="6"/>
        <v>Non Banking Financial Company (NBFC)</v>
      </c>
      <c r="S315" s="6" t="str">
        <f t="shared" si="7"/>
        <v>Non Banking Financial Company (NBFC)</v>
      </c>
      <c r="T315" s="6">
        <f>IFERROR(__xludf.DUMMYFUNCTION("COUNTA(UNIQUE(query($A$2:$P$800,""select L where K='""&amp; K315&amp;""'"")))"),5.0)</f>
        <v>5</v>
      </c>
      <c r="U315" s="23">
        <f t="shared" si="8"/>
        <v>0.06097560976</v>
      </c>
      <c r="V315" s="23">
        <f t="shared" ref="V315:W315" si="633">P315/O315</f>
        <v>0.4552845528</v>
      </c>
      <c r="W315" s="23">
        <f t="shared" si="633"/>
        <v>0.375</v>
      </c>
    </row>
    <row r="316">
      <c r="A316" s="6">
        <f>IFERROR(__xludf.DUMMYFUNCTION("""COMPUTED_VALUE"""),500680.0)</f>
        <v>500680</v>
      </c>
      <c r="B316" s="6" t="str">
        <f>IFERROR(__xludf.DUMMYFUNCTION("""COMPUTED_VALUE"""),"Pfizer Ltd.")</f>
        <v>Pfizer Ltd.</v>
      </c>
      <c r="C316" s="6" t="str">
        <f>IFERROR(__xludf.DUMMYFUNCTION("""COMPUTED_VALUE"""),"PFIZER")</f>
        <v>PFIZER</v>
      </c>
      <c r="D316" s="6" t="str">
        <f>IFERROR(__xludf.DUMMYFUNCTION("""COMPUTED_VALUE"""),"PFIZER LTD.")</f>
        <v>PFIZER LTD.</v>
      </c>
      <c r="E316" s="6" t="str">
        <f>IFERROR(__xludf.DUMMYFUNCTION("""COMPUTED_VALUE"""),"Active")</f>
        <v>Active</v>
      </c>
      <c r="F316" s="6" t="str">
        <f>IFERROR(__xludf.DUMMYFUNCTION("""COMPUTED_VALUE"""),"A")</f>
        <v>A</v>
      </c>
      <c r="G316" s="6">
        <f>IFERROR(__xludf.DUMMYFUNCTION("""COMPUTED_VALUE"""),10.0)</f>
        <v>10</v>
      </c>
      <c r="H316" s="6" t="str">
        <f>IFERROR(__xludf.DUMMYFUNCTION("""COMPUTED_VALUE"""),"INE182A01018")</f>
        <v>INE182A01018</v>
      </c>
      <c r="I316" s="6" t="str">
        <f>IFERROR(__xludf.DUMMYFUNCTION("""COMPUTED_VALUE"""),"Equity")</f>
        <v>Equity</v>
      </c>
      <c r="J316" s="6" t="str">
        <f>IFERROR(__xludf.DUMMYFUNCTION("""COMPUTED_VALUE"""),"Healthcare")</f>
        <v>Healthcare</v>
      </c>
      <c r="K316" s="6" t="str">
        <f>IFERROR(__xludf.DUMMYFUNCTION("""COMPUTED_VALUE"""),"Healthcare")</f>
        <v>Healthcare</v>
      </c>
      <c r="L316" s="6" t="str">
        <f>IFERROR(__xludf.DUMMYFUNCTION("""COMPUTED_VALUE"""),"Pharmaceuticals &amp; Biotechnology")</f>
        <v>Pharmaceuticals &amp; Biotechnology</v>
      </c>
      <c r="M316" s="6" t="str">
        <f>IFERROR(__xludf.DUMMYFUNCTION("""COMPUTED_VALUE"""),"Pharmaceuticals")</f>
        <v>Pharmaceuticals</v>
      </c>
      <c r="N316" s="5">
        <f>IFERROR(__xludf.DUMMYFUNCTION("""COMPUTED_VALUE"""),20701.10757)</f>
        <v>20701.10757</v>
      </c>
      <c r="O316" s="6">
        <f t="shared" si="4"/>
        <v>62</v>
      </c>
      <c r="P316" s="6">
        <f t="shared" ref="P316:Q316" si="634">COUNTIFS(L:L,L316)</f>
        <v>45</v>
      </c>
      <c r="Q316" s="24">
        <f t="shared" si="634"/>
        <v>45</v>
      </c>
      <c r="R316" s="6" t="str">
        <f t="shared" si="6"/>
        <v>Healthcare</v>
      </c>
      <c r="S316" s="6" t="str">
        <f t="shared" si="7"/>
        <v>Healthcare</v>
      </c>
      <c r="T316" s="6">
        <f>IFERROR(__xludf.DUMMYFUNCTION("COUNTA(UNIQUE(query($A$2:$P$800,""select L where K='""&amp; K316&amp;""'"")))"),3.0)</f>
        <v>3</v>
      </c>
      <c r="U316" s="23">
        <f t="shared" si="8"/>
        <v>0.07258064516</v>
      </c>
      <c r="V316" s="23">
        <f t="shared" ref="V316:W316" si="635">P316/O316</f>
        <v>0.7258064516</v>
      </c>
      <c r="W316" s="23">
        <f t="shared" si="635"/>
        <v>1</v>
      </c>
    </row>
    <row r="317">
      <c r="A317" s="6">
        <f>IFERROR(__xludf.DUMMYFUNCTION("""COMPUTED_VALUE"""),543064.0)</f>
        <v>543064</v>
      </c>
      <c r="B317" s="6" t="str">
        <f>IFERROR(__xludf.DUMMYFUNCTION("""COMPUTED_VALUE"""),"SUVEN PHARMACEUTICALS LIMITED")</f>
        <v>SUVEN PHARMACEUTICALS LIMITED</v>
      </c>
      <c r="C317" s="6" t="str">
        <f>IFERROR(__xludf.DUMMYFUNCTION("""COMPUTED_VALUE"""),"SUVENPHAR")</f>
        <v>SUVENPHAR</v>
      </c>
      <c r="D317" s="6" t="str">
        <f>IFERROR(__xludf.DUMMYFUNCTION("""COMPUTED_VALUE"""),"Suven Pharmaceuticals Ltd")</f>
        <v>Suven Pharmaceuticals Ltd</v>
      </c>
      <c r="E317" s="6" t="str">
        <f>IFERROR(__xludf.DUMMYFUNCTION("""COMPUTED_VALUE"""),"Active")</f>
        <v>Active</v>
      </c>
      <c r="F317" s="6" t="str">
        <f>IFERROR(__xludf.DUMMYFUNCTION("""COMPUTED_VALUE"""),"A")</f>
        <v>A</v>
      </c>
      <c r="G317" s="6">
        <f>IFERROR(__xludf.DUMMYFUNCTION("""COMPUTED_VALUE"""),1.0)</f>
        <v>1</v>
      </c>
      <c r="H317" s="6" t="str">
        <f>IFERROR(__xludf.DUMMYFUNCTION("""COMPUTED_VALUE"""),"INE03QK01018")</f>
        <v>INE03QK01018</v>
      </c>
      <c r="I317" s="6" t="str">
        <f>IFERROR(__xludf.DUMMYFUNCTION("""COMPUTED_VALUE"""),"Equity")</f>
        <v>Equity</v>
      </c>
      <c r="J317" s="6" t="str">
        <f>IFERROR(__xludf.DUMMYFUNCTION("""COMPUTED_VALUE"""),"Healthcare")</f>
        <v>Healthcare</v>
      </c>
      <c r="K317" s="6" t="str">
        <f>IFERROR(__xludf.DUMMYFUNCTION("""COMPUTED_VALUE"""),"Healthcare")</f>
        <v>Healthcare</v>
      </c>
      <c r="L317" s="6" t="str">
        <f>IFERROR(__xludf.DUMMYFUNCTION("""COMPUTED_VALUE"""),"Pharmaceuticals &amp; Biotechnology")</f>
        <v>Pharmaceuticals &amp; Biotechnology</v>
      </c>
      <c r="M317" s="6" t="str">
        <f>IFERROR(__xludf.DUMMYFUNCTION("""COMPUTED_VALUE"""),"Pharmaceuticals")</f>
        <v>Pharmaceuticals</v>
      </c>
      <c r="N317" s="5">
        <f>IFERROR(__xludf.DUMMYFUNCTION("""COMPUTED_VALUE"""),20661.96288)</f>
        <v>20661.96288</v>
      </c>
      <c r="O317" s="6">
        <f t="shared" si="4"/>
        <v>62</v>
      </c>
      <c r="P317" s="6">
        <f t="shared" ref="P317:Q317" si="636">COUNTIFS(L:L,L317)</f>
        <v>45</v>
      </c>
      <c r="Q317" s="24">
        <f t="shared" si="636"/>
        <v>45</v>
      </c>
      <c r="R317" s="6" t="str">
        <f t="shared" si="6"/>
        <v>Healthcare</v>
      </c>
      <c r="S317" s="6" t="str">
        <f t="shared" si="7"/>
        <v>Healthcare</v>
      </c>
      <c r="T317" s="6">
        <f>IFERROR(__xludf.DUMMYFUNCTION("COUNTA(UNIQUE(query($A$2:$P$800,""select L where K='""&amp; K317&amp;""'"")))"),3.0)</f>
        <v>3</v>
      </c>
      <c r="U317" s="23">
        <f t="shared" si="8"/>
        <v>0.07258064516</v>
      </c>
      <c r="V317" s="23">
        <f t="shared" ref="V317:W317" si="637">P317/O317</f>
        <v>0.7258064516</v>
      </c>
      <c r="W317" s="23">
        <f t="shared" si="637"/>
        <v>1</v>
      </c>
    </row>
    <row r="318">
      <c r="A318" s="6">
        <f>IFERROR(__xludf.DUMMYFUNCTION("""COMPUTED_VALUE"""),530517.0)</f>
        <v>530517</v>
      </c>
      <c r="B318" s="6" t="str">
        <f>IFERROR(__xludf.DUMMYFUNCTION("""COMPUTED_VALUE"""),"Relaxo Footwears Ltd.")</f>
        <v>Relaxo Footwears Ltd.</v>
      </c>
      <c r="C318" s="6" t="str">
        <f>IFERROR(__xludf.DUMMYFUNCTION("""COMPUTED_VALUE"""),"RELAXO")</f>
        <v>RELAXO</v>
      </c>
      <c r="D318" s="6" t="str">
        <f>IFERROR(__xludf.DUMMYFUNCTION("""COMPUTED_VALUE"""),"RELAXO FOOTWEARS LTD.-$")</f>
        <v>RELAXO FOOTWEARS LTD.-$</v>
      </c>
      <c r="E318" s="6" t="str">
        <f>IFERROR(__xludf.DUMMYFUNCTION("""COMPUTED_VALUE"""),"Active")</f>
        <v>Active</v>
      </c>
      <c r="F318" s="6" t="str">
        <f>IFERROR(__xludf.DUMMYFUNCTION("""COMPUTED_VALUE"""),"A")</f>
        <v>A</v>
      </c>
      <c r="G318" s="6">
        <f>IFERROR(__xludf.DUMMYFUNCTION("""COMPUTED_VALUE"""),1.0)</f>
        <v>1</v>
      </c>
      <c r="H318" s="6" t="str">
        <f>IFERROR(__xludf.DUMMYFUNCTION("""COMPUTED_VALUE"""),"INE131B01039")</f>
        <v>INE131B01039</v>
      </c>
      <c r="I318" s="6" t="str">
        <f>IFERROR(__xludf.DUMMYFUNCTION("""COMPUTED_VALUE"""),"Equity")</f>
        <v>Equity</v>
      </c>
      <c r="J318" s="6" t="str">
        <f>IFERROR(__xludf.DUMMYFUNCTION("""COMPUTED_VALUE"""),"Consumer Discretionary")</f>
        <v>Consumer Discretionary</v>
      </c>
      <c r="K318" s="6" t="str">
        <f>IFERROR(__xludf.DUMMYFUNCTION("""COMPUTED_VALUE"""),"Consumer Durables")</f>
        <v>Consumer Durables</v>
      </c>
      <c r="L318" s="6" t="str">
        <f>IFERROR(__xludf.DUMMYFUNCTION("""COMPUTED_VALUE"""),"Consumer Durables")</f>
        <v>Consumer Durables</v>
      </c>
      <c r="M318" s="6" t="str">
        <f>IFERROR(__xludf.DUMMYFUNCTION("""COMPUTED_VALUE"""),"Footwear")</f>
        <v>Footwear</v>
      </c>
      <c r="N318" s="5">
        <f>IFERROR(__xludf.DUMMYFUNCTION("""COMPUTED_VALUE"""),20563.7776956)</f>
        <v>20563.7777</v>
      </c>
      <c r="O318" s="6">
        <f t="shared" si="4"/>
        <v>42</v>
      </c>
      <c r="P318" s="6">
        <f t="shared" ref="P318:Q318" si="638">COUNTIFS(L:L,L318)</f>
        <v>42</v>
      </c>
      <c r="Q318" s="24">
        <f t="shared" si="638"/>
        <v>5</v>
      </c>
      <c r="R318" s="6" t="str">
        <f t="shared" si="6"/>
        <v>Consumer Durables</v>
      </c>
      <c r="S318" s="6" t="str">
        <f t="shared" si="7"/>
        <v>Consumer Durables</v>
      </c>
      <c r="T318" s="6">
        <f>IFERROR(__xludf.DUMMYFUNCTION("COUNTA(UNIQUE(query($A$2:$P$800,""select L where K='""&amp; K318&amp;""'"")))"),1.0)</f>
        <v>1</v>
      </c>
      <c r="U318" s="23">
        <f t="shared" si="8"/>
        <v>0.03571428571</v>
      </c>
      <c r="V318" s="23">
        <f t="shared" ref="V318:W318" si="639">P318/O318</f>
        <v>1</v>
      </c>
      <c r="W318" s="23">
        <f t="shared" si="639"/>
        <v>0.119047619</v>
      </c>
    </row>
    <row r="319">
      <c r="A319" s="6">
        <f>IFERROR(__xludf.DUMMYFUNCTION("""COMPUTED_VALUE"""),541770.0)</f>
        <v>541770</v>
      </c>
      <c r="B319" s="6" t="str">
        <f>IFERROR(__xludf.DUMMYFUNCTION("""COMPUTED_VALUE"""),"CreditAccess Grameen Ltd.")</f>
        <v>CreditAccess Grameen Ltd.</v>
      </c>
      <c r="C319" s="6" t="str">
        <f>IFERROR(__xludf.DUMMYFUNCTION("""COMPUTED_VALUE"""),"CREDITACC")</f>
        <v>CREDITACC</v>
      </c>
      <c r="D319" s="6" t="str">
        <f>IFERROR(__xludf.DUMMYFUNCTION("""COMPUTED_VALUE"""),"CreditAccess Grameen Ltd")</f>
        <v>CreditAccess Grameen Ltd</v>
      </c>
      <c r="E319" s="6" t="str">
        <f>IFERROR(__xludf.DUMMYFUNCTION("""COMPUTED_VALUE"""),"Active")</f>
        <v>Active</v>
      </c>
      <c r="F319" s="6" t="str">
        <f>IFERROR(__xludf.DUMMYFUNCTION("""COMPUTED_VALUE"""),"A")</f>
        <v>A</v>
      </c>
      <c r="G319" s="6">
        <f>IFERROR(__xludf.DUMMYFUNCTION("""COMPUTED_VALUE"""),10.0)</f>
        <v>10</v>
      </c>
      <c r="H319" s="6" t="str">
        <f>IFERROR(__xludf.DUMMYFUNCTION("""COMPUTED_VALUE"""),"INE741K01010")</f>
        <v>INE741K01010</v>
      </c>
      <c r="I319" s="6" t="str">
        <f>IFERROR(__xludf.DUMMYFUNCTION("""COMPUTED_VALUE"""),"Equity")</f>
        <v>Equity</v>
      </c>
      <c r="J319" s="6" t="str">
        <f>IFERROR(__xludf.DUMMYFUNCTION("""COMPUTED_VALUE"""),"Financial Services")</f>
        <v>Financial Services</v>
      </c>
      <c r="K319" s="6" t="str">
        <f>IFERROR(__xludf.DUMMYFUNCTION("""COMPUTED_VALUE"""),"Financial Services")</f>
        <v>Financial Services</v>
      </c>
      <c r="L319" s="6" t="str">
        <f>IFERROR(__xludf.DUMMYFUNCTION("""COMPUTED_VALUE"""),"Finance")</f>
        <v>Finance</v>
      </c>
      <c r="M319" s="6" t="str">
        <f>IFERROR(__xludf.DUMMYFUNCTION("""COMPUTED_VALUE"""),"Microfinance Institutions")</f>
        <v>Microfinance Institutions</v>
      </c>
      <c r="N319" s="5">
        <f>IFERROR(__xludf.DUMMYFUNCTION("""COMPUTED_VALUE"""),20525.46356)</f>
        <v>20525.46356</v>
      </c>
      <c r="O319" s="6">
        <f t="shared" si="4"/>
        <v>123</v>
      </c>
      <c r="P319" s="6">
        <f t="shared" ref="P319:Q319" si="640">COUNTIFS(L:L,L319)</f>
        <v>56</v>
      </c>
      <c r="Q319" s="24">
        <f t="shared" si="640"/>
        <v>3</v>
      </c>
      <c r="R319" s="6" t="str">
        <f t="shared" si="6"/>
        <v>Finance</v>
      </c>
      <c r="S319" s="6" t="str">
        <f t="shared" si="7"/>
        <v>Finance</v>
      </c>
      <c r="T319" s="6">
        <f>IFERROR(__xludf.DUMMYFUNCTION("COUNTA(UNIQUE(query($A$2:$P$800,""select L where K='""&amp; K319&amp;""'"")))"),5.0)</f>
        <v>5</v>
      </c>
      <c r="U319" s="23">
        <f t="shared" si="8"/>
        <v>0.06097560976</v>
      </c>
      <c r="V319" s="23">
        <f t="shared" ref="V319:W319" si="641">P319/O319</f>
        <v>0.4552845528</v>
      </c>
      <c r="W319" s="23">
        <f t="shared" si="641"/>
        <v>0.05357142857</v>
      </c>
    </row>
    <row r="320">
      <c r="A320" s="6">
        <f>IFERROR(__xludf.DUMMYFUNCTION("""COMPUTED_VALUE"""),540173.0)</f>
        <v>540173</v>
      </c>
      <c r="B320" s="6" t="str">
        <f>IFERROR(__xludf.DUMMYFUNCTION("""COMPUTED_VALUE"""),"PNB Housing Finance Limited")</f>
        <v>PNB Housing Finance Limited</v>
      </c>
      <c r="C320" s="6" t="str">
        <f>IFERROR(__xludf.DUMMYFUNCTION("""COMPUTED_VALUE"""),"PNBHOUSING")</f>
        <v>PNBHOUSING</v>
      </c>
      <c r="D320" s="6" t="str">
        <f>IFERROR(__xludf.DUMMYFUNCTION("""COMPUTED_VALUE"""),"PNB Housing Finance Ltd")</f>
        <v>PNB Housing Finance Ltd</v>
      </c>
      <c r="E320" s="6" t="str">
        <f>IFERROR(__xludf.DUMMYFUNCTION("""COMPUTED_VALUE"""),"Active")</f>
        <v>Active</v>
      </c>
      <c r="F320" s="6" t="str">
        <f>IFERROR(__xludf.DUMMYFUNCTION("""COMPUTED_VALUE"""),"A")</f>
        <v>A</v>
      </c>
      <c r="G320" s="6">
        <f>IFERROR(__xludf.DUMMYFUNCTION("""COMPUTED_VALUE"""),10.0)</f>
        <v>10</v>
      </c>
      <c r="H320" s="6" t="str">
        <f>IFERROR(__xludf.DUMMYFUNCTION("""COMPUTED_VALUE"""),"INE572E01012")</f>
        <v>INE572E01012</v>
      </c>
      <c r="I320" s="6" t="str">
        <f>IFERROR(__xludf.DUMMYFUNCTION("""COMPUTED_VALUE"""),"Equity")</f>
        <v>Equity</v>
      </c>
      <c r="J320" s="6" t="str">
        <f>IFERROR(__xludf.DUMMYFUNCTION("""COMPUTED_VALUE"""),"Financial Services")</f>
        <v>Financial Services</v>
      </c>
      <c r="K320" s="6" t="str">
        <f>IFERROR(__xludf.DUMMYFUNCTION("""COMPUTED_VALUE"""),"Financial Services")</f>
        <v>Financial Services</v>
      </c>
      <c r="L320" s="6" t="str">
        <f>IFERROR(__xludf.DUMMYFUNCTION("""COMPUTED_VALUE"""),"Finance")</f>
        <v>Finance</v>
      </c>
      <c r="M320" s="6" t="str">
        <f>IFERROR(__xludf.DUMMYFUNCTION("""COMPUTED_VALUE"""),"Housing Finance Company")</f>
        <v>Housing Finance Company</v>
      </c>
      <c r="N320" s="5">
        <f>IFERROR(__xludf.DUMMYFUNCTION("""COMPUTED_VALUE"""),20494.2797721)</f>
        <v>20494.27977</v>
      </c>
      <c r="O320" s="6">
        <f t="shared" si="4"/>
        <v>123</v>
      </c>
      <c r="P320" s="6">
        <f t="shared" ref="P320:Q320" si="642">COUNTIFS(L:L,L320)</f>
        <v>56</v>
      </c>
      <c r="Q320" s="24">
        <f t="shared" si="642"/>
        <v>9</v>
      </c>
      <c r="R320" s="6" t="str">
        <f t="shared" si="6"/>
        <v>Finance</v>
      </c>
      <c r="S320" s="6" t="str">
        <f t="shared" si="7"/>
        <v>Finance</v>
      </c>
      <c r="T320" s="6">
        <f>IFERROR(__xludf.DUMMYFUNCTION("COUNTA(UNIQUE(query($A$2:$P$800,""select L where K='""&amp; K320&amp;""'"")))"),5.0)</f>
        <v>5</v>
      </c>
      <c r="U320" s="23">
        <f t="shared" si="8"/>
        <v>0.06097560976</v>
      </c>
      <c r="V320" s="23">
        <f t="shared" ref="V320:W320" si="643">P320/O320</f>
        <v>0.4552845528</v>
      </c>
      <c r="W320" s="23">
        <f t="shared" si="643"/>
        <v>0.1607142857</v>
      </c>
    </row>
    <row r="321">
      <c r="A321" s="6">
        <f>IFERROR(__xludf.DUMMYFUNCTION("""COMPUTED_VALUE"""),539006.0)</f>
        <v>539006</v>
      </c>
      <c r="B321" s="6" t="str">
        <f>IFERROR(__xludf.DUMMYFUNCTION("""COMPUTED_VALUE"""),"PTC Industries Ltd.")</f>
        <v>PTC Industries Ltd.</v>
      </c>
      <c r="C321" s="6" t="str">
        <f>IFERROR(__xludf.DUMMYFUNCTION("""COMPUTED_VALUE"""),"PTCIL")</f>
        <v>PTCIL</v>
      </c>
      <c r="D321" s="6" t="str">
        <f>IFERROR(__xludf.DUMMYFUNCTION("""COMPUTED_VALUE"""),"PTC Industries Ltd")</f>
        <v>PTC Industries Ltd</v>
      </c>
      <c r="E321" s="6" t="str">
        <f>IFERROR(__xludf.DUMMYFUNCTION("""COMPUTED_VALUE"""),"Active")</f>
        <v>Active</v>
      </c>
      <c r="F321" s="6" t="str">
        <f>IFERROR(__xludf.DUMMYFUNCTION("""COMPUTED_VALUE"""),"B")</f>
        <v>B</v>
      </c>
      <c r="G321" s="6">
        <f>IFERROR(__xludf.DUMMYFUNCTION("""COMPUTED_VALUE"""),10.0)</f>
        <v>10</v>
      </c>
      <c r="H321" s="6" t="str">
        <f>IFERROR(__xludf.DUMMYFUNCTION("""COMPUTED_VALUE"""),"INE596F01018")</f>
        <v>INE596F01018</v>
      </c>
      <c r="I321" s="6" t="str">
        <f>IFERROR(__xludf.DUMMYFUNCTION("""COMPUTED_VALUE"""),"Equity")</f>
        <v>Equity</v>
      </c>
      <c r="J321" s="6" t="str">
        <f>IFERROR(__xludf.DUMMYFUNCTION("""COMPUTED_VALUE"""),"Industrials")</f>
        <v>Industrials</v>
      </c>
      <c r="K321" s="6" t="str">
        <f>IFERROR(__xludf.DUMMYFUNCTION("""COMPUTED_VALUE"""),"Capital Goods")</f>
        <v>Capital Goods</v>
      </c>
      <c r="L321" s="6" t="str">
        <f>IFERROR(__xludf.DUMMYFUNCTION("""COMPUTED_VALUE"""),"Industrial Products")</f>
        <v>Industrial Products</v>
      </c>
      <c r="M321" s="6" t="str">
        <f>IFERROR(__xludf.DUMMYFUNCTION("""COMPUTED_VALUE"""),"Other Industrial Products")</f>
        <v>Other Industrial Products</v>
      </c>
      <c r="N321" s="5">
        <f>IFERROR(__xludf.DUMMYFUNCTION("""COMPUTED_VALUE"""),20445.147089)</f>
        <v>20445.14709</v>
      </c>
      <c r="O321" s="6">
        <f t="shared" si="4"/>
        <v>110</v>
      </c>
      <c r="P321" s="6">
        <f t="shared" ref="P321:Q321" si="644">COUNTIFS(L:L,L321)</f>
        <v>51</v>
      </c>
      <c r="Q321" s="24">
        <f t="shared" si="644"/>
        <v>5</v>
      </c>
      <c r="R321" s="6" t="str">
        <f t="shared" si="6"/>
        <v>Industrial Products</v>
      </c>
      <c r="S321" s="6" t="str">
        <f t="shared" si="7"/>
        <v>Industrial Products</v>
      </c>
      <c r="T321" s="6">
        <f>IFERROR(__xludf.DUMMYFUNCTION("COUNTA(UNIQUE(query($A$2:$P$800,""select L where K='""&amp; K321&amp;""'"")))"),5.0)</f>
        <v>5</v>
      </c>
      <c r="U321" s="23">
        <f t="shared" si="8"/>
        <v>0.06818181818</v>
      </c>
      <c r="V321" s="23">
        <f t="shared" ref="V321:W321" si="645">P321/O321</f>
        <v>0.4636363636</v>
      </c>
      <c r="W321" s="23">
        <f t="shared" si="645"/>
        <v>0.09803921569</v>
      </c>
    </row>
    <row r="322">
      <c r="A322" s="6">
        <f>IFERROR(__xludf.DUMMYFUNCTION("""COMPUTED_VALUE"""),500085.0)</f>
        <v>500085</v>
      </c>
      <c r="B322" s="6" t="str">
        <f>IFERROR(__xludf.DUMMYFUNCTION("""COMPUTED_VALUE"""),"Chambal Fertilisers &amp; Chemicals Ltd")</f>
        <v>Chambal Fertilisers &amp; Chemicals Ltd</v>
      </c>
      <c r="C322" s="6" t="str">
        <f>IFERROR(__xludf.DUMMYFUNCTION("""COMPUTED_VALUE"""),"CHAMBLFERT")</f>
        <v>CHAMBLFERT</v>
      </c>
      <c r="D322" s="6" t="str">
        <f>IFERROR(__xludf.DUMMYFUNCTION("""COMPUTED_VALUE"""),"CHAMBAL FERTILISERS &amp; CHEMICALS LTD.")</f>
        <v>CHAMBAL FERTILISERS &amp; CHEMICALS LTD.</v>
      </c>
      <c r="E322" s="6" t="str">
        <f>IFERROR(__xludf.DUMMYFUNCTION("""COMPUTED_VALUE"""),"Active")</f>
        <v>Active</v>
      </c>
      <c r="F322" s="6" t="str">
        <f>IFERROR(__xludf.DUMMYFUNCTION("""COMPUTED_VALUE"""),"A")</f>
        <v>A</v>
      </c>
      <c r="G322" s="6">
        <f>IFERROR(__xludf.DUMMYFUNCTION("""COMPUTED_VALUE"""),10.0)</f>
        <v>10</v>
      </c>
      <c r="H322" s="6" t="str">
        <f>IFERROR(__xludf.DUMMYFUNCTION("""COMPUTED_VALUE"""),"INE085A01013")</f>
        <v>INE085A01013</v>
      </c>
      <c r="I322" s="6" t="str">
        <f>IFERROR(__xludf.DUMMYFUNCTION("""COMPUTED_VALUE"""),"Equity")</f>
        <v>Equity</v>
      </c>
      <c r="J322" s="6" t="str">
        <f>IFERROR(__xludf.DUMMYFUNCTION("""COMPUTED_VALUE"""),"Commodities")</f>
        <v>Commodities</v>
      </c>
      <c r="K322" s="6" t="str">
        <f>IFERROR(__xludf.DUMMYFUNCTION("""COMPUTED_VALUE"""),"Chemicals")</f>
        <v>Chemicals</v>
      </c>
      <c r="L322" s="6" t="str">
        <f>IFERROR(__xludf.DUMMYFUNCTION("""COMPUTED_VALUE"""),"Fertilizers &amp; Agrochemicals")</f>
        <v>Fertilizers &amp; Agrochemicals</v>
      </c>
      <c r="M322" s="6" t="str">
        <f>IFERROR(__xludf.DUMMYFUNCTION("""COMPUTED_VALUE"""),"Fertilizers")</f>
        <v>Fertilizers</v>
      </c>
      <c r="N322" s="5">
        <f>IFERROR(__xludf.DUMMYFUNCTION("""COMPUTED_VALUE"""),20122.6366152)</f>
        <v>20122.63662</v>
      </c>
      <c r="O322" s="6">
        <f t="shared" si="4"/>
        <v>52</v>
      </c>
      <c r="P322" s="6">
        <f t="shared" ref="P322:Q322" si="646">COUNTIFS(L:L,L322)</f>
        <v>15</v>
      </c>
      <c r="Q322" s="24">
        <f t="shared" si="646"/>
        <v>8</v>
      </c>
      <c r="R322" s="6" t="str">
        <f t="shared" si="6"/>
        <v>Fertilizers &amp; Agrochemicals</v>
      </c>
      <c r="S322" s="6" t="str">
        <f t="shared" si="7"/>
        <v>Fertilizers &amp; Agrochemicals</v>
      </c>
      <c r="T322" s="6">
        <f>IFERROR(__xludf.DUMMYFUNCTION("COUNTA(UNIQUE(query($A$2:$P$800,""select L where K='""&amp; K322&amp;""'"")))"),2.0)</f>
        <v>2</v>
      </c>
      <c r="U322" s="23">
        <f t="shared" si="8"/>
        <v>0.05769230769</v>
      </c>
      <c r="V322" s="23">
        <f t="shared" ref="V322:W322" si="647">P322/O322</f>
        <v>0.2884615385</v>
      </c>
      <c r="W322" s="23">
        <f t="shared" si="647"/>
        <v>0.5333333333</v>
      </c>
    </row>
    <row r="323">
      <c r="A323" s="6">
        <f>IFERROR(__xludf.DUMMYFUNCTION("""COMPUTED_VALUE"""),534091.0)</f>
        <v>534091</v>
      </c>
      <c r="B323" s="6" t="str">
        <f>IFERROR(__xludf.DUMMYFUNCTION("""COMPUTED_VALUE"""),"Multi Commodity Exchange of India Ltd")</f>
        <v>Multi Commodity Exchange of India Ltd</v>
      </c>
      <c r="C323" s="6" t="str">
        <f>IFERROR(__xludf.DUMMYFUNCTION("""COMPUTED_VALUE"""),"MCX")</f>
        <v>MCX</v>
      </c>
      <c r="D323" s="6" t="str">
        <f>IFERROR(__xludf.DUMMYFUNCTION("""COMPUTED_VALUE"""),"MULTI COMMODITY EXCHANGE OF INDIA LTD.")</f>
        <v>MULTI COMMODITY EXCHANGE OF INDIA LTD.</v>
      </c>
      <c r="E323" s="6" t="str">
        <f>IFERROR(__xludf.DUMMYFUNCTION("""COMPUTED_VALUE"""),"Active")</f>
        <v>Active</v>
      </c>
      <c r="F323" s="6" t="str">
        <f>IFERROR(__xludf.DUMMYFUNCTION("""COMPUTED_VALUE"""),"A")</f>
        <v>A</v>
      </c>
      <c r="G323" s="6">
        <f>IFERROR(__xludf.DUMMYFUNCTION("""COMPUTED_VALUE"""),10.0)</f>
        <v>10</v>
      </c>
      <c r="H323" s="6" t="str">
        <f>IFERROR(__xludf.DUMMYFUNCTION("""COMPUTED_VALUE"""),"INE745G01035")</f>
        <v>INE745G01035</v>
      </c>
      <c r="I323" s="6" t="str">
        <f>IFERROR(__xludf.DUMMYFUNCTION("""COMPUTED_VALUE"""),"Equity")</f>
        <v>Equity</v>
      </c>
      <c r="J323" s="6" t="str">
        <f>IFERROR(__xludf.DUMMYFUNCTION("""COMPUTED_VALUE"""),"Financial Services")</f>
        <v>Financial Services</v>
      </c>
      <c r="K323" s="6" t="str">
        <f>IFERROR(__xludf.DUMMYFUNCTION("""COMPUTED_VALUE"""),"Financial Services")</f>
        <v>Financial Services</v>
      </c>
      <c r="L323" s="6" t="str">
        <f>IFERROR(__xludf.DUMMYFUNCTION("""COMPUTED_VALUE"""),"Capital Markets")</f>
        <v>Capital Markets</v>
      </c>
      <c r="M323" s="6" t="str">
        <f>IFERROR(__xludf.DUMMYFUNCTION("""COMPUTED_VALUE"""),"Exchange and Data Platform")</f>
        <v>Exchange and Data Platform</v>
      </c>
      <c r="N323" s="5">
        <f>IFERROR(__xludf.DUMMYFUNCTION("""COMPUTED_VALUE"""),20081.538138)</f>
        <v>20081.53814</v>
      </c>
      <c r="O323" s="6">
        <f t="shared" si="4"/>
        <v>123</v>
      </c>
      <c r="P323" s="6">
        <f t="shared" ref="P323:Q323" si="648">COUNTIFS(L:L,L323)</f>
        <v>19</v>
      </c>
      <c r="Q323" s="24">
        <f t="shared" si="648"/>
        <v>3</v>
      </c>
      <c r="R323" s="6" t="str">
        <f t="shared" si="6"/>
        <v>Capital Markets</v>
      </c>
      <c r="S323" s="6" t="str">
        <f t="shared" si="7"/>
        <v>Capital Markets</v>
      </c>
      <c r="T323" s="6">
        <f>IFERROR(__xludf.DUMMYFUNCTION("COUNTA(UNIQUE(query($A$2:$P$800,""select L where K='""&amp; K323&amp;""'"")))"),5.0)</f>
        <v>5</v>
      </c>
      <c r="U323" s="23">
        <f t="shared" si="8"/>
        <v>0.06097560976</v>
      </c>
      <c r="V323" s="23">
        <f t="shared" ref="V323:W323" si="649">P323/O323</f>
        <v>0.1544715447</v>
      </c>
      <c r="W323" s="23">
        <f t="shared" si="649"/>
        <v>0.1578947368</v>
      </c>
    </row>
    <row r="324">
      <c r="A324" s="6">
        <f>IFERROR(__xludf.DUMMYFUNCTION("""COMPUTED_VALUE"""),533655.0)</f>
        <v>533655</v>
      </c>
      <c r="B324" s="6" t="str">
        <f>IFERROR(__xludf.DUMMYFUNCTION("""COMPUTED_VALUE"""),"Triveni Turbine Limited")</f>
        <v>Triveni Turbine Limited</v>
      </c>
      <c r="C324" s="6" t="str">
        <f>IFERROR(__xludf.DUMMYFUNCTION("""COMPUTED_VALUE"""),"TRITURBINE")</f>
        <v>TRITURBINE</v>
      </c>
      <c r="D324" s="6" t="str">
        <f>IFERROR(__xludf.DUMMYFUNCTION("""COMPUTED_VALUE"""),"TRIVENI TURBINE LTD.")</f>
        <v>TRIVENI TURBINE LTD.</v>
      </c>
      <c r="E324" s="6" t="str">
        <f>IFERROR(__xludf.DUMMYFUNCTION("""COMPUTED_VALUE"""),"Active")</f>
        <v>Active</v>
      </c>
      <c r="F324" s="6" t="str">
        <f>IFERROR(__xludf.DUMMYFUNCTION("""COMPUTED_VALUE"""),"A")</f>
        <v>A</v>
      </c>
      <c r="G324" s="6">
        <f>IFERROR(__xludf.DUMMYFUNCTION("""COMPUTED_VALUE"""),1.0)</f>
        <v>1</v>
      </c>
      <c r="H324" s="6" t="str">
        <f>IFERROR(__xludf.DUMMYFUNCTION("""COMPUTED_VALUE"""),"INE152M01016")</f>
        <v>INE152M01016</v>
      </c>
      <c r="I324" s="6" t="str">
        <f>IFERROR(__xludf.DUMMYFUNCTION("""COMPUTED_VALUE"""),"Equity")</f>
        <v>Equity</v>
      </c>
      <c r="J324" s="6" t="str">
        <f>IFERROR(__xludf.DUMMYFUNCTION("""COMPUTED_VALUE"""),"Industrials")</f>
        <v>Industrials</v>
      </c>
      <c r="K324" s="6" t="str">
        <f>IFERROR(__xludf.DUMMYFUNCTION("""COMPUTED_VALUE"""),"Capital Goods")</f>
        <v>Capital Goods</v>
      </c>
      <c r="L324" s="6" t="str">
        <f>IFERROR(__xludf.DUMMYFUNCTION("""COMPUTED_VALUE"""),"Electrical Equipment")</f>
        <v>Electrical Equipment</v>
      </c>
      <c r="M324" s="6" t="str">
        <f>IFERROR(__xludf.DUMMYFUNCTION("""COMPUTED_VALUE"""),"Heavy Electrical Equipment")</f>
        <v>Heavy Electrical Equipment</v>
      </c>
      <c r="N324" s="5">
        <f>IFERROR(__xludf.DUMMYFUNCTION("""COMPUTED_VALUE"""),20037.8033641)</f>
        <v>20037.80336</v>
      </c>
      <c r="O324" s="6">
        <f t="shared" si="4"/>
        <v>110</v>
      </c>
      <c r="P324" s="6">
        <f t="shared" ref="P324:Q324" si="650">COUNTIFS(L:L,L324)</f>
        <v>22</v>
      </c>
      <c r="Q324" s="24">
        <f t="shared" si="650"/>
        <v>17</v>
      </c>
      <c r="R324" s="6" t="str">
        <f t="shared" si="6"/>
        <v>Electrical Equipment</v>
      </c>
      <c r="S324" s="6" t="str">
        <f t="shared" si="7"/>
        <v>Electrical Equipment</v>
      </c>
      <c r="T324" s="6">
        <f>IFERROR(__xludf.DUMMYFUNCTION("COUNTA(UNIQUE(query($A$2:$P$800,""select L where K='""&amp; K324&amp;""'"")))"),5.0)</f>
        <v>5</v>
      </c>
      <c r="U324" s="23">
        <f t="shared" si="8"/>
        <v>0.06818181818</v>
      </c>
      <c r="V324" s="23">
        <f t="shared" ref="V324:W324" si="651">P324/O324</f>
        <v>0.2</v>
      </c>
      <c r="W324" s="23">
        <f t="shared" si="651"/>
        <v>0.7727272727</v>
      </c>
    </row>
    <row r="325">
      <c r="A325" s="6">
        <f>IFERROR(__xludf.DUMMYFUNCTION("""COMPUTED_VALUE"""),500184.0)</f>
        <v>500184</v>
      </c>
      <c r="B325" s="6" t="str">
        <f>IFERROR(__xludf.DUMMYFUNCTION("""COMPUTED_VALUE"""),"Himadri Speciality Chemical Ltd.")</f>
        <v>Himadri Speciality Chemical Ltd.</v>
      </c>
      <c r="C325" s="6" t="str">
        <f>IFERROR(__xludf.DUMMYFUNCTION("""COMPUTED_VALUE"""),"HSCL")</f>
        <v>HSCL</v>
      </c>
      <c r="D325" s="6" t="str">
        <f>IFERROR(__xludf.DUMMYFUNCTION("""COMPUTED_VALUE"""),"Himadri Speciality Chemical Ltd")</f>
        <v>Himadri Speciality Chemical Ltd</v>
      </c>
      <c r="E325" s="6" t="str">
        <f>IFERROR(__xludf.DUMMYFUNCTION("""COMPUTED_VALUE"""),"Active")</f>
        <v>Active</v>
      </c>
      <c r="F325" s="6" t="str">
        <f>IFERROR(__xludf.DUMMYFUNCTION("""COMPUTED_VALUE"""),"A")</f>
        <v>A</v>
      </c>
      <c r="G325" s="6">
        <f>IFERROR(__xludf.DUMMYFUNCTION("""COMPUTED_VALUE"""),1.0)</f>
        <v>1</v>
      </c>
      <c r="H325" s="6" t="str">
        <f>IFERROR(__xludf.DUMMYFUNCTION("""COMPUTED_VALUE"""),"INE019C01026")</f>
        <v>INE019C01026</v>
      </c>
      <c r="I325" s="6" t="str">
        <f>IFERROR(__xludf.DUMMYFUNCTION("""COMPUTED_VALUE"""),"Equity")</f>
        <v>Equity</v>
      </c>
      <c r="J325" s="6" t="str">
        <f>IFERROR(__xludf.DUMMYFUNCTION("""COMPUTED_VALUE"""),"Commodities")</f>
        <v>Commodities</v>
      </c>
      <c r="K325" s="6" t="str">
        <f>IFERROR(__xludf.DUMMYFUNCTION("""COMPUTED_VALUE"""),"Chemicals")</f>
        <v>Chemicals</v>
      </c>
      <c r="L325" s="6" t="str">
        <f>IFERROR(__xludf.DUMMYFUNCTION("""COMPUTED_VALUE"""),"Chemicals &amp; Petrochemicals")</f>
        <v>Chemicals &amp; Petrochemicals</v>
      </c>
      <c r="M325" s="6" t="str">
        <f>IFERROR(__xludf.DUMMYFUNCTION("""COMPUTED_VALUE"""),"Specialty Chemicals")</f>
        <v>Specialty Chemicals</v>
      </c>
      <c r="N325" s="5">
        <f>IFERROR(__xludf.DUMMYFUNCTION("""COMPUTED_VALUE"""),19966.7140875)</f>
        <v>19966.71409</v>
      </c>
      <c r="O325" s="6">
        <f t="shared" si="4"/>
        <v>52</v>
      </c>
      <c r="P325" s="6">
        <f t="shared" ref="P325:Q325" si="652">COUNTIFS(L:L,L325)</f>
        <v>37</v>
      </c>
      <c r="Q325" s="24">
        <f t="shared" si="652"/>
        <v>25</v>
      </c>
      <c r="R325" s="6" t="str">
        <f t="shared" si="6"/>
        <v>Chemicals</v>
      </c>
      <c r="S325" s="6" t="str">
        <f t="shared" si="7"/>
        <v>Chemicals</v>
      </c>
      <c r="T325" s="6">
        <f>IFERROR(__xludf.DUMMYFUNCTION("COUNTA(UNIQUE(query($A$2:$P$800,""select L where K='""&amp; K325&amp;""'"")))"),2.0)</f>
        <v>2</v>
      </c>
      <c r="U325" s="23">
        <f t="shared" si="8"/>
        <v>0.05769230769</v>
      </c>
      <c r="V325" s="23">
        <f t="shared" ref="V325:W325" si="653">P325/O325</f>
        <v>0.7115384615</v>
      </c>
      <c r="W325" s="23">
        <f t="shared" si="653"/>
        <v>0.6756756757</v>
      </c>
    </row>
    <row r="326">
      <c r="A326" s="6">
        <f>IFERROR(__xludf.DUMMYFUNCTION("""COMPUTED_VALUE"""),543981.0)</f>
        <v>543981</v>
      </c>
      <c r="B326" s="6" t="str">
        <f>IFERROR(__xludf.DUMMYFUNCTION("""COMPUTED_VALUE"""),"R R KABEL LIMITED")</f>
        <v>R R KABEL LIMITED</v>
      </c>
      <c r="C326" s="6" t="str">
        <f>IFERROR(__xludf.DUMMYFUNCTION("""COMPUTED_VALUE"""),"RRKABEL")</f>
        <v>RRKABEL</v>
      </c>
      <c r="D326" s="6" t="str">
        <f>IFERROR(__xludf.DUMMYFUNCTION("""COMPUTED_VALUE"""),"R R Kabel Ltd")</f>
        <v>R R Kabel Ltd</v>
      </c>
      <c r="E326" s="6" t="str">
        <f>IFERROR(__xludf.DUMMYFUNCTION("""COMPUTED_VALUE"""),"Active")</f>
        <v>Active</v>
      </c>
      <c r="F326" s="6" t="str">
        <f>IFERROR(__xludf.DUMMYFUNCTION("""COMPUTED_VALUE"""),"B")</f>
        <v>B</v>
      </c>
      <c r="G326" s="6">
        <f>IFERROR(__xludf.DUMMYFUNCTION("""COMPUTED_VALUE"""),5.0)</f>
        <v>5</v>
      </c>
      <c r="H326" s="6" t="str">
        <f>IFERROR(__xludf.DUMMYFUNCTION("""COMPUTED_VALUE"""),"INE777K01022")</f>
        <v>INE777K01022</v>
      </c>
      <c r="I326" s="6" t="str">
        <f>IFERROR(__xludf.DUMMYFUNCTION("""COMPUTED_VALUE"""),"Equity")</f>
        <v>Equity</v>
      </c>
      <c r="J326" s="6" t="str">
        <f>IFERROR(__xludf.DUMMYFUNCTION("""COMPUTED_VALUE"""),"Industrials")</f>
        <v>Industrials</v>
      </c>
      <c r="K326" s="6" t="str">
        <f>IFERROR(__xludf.DUMMYFUNCTION("""COMPUTED_VALUE"""),"Capital Goods")</f>
        <v>Capital Goods</v>
      </c>
      <c r="L326" s="6" t="str">
        <f>IFERROR(__xludf.DUMMYFUNCTION("""COMPUTED_VALUE"""),"Industrial Products")</f>
        <v>Industrial Products</v>
      </c>
      <c r="M326" s="6" t="str">
        <f>IFERROR(__xludf.DUMMYFUNCTION("""COMPUTED_VALUE"""),"Cables - Electricals")</f>
        <v>Cables - Electricals</v>
      </c>
      <c r="N326" s="5">
        <f>IFERROR(__xludf.DUMMYFUNCTION("""COMPUTED_VALUE"""),19963.4225)</f>
        <v>19963.4225</v>
      </c>
      <c r="O326" s="6">
        <f t="shared" si="4"/>
        <v>110</v>
      </c>
      <c r="P326" s="6">
        <f t="shared" ref="P326:Q326" si="654">COUNTIFS(L:L,L326)</f>
        <v>51</v>
      </c>
      <c r="Q326" s="24">
        <f t="shared" si="654"/>
        <v>4</v>
      </c>
      <c r="R326" s="6" t="str">
        <f t="shared" si="6"/>
        <v>Industrial Products</v>
      </c>
      <c r="S326" s="6" t="str">
        <f t="shared" si="7"/>
        <v>Industrial Products</v>
      </c>
      <c r="T326" s="6">
        <f>IFERROR(__xludf.DUMMYFUNCTION("COUNTA(UNIQUE(query($A$2:$P$800,""select L where K='""&amp; K326&amp;""'"")))"),5.0)</f>
        <v>5</v>
      </c>
      <c r="U326" s="23">
        <f t="shared" si="8"/>
        <v>0.06818181818</v>
      </c>
      <c r="V326" s="23">
        <f t="shared" ref="V326:W326" si="655">P326/O326</f>
        <v>0.4636363636</v>
      </c>
      <c r="W326" s="23">
        <f t="shared" si="655"/>
        <v>0.07843137255</v>
      </c>
    </row>
    <row r="327">
      <c r="A327" s="6">
        <f>IFERROR(__xludf.DUMMYFUNCTION("""COMPUTED_VALUE"""),524200.0)</f>
        <v>524200</v>
      </c>
      <c r="B327" s="6" t="str">
        <f>IFERROR(__xludf.DUMMYFUNCTION("""COMPUTED_VALUE"""),"Vinati Organics Ltd.")</f>
        <v>Vinati Organics Ltd.</v>
      </c>
      <c r="C327" s="6" t="str">
        <f>IFERROR(__xludf.DUMMYFUNCTION("""COMPUTED_VALUE"""),"VINATIORGA")</f>
        <v>VINATIORGA</v>
      </c>
      <c r="D327" s="6" t="str">
        <f>IFERROR(__xludf.DUMMYFUNCTION("""COMPUTED_VALUE"""),"VINATI ORGANICS LTD.-$")</f>
        <v>VINATI ORGANICS LTD.-$</v>
      </c>
      <c r="E327" s="6" t="str">
        <f>IFERROR(__xludf.DUMMYFUNCTION("""COMPUTED_VALUE"""),"Active")</f>
        <v>Active</v>
      </c>
      <c r="F327" s="6" t="str">
        <f>IFERROR(__xludf.DUMMYFUNCTION("""COMPUTED_VALUE"""),"A")</f>
        <v>A</v>
      </c>
      <c r="G327" s="6">
        <f>IFERROR(__xludf.DUMMYFUNCTION("""COMPUTED_VALUE"""),1.0)</f>
        <v>1</v>
      </c>
      <c r="H327" s="6" t="str">
        <f>IFERROR(__xludf.DUMMYFUNCTION("""COMPUTED_VALUE"""),"INE410B01037")</f>
        <v>INE410B01037</v>
      </c>
      <c r="I327" s="6" t="str">
        <f>IFERROR(__xludf.DUMMYFUNCTION("""COMPUTED_VALUE"""),"Equity")</f>
        <v>Equity</v>
      </c>
      <c r="J327" s="6" t="str">
        <f>IFERROR(__xludf.DUMMYFUNCTION("""COMPUTED_VALUE"""),"Commodities")</f>
        <v>Commodities</v>
      </c>
      <c r="K327" s="6" t="str">
        <f>IFERROR(__xludf.DUMMYFUNCTION("""COMPUTED_VALUE"""),"Chemicals")</f>
        <v>Chemicals</v>
      </c>
      <c r="L327" s="6" t="str">
        <f>IFERROR(__xludf.DUMMYFUNCTION("""COMPUTED_VALUE"""),"Chemicals &amp; Petrochemicals")</f>
        <v>Chemicals &amp; Petrochemicals</v>
      </c>
      <c r="M327" s="6" t="str">
        <f>IFERROR(__xludf.DUMMYFUNCTION("""COMPUTED_VALUE"""),"Specialty Chemicals")</f>
        <v>Specialty Chemicals</v>
      </c>
      <c r="N327" s="5">
        <f>IFERROR(__xludf.DUMMYFUNCTION("""COMPUTED_VALUE"""),19960.4883023)</f>
        <v>19960.4883</v>
      </c>
      <c r="O327" s="6">
        <f t="shared" si="4"/>
        <v>52</v>
      </c>
      <c r="P327" s="6">
        <f t="shared" ref="P327:Q327" si="656">COUNTIFS(L:L,L327)</f>
        <v>37</v>
      </c>
      <c r="Q327" s="24">
        <f t="shared" si="656"/>
        <v>25</v>
      </c>
      <c r="R327" s="6" t="str">
        <f t="shared" si="6"/>
        <v>Chemicals</v>
      </c>
      <c r="S327" s="6" t="str">
        <f t="shared" si="7"/>
        <v>Chemicals</v>
      </c>
      <c r="T327" s="6">
        <f>IFERROR(__xludf.DUMMYFUNCTION("COUNTA(UNIQUE(query($A$2:$P$800,""select L where K='""&amp; K327&amp;""'"")))"),2.0)</f>
        <v>2</v>
      </c>
      <c r="U327" s="23">
        <f t="shared" si="8"/>
        <v>0.05769230769</v>
      </c>
      <c r="V327" s="23">
        <f t="shared" ref="V327:W327" si="657">P327/O327</f>
        <v>0.7115384615</v>
      </c>
      <c r="W327" s="23">
        <f t="shared" si="657"/>
        <v>0.6756756757</v>
      </c>
    </row>
    <row r="328">
      <c r="A328" s="6">
        <f>IFERROR(__xludf.DUMMYFUNCTION("""COMPUTED_VALUE"""),532953.0)</f>
        <v>532953</v>
      </c>
      <c r="B328" s="6" t="str">
        <f>IFERROR(__xludf.DUMMYFUNCTION("""COMPUTED_VALUE"""),"V-Guard Industries Ltd.")</f>
        <v>V-Guard Industries Ltd.</v>
      </c>
      <c r="C328" s="6" t="str">
        <f>IFERROR(__xludf.DUMMYFUNCTION("""COMPUTED_VALUE"""),"VGUARD")</f>
        <v>VGUARD</v>
      </c>
      <c r="D328" s="6" t="str">
        <f>IFERROR(__xludf.DUMMYFUNCTION("""COMPUTED_VALUE"""),"V-GUARD INDUSTRIES LTD.")</f>
        <v>V-GUARD INDUSTRIES LTD.</v>
      </c>
      <c r="E328" s="6" t="str">
        <f>IFERROR(__xludf.DUMMYFUNCTION("""COMPUTED_VALUE"""),"Active")</f>
        <v>Active</v>
      </c>
      <c r="F328" s="6" t="str">
        <f>IFERROR(__xludf.DUMMYFUNCTION("""COMPUTED_VALUE"""),"A")</f>
        <v>A</v>
      </c>
      <c r="G328" s="6">
        <f>IFERROR(__xludf.DUMMYFUNCTION("""COMPUTED_VALUE"""),1.0)</f>
        <v>1</v>
      </c>
      <c r="H328" s="6" t="str">
        <f>IFERROR(__xludf.DUMMYFUNCTION("""COMPUTED_VALUE"""),"INE951I01027")</f>
        <v>INE951I01027</v>
      </c>
      <c r="I328" s="6" t="str">
        <f>IFERROR(__xludf.DUMMYFUNCTION("""COMPUTED_VALUE"""),"Equity")</f>
        <v>Equity</v>
      </c>
      <c r="J328" s="6" t="str">
        <f>IFERROR(__xludf.DUMMYFUNCTION("""COMPUTED_VALUE"""),"Consumer Discretionary")</f>
        <v>Consumer Discretionary</v>
      </c>
      <c r="K328" s="6" t="str">
        <f>IFERROR(__xludf.DUMMYFUNCTION("""COMPUTED_VALUE"""),"Consumer Durables")</f>
        <v>Consumer Durables</v>
      </c>
      <c r="L328" s="6" t="str">
        <f>IFERROR(__xludf.DUMMYFUNCTION("""COMPUTED_VALUE"""),"Consumer Durables")</f>
        <v>Consumer Durables</v>
      </c>
      <c r="M328" s="6" t="str">
        <f>IFERROR(__xludf.DUMMYFUNCTION("""COMPUTED_VALUE"""),"Household Appliances")</f>
        <v>Household Appliances</v>
      </c>
      <c r="N328" s="5">
        <f>IFERROR(__xludf.DUMMYFUNCTION("""COMPUTED_VALUE"""),19862.5564137)</f>
        <v>19862.55641</v>
      </c>
      <c r="O328" s="6">
        <f t="shared" si="4"/>
        <v>42</v>
      </c>
      <c r="P328" s="6">
        <f t="shared" ref="P328:Q328" si="658">COUNTIFS(L:L,L328)</f>
        <v>42</v>
      </c>
      <c r="Q328" s="24">
        <f t="shared" si="658"/>
        <v>13</v>
      </c>
      <c r="R328" s="6" t="str">
        <f t="shared" si="6"/>
        <v>Consumer Durables</v>
      </c>
      <c r="S328" s="6" t="str">
        <f t="shared" si="7"/>
        <v>Consumer Durables</v>
      </c>
      <c r="T328" s="6">
        <f>IFERROR(__xludf.DUMMYFUNCTION("COUNTA(UNIQUE(query($A$2:$P$800,""select L where K='""&amp; K328&amp;""'"")))"),1.0)</f>
        <v>1</v>
      </c>
      <c r="U328" s="23">
        <f t="shared" si="8"/>
        <v>0.03571428571</v>
      </c>
      <c r="V328" s="23">
        <f t="shared" ref="V328:W328" si="659">P328/O328</f>
        <v>1</v>
      </c>
      <c r="W328" s="23">
        <f t="shared" si="659"/>
        <v>0.3095238095</v>
      </c>
    </row>
    <row r="329">
      <c r="A329" s="6">
        <f>IFERROR(__xludf.DUMMYFUNCTION("""COMPUTED_VALUE"""),533293.0)</f>
        <v>533293</v>
      </c>
      <c r="B329" s="6" t="str">
        <f>IFERROR(__xludf.DUMMYFUNCTION("""COMPUTED_VALUE"""),"Kirloskar Oil Engines Limited")</f>
        <v>Kirloskar Oil Engines Limited</v>
      </c>
      <c r="C329" s="6" t="str">
        <f>IFERROR(__xludf.DUMMYFUNCTION("""COMPUTED_VALUE"""),"KIRLOSENG")</f>
        <v>KIRLOSENG</v>
      </c>
      <c r="D329" s="6" t="str">
        <f>IFERROR(__xludf.DUMMYFUNCTION("""COMPUTED_VALUE"""),"KIRLOSKAR OIL ENGINES LTD.")</f>
        <v>KIRLOSKAR OIL ENGINES LTD.</v>
      </c>
      <c r="E329" s="6" t="str">
        <f>IFERROR(__xludf.DUMMYFUNCTION("""COMPUTED_VALUE"""),"Active")</f>
        <v>Active</v>
      </c>
      <c r="F329" s="6" t="str">
        <f>IFERROR(__xludf.DUMMYFUNCTION("""COMPUTED_VALUE"""),"A")</f>
        <v>A</v>
      </c>
      <c r="G329" s="6">
        <f>IFERROR(__xludf.DUMMYFUNCTION("""COMPUTED_VALUE"""),2.0)</f>
        <v>2</v>
      </c>
      <c r="H329" s="6" t="str">
        <f>IFERROR(__xludf.DUMMYFUNCTION("""COMPUTED_VALUE"""),"INE146L01010")</f>
        <v>INE146L01010</v>
      </c>
      <c r="I329" s="6" t="str">
        <f>IFERROR(__xludf.DUMMYFUNCTION("""COMPUTED_VALUE"""),"Equity")</f>
        <v>Equity</v>
      </c>
      <c r="J329" s="6" t="str">
        <f>IFERROR(__xludf.DUMMYFUNCTION("""COMPUTED_VALUE"""),"Industrials")</f>
        <v>Industrials</v>
      </c>
      <c r="K329" s="6" t="str">
        <f>IFERROR(__xludf.DUMMYFUNCTION("""COMPUTED_VALUE"""),"Capital Goods")</f>
        <v>Capital Goods</v>
      </c>
      <c r="L329" s="6" t="str">
        <f>IFERROR(__xludf.DUMMYFUNCTION("""COMPUTED_VALUE"""),"Industrial Products")</f>
        <v>Industrial Products</v>
      </c>
      <c r="M329" s="6" t="str">
        <f>IFERROR(__xludf.DUMMYFUNCTION("""COMPUTED_VALUE"""),"Compressors, Pumps &amp; Diesel Engines")</f>
        <v>Compressors, Pumps &amp; Diesel Engines</v>
      </c>
      <c r="N329" s="5">
        <f>IFERROR(__xludf.DUMMYFUNCTION("""COMPUTED_VALUE"""),19855.6500124)</f>
        <v>19855.65001</v>
      </c>
      <c r="O329" s="6">
        <f t="shared" si="4"/>
        <v>110</v>
      </c>
      <c r="P329" s="6">
        <f t="shared" ref="P329:Q329" si="660">COUNTIFS(L:L,L329)</f>
        <v>51</v>
      </c>
      <c r="Q329" s="24">
        <f t="shared" si="660"/>
        <v>7</v>
      </c>
      <c r="R329" s="6" t="str">
        <f t="shared" si="6"/>
        <v>Industrial Products</v>
      </c>
      <c r="S329" s="6" t="str">
        <f t="shared" si="7"/>
        <v>Industrial Products</v>
      </c>
      <c r="T329" s="6">
        <f>IFERROR(__xludf.DUMMYFUNCTION("COUNTA(UNIQUE(query($A$2:$P$800,""select L where K='""&amp; K329&amp;""'"")))"),5.0)</f>
        <v>5</v>
      </c>
      <c r="U329" s="23">
        <f t="shared" si="8"/>
        <v>0.06818181818</v>
      </c>
      <c r="V329" s="23">
        <f t="shared" ref="V329:W329" si="661">P329/O329</f>
        <v>0.4636363636</v>
      </c>
      <c r="W329" s="23">
        <f t="shared" si="661"/>
        <v>0.137254902</v>
      </c>
    </row>
    <row r="330">
      <c r="A330" s="6">
        <f>IFERROR(__xludf.DUMMYFUNCTION("""COMPUTED_VALUE"""),532175.0)</f>
        <v>532175</v>
      </c>
      <c r="B330" s="6" t="str">
        <f>IFERROR(__xludf.DUMMYFUNCTION("""COMPUTED_VALUE"""),"Cyient Limited")</f>
        <v>Cyient Limited</v>
      </c>
      <c r="C330" s="6" t="str">
        <f>IFERROR(__xludf.DUMMYFUNCTION("""COMPUTED_VALUE"""),"CYIENT")</f>
        <v>CYIENT</v>
      </c>
      <c r="D330" s="6" t="str">
        <f>IFERROR(__xludf.DUMMYFUNCTION("""COMPUTED_VALUE"""),"Cyient Limited")</f>
        <v>Cyient Limited</v>
      </c>
      <c r="E330" s="6" t="str">
        <f>IFERROR(__xludf.DUMMYFUNCTION("""COMPUTED_VALUE"""),"Active")</f>
        <v>Active</v>
      </c>
      <c r="F330" s="6" t="str">
        <f>IFERROR(__xludf.DUMMYFUNCTION("""COMPUTED_VALUE"""),"A")</f>
        <v>A</v>
      </c>
      <c r="G330" s="6">
        <f>IFERROR(__xludf.DUMMYFUNCTION("""COMPUTED_VALUE"""),5.0)</f>
        <v>5</v>
      </c>
      <c r="H330" s="6" t="str">
        <f>IFERROR(__xludf.DUMMYFUNCTION("""COMPUTED_VALUE"""),"INE136B01020")</f>
        <v>INE136B01020</v>
      </c>
      <c r="I330" s="6" t="str">
        <f>IFERROR(__xludf.DUMMYFUNCTION("""COMPUTED_VALUE"""),"Equity")</f>
        <v>Equity</v>
      </c>
      <c r="J330" s="6" t="str">
        <f>IFERROR(__xludf.DUMMYFUNCTION("""COMPUTED_VALUE"""),"Information Technology")</f>
        <v>Information Technology</v>
      </c>
      <c r="K330" s="6" t="str">
        <f>IFERROR(__xludf.DUMMYFUNCTION("""COMPUTED_VALUE"""),"Information Technology")</f>
        <v>Information Technology</v>
      </c>
      <c r="L330" s="6" t="str">
        <f>IFERROR(__xludf.DUMMYFUNCTION("""COMPUTED_VALUE"""),"IT - Services")</f>
        <v>IT - Services</v>
      </c>
      <c r="M330" s="6" t="str">
        <f>IFERROR(__xludf.DUMMYFUNCTION("""COMPUTED_VALUE"""),"IT Enabled Services")</f>
        <v>IT Enabled Services</v>
      </c>
      <c r="N330" s="5">
        <f>IFERROR(__xludf.DUMMYFUNCTION("""COMPUTED_VALUE"""),19834.1121235)</f>
        <v>19834.11212</v>
      </c>
      <c r="O330" s="6">
        <f t="shared" si="4"/>
        <v>36</v>
      </c>
      <c r="P330" s="6">
        <f t="shared" ref="P330:Q330" si="662">COUNTIFS(L:L,L330)</f>
        <v>8</v>
      </c>
      <c r="Q330" s="24">
        <f t="shared" si="662"/>
        <v>8</v>
      </c>
      <c r="R330" s="6" t="str">
        <f t="shared" si="6"/>
        <v>Information Technology</v>
      </c>
      <c r="S330" s="6" t="str">
        <f t="shared" si="7"/>
        <v>Information Technology</v>
      </c>
      <c r="T330" s="6">
        <f>IFERROR(__xludf.DUMMYFUNCTION("COUNTA(UNIQUE(query($A$2:$P$800,""select L where K='""&amp; K330&amp;""'"")))"),3.0)</f>
        <v>3</v>
      </c>
      <c r="U330" s="23">
        <f t="shared" si="8"/>
        <v>0.125</v>
      </c>
      <c r="V330" s="23">
        <f t="shared" ref="V330:W330" si="663">P330/O330</f>
        <v>0.2222222222</v>
      </c>
      <c r="W330" s="23">
        <f t="shared" si="663"/>
        <v>1</v>
      </c>
    </row>
    <row r="331">
      <c r="A331" s="6">
        <f>IFERROR(__xludf.DUMMYFUNCTION("""COMPUTED_VALUE"""),500940.0)</f>
        <v>500940</v>
      </c>
      <c r="B331" s="6" t="str">
        <f>IFERROR(__xludf.DUMMYFUNCTION("""COMPUTED_VALUE"""),"Finolex Industries Ltd.")</f>
        <v>Finolex Industries Ltd.</v>
      </c>
      <c r="C331" s="6" t="str">
        <f>IFERROR(__xludf.DUMMYFUNCTION("""COMPUTED_VALUE"""),"FINPIPE")</f>
        <v>FINPIPE</v>
      </c>
      <c r="D331" s="6" t="str">
        <f>IFERROR(__xludf.DUMMYFUNCTION("""COMPUTED_VALUE"""),"FINOLEX INDUSTRIES LTD.")</f>
        <v>FINOLEX INDUSTRIES LTD.</v>
      </c>
      <c r="E331" s="6" t="str">
        <f>IFERROR(__xludf.DUMMYFUNCTION("""COMPUTED_VALUE"""),"Active")</f>
        <v>Active</v>
      </c>
      <c r="F331" s="6" t="str">
        <f>IFERROR(__xludf.DUMMYFUNCTION("""COMPUTED_VALUE"""),"A")</f>
        <v>A</v>
      </c>
      <c r="G331" s="6">
        <f>IFERROR(__xludf.DUMMYFUNCTION("""COMPUTED_VALUE"""),2.0)</f>
        <v>2</v>
      </c>
      <c r="H331" s="6" t="str">
        <f>IFERROR(__xludf.DUMMYFUNCTION("""COMPUTED_VALUE"""),"INE183A01024")</f>
        <v>INE183A01024</v>
      </c>
      <c r="I331" s="6" t="str">
        <f>IFERROR(__xludf.DUMMYFUNCTION("""COMPUTED_VALUE"""),"Equity")</f>
        <v>Equity</v>
      </c>
      <c r="J331" s="6" t="str">
        <f>IFERROR(__xludf.DUMMYFUNCTION("""COMPUTED_VALUE"""),"Industrials")</f>
        <v>Industrials</v>
      </c>
      <c r="K331" s="6" t="str">
        <f>IFERROR(__xludf.DUMMYFUNCTION("""COMPUTED_VALUE"""),"Capital Goods")</f>
        <v>Capital Goods</v>
      </c>
      <c r="L331" s="6" t="str">
        <f>IFERROR(__xludf.DUMMYFUNCTION("""COMPUTED_VALUE"""),"Industrial Products")</f>
        <v>Industrial Products</v>
      </c>
      <c r="M331" s="6" t="str">
        <f>IFERROR(__xludf.DUMMYFUNCTION("""COMPUTED_VALUE"""),"Plastic Products - Industrial")</f>
        <v>Plastic Products - Industrial</v>
      </c>
      <c r="N331" s="5">
        <f>IFERROR(__xludf.DUMMYFUNCTION("""COMPUTED_VALUE"""),19797.1745705)</f>
        <v>19797.17457</v>
      </c>
      <c r="O331" s="6">
        <f t="shared" si="4"/>
        <v>110</v>
      </c>
      <c r="P331" s="6">
        <f t="shared" ref="P331:Q331" si="664">COUNTIFS(L:L,L331)</f>
        <v>51</v>
      </c>
      <c r="Q331" s="24">
        <f t="shared" si="664"/>
        <v>9</v>
      </c>
      <c r="R331" s="6" t="str">
        <f t="shared" si="6"/>
        <v>Industrial Products</v>
      </c>
      <c r="S331" s="6" t="str">
        <f t="shared" si="7"/>
        <v>Industrial Products</v>
      </c>
      <c r="T331" s="6">
        <f>IFERROR(__xludf.DUMMYFUNCTION("COUNTA(UNIQUE(query($A$2:$P$800,""select L where K='""&amp; K331&amp;""'"")))"),5.0)</f>
        <v>5</v>
      </c>
      <c r="U331" s="23">
        <f t="shared" si="8"/>
        <v>0.06818181818</v>
      </c>
      <c r="V331" s="23">
        <f t="shared" ref="V331:W331" si="665">P331/O331</f>
        <v>0.4636363636</v>
      </c>
      <c r="W331" s="23">
        <f t="shared" si="665"/>
        <v>0.1764705882</v>
      </c>
    </row>
    <row r="332">
      <c r="A332" s="6">
        <f>IFERROR(__xludf.DUMMYFUNCTION("""COMPUTED_VALUE"""),543330.0)</f>
        <v>543330</v>
      </c>
      <c r="B332" s="6" t="str">
        <f>IFERROR(__xludf.DUMMYFUNCTION("""COMPUTED_VALUE"""),"Devyani International Limited")</f>
        <v>Devyani International Limited</v>
      </c>
      <c r="C332" s="6" t="str">
        <f>IFERROR(__xludf.DUMMYFUNCTION("""COMPUTED_VALUE"""),"DEVYANI")</f>
        <v>DEVYANI</v>
      </c>
      <c r="D332" s="6" t="str">
        <f>IFERROR(__xludf.DUMMYFUNCTION("""COMPUTED_VALUE"""),"Devyani International Ltd")</f>
        <v>Devyani International Ltd</v>
      </c>
      <c r="E332" s="6" t="str">
        <f>IFERROR(__xludf.DUMMYFUNCTION("""COMPUTED_VALUE"""),"Active")</f>
        <v>Active</v>
      </c>
      <c r="F332" s="6" t="str">
        <f>IFERROR(__xludf.DUMMYFUNCTION("""COMPUTED_VALUE"""),"A")</f>
        <v>A</v>
      </c>
      <c r="G332" s="6">
        <f>IFERROR(__xludf.DUMMYFUNCTION("""COMPUTED_VALUE"""),1.0)</f>
        <v>1</v>
      </c>
      <c r="H332" s="6" t="str">
        <f>IFERROR(__xludf.DUMMYFUNCTION("""COMPUTED_VALUE"""),"INE872J01023")</f>
        <v>INE872J01023</v>
      </c>
      <c r="I332" s="6" t="str">
        <f>IFERROR(__xludf.DUMMYFUNCTION("""COMPUTED_VALUE"""),"Equity")</f>
        <v>Equity</v>
      </c>
      <c r="J332" s="6" t="str">
        <f>IFERROR(__xludf.DUMMYFUNCTION("""COMPUTED_VALUE"""),"Consumer Discretionary")</f>
        <v>Consumer Discretionary</v>
      </c>
      <c r="K332" s="6" t="str">
        <f>IFERROR(__xludf.DUMMYFUNCTION("""COMPUTED_VALUE"""),"Consumer Services")</f>
        <v>Consumer Services</v>
      </c>
      <c r="L332" s="6" t="str">
        <f>IFERROR(__xludf.DUMMYFUNCTION("""COMPUTED_VALUE"""),"Leisure Services")</f>
        <v>Leisure Services</v>
      </c>
      <c r="M332" s="6" t="str">
        <f>IFERROR(__xludf.DUMMYFUNCTION("""COMPUTED_VALUE"""),"Restaurants")</f>
        <v>Restaurants</v>
      </c>
      <c r="N332" s="5">
        <f>IFERROR(__xludf.DUMMYFUNCTION("""COMPUTED_VALUE"""),19790.5995)</f>
        <v>19790.5995</v>
      </c>
      <c r="O332" s="6">
        <f t="shared" si="4"/>
        <v>37</v>
      </c>
      <c r="P332" s="6">
        <f t="shared" ref="P332:Q332" si="666">COUNTIFS(L:L,L332)</f>
        <v>18</v>
      </c>
      <c r="Q332" s="24">
        <f t="shared" si="666"/>
        <v>5</v>
      </c>
      <c r="R332" s="6" t="str">
        <f t="shared" si="6"/>
        <v>Leisure Services</v>
      </c>
      <c r="S332" s="6" t="str">
        <f t="shared" si="7"/>
        <v>Leisure Services</v>
      </c>
      <c r="T332" s="6">
        <f>IFERROR(__xludf.DUMMYFUNCTION("COUNTA(UNIQUE(query($A$2:$P$800,""select L where K='""&amp; K332&amp;""'"")))"),3.0)</f>
        <v>3</v>
      </c>
      <c r="U332" s="23">
        <f t="shared" si="8"/>
        <v>0.1216216216</v>
      </c>
      <c r="V332" s="23">
        <f t="shared" ref="V332:W332" si="667">P332/O332</f>
        <v>0.4864864865</v>
      </c>
      <c r="W332" s="23">
        <f t="shared" si="667"/>
        <v>0.2777777778</v>
      </c>
    </row>
    <row r="333">
      <c r="A333" s="6">
        <f>IFERROR(__xludf.DUMMYFUNCTION("""COMPUTED_VALUE"""),543990.0)</f>
        <v>543990</v>
      </c>
      <c r="B333" s="6" t="str">
        <f>IFERROR(__xludf.DUMMYFUNCTION("""COMPUTED_VALUE"""),"SIGNATUREGLOBAL (INDIA) LIMITED")</f>
        <v>SIGNATUREGLOBAL (INDIA) LIMITED</v>
      </c>
      <c r="C333" s="6" t="str">
        <f>IFERROR(__xludf.DUMMYFUNCTION("""COMPUTED_VALUE"""),"SIGNATURE")</f>
        <v>SIGNATURE</v>
      </c>
      <c r="D333" s="6" t="str">
        <f>IFERROR(__xludf.DUMMYFUNCTION("""COMPUTED_VALUE"""),"Signatureglobal (India) Ltd")</f>
        <v>Signatureglobal (India) Ltd</v>
      </c>
      <c r="E333" s="6" t="str">
        <f>IFERROR(__xludf.DUMMYFUNCTION("""COMPUTED_VALUE"""),"Active")</f>
        <v>Active</v>
      </c>
      <c r="F333" s="6" t="str">
        <f>IFERROR(__xludf.DUMMYFUNCTION("""COMPUTED_VALUE"""),"B")</f>
        <v>B</v>
      </c>
      <c r="G333" s="6">
        <f>IFERROR(__xludf.DUMMYFUNCTION("""COMPUTED_VALUE"""),1.0)</f>
        <v>1</v>
      </c>
      <c r="H333" s="6" t="str">
        <f>IFERROR(__xludf.DUMMYFUNCTION("""COMPUTED_VALUE"""),"INE903U01023")</f>
        <v>INE903U01023</v>
      </c>
      <c r="I333" s="6" t="str">
        <f>IFERROR(__xludf.DUMMYFUNCTION("""COMPUTED_VALUE"""),"Equity")</f>
        <v>Equity</v>
      </c>
      <c r="J333" s="6" t="str">
        <f>IFERROR(__xludf.DUMMYFUNCTION("""COMPUTED_VALUE"""),"Consumer Discretionary")</f>
        <v>Consumer Discretionary</v>
      </c>
      <c r="K333" s="6" t="str">
        <f>IFERROR(__xludf.DUMMYFUNCTION("""COMPUTED_VALUE"""),"Realty")</f>
        <v>Realty</v>
      </c>
      <c r="L333" s="6" t="str">
        <f>IFERROR(__xludf.DUMMYFUNCTION("""COMPUTED_VALUE"""),"Realty")</f>
        <v>Realty</v>
      </c>
      <c r="M333" s="6" t="str">
        <f>IFERROR(__xludf.DUMMYFUNCTION("""COMPUTED_VALUE"""),"Residential, Commercial Projects")</f>
        <v>Residential, Commercial Projects</v>
      </c>
      <c r="N333" s="5">
        <f>IFERROR(__xludf.DUMMYFUNCTION("""COMPUTED_VALUE"""),19730.0471394)</f>
        <v>19730.04714</v>
      </c>
      <c r="O333" s="6">
        <f t="shared" si="4"/>
        <v>20</v>
      </c>
      <c r="P333" s="6">
        <f t="shared" ref="P333:Q333" si="668">COUNTIFS(L:L,L333)</f>
        <v>20</v>
      </c>
      <c r="Q333" s="24">
        <f t="shared" si="668"/>
        <v>20</v>
      </c>
      <c r="R333" s="6" t="str">
        <f t="shared" si="6"/>
        <v>Realty</v>
      </c>
      <c r="S333" s="6" t="str">
        <f t="shared" si="7"/>
        <v>Realty</v>
      </c>
      <c r="T333" s="6">
        <f>IFERROR(__xludf.DUMMYFUNCTION("COUNTA(UNIQUE(query($A$2:$P$800,""select L where K='""&amp; K333&amp;""'"")))"),1.0)</f>
        <v>1</v>
      </c>
      <c r="U333" s="23">
        <f t="shared" si="8"/>
        <v>0.075</v>
      </c>
      <c r="V333" s="23">
        <f t="shared" ref="V333:W333" si="669">P333/O333</f>
        <v>1</v>
      </c>
      <c r="W333" s="23">
        <f t="shared" si="669"/>
        <v>1</v>
      </c>
    </row>
    <row r="334">
      <c r="A334" s="6">
        <f>IFERROR(__xludf.DUMMYFUNCTION("""COMPUTED_VALUE"""),539177.0)</f>
        <v>539177</v>
      </c>
      <c r="B334" s="6" t="str">
        <f>IFERROR(__xludf.DUMMYFUNCTION("""COMPUTED_VALUE"""),"Authum Investment &amp; Infrastructure Limited")</f>
        <v>Authum Investment &amp; Infrastructure Limited</v>
      </c>
      <c r="C334" s="6" t="str">
        <f>IFERROR(__xludf.DUMMYFUNCTION("""COMPUTED_VALUE"""),"AIIL")</f>
        <v>AIIL</v>
      </c>
      <c r="D334" s="6" t="str">
        <f>IFERROR(__xludf.DUMMYFUNCTION("""COMPUTED_VALUE"""),"Authum Investment &amp; Infrastructure Ltd")</f>
        <v>Authum Investment &amp; Infrastructure Ltd</v>
      </c>
      <c r="E334" s="6" t="str">
        <f>IFERROR(__xludf.DUMMYFUNCTION("""COMPUTED_VALUE"""),"Active")</f>
        <v>Active</v>
      </c>
      <c r="F334" s="6" t="str">
        <f>IFERROR(__xludf.DUMMYFUNCTION("""COMPUTED_VALUE"""),"B")</f>
        <v>B</v>
      </c>
      <c r="G334" s="6">
        <f>IFERROR(__xludf.DUMMYFUNCTION("""COMPUTED_VALUE"""),1.0)</f>
        <v>1</v>
      </c>
      <c r="H334" s="6" t="str">
        <f>IFERROR(__xludf.DUMMYFUNCTION("""COMPUTED_VALUE"""),"INE206F01022")</f>
        <v>INE206F01022</v>
      </c>
      <c r="I334" s="6" t="str">
        <f>IFERROR(__xludf.DUMMYFUNCTION("""COMPUTED_VALUE"""),"Equity")</f>
        <v>Equity</v>
      </c>
      <c r="J334" s="6" t="str">
        <f>IFERROR(__xludf.DUMMYFUNCTION("""COMPUTED_VALUE"""),"Financial Services")</f>
        <v>Financial Services</v>
      </c>
      <c r="K334" s="6" t="str">
        <f>IFERROR(__xludf.DUMMYFUNCTION("""COMPUTED_VALUE"""),"Financial Services")</f>
        <v>Financial Services</v>
      </c>
      <c r="L334" s="6" t="str">
        <f>IFERROR(__xludf.DUMMYFUNCTION("""COMPUTED_VALUE"""),"Finance")</f>
        <v>Finance</v>
      </c>
      <c r="M334" s="6" t="str">
        <f>IFERROR(__xludf.DUMMYFUNCTION("""COMPUTED_VALUE"""),"Non Banking Financial Company (NBFC)")</f>
        <v>Non Banking Financial Company (NBFC)</v>
      </c>
      <c r="N334" s="5">
        <f>IFERROR(__xludf.DUMMYFUNCTION("""COMPUTED_VALUE"""),19700.9851492)</f>
        <v>19700.98515</v>
      </c>
      <c r="O334" s="6">
        <f t="shared" si="4"/>
        <v>123</v>
      </c>
      <c r="P334" s="6">
        <f t="shared" ref="P334:Q334" si="670">COUNTIFS(L:L,L334)</f>
        <v>56</v>
      </c>
      <c r="Q334" s="24">
        <f t="shared" si="670"/>
        <v>21</v>
      </c>
      <c r="R334" s="6" t="str">
        <f t="shared" si="6"/>
        <v>Non Banking Financial Company (NBFC)</v>
      </c>
      <c r="S334" s="6" t="str">
        <f t="shared" si="7"/>
        <v>Non Banking Financial Company (NBFC)</v>
      </c>
      <c r="T334" s="6">
        <f>IFERROR(__xludf.DUMMYFUNCTION("COUNTA(UNIQUE(query($A$2:$P$800,""select L where K='""&amp; K334&amp;""'"")))"),5.0)</f>
        <v>5</v>
      </c>
      <c r="U334" s="23">
        <f t="shared" si="8"/>
        <v>0.06097560976</v>
      </c>
      <c r="V334" s="23">
        <f t="shared" ref="V334:W334" si="671">P334/O334</f>
        <v>0.4552845528</v>
      </c>
      <c r="W334" s="23">
        <f t="shared" si="671"/>
        <v>0.375</v>
      </c>
    </row>
    <row r="335">
      <c r="A335" s="6">
        <f>IFERROR(__xludf.DUMMYFUNCTION("""COMPUTED_VALUE"""),544174.0)</f>
        <v>544174</v>
      </c>
      <c r="B335" s="6" t="str">
        <f>IFERROR(__xludf.DUMMYFUNCTION("""COMPUTED_VALUE"""),"TBO TEK LIMITED")</f>
        <v>TBO TEK LIMITED</v>
      </c>
      <c r="C335" s="6" t="str">
        <f>IFERROR(__xludf.DUMMYFUNCTION("""COMPUTED_VALUE"""),"TBOTEK")</f>
        <v>TBOTEK</v>
      </c>
      <c r="D335" s="6" t="str">
        <f>IFERROR(__xludf.DUMMYFUNCTION("""COMPUTED_VALUE"""),"TBO TEK Ltd")</f>
        <v>TBO TEK Ltd</v>
      </c>
      <c r="E335" s="6" t="str">
        <f>IFERROR(__xludf.DUMMYFUNCTION("""COMPUTED_VALUE"""),"Active")</f>
        <v>Active</v>
      </c>
      <c r="F335" s="6" t="str">
        <f>IFERROR(__xludf.DUMMYFUNCTION("""COMPUTED_VALUE"""),"B")</f>
        <v>B</v>
      </c>
      <c r="G335" s="6">
        <f>IFERROR(__xludf.DUMMYFUNCTION("""COMPUTED_VALUE"""),1.0)</f>
        <v>1</v>
      </c>
      <c r="H335" s="6" t="str">
        <f>IFERROR(__xludf.DUMMYFUNCTION("""COMPUTED_VALUE"""),"INE673O01025")</f>
        <v>INE673O01025</v>
      </c>
      <c r="I335" s="6" t="str">
        <f>IFERROR(__xludf.DUMMYFUNCTION("""COMPUTED_VALUE"""),"Equity")</f>
        <v>Equity</v>
      </c>
      <c r="J335" s="6" t="str">
        <f>IFERROR(__xludf.DUMMYFUNCTION("""COMPUTED_VALUE"""),"Consumer Discretionary")</f>
        <v>Consumer Discretionary</v>
      </c>
      <c r="K335" s="6" t="str">
        <f>IFERROR(__xludf.DUMMYFUNCTION("""COMPUTED_VALUE"""),"Consumer Services")</f>
        <v>Consumer Services</v>
      </c>
      <c r="L335" s="6" t="str">
        <f>IFERROR(__xludf.DUMMYFUNCTION("""COMPUTED_VALUE"""),"Leisure Services")</f>
        <v>Leisure Services</v>
      </c>
      <c r="M335" s="6" t="str">
        <f>IFERROR(__xludf.DUMMYFUNCTION("""COMPUTED_VALUE"""),"Tour, Travel Related Services")</f>
        <v>Tour, Travel Related Services</v>
      </c>
      <c r="N335" s="5">
        <f>IFERROR(__xludf.DUMMYFUNCTION("""COMPUTED_VALUE"""),19643.713615)</f>
        <v>19643.71362</v>
      </c>
      <c r="O335" s="6">
        <f t="shared" si="4"/>
        <v>37</v>
      </c>
      <c r="P335" s="6">
        <f t="shared" ref="P335:Q335" si="672">COUNTIFS(L:L,L335)</f>
        <v>18</v>
      </c>
      <c r="Q335" s="24">
        <f t="shared" si="672"/>
        <v>5</v>
      </c>
      <c r="R335" s="6" t="str">
        <f t="shared" si="6"/>
        <v>Leisure Services</v>
      </c>
      <c r="S335" s="6" t="str">
        <f t="shared" si="7"/>
        <v>Leisure Services</v>
      </c>
      <c r="T335" s="6">
        <f>IFERROR(__xludf.DUMMYFUNCTION("COUNTA(UNIQUE(query($A$2:$P$800,""select L where K='""&amp; K335&amp;""'"")))"),3.0)</f>
        <v>3</v>
      </c>
      <c r="U335" s="23">
        <f t="shared" si="8"/>
        <v>0.1216216216</v>
      </c>
      <c r="V335" s="23">
        <f t="shared" ref="V335:W335" si="673">P335/O335</f>
        <v>0.4864864865</v>
      </c>
      <c r="W335" s="23">
        <f t="shared" si="673"/>
        <v>0.2777777778</v>
      </c>
    </row>
    <row r="336">
      <c r="A336" s="6">
        <f>IFERROR(__xludf.DUMMYFUNCTION("""COMPUTED_VALUE"""),532400.0)</f>
        <v>532400</v>
      </c>
      <c r="B336" s="6" t="str">
        <f>IFERROR(__xludf.DUMMYFUNCTION("""COMPUTED_VALUE"""),"BIRLASOFT LIMITED")</f>
        <v>BIRLASOFT LIMITED</v>
      </c>
      <c r="C336" s="6" t="str">
        <f>IFERROR(__xludf.DUMMYFUNCTION("""COMPUTED_VALUE"""),"BSOFT")</f>
        <v>BSOFT</v>
      </c>
      <c r="D336" s="6" t="str">
        <f>IFERROR(__xludf.DUMMYFUNCTION("""COMPUTED_VALUE"""),"Birlasoft Ltd")</f>
        <v>Birlasoft Ltd</v>
      </c>
      <c r="E336" s="6" t="str">
        <f>IFERROR(__xludf.DUMMYFUNCTION("""COMPUTED_VALUE"""),"Active")</f>
        <v>Active</v>
      </c>
      <c r="F336" s="6" t="str">
        <f>IFERROR(__xludf.DUMMYFUNCTION("""COMPUTED_VALUE"""),"A")</f>
        <v>A</v>
      </c>
      <c r="G336" s="6">
        <f>IFERROR(__xludf.DUMMYFUNCTION("""COMPUTED_VALUE"""),2.0)</f>
        <v>2</v>
      </c>
      <c r="H336" s="6" t="str">
        <f>IFERROR(__xludf.DUMMYFUNCTION("""COMPUTED_VALUE"""),"INE836A01035")</f>
        <v>INE836A01035</v>
      </c>
      <c r="I336" s="6" t="str">
        <f>IFERROR(__xludf.DUMMYFUNCTION("""COMPUTED_VALUE"""),"Equity")</f>
        <v>Equity</v>
      </c>
      <c r="J336" s="6" t="str">
        <f>IFERROR(__xludf.DUMMYFUNCTION("""COMPUTED_VALUE"""),"Information Technology")</f>
        <v>Information Technology</v>
      </c>
      <c r="K336" s="6" t="str">
        <f>IFERROR(__xludf.DUMMYFUNCTION("""COMPUTED_VALUE"""),"Information Technology")</f>
        <v>Information Technology</v>
      </c>
      <c r="L336" s="6" t="str">
        <f>IFERROR(__xludf.DUMMYFUNCTION("""COMPUTED_VALUE"""),"IT - Software")</f>
        <v>IT - Software</v>
      </c>
      <c r="M336" s="6" t="str">
        <f>IFERROR(__xludf.DUMMYFUNCTION("""COMPUTED_VALUE"""),"Computers - Software &amp; Consulting")</f>
        <v>Computers - Software &amp; Consulting</v>
      </c>
      <c r="N336" s="5">
        <f>IFERROR(__xludf.DUMMYFUNCTION("""COMPUTED_VALUE"""),19590.8130116)</f>
        <v>19590.81301</v>
      </c>
      <c r="O336" s="6">
        <f t="shared" si="4"/>
        <v>36</v>
      </c>
      <c r="P336" s="6">
        <f t="shared" ref="P336:Q336" si="674">COUNTIFS(L:L,L336)</f>
        <v>27</v>
      </c>
      <c r="Q336" s="24">
        <f t="shared" si="674"/>
        <v>22</v>
      </c>
      <c r="R336" s="6" t="str">
        <f t="shared" si="6"/>
        <v>Information Technology</v>
      </c>
      <c r="S336" s="6" t="str">
        <f t="shared" si="7"/>
        <v>Information Technology</v>
      </c>
      <c r="T336" s="6">
        <f>IFERROR(__xludf.DUMMYFUNCTION("COUNTA(UNIQUE(query($A$2:$P$800,""select L where K='""&amp; K336&amp;""'"")))"),3.0)</f>
        <v>3</v>
      </c>
      <c r="U336" s="23">
        <f t="shared" si="8"/>
        <v>0.125</v>
      </c>
      <c r="V336" s="23">
        <f t="shared" ref="V336:W336" si="675">P336/O336</f>
        <v>0.75</v>
      </c>
      <c r="W336" s="23">
        <f t="shared" si="675"/>
        <v>0.8148148148</v>
      </c>
    </row>
    <row r="337">
      <c r="A337" s="6">
        <f>IFERROR(__xludf.DUMMYFUNCTION("""COMPUTED_VALUE"""),500043.0)</f>
        <v>500043</v>
      </c>
      <c r="B337" s="6" t="str">
        <f>IFERROR(__xludf.DUMMYFUNCTION("""COMPUTED_VALUE"""),"Bata India Limited")</f>
        <v>Bata India Limited</v>
      </c>
      <c r="C337" s="6" t="str">
        <f>IFERROR(__xludf.DUMMYFUNCTION("""COMPUTED_VALUE"""),"BATAINDIA")</f>
        <v>BATAINDIA</v>
      </c>
      <c r="D337" s="6" t="str">
        <f>IFERROR(__xludf.DUMMYFUNCTION("""COMPUTED_VALUE"""),"BATA INDIA LTD.")</f>
        <v>BATA INDIA LTD.</v>
      </c>
      <c r="E337" s="6" t="str">
        <f>IFERROR(__xludf.DUMMYFUNCTION("""COMPUTED_VALUE"""),"Active")</f>
        <v>Active</v>
      </c>
      <c r="F337" s="6" t="str">
        <f>IFERROR(__xludf.DUMMYFUNCTION("""COMPUTED_VALUE"""),"A")</f>
        <v>A</v>
      </c>
      <c r="G337" s="6">
        <f>IFERROR(__xludf.DUMMYFUNCTION("""COMPUTED_VALUE"""),5.0)</f>
        <v>5</v>
      </c>
      <c r="H337" s="6" t="str">
        <f>IFERROR(__xludf.DUMMYFUNCTION("""COMPUTED_VALUE"""),"INE176A01028")</f>
        <v>INE176A01028</v>
      </c>
      <c r="I337" s="6" t="str">
        <f>IFERROR(__xludf.DUMMYFUNCTION("""COMPUTED_VALUE"""),"Equity")</f>
        <v>Equity</v>
      </c>
      <c r="J337" s="6" t="str">
        <f>IFERROR(__xludf.DUMMYFUNCTION("""COMPUTED_VALUE"""),"Consumer Discretionary")</f>
        <v>Consumer Discretionary</v>
      </c>
      <c r="K337" s="6" t="str">
        <f>IFERROR(__xludf.DUMMYFUNCTION("""COMPUTED_VALUE"""),"Consumer Durables")</f>
        <v>Consumer Durables</v>
      </c>
      <c r="L337" s="6" t="str">
        <f>IFERROR(__xludf.DUMMYFUNCTION("""COMPUTED_VALUE"""),"Consumer Durables")</f>
        <v>Consumer Durables</v>
      </c>
      <c r="M337" s="6" t="str">
        <f>IFERROR(__xludf.DUMMYFUNCTION("""COMPUTED_VALUE"""),"Footwear")</f>
        <v>Footwear</v>
      </c>
      <c r="N337" s="5">
        <f>IFERROR(__xludf.DUMMYFUNCTION("""COMPUTED_VALUE"""),19505.2741675)</f>
        <v>19505.27417</v>
      </c>
      <c r="O337" s="6">
        <f t="shared" si="4"/>
        <v>42</v>
      </c>
      <c r="P337" s="6">
        <f t="shared" ref="P337:Q337" si="676">COUNTIFS(L:L,L337)</f>
        <v>42</v>
      </c>
      <c r="Q337" s="24">
        <f t="shared" si="676"/>
        <v>5</v>
      </c>
      <c r="R337" s="6" t="str">
        <f t="shared" si="6"/>
        <v>Consumer Durables</v>
      </c>
      <c r="S337" s="6" t="str">
        <f t="shared" si="7"/>
        <v>Consumer Durables</v>
      </c>
      <c r="T337" s="6">
        <f>IFERROR(__xludf.DUMMYFUNCTION("COUNTA(UNIQUE(query($A$2:$P$800,""select L where K='""&amp; K337&amp;""'"")))"),1.0)</f>
        <v>1</v>
      </c>
      <c r="U337" s="23">
        <f t="shared" si="8"/>
        <v>0.03571428571</v>
      </c>
      <c r="V337" s="23">
        <f t="shared" ref="V337:W337" si="677">P337/O337</f>
        <v>1</v>
      </c>
      <c r="W337" s="23">
        <f t="shared" si="677"/>
        <v>0.119047619</v>
      </c>
    </row>
    <row r="338">
      <c r="A338" s="6">
        <f>IFERROR(__xludf.DUMMYFUNCTION("""COMPUTED_VALUE"""),544012.0)</f>
        <v>544012</v>
      </c>
      <c r="B338" s="6" t="str">
        <f>IFERROR(__xludf.DUMMYFUNCTION("""COMPUTED_VALUE"""),"Cello World Limited")</f>
        <v>Cello World Limited</v>
      </c>
      <c r="C338" s="6" t="str">
        <f>IFERROR(__xludf.DUMMYFUNCTION("""COMPUTED_VALUE"""),"CELLO")</f>
        <v>CELLO</v>
      </c>
      <c r="D338" s="6" t="str">
        <f>IFERROR(__xludf.DUMMYFUNCTION("""COMPUTED_VALUE"""),"Cello World Ltd")</f>
        <v>Cello World Ltd</v>
      </c>
      <c r="E338" s="6" t="str">
        <f>IFERROR(__xludf.DUMMYFUNCTION("""COMPUTED_VALUE"""),"Active")</f>
        <v>Active</v>
      </c>
      <c r="F338" s="6" t="str">
        <f>IFERROR(__xludf.DUMMYFUNCTION("""COMPUTED_VALUE"""),"B")</f>
        <v>B</v>
      </c>
      <c r="G338" s="6">
        <f>IFERROR(__xludf.DUMMYFUNCTION("""COMPUTED_VALUE"""),5.0)</f>
        <v>5</v>
      </c>
      <c r="H338" s="6" t="str">
        <f>IFERROR(__xludf.DUMMYFUNCTION("""COMPUTED_VALUE"""),"INE0LMW01024")</f>
        <v>INE0LMW01024</v>
      </c>
      <c r="I338" s="6" t="str">
        <f>IFERROR(__xludf.DUMMYFUNCTION("""COMPUTED_VALUE"""),"Equity")</f>
        <v>Equity</v>
      </c>
      <c r="J338" s="6" t="str">
        <f>IFERROR(__xludf.DUMMYFUNCTION("""COMPUTED_VALUE"""),"Consumer Discretionary")</f>
        <v>Consumer Discretionary</v>
      </c>
      <c r="K338" s="6" t="str">
        <f>IFERROR(__xludf.DUMMYFUNCTION("""COMPUTED_VALUE"""),"Consumer Durables")</f>
        <v>Consumer Durables</v>
      </c>
      <c r="L338" s="6" t="str">
        <f>IFERROR(__xludf.DUMMYFUNCTION("""COMPUTED_VALUE"""),"Consumer Durables")</f>
        <v>Consumer Durables</v>
      </c>
      <c r="M338" s="6" t="str">
        <f>IFERROR(__xludf.DUMMYFUNCTION("""COMPUTED_VALUE"""),"Houseware")</f>
        <v>Houseware</v>
      </c>
      <c r="N338" s="5">
        <f>IFERROR(__xludf.DUMMYFUNCTION("""COMPUTED_VALUE"""),19439.0558058)</f>
        <v>19439.05581</v>
      </c>
      <c r="O338" s="6">
        <f t="shared" si="4"/>
        <v>42</v>
      </c>
      <c r="P338" s="6">
        <f t="shared" ref="P338:Q338" si="678">COUNTIFS(L:L,L338)</f>
        <v>42</v>
      </c>
      <c r="Q338" s="24">
        <f t="shared" si="678"/>
        <v>1</v>
      </c>
      <c r="R338" s="6" t="str">
        <f t="shared" si="6"/>
        <v>Consumer Durables</v>
      </c>
      <c r="S338" s="6" t="str">
        <f t="shared" si="7"/>
        <v>Consumer Durables</v>
      </c>
      <c r="T338" s="6">
        <f>IFERROR(__xludf.DUMMYFUNCTION("COUNTA(UNIQUE(query($A$2:$P$800,""select L where K='""&amp; K338&amp;""'"")))"),1.0)</f>
        <v>1</v>
      </c>
      <c r="U338" s="23">
        <f t="shared" si="8"/>
        <v>0.03571428571</v>
      </c>
      <c r="V338" s="23">
        <f t="shared" ref="V338:W338" si="679">P338/O338</f>
        <v>1</v>
      </c>
      <c r="W338" s="23">
        <f t="shared" si="679"/>
        <v>0.02380952381</v>
      </c>
    </row>
    <row r="339">
      <c r="A339" s="6">
        <f>IFERROR(__xludf.DUMMYFUNCTION("""COMPUTED_VALUE"""),500260.0)</f>
        <v>500260</v>
      </c>
      <c r="B339" s="6" t="str">
        <f>IFERROR(__xludf.DUMMYFUNCTION("""COMPUTED_VALUE"""),"The Ramco Cements Limited")</f>
        <v>The Ramco Cements Limited</v>
      </c>
      <c r="C339" s="6" t="str">
        <f>IFERROR(__xludf.DUMMYFUNCTION("""COMPUTED_VALUE"""),"RAMCOCEM")</f>
        <v>RAMCOCEM</v>
      </c>
      <c r="D339" s="6" t="str">
        <f>IFERROR(__xludf.DUMMYFUNCTION("""COMPUTED_VALUE"""),"The Ramco Cements Limited")</f>
        <v>The Ramco Cements Limited</v>
      </c>
      <c r="E339" s="6" t="str">
        <f>IFERROR(__xludf.DUMMYFUNCTION("""COMPUTED_VALUE"""),"Active")</f>
        <v>Active</v>
      </c>
      <c r="F339" s="6" t="str">
        <f>IFERROR(__xludf.DUMMYFUNCTION("""COMPUTED_VALUE"""),"A")</f>
        <v>A</v>
      </c>
      <c r="G339" s="6">
        <f>IFERROR(__xludf.DUMMYFUNCTION("""COMPUTED_VALUE"""),1.0)</f>
        <v>1</v>
      </c>
      <c r="H339" s="6" t="str">
        <f>IFERROR(__xludf.DUMMYFUNCTION("""COMPUTED_VALUE"""),"INE331A01037")</f>
        <v>INE331A01037</v>
      </c>
      <c r="I339" s="6" t="str">
        <f>IFERROR(__xludf.DUMMYFUNCTION("""COMPUTED_VALUE"""),"Equity")</f>
        <v>Equity</v>
      </c>
      <c r="J339" s="6" t="str">
        <f>IFERROR(__xludf.DUMMYFUNCTION("""COMPUTED_VALUE"""),"Commodities")</f>
        <v>Commodities</v>
      </c>
      <c r="K339" s="6" t="str">
        <f>IFERROR(__xludf.DUMMYFUNCTION("""COMPUTED_VALUE"""),"Construction Materials")</f>
        <v>Construction Materials</v>
      </c>
      <c r="L339" s="6" t="str">
        <f>IFERROR(__xludf.DUMMYFUNCTION("""COMPUTED_VALUE"""),"Cement &amp; Cement Products")</f>
        <v>Cement &amp; Cement Products</v>
      </c>
      <c r="M339" s="6" t="str">
        <f>IFERROR(__xludf.DUMMYFUNCTION("""COMPUTED_VALUE"""),"Cement &amp; Cement Products")</f>
        <v>Cement &amp; Cement Products</v>
      </c>
      <c r="N339" s="5">
        <f>IFERROR(__xludf.DUMMYFUNCTION("""COMPUTED_VALUE"""),19426.9092031)</f>
        <v>19426.9092</v>
      </c>
      <c r="O339" s="6">
        <f t="shared" si="4"/>
        <v>17</v>
      </c>
      <c r="P339" s="6">
        <f t="shared" ref="P339:Q339" si="680">COUNTIFS(L:L,L339)</f>
        <v>17</v>
      </c>
      <c r="Q339" s="24">
        <f t="shared" si="680"/>
        <v>17</v>
      </c>
      <c r="R339" s="6" t="str">
        <f t="shared" si="6"/>
        <v>Construction Materials</v>
      </c>
      <c r="S339" s="6" t="str">
        <f t="shared" si="7"/>
        <v>Construction Materials</v>
      </c>
      <c r="T339" s="6">
        <f>IFERROR(__xludf.DUMMYFUNCTION("COUNTA(UNIQUE(query($A$2:$P$800,""select L where K='""&amp; K339&amp;""'"")))"),1.0)</f>
        <v>1</v>
      </c>
      <c r="U339" s="23">
        <f t="shared" si="8"/>
        <v>0.08823529412</v>
      </c>
      <c r="V339" s="23">
        <f t="shared" ref="V339:W339" si="681">P339/O339</f>
        <v>1</v>
      </c>
      <c r="W339" s="23">
        <f t="shared" si="681"/>
        <v>1</v>
      </c>
    </row>
    <row r="340">
      <c r="A340" s="6">
        <f>IFERROR(__xludf.DUMMYFUNCTION("""COMPUTED_VALUE"""),532659.0)</f>
        <v>532659</v>
      </c>
      <c r="B340" s="6" t="str">
        <f>IFERROR(__xludf.DUMMYFUNCTION("""COMPUTED_VALUE"""),"IDFC LIMITED")</f>
        <v>IDFC LIMITED</v>
      </c>
      <c r="C340" s="6" t="str">
        <f>IFERROR(__xludf.DUMMYFUNCTION("""COMPUTED_VALUE"""),"IDFC")</f>
        <v>IDFC</v>
      </c>
      <c r="D340" s="6" t="str">
        <f>IFERROR(__xludf.DUMMYFUNCTION("""COMPUTED_VALUE"""),"IDFC LIMITED")</f>
        <v>IDFC LIMITED</v>
      </c>
      <c r="E340" s="6" t="str">
        <f>IFERROR(__xludf.DUMMYFUNCTION("""COMPUTED_VALUE"""),"Active")</f>
        <v>Active</v>
      </c>
      <c r="F340" s="6" t="str">
        <f>IFERROR(__xludf.DUMMYFUNCTION("""COMPUTED_VALUE"""),"A")</f>
        <v>A</v>
      </c>
      <c r="G340" s="6">
        <f>IFERROR(__xludf.DUMMYFUNCTION("""COMPUTED_VALUE"""),10.0)</f>
        <v>10</v>
      </c>
      <c r="H340" s="6" t="str">
        <f>IFERROR(__xludf.DUMMYFUNCTION("""COMPUTED_VALUE"""),"INE043D01016")</f>
        <v>INE043D01016</v>
      </c>
      <c r="I340" s="6" t="str">
        <f>IFERROR(__xludf.DUMMYFUNCTION("""COMPUTED_VALUE"""),"Equity")</f>
        <v>Equity</v>
      </c>
      <c r="J340" s="6" t="str">
        <f>IFERROR(__xludf.DUMMYFUNCTION("""COMPUTED_VALUE"""),"Financial Services")</f>
        <v>Financial Services</v>
      </c>
      <c r="K340" s="6" t="str">
        <f>IFERROR(__xludf.DUMMYFUNCTION("""COMPUTED_VALUE"""),"Financial Services")</f>
        <v>Financial Services</v>
      </c>
      <c r="L340" s="6" t="str">
        <f>IFERROR(__xludf.DUMMYFUNCTION("""COMPUTED_VALUE"""),"Finance")</f>
        <v>Finance</v>
      </c>
      <c r="M340" s="6" t="str">
        <f>IFERROR(__xludf.DUMMYFUNCTION("""COMPUTED_VALUE"""),"Holding Company")</f>
        <v>Holding Company</v>
      </c>
      <c r="N340" s="5">
        <f>IFERROR(__xludf.DUMMYFUNCTION("""COMPUTED_VALUE"""),19265.5562568)</f>
        <v>19265.55626</v>
      </c>
      <c r="O340" s="6">
        <f t="shared" si="4"/>
        <v>123</v>
      </c>
      <c r="P340" s="6">
        <f t="shared" ref="P340:Q340" si="682">COUNTIFS(L:L,L340)</f>
        <v>56</v>
      </c>
      <c r="Q340" s="24">
        <f t="shared" si="682"/>
        <v>8</v>
      </c>
      <c r="R340" s="6" t="str">
        <f t="shared" si="6"/>
        <v>Finance</v>
      </c>
      <c r="S340" s="6" t="str">
        <f t="shared" si="7"/>
        <v>Finance</v>
      </c>
      <c r="T340" s="6">
        <f>IFERROR(__xludf.DUMMYFUNCTION("COUNTA(UNIQUE(query($A$2:$P$800,""select L where K='""&amp; K340&amp;""'"")))"),5.0)</f>
        <v>5</v>
      </c>
      <c r="U340" s="23">
        <f t="shared" si="8"/>
        <v>0.06097560976</v>
      </c>
      <c r="V340" s="23">
        <f t="shared" ref="V340:W340" si="683">P340/O340</f>
        <v>0.4552845528</v>
      </c>
      <c r="W340" s="23">
        <f t="shared" si="683"/>
        <v>0.1428571429</v>
      </c>
    </row>
    <row r="341">
      <c r="A341" s="6">
        <f>IFERROR(__xludf.DUMMYFUNCTION("""COMPUTED_VALUE"""),500027.0)</f>
        <v>500027</v>
      </c>
      <c r="B341" s="6" t="str">
        <f>IFERROR(__xludf.DUMMYFUNCTION("""COMPUTED_VALUE"""),"Atul Limited.")</f>
        <v>Atul Limited.</v>
      </c>
      <c r="C341" s="6" t="str">
        <f>IFERROR(__xludf.DUMMYFUNCTION("""COMPUTED_VALUE"""),"ATUL")</f>
        <v>ATUL</v>
      </c>
      <c r="D341" s="6" t="str">
        <f>IFERROR(__xludf.DUMMYFUNCTION("""COMPUTED_VALUE"""),"ATUL LTD.")</f>
        <v>ATUL LTD.</v>
      </c>
      <c r="E341" s="6" t="str">
        <f>IFERROR(__xludf.DUMMYFUNCTION("""COMPUTED_VALUE"""),"Active")</f>
        <v>Active</v>
      </c>
      <c r="F341" s="6" t="str">
        <f>IFERROR(__xludf.DUMMYFUNCTION("""COMPUTED_VALUE"""),"A")</f>
        <v>A</v>
      </c>
      <c r="G341" s="6">
        <f>IFERROR(__xludf.DUMMYFUNCTION("""COMPUTED_VALUE"""),10.0)</f>
        <v>10</v>
      </c>
      <c r="H341" s="6" t="str">
        <f>IFERROR(__xludf.DUMMYFUNCTION("""COMPUTED_VALUE"""),"INE100A01010")</f>
        <v>INE100A01010</v>
      </c>
      <c r="I341" s="6" t="str">
        <f>IFERROR(__xludf.DUMMYFUNCTION("""COMPUTED_VALUE"""),"Equity")</f>
        <v>Equity</v>
      </c>
      <c r="J341" s="6" t="str">
        <f>IFERROR(__xludf.DUMMYFUNCTION("""COMPUTED_VALUE"""),"Commodities")</f>
        <v>Commodities</v>
      </c>
      <c r="K341" s="6" t="str">
        <f>IFERROR(__xludf.DUMMYFUNCTION("""COMPUTED_VALUE"""),"Chemicals")</f>
        <v>Chemicals</v>
      </c>
      <c r="L341" s="6" t="str">
        <f>IFERROR(__xludf.DUMMYFUNCTION("""COMPUTED_VALUE"""),"Chemicals &amp; Petrochemicals")</f>
        <v>Chemicals &amp; Petrochemicals</v>
      </c>
      <c r="M341" s="6" t="str">
        <f>IFERROR(__xludf.DUMMYFUNCTION("""COMPUTED_VALUE"""),"Specialty Chemicals")</f>
        <v>Specialty Chemicals</v>
      </c>
      <c r="N341" s="5">
        <f>IFERROR(__xludf.DUMMYFUNCTION("""COMPUTED_VALUE"""),19156.8292062)</f>
        <v>19156.82921</v>
      </c>
      <c r="O341" s="6">
        <f t="shared" si="4"/>
        <v>52</v>
      </c>
      <c r="P341" s="6">
        <f t="shared" ref="P341:Q341" si="684">COUNTIFS(L:L,L341)</f>
        <v>37</v>
      </c>
      <c r="Q341" s="24">
        <f t="shared" si="684"/>
        <v>25</v>
      </c>
      <c r="R341" s="6" t="str">
        <f t="shared" si="6"/>
        <v>Chemicals</v>
      </c>
      <c r="S341" s="6" t="str">
        <f t="shared" si="7"/>
        <v>Chemicals</v>
      </c>
      <c r="T341" s="6">
        <f>IFERROR(__xludf.DUMMYFUNCTION("COUNTA(UNIQUE(query($A$2:$P$800,""select L where K='""&amp; K341&amp;""'"")))"),2.0)</f>
        <v>2</v>
      </c>
      <c r="U341" s="23">
        <f t="shared" si="8"/>
        <v>0.05769230769</v>
      </c>
      <c r="V341" s="23">
        <f t="shared" ref="V341:W341" si="685">P341/O341</f>
        <v>0.7115384615</v>
      </c>
      <c r="W341" s="23">
        <f t="shared" si="685"/>
        <v>0.6756756757</v>
      </c>
    </row>
    <row r="342">
      <c r="A342" s="6">
        <f>IFERROR(__xludf.DUMMYFUNCTION("""COMPUTED_VALUE"""),522287.0)</f>
        <v>522287</v>
      </c>
      <c r="B342" s="6" t="str">
        <f>IFERROR(__xludf.DUMMYFUNCTION("""COMPUTED_VALUE"""),"KALPATARU PROJECTS INTERNATIONAL LIMITED")</f>
        <v>KALPATARU PROJECTS INTERNATIONAL LIMITED</v>
      </c>
      <c r="C342" s="6" t="str">
        <f>IFERROR(__xludf.DUMMYFUNCTION("""COMPUTED_VALUE"""),"KPIL")</f>
        <v>KPIL</v>
      </c>
      <c r="D342" s="6" t="str">
        <f>IFERROR(__xludf.DUMMYFUNCTION("""COMPUTED_VALUE"""),"Kalpataru Projects International Ltd")</f>
        <v>Kalpataru Projects International Ltd</v>
      </c>
      <c r="E342" s="6" t="str">
        <f>IFERROR(__xludf.DUMMYFUNCTION("""COMPUTED_VALUE"""),"Active")</f>
        <v>Active</v>
      </c>
      <c r="F342" s="6" t="str">
        <f>IFERROR(__xludf.DUMMYFUNCTION("""COMPUTED_VALUE"""),"A")</f>
        <v>A</v>
      </c>
      <c r="G342" s="6">
        <f>IFERROR(__xludf.DUMMYFUNCTION("""COMPUTED_VALUE"""),2.0)</f>
        <v>2</v>
      </c>
      <c r="H342" s="6" t="str">
        <f>IFERROR(__xludf.DUMMYFUNCTION("""COMPUTED_VALUE"""),"INE220B01022")</f>
        <v>INE220B01022</v>
      </c>
      <c r="I342" s="6" t="str">
        <f>IFERROR(__xludf.DUMMYFUNCTION("""COMPUTED_VALUE"""),"Equity")</f>
        <v>Equity</v>
      </c>
      <c r="J342" s="6" t="str">
        <f>IFERROR(__xludf.DUMMYFUNCTION("""COMPUTED_VALUE"""),"Industrials")</f>
        <v>Industrials</v>
      </c>
      <c r="K342" s="6" t="str">
        <f>IFERROR(__xludf.DUMMYFUNCTION("""COMPUTED_VALUE"""),"Construction")</f>
        <v>Construction</v>
      </c>
      <c r="L342" s="6" t="str">
        <f>IFERROR(__xludf.DUMMYFUNCTION("""COMPUTED_VALUE"""),"Construction")</f>
        <v>Construction</v>
      </c>
      <c r="M342" s="6" t="str">
        <f>IFERROR(__xludf.DUMMYFUNCTION("""COMPUTED_VALUE"""),"Civil Construction")</f>
        <v>Civil Construction</v>
      </c>
      <c r="N342" s="5">
        <f>IFERROR(__xludf.DUMMYFUNCTION("""COMPUTED_VALUE"""),19098.79)</f>
        <v>19098.79</v>
      </c>
      <c r="O342" s="6">
        <f t="shared" si="4"/>
        <v>27</v>
      </c>
      <c r="P342" s="6">
        <f t="shared" ref="P342:Q342" si="686">COUNTIFS(L:L,L342)</f>
        <v>27</v>
      </c>
      <c r="Q342" s="24">
        <f t="shared" si="686"/>
        <v>27</v>
      </c>
      <c r="R342" s="6" t="str">
        <f t="shared" si="6"/>
        <v>Construction</v>
      </c>
      <c r="S342" s="6" t="str">
        <f t="shared" si="7"/>
        <v>Construction</v>
      </c>
      <c r="T342" s="6">
        <f>IFERROR(__xludf.DUMMYFUNCTION("COUNTA(UNIQUE(query($A$2:$P$800,""select L where K='""&amp; K342&amp;""'"")))"),1.0)</f>
        <v>1</v>
      </c>
      <c r="U342" s="23">
        <f t="shared" si="8"/>
        <v>0.05555555556</v>
      </c>
      <c r="V342" s="23">
        <f t="shared" ref="V342:W342" si="687">P342/O342</f>
        <v>1</v>
      </c>
      <c r="W342" s="23">
        <f t="shared" si="687"/>
        <v>1</v>
      </c>
    </row>
    <row r="343">
      <c r="A343" s="6">
        <f>IFERROR(__xludf.DUMMYFUNCTION("""COMPUTED_VALUE"""),500048.0)</f>
        <v>500048</v>
      </c>
      <c r="B343" s="6" t="str">
        <f>IFERROR(__xludf.DUMMYFUNCTION("""COMPUTED_VALUE"""),"BEML Ltd")</f>
        <v>BEML Ltd</v>
      </c>
      <c r="C343" s="6" t="str">
        <f>IFERROR(__xludf.DUMMYFUNCTION("""COMPUTED_VALUE"""),"BEML")</f>
        <v>BEML</v>
      </c>
      <c r="D343" s="6" t="str">
        <f>IFERROR(__xludf.DUMMYFUNCTION("""COMPUTED_VALUE"""),"BEML LTD.")</f>
        <v>BEML LTD.</v>
      </c>
      <c r="E343" s="6" t="str">
        <f>IFERROR(__xludf.DUMMYFUNCTION("""COMPUTED_VALUE"""),"Active")</f>
        <v>Active</v>
      </c>
      <c r="F343" s="6" t="str">
        <f>IFERROR(__xludf.DUMMYFUNCTION("""COMPUTED_VALUE"""),"A")</f>
        <v>A</v>
      </c>
      <c r="G343" s="6">
        <f>IFERROR(__xludf.DUMMYFUNCTION("""COMPUTED_VALUE"""),10.0)</f>
        <v>10</v>
      </c>
      <c r="H343" s="6" t="str">
        <f>IFERROR(__xludf.DUMMYFUNCTION("""COMPUTED_VALUE"""),"INE258A01016")</f>
        <v>INE258A01016</v>
      </c>
      <c r="I343" s="6" t="str">
        <f>IFERROR(__xludf.DUMMYFUNCTION("""COMPUTED_VALUE"""),"Equity")</f>
        <v>Equity</v>
      </c>
      <c r="J343" s="6" t="str">
        <f>IFERROR(__xludf.DUMMYFUNCTION("""COMPUTED_VALUE"""),"Industrials")</f>
        <v>Industrials</v>
      </c>
      <c r="K343" s="6" t="str">
        <f>IFERROR(__xludf.DUMMYFUNCTION("""COMPUTED_VALUE"""),"Capital Goods")</f>
        <v>Capital Goods</v>
      </c>
      <c r="L343" s="6" t="str">
        <f>IFERROR(__xludf.DUMMYFUNCTION("""COMPUTED_VALUE"""),"Agricultural, Commercial &amp; Construction Vehicles")</f>
        <v>Agricultural, Commercial &amp; Construction Vehicles</v>
      </c>
      <c r="M343" s="6" t="str">
        <f>IFERROR(__xludf.DUMMYFUNCTION("""COMPUTED_VALUE"""),"Construction Vehicles")</f>
        <v>Construction Vehicles</v>
      </c>
      <c r="N343" s="5">
        <f>IFERROR(__xludf.DUMMYFUNCTION("""COMPUTED_VALUE"""),18981.3507629)</f>
        <v>18981.35076</v>
      </c>
      <c r="O343" s="6">
        <f t="shared" si="4"/>
        <v>110</v>
      </c>
      <c r="P343" s="6">
        <f t="shared" ref="P343:Q343" si="688">COUNTIFS(L:L,L343)</f>
        <v>5</v>
      </c>
      <c r="Q343" s="24">
        <f t="shared" si="688"/>
        <v>3</v>
      </c>
      <c r="R343" s="6" t="str">
        <f t="shared" si="6"/>
        <v>Capital Goods</v>
      </c>
      <c r="S343" s="6" t="str">
        <f t="shared" si="7"/>
        <v>Capital Goods</v>
      </c>
      <c r="T343" s="6">
        <f>IFERROR(__xludf.DUMMYFUNCTION("COUNTA(UNIQUE(query($A$2:$P$800,""select L where K='""&amp; K343&amp;""'"")))"),5.0)</f>
        <v>5</v>
      </c>
      <c r="U343" s="23">
        <f t="shared" si="8"/>
        <v>0.06818181818</v>
      </c>
      <c r="V343" s="23">
        <f t="shared" ref="V343:W343" si="689">P343/O343</f>
        <v>0.04545454545</v>
      </c>
      <c r="W343" s="23">
        <f t="shared" si="689"/>
        <v>0.6</v>
      </c>
    </row>
    <row r="344">
      <c r="A344" s="6">
        <f>IFERROR(__xludf.DUMMYFUNCTION("""COMPUTED_VALUE"""),526612.0)</f>
        <v>526612</v>
      </c>
      <c r="B344" s="6" t="str">
        <f>IFERROR(__xludf.DUMMYFUNCTION("""COMPUTED_VALUE"""),"Blue Dart Express Ltd.")</f>
        <v>Blue Dart Express Ltd.</v>
      </c>
      <c r="C344" s="6" t="str">
        <f>IFERROR(__xludf.DUMMYFUNCTION("""COMPUTED_VALUE"""),"BLUEDART")</f>
        <v>BLUEDART</v>
      </c>
      <c r="D344" s="6" t="str">
        <f>IFERROR(__xludf.DUMMYFUNCTION("""COMPUTED_VALUE"""),"BLUE DART EXPRESS LTD.")</f>
        <v>BLUE DART EXPRESS LTD.</v>
      </c>
      <c r="E344" s="6" t="str">
        <f>IFERROR(__xludf.DUMMYFUNCTION("""COMPUTED_VALUE"""),"Active")</f>
        <v>Active</v>
      </c>
      <c r="F344" s="6" t="str">
        <f>IFERROR(__xludf.DUMMYFUNCTION("""COMPUTED_VALUE"""),"A")</f>
        <v>A</v>
      </c>
      <c r="G344" s="6">
        <f>IFERROR(__xludf.DUMMYFUNCTION("""COMPUTED_VALUE"""),10.0)</f>
        <v>10</v>
      </c>
      <c r="H344" s="6" t="str">
        <f>IFERROR(__xludf.DUMMYFUNCTION("""COMPUTED_VALUE"""),"INE233B01017")</f>
        <v>INE233B01017</v>
      </c>
      <c r="I344" s="6" t="str">
        <f>IFERROR(__xludf.DUMMYFUNCTION("""COMPUTED_VALUE"""),"Equity")</f>
        <v>Equity</v>
      </c>
      <c r="J344" s="6" t="str">
        <f>IFERROR(__xludf.DUMMYFUNCTION("""COMPUTED_VALUE"""),"Services")</f>
        <v>Services</v>
      </c>
      <c r="K344" s="6" t="str">
        <f>IFERROR(__xludf.DUMMYFUNCTION("""COMPUTED_VALUE"""),"Services")</f>
        <v>Services</v>
      </c>
      <c r="L344" s="6" t="str">
        <f>IFERROR(__xludf.DUMMYFUNCTION("""COMPUTED_VALUE"""),"Transport Services")</f>
        <v>Transport Services</v>
      </c>
      <c r="M344" s="6" t="str">
        <f>IFERROR(__xludf.DUMMYFUNCTION("""COMPUTED_VALUE"""),"Logistics Solution Provider")</f>
        <v>Logistics Solution Provider</v>
      </c>
      <c r="N344" s="5">
        <f>IFERROR(__xludf.DUMMYFUNCTION("""COMPUTED_VALUE"""),18973.5169015)</f>
        <v>18973.5169</v>
      </c>
      <c r="O344" s="6">
        <f t="shared" si="4"/>
        <v>27</v>
      </c>
      <c r="P344" s="6">
        <f t="shared" ref="P344:Q344" si="690">COUNTIFS(L:L,L344)</f>
        <v>12</v>
      </c>
      <c r="Q344" s="24">
        <f t="shared" si="690"/>
        <v>9</v>
      </c>
      <c r="R344" s="6" t="str">
        <f t="shared" si="6"/>
        <v>Services</v>
      </c>
      <c r="S344" s="6" t="str">
        <f t="shared" si="7"/>
        <v>Services</v>
      </c>
      <c r="T344" s="6">
        <f>IFERROR(__xludf.DUMMYFUNCTION("COUNTA(UNIQUE(query($A$2:$P$800,""select L where K='""&amp; K344&amp;""'"")))"),3.0)</f>
        <v>3</v>
      </c>
      <c r="U344" s="23">
        <f t="shared" si="8"/>
        <v>0.1666666667</v>
      </c>
      <c r="V344" s="23">
        <f t="shared" ref="V344:W344" si="691">P344/O344</f>
        <v>0.4444444444</v>
      </c>
      <c r="W344" s="23">
        <f t="shared" si="691"/>
        <v>0.75</v>
      </c>
    </row>
    <row r="345">
      <c r="A345" s="6">
        <f>IFERROR(__xludf.DUMMYFUNCTION("""COMPUTED_VALUE"""),521064.0)</f>
        <v>521064</v>
      </c>
      <c r="B345" s="6" t="str">
        <f>IFERROR(__xludf.DUMMYFUNCTION("""COMPUTED_VALUE"""),"Trident Ltd")</f>
        <v>Trident Ltd</v>
      </c>
      <c r="C345" s="6" t="str">
        <f>IFERROR(__xludf.DUMMYFUNCTION("""COMPUTED_VALUE"""),"TRIDENT")</f>
        <v>TRIDENT</v>
      </c>
      <c r="D345" s="6" t="str">
        <f>IFERROR(__xludf.DUMMYFUNCTION("""COMPUTED_VALUE"""),"TRIDENT LTD.")</f>
        <v>TRIDENT LTD.</v>
      </c>
      <c r="E345" s="6" t="str">
        <f>IFERROR(__xludf.DUMMYFUNCTION("""COMPUTED_VALUE"""),"Active")</f>
        <v>Active</v>
      </c>
      <c r="F345" s="6" t="str">
        <f>IFERROR(__xludf.DUMMYFUNCTION("""COMPUTED_VALUE"""),"A")</f>
        <v>A</v>
      </c>
      <c r="G345" s="6">
        <f>IFERROR(__xludf.DUMMYFUNCTION("""COMPUTED_VALUE"""),1.0)</f>
        <v>1</v>
      </c>
      <c r="H345" s="6" t="str">
        <f>IFERROR(__xludf.DUMMYFUNCTION("""COMPUTED_VALUE"""),"INE064C01022")</f>
        <v>INE064C01022</v>
      </c>
      <c r="I345" s="6" t="str">
        <f>IFERROR(__xludf.DUMMYFUNCTION("""COMPUTED_VALUE"""),"Equity")</f>
        <v>Equity</v>
      </c>
      <c r="J345" s="6" t="str">
        <f>IFERROR(__xludf.DUMMYFUNCTION("""COMPUTED_VALUE"""),"Consumer Discretionary")</f>
        <v>Consumer Discretionary</v>
      </c>
      <c r="K345" s="6" t="str">
        <f>IFERROR(__xludf.DUMMYFUNCTION("""COMPUTED_VALUE"""),"Textiles")</f>
        <v>Textiles</v>
      </c>
      <c r="L345" s="6" t="str">
        <f>IFERROR(__xludf.DUMMYFUNCTION("""COMPUTED_VALUE"""),"Textiles &amp; Apparels")</f>
        <v>Textiles &amp; Apparels</v>
      </c>
      <c r="M345" s="6" t="str">
        <f>IFERROR(__xludf.DUMMYFUNCTION("""COMPUTED_VALUE"""),"Other Textile Products")</f>
        <v>Other Textile Products</v>
      </c>
      <c r="N345" s="5">
        <f>IFERROR(__xludf.DUMMYFUNCTION("""COMPUTED_VALUE"""),18945.7754471)</f>
        <v>18945.77545</v>
      </c>
      <c r="O345" s="6">
        <f t="shared" si="4"/>
        <v>13</v>
      </c>
      <c r="P345" s="6">
        <f t="shared" ref="P345:Q345" si="692">COUNTIFS(L:L,L345)</f>
        <v>13</v>
      </c>
      <c r="Q345" s="24">
        <f t="shared" si="692"/>
        <v>8</v>
      </c>
      <c r="R345" s="6" t="str">
        <f t="shared" si="6"/>
        <v>Textiles</v>
      </c>
      <c r="S345" s="6" t="str">
        <f t="shared" si="7"/>
        <v>Textiles</v>
      </c>
      <c r="T345" s="6">
        <f>IFERROR(__xludf.DUMMYFUNCTION("COUNTA(UNIQUE(query($A$2:$P$800,""select L where K='""&amp; K345&amp;""'"")))"),1.0)</f>
        <v>1</v>
      </c>
      <c r="U345" s="23">
        <f t="shared" si="8"/>
        <v>0.1153846154</v>
      </c>
      <c r="V345" s="23">
        <f t="shared" ref="V345:W345" si="693">P345/O345</f>
        <v>1</v>
      </c>
      <c r="W345" s="23">
        <f t="shared" si="693"/>
        <v>0.6153846154</v>
      </c>
    </row>
    <row r="346">
      <c r="A346" s="6">
        <f>IFERROR(__xludf.DUMMYFUNCTION("""COMPUTED_VALUE"""),543374.0)</f>
        <v>543374</v>
      </c>
      <c r="B346" s="6" t="str">
        <f>IFERROR(__xludf.DUMMYFUNCTION("""COMPUTED_VALUE"""),"Aditya Birla Sun Life AMC Limited")</f>
        <v>Aditya Birla Sun Life AMC Limited</v>
      </c>
      <c r="C346" s="6" t="str">
        <f>IFERROR(__xludf.DUMMYFUNCTION("""COMPUTED_VALUE"""),"ABSLAMC")</f>
        <v>ABSLAMC</v>
      </c>
      <c r="D346" s="6" t="str">
        <f>IFERROR(__xludf.DUMMYFUNCTION("""COMPUTED_VALUE"""),"Aditya Birla Sun Life AMC Ltd")</f>
        <v>Aditya Birla Sun Life AMC Ltd</v>
      </c>
      <c r="E346" s="6" t="str">
        <f>IFERROR(__xludf.DUMMYFUNCTION("""COMPUTED_VALUE"""),"Active")</f>
        <v>Active</v>
      </c>
      <c r="F346" s="6" t="str">
        <f>IFERROR(__xludf.DUMMYFUNCTION("""COMPUTED_VALUE"""),"A")</f>
        <v>A</v>
      </c>
      <c r="G346" s="6">
        <f>IFERROR(__xludf.DUMMYFUNCTION("""COMPUTED_VALUE"""),5.0)</f>
        <v>5</v>
      </c>
      <c r="H346" s="6" t="str">
        <f>IFERROR(__xludf.DUMMYFUNCTION("""COMPUTED_VALUE"""),"INE404A01024")</f>
        <v>INE404A01024</v>
      </c>
      <c r="I346" s="6" t="str">
        <f>IFERROR(__xludf.DUMMYFUNCTION("""COMPUTED_VALUE"""),"Equity")</f>
        <v>Equity</v>
      </c>
      <c r="J346" s="6" t="str">
        <f>IFERROR(__xludf.DUMMYFUNCTION("""COMPUTED_VALUE"""),"Financial Services")</f>
        <v>Financial Services</v>
      </c>
      <c r="K346" s="6" t="str">
        <f>IFERROR(__xludf.DUMMYFUNCTION("""COMPUTED_VALUE"""),"Financial Services")</f>
        <v>Financial Services</v>
      </c>
      <c r="L346" s="6" t="str">
        <f>IFERROR(__xludf.DUMMYFUNCTION("""COMPUTED_VALUE"""),"Capital Markets")</f>
        <v>Capital Markets</v>
      </c>
      <c r="M346" s="6" t="str">
        <f>IFERROR(__xludf.DUMMYFUNCTION("""COMPUTED_VALUE"""),"Asset Management Company")</f>
        <v>Asset Management Company</v>
      </c>
      <c r="N346" s="5">
        <f>IFERROR(__xludf.DUMMYFUNCTION("""COMPUTED_VALUE"""),18825.9763352)</f>
        <v>18825.97634</v>
      </c>
      <c r="O346" s="6">
        <f t="shared" si="4"/>
        <v>123</v>
      </c>
      <c r="P346" s="6">
        <f t="shared" ref="P346:Q346" si="694">COUNTIFS(L:L,L346)</f>
        <v>19</v>
      </c>
      <c r="Q346" s="24">
        <f t="shared" si="694"/>
        <v>4</v>
      </c>
      <c r="R346" s="6" t="str">
        <f t="shared" si="6"/>
        <v>Capital Markets</v>
      </c>
      <c r="S346" s="6" t="str">
        <f t="shared" si="7"/>
        <v>Capital Markets</v>
      </c>
      <c r="T346" s="6">
        <f>IFERROR(__xludf.DUMMYFUNCTION("COUNTA(UNIQUE(query($A$2:$P$800,""select L where K='""&amp; K346&amp;""'"")))"),5.0)</f>
        <v>5</v>
      </c>
      <c r="U346" s="23">
        <f t="shared" si="8"/>
        <v>0.06097560976</v>
      </c>
      <c r="V346" s="23">
        <f t="shared" ref="V346:W346" si="695">P346/O346</f>
        <v>0.1544715447</v>
      </c>
      <c r="W346" s="23">
        <f t="shared" si="695"/>
        <v>0.2105263158</v>
      </c>
    </row>
    <row r="347">
      <c r="A347" s="6">
        <f>IFERROR(__xludf.DUMMYFUNCTION("""COMPUTED_VALUE"""),500330.0)</f>
        <v>500330</v>
      </c>
      <c r="B347" s="6" t="str">
        <f>IFERROR(__xludf.DUMMYFUNCTION("""COMPUTED_VALUE"""),"Raymond Limited")</f>
        <v>Raymond Limited</v>
      </c>
      <c r="C347" s="6" t="str">
        <f>IFERROR(__xludf.DUMMYFUNCTION("""COMPUTED_VALUE"""),"RAYMOND")</f>
        <v>RAYMOND</v>
      </c>
      <c r="D347" s="6" t="str">
        <f>IFERROR(__xludf.DUMMYFUNCTION("""COMPUTED_VALUE"""),"RAYMOND LTD.")</f>
        <v>RAYMOND LTD.</v>
      </c>
      <c r="E347" s="6" t="str">
        <f>IFERROR(__xludf.DUMMYFUNCTION("""COMPUTED_VALUE"""),"Active")</f>
        <v>Active</v>
      </c>
      <c r="F347" s="6" t="str">
        <f>IFERROR(__xludf.DUMMYFUNCTION("""COMPUTED_VALUE"""),"A")</f>
        <v>A</v>
      </c>
      <c r="G347" s="6">
        <f>IFERROR(__xludf.DUMMYFUNCTION("""COMPUTED_VALUE"""),10.0)</f>
        <v>10</v>
      </c>
      <c r="H347" s="6" t="str">
        <f>IFERROR(__xludf.DUMMYFUNCTION("""COMPUTED_VALUE"""),"INE301A01014")</f>
        <v>INE301A01014</v>
      </c>
      <c r="I347" s="6" t="str">
        <f>IFERROR(__xludf.DUMMYFUNCTION("""COMPUTED_VALUE"""),"Equity")</f>
        <v>Equity</v>
      </c>
      <c r="J347" s="6" t="str">
        <f>IFERROR(__xludf.DUMMYFUNCTION("""COMPUTED_VALUE"""),"Consumer Discretionary")</f>
        <v>Consumer Discretionary</v>
      </c>
      <c r="K347" s="6" t="str">
        <f>IFERROR(__xludf.DUMMYFUNCTION("""COMPUTED_VALUE"""),"Textiles")</f>
        <v>Textiles</v>
      </c>
      <c r="L347" s="6" t="str">
        <f>IFERROR(__xludf.DUMMYFUNCTION("""COMPUTED_VALUE"""),"Textiles &amp; Apparels")</f>
        <v>Textiles &amp; Apparels</v>
      </c>
      <c r="M347" s="6" t="str">
        <f>IFERROR(__xludf.DUMMYFUNCTION("""COMPUTED_VALUE"""),"Garments &amp; Apparels")</f>
        <v>Garments &amp; Apparels</v>
      </c>
      <c r="N347" s="5">
        <f>IFERROR(__xludf.DUMMYFUNCTION("""COMPUTED_VALUE"""),18726.8483616)</f>
        <v>18726.84836</v>
      </c>
      <c r="O347" s="6">
        <f t="shared" si="4"/>
        <v>13</v>
      </c>
      <c r="P347" s="6">
        <f t="shared" ref="P347:Q347" si="696">COUNTIFS(L:L,L347)</f>
        <v>13</v>
      </c>
      <c r="Q347" s="24">
        <f t="shared" si="696"/>
        <v>4</v>
      </c>
      <c r="R347" s="6" t="str">
        <f t="shared" si="6"/>
        <v>Textiles</v>
      </c>
      <c r="S347" s="6" t="str">
        <f t="shared" si="7"/>
        <v>Textiles</v>
      </c>
      <c r="T347" s="6">
        <f>IFERROR(__xludf.DUMMYFUNCTION("COUNTA(UNIQUE(query($A$2:$P$800,""select L where K='""&amp; K347&amp;""'"")))"),1.0)</f>
        <v>1</v>
      </c>
      <c r="U347" s="23">
        <f t="shared" si="8"/>
        <v>0.1153846154</v>
      </c>
      <c r="V347" s="23">
        <f t="shared" ref="V347:W347" si="697">P347/O347</f>
        <v>1</v>
      </c>
      <c r="W347" s="23">
        <f t="shared" si="697"/>
        <v>0.3076923077</v>
      </c>
    </row>
    <row r="348">
      <c r="A348" s="6">
        <f>IFERROR(__xludf.DUMMYFUNCTION("""COMPUTED_VALUE"""),542752.0)</f>
        <v>542752</v>
      </c>
      <c r="B348" s="6" t="str">
        <f>IFERROR(__xludf.DUMMYFUNCTION("""COMPUTED_VALUE"""),"Affle (India) Limited")</f>
        <v>Affle (India) Limited</v>
      </c>
      <c r="C348" s="6" t="str">
        <f>IFERROR(__xludf.DUMMYFUNCTION("""COMPUTED_VALUE"""),"AFFLE")</f>
        <v>AFFLE</v>
      </c>
      <c r="D348" s="6" t="str">
        <f>IFERROR(__xludf.DUMMYFUNCTION("""COMPUTED_VALUE"""),"Affle (India) Ltd")</f>
        <v>Affle (India) Ltd</v>
      </c>
      <c r="E348" s="6" t="str">
        <f>IFERROR(__xludf.DUMMYFUNCTION("""COMPUTED_VALUE"""),"Active")</f>
        <v>Active</v>
      </c>
      <c r="F348" s="6" t="str">
        <f>IFERROR(__xludf.DUMMYFUNCTION("""COMPUTED_VALUE"""),"A")</f>
        <v>A</v>
      </c>
      <c r="G348" s="6">
        <f>IFERROR(__xludf.DUMMYFUNCTION("""COMPUTED_VALUE"""),2.0)</f>
        <v>2</v>
      </c>
      <c r="H348" s="6" t="str">
        <f>IFERROR(__xludf.DUMMYFUNCTION("""COMPUTED_VALUE"""),"INE00WC01027")</f>
        <v>INE00WC01027</v>
      </c>
      <c r="I348" s="6" t="str">
        <f>IFERROR(__xludf.DUMMYFUNCTION("""COMPUTED_VALUE"""),"Equity")</f>
        <v>Equity</v>
      </c>
      <c r="J348" s="6" t="str">
        <f>IFERROR(__xludf.DUMMYFUNCTION("""COMPUTED_VALUE"""),"Information Technology")</f>
        <v>Information Technology</v>
      </c>
      <c r="K348" s="6" t="str">
        <f>IFERROR(__xludf.DUMMYFUNCTION("""COMPUTED_VALUE"""),"Information Technology")</f>
        <v>Information Technology</v>
      </c>
      <c r="L348" s="6" t="str">
        <f>IFERROR(__xludf.DUMMYFUNCTION("""COMPUTED_VALUE"""),"IT - Services")</f>
        <v>IT - Services</v>
      </c>
      <c r="M348" s="6" t="str">
        <f>IFERROR(__xludf.DUMMYFUNCTION("""COMPUTED_VALUE"""),"IT Enabled Services")</f>
        <v>IT Enabled Services</v>
      </c>
      <c r="N348" s="5">
        <f>IFERROR(__xludf.DUMMYFUNCTION("""COMPUTED_VALUE"""),18711.9762559)</f>
        <v>18711.97626</v>
      </c>
      <c r="O348" s="6">
        <f t="shared" si="4"/>
        <v>36</v>
      </c>
      <c r="P348" s="6">
        <f t="shared" ref="P348:Q348" si="698">COUNTIFS(L:L,L348)</f>
        <v>8</v>
      </c>
      <c r="Q348" s="24">
        <f t="shared" si="698"/>
        <v>8</v>
      </c>
      <c r="R348" s="6" t="str">
        <f t="shared" si="6"/>
        <v>Information Technology</v>
      </c>
      <c r="S348" s="6" t="str">
        <f t="shared" si="7"/>
        <v>Information Technology</v>
      </c>
      <c r="T348" s="6">
        <f>IFERROR(__xludf.DUMMYFUNCTION("COUNTA(UNIQUE(query($A$2:$P$800,""select L where K='""&amp; K348&amp;""'"")))"),3.0)</f>
        <v>3</v>
      </c>
      <c r="U348" s="23">
        <f t="shared" si="8"/>
        <v>0.125</v>
      </c>
      <c r="V348" s="23">
        <f t="shared" ref="V348:W348" si="699">P348/O348</f>
        <v>0.2222222222</v>
      </c>
      <c r="W348" s="23">
        <f t="shared" si="699"/>
        <v>1</v>
      </c>
    </row>
    <row r="349">
      <c r="A349" s="6">
        <f>IFERROR(__xludf.DUMMYFUNCTION("""COMPUTED_VALUE"""),539083.0)</f>
        <v>539083</v>
      </c>
      <c r="B349" s="6" t="str">
        <f>IFERROR(__xludf.DUMMYFUNCTION("""COMPUTED_VALUE"""),"Inox Wind Limited")</f>
        <v>Inox Wind Limited</v>
      </c>
      <c r="C349" s="6" t="str">
        <f>IFERROR(__xludf.DUMMYFUNCTION("""COMPUTED_VALUE"""),"INOXWIND")</f>
        <v>INOXWIND</v>
      </c>
      <c r="D349" s="6" t="str">
        <f>IFERROR(__xludf.DUMMYFUNCTION("""COMPUTED_VALUE"""),"Inox Wind Ltd")</f>
        <v>Inox Wind Ltd</v>
      </c>
      <c r="E349" s="6" t="str">
        <f>IFERROR(__xludf.DUMMYFUNCTION("""COMPUTED_VALUE"""),"Active")</f>
        <v>Active</v>
      </c>
      <c r="F349" s="6" t="str">
        <f>IFERROR(__xludf.DUMMYFUNCTION("""COMPUTED_VALUE"""),"A")</f>
        <v>A</v>
      </c>
      <c r="G349" s="6">
        <f>IFERROR(__xludf.DUMMYFUNCTION("""COMPUTED_VALUE"""),10.0)</f>
        <v>10</v>
      </c>
      <c r="H349" s="6" t="str">
        <f>IFERROR(__xludf.DUMMYFUNCTION("""COMPUTED_VALUE"""),"INE066P01011")</f>
        <v>INE066P01011</v>
      </c>
      <c r="I349" s="6" t="str">
        <f>IFERROR(__xludf.DUMMYFUNCTION("""COMPUTED_VALUE"""),"Equity")</f>
        <v>Equity</v>
      </c>
      <c r="J349" s="6" t="str">
        <f>IFERROR(__xludf.DUMMYFUNCTION("""COMPUTED_VALUE"""),"Industrials")</f>
        <v>Industrials</v>
      </c>
      <c r="K349" s="6" t="str">
        <f>IFERROR(__xludf.DUMMYFUNCTION("""COMPUTED_VALUE"""),"Capital Goods")</f>
        <v>Capital Goods</v>
      </c>
      <c r="L349" s="6" t="str">
        <f>IFERROR(__xludf.DUMMYFUNCTION("""COMPUTED_VALUE"""),"Electrical Equipment")</f>
        <v>Electrical Equipment</v>
      </c>
      <c r="M349" s="6" t="str">
        <f>IFERROR(__xludf.DUMMYFUNCTION("""COMPUTED_VALUE"""),"Heavy Electrical Equipment")</f>
        <v>Heavy Electrical Equipment</v>
      </c>
      <c r="N349" s="5">
        <f>IFERROR(__xludf.DUMMYFUNCTION("""COMPUTED_VALUE"""),18676.2281251)</f>
        <v>18676.22813</v>
      </c>
      <c r="O349" s="6">
        <f t="shared" si="4"/>
        <v>110</v>
      </c>
      <c r="P349" s="6">
        <f t="shared" ref="P349:Q349" si="700">COUNTIFS(L:L,L349)</f>
        <v>22</v>
      </c>
      <c r="Q349" s="24">
        <f t="shared" si="700"/>
        <v>17</v>
      </c>
      <c r="R349" s="6" t="str">
        <f t="shared" si="6"/>
        <v>Electrical Equipment</v>
      </c>
      <c r="S349" s="6" t="str">
        <f t="shared" si="7"/>
        <v>Electrical Equipment</v>
      </c>
      <c r="T349" s="6">
        <f>IFERROR(__xludf.DUMMYFUNCTION("COUNTA(UNIQUE(query($A$2:$P$800,""select L where K='""&amp; K349&amp;""'"")))"),5.0)</f>
        <v>5</v>
      </c>
      <c r="U349" s="23">
        <f t="shared" si="8"/>
        <v>0.06818181818</v>
      </c>
      <c r="V349" s="23">
        <f t="shared" ref="V349:W349" si="701">P349/O349</f>
        <v>0.2</v>
      </c>
      <c r="W349" s="23">
        <f t="shared" si="701"/>
        <v>0.7727272727</v>
      </c>
    </row>
    <row r="350">
      <c r="A350" s="6">
        <f>IFERROR(__xludf.DUMMYFUNCTION("""COMPUTED_VALUE"""),532762.0)</f>
        <v>532762</v>
      </c>
      <c r="B350" s="6" t="str">
        <f>IFERROR(__xludf.DUMMYFUNCTION("""COMPUTED_VALUE"""),"Action Construction Equipments Ltd.")</f>
        <v>Action Construction Equipments Ltd.</v>
      </c>
      <c r="C350" s="6" t="str">
        <f>IFERROR(__xludf.DUMMYFUNCTION("""COMPUTED_VALUE"""),"ACE")</f>
        <v>ACE</v>
      </c>
      <c r="D350" s="6" t="str">
        <f>IFERROR(__xludf.DUMMYFUNCTION("""COMPUTED_VALUE"""),"ACTION CONSTRUCTION EQUIPMENT LTD.")</f>
        <v>ACTION CONSTRUCTION EQUIPMENT LTD.</v>
      </c>
      <c r="E350" s="6" t="str">
        <f>IFERROR(__xludf.DUMMYFUNCTION("""COMPUTED_VALUE"""),"Active")</f>
        <v>Active</v>
      </c>
      <c r="F350" s="6" t="str">
        <f>IFERROR(__xludf.DUMMYFUNCTION("""COMPUTED_VALUE"""),"A")</f>
        <v>A</v>
      </c>
      <c r="G350" s="6">
        <f>IFERROR(__xludf.DUMMYFUNCTION("""COMPUTED_VALUE"""),2.0)</f>
        <v>2</v>
      </c>
      <c r="H350" s="6" t="str">
        <f>IFERROR(__xludf.DUMMYFUNCTION("""COMPUTED_VALUE"""),"INE731H01025")</f>
        <v>INE731H01025</v>
      </c>
      <c r="I350" s="6" t="str">
        <f>IFERROR(__xludf.DUMMYFUNCTION("""COMPUTED_VALUE"""),"Equity")</f>
        <v>Equity</v>
      </c>
      <c r="J350" s="6" t="str">
        <f>IFERROR(__xludf.DUMMYFUNCTION("""COMPUTED_VALUE"""),"Industrials")</f>
        <v>Industrials</v>
      </c>
      <c r="K350" s="6" t="str">
        <f>IFERROR(__xludf.DUMMYFUNCTION("""COMPUTED_VALUE"""),"Capital Goods")</f>
        <v>Capital Goods</v>
      </c>
      <c r="L350" s="6" t="str">
        <f>IFERROR(__xludf.DUMMYFUNCTION("""COMPUTED_VALUE"""),"Agricultural, Commercial &amp; Construction Vehicles")</f>
        <v>Agricultural, Commercial &amp; Construction Vehicles</v>
      </c>
      <c r="M350" s="6" t="str">
        <f>IFERROR(__xludf.DUMMYFUNCTION("""COMPUTED_VALUE"""),"Construction Vehicles")</f>
        <v>Construction Vehicles</v>
      </c>
      <c r="N350" s="5">
        <f>IFERROR(__xludf.DUMMYFUNCTION("""COMPUTED_VALUE"""),18660.5501048)</f>
        <v>18660.5501</v>
      </c>
      <c r="O350" s="6">
        <f t="shared" si="4"/>
        <v>110</v>
      </c>
      <c r="P350" s="6">
        <f t="shared" ref="P350:Q350" si="702">COUNTIFS(L:L,L350)</f>
        <v>5</v>
      </c>
      <c r="Q350" s="24">
        <f t="shared" si="702"/>
        <v>3</v>
      </c>
      <c r="R350" s="6" t="str">
        <f t="shared" si="6"/>
        <v>Capital Goods</v>
      </c>
      <c r="S350" s="6" t="str">
        <f t="shared" si="7"/>
        <v>Capital Goods</v>
      </c>
      <c r="T350" s="6">
        <f>IFERROR(__xludf.DUMMYFUNCTION("COUNTA(UNIQUE(query($A$2:$P$800,""select L where K='""&amp; K350&amp;""'"")))"),5.0)</f>
        <v>5</v>
      </c>
      <c r="U350" s="23">
        <f t="shared" si="8"/>
        <v>0.06818181818</v>
      </c>
      <c r="V350" s="23">
        <f t="shared" ref="V350:W350" si="703">P350/O350</f>
        <v>0.04545454545</v>
      </c>
      <c r="W350" s="23">
        <f t="shared" si="703"/>
        <v>0.6</v>
      </c>
    </row>
    <row r="351">
      <c r="A351" s="6">
        <f>IFERROR(__xludf.DUMMYFUNCTION("""COMPUTED_VALUE"""),543299.0)</f>
        <v>543299</v>
      </c>
      <c r="B351" s="6" t="str">
        <f>IFERROR(__xludf.DUMMYFUNCTION("""COMPUTED_VALUE"""),"Shyam Metalics and Energy Limited")</f>
        <v>Shyam Metalics and Energy Limited</v>
      </c>
      <c r="C351" s="6" t="str">
        <f>IFERROR(__xludf.DUMMYFUNCTION("""COMPUTED_VALUE"""),"SHYAMMETL")</f>
        <v>SHYAMMETL</v>
      </c>
      <c r="D351" s="6" t="str">
        <f>IFERROR(__xludf.DUMMYFUNCTION("""COMPUTED_VALUE"""),"Shyam Metalics and Energy Ltd")</f>
        <v>Shyam Metalics and Energy Ltd</v>
      </c>
      <c r="E351" s="6" t="str">
        <f>IFERROR(__xludf.DUMMYFUNCTION("""COMPUTED_VALUE"""),"Active")</f>
        <v>Active</v>
      </c>
      <c r="F351" s="6" t="str">
        <f>IFERROR(__xludf.DUMMYFUNCTION("""COMPUTED_VALUE"""),"A")</f>
        <v>A</v>
      </c>
      <c r="G351" s="6">
        <f>IFERROR(__xludf.DUMMYFUNCTION("""COMPUTED_VALUE"""),10.0)</f>
        <v>10</v>
      </c>
      <c r="H351" s="6" t="str">
        <f>IFERROR(__xludf.DUMMYFUNCTION("""COMPUTED_VALUE"""),"INE810G01011")</f>
        <v>INE810G01011</v>
      </c>
      <c r="I351" s="6" t="str">
        <f>IFERROR(__xludf.DUMMYFUNCTION("""COMPUTED_VALUE"""),"Equity")</f>
        <v>Equity</v>
      </c>
      <c r="J351" s="6" t="str">
        <f>IFERROR(__xludf.DUMMYFUNCTION("""COMPUTED_VALUE"""),"Industrials")</f>
        <v>Industrials</v>
      </c>
      <c r="K351" s="6" t="str">
        <f>IFERROR(__xludf.DUMMYFUNCTION("""COMPUTED_VALUE"""),"Capital Goods")</f>
        <v>Capital Goods</v>
      </c>
      <c r="L351" s="6" t="str">
        <f>IFERROR(__xludf.DUMMYFUNCTION("""COMPUTED_VALUE"""),"Industrial Products")</f>
        <v>Industrial Products</v>
      </c>
      <c r="M351" s="6" t="str">
        <f>IFERROR(__xludf.DUMMYFUNCTION("""COMPUTED_VALUE"""),"Iron &amp; Steel Products")</f>
        <v>Iron &amp; Steel Products</v>
      </c>
      <c r="N351" s="5">
        <f>IFERROR(__xludf.DUMMYFUNCTION("""COMPUTED_VALUE"""),18622.30419)</f>
        <v>18622.30419</v>
      </c>
      <c r="O351" s="6">
        <f t="shared" si="4"/>
        <v>110</v>
      </c>
      <c r="P351" s="6">
        <f t="shared" ref="P351:Q351" si="704">COUNTIFS(L:L,L351)</f>
        <v>51</v>
      </c>
      <c r="Q351" s="24">
        <f t="shared" si="704"/>
        <v>13</v>
      </c>
      <c r="R351" s="6" t="str">
        <f t="shared" si="6"/>
        <v>Industrial Products</v>
      </c>
      <c r="S351" s="6" t="str">
        <f t="shared" si="7"/>
        <v>Industrial Products</v>
      </c>
      <c r="T351" s="6">
        <f>IFERROR(__xludf.DUMMYFUNCTION("COUNTA(UNIQUE(query($A$2:$P$800,""select L where K='""&amp; K351&amp;""'"")))"),5.0)</f>
        <v>5</v>
      </c>
      <c r="U351" s="23">
        <f t="shared" si="8"/>
        <v>0.06818181818</v>
      </c>
      <c r="V351" s="23">
        <f t="shared" ref="V351:W351" si="705">P351/O351</f>
        <v>0.4636363636</v>
      </c>
      <c r="W351" s="23">
        <f t="shared" si="705"/>
        <v>0.2549019608</v>
      </c>
    </row>
    <row r="352">
      <c r="A352" s="6">
        <f>IFERROR(__xludf.DUMMYFUNCTION("""COMPUTED_VALUE"""),503310.0)</f>
        <v>503310</v>
      </c>
      <c r="B352" s="6" t="str">
        <f>IFERROR(__xludf.DUMMYFUNCTION("""COMPUTED_VALUE"""),"Swan Energy Ltd.")</f>
        <v>Swan Energy Ltd.</v>
      </c>
      <c r="C352" s="6" t="str">
        <f>IFERROR(__xludf.DUMMYFUNCTION("""COMPUTED_VALUE"""),"SWANENERGY")</f>
        <v>SWANENERGY</v>
      </c>
      <c r="D352" s="6" t="str">
        <f>IFERROR(__xludf.DUMMYFUNCTION("""COMPUTED_VALUE"""),"SWAN ENERGY LTD.")</f>
        <v>SWAN ENERGY LTD.</v>
      </c>
      <c r="E352" s="6" t="str">
        <f>IFERROR(__xludf.DUMMYFUNCTION("""COMPUTED_VALUE"""),"Active")</f>
        <v>Active</v>
      </c>
      <c r="F352" s="6" t="str">
        <f>IFERROR(__xludf.DUMMYFUNCTION("""COMPUTED_VALUE"""),"A")</f>
        <v>A</v>
      </c>
      <c r="G352" s="6">
        <f>IFERROR(__xludf.DUMMYFUNCTION("""COMPUTED_VALUE"""),1.0)</f>
        <v>1</v>
      </c>
      <c r="H352" s="6" t="str">
        <f>IFERROR(__xludf.DUMMYFUNCTION("""COMPUTED_VALUE"""),"INE665A01038")</f>
        <v>INE665A01038</v>
      </c>
      <c r="I352" s="6" t="str">
        <f>IFERROR(__xludf.DUMMYFUNCTION("""COMPUTED_VALUE"""),"Equity")</f>
        <v>Equity</v>
      </c>
      <c r="J352" s="6" t="str">
        <f>IFERROR(__xludf.DUMMYFUNCTION("""COMPUTED_VALUE"""),"Diversified")</f>
        <v>Diversified</v>
      </c>
      <c r="K352" s="6" t="str">
        <f>IFERROR(__xludf.DUMMYFUNCTION("""COMPUTED_VALUE"""),"Diversified")</f>
        <v>Diversified</v>
      </c>
      <c r="L352" s="6" t="str">
        <f>IFERROR(__xludf.DUMMYFUNCTION("""COMPUTED_VALUE"""),"Diversified")</f>
        <v>Diversified</v>
      </c>
      <c r="M352" s="6" t="str">
        <f>IFERROR(__xludf.DUMMYFUNCTION("""COMPUTED_VALUE"""),"Diversified")</f>
        <v>Diversified</v>
      </c>
      <c r="N352" s="5">
        <f>IFERROR(__xludf.DUMMYFUNCTION("""COMPUTED_VALUE"""),18543.5233255)</f>
        <v>18543.52333</v>
      </c>
      <c r="O352" s="6">
        <f t="shared" si="4"/>
        <v>5</v>
      </c>
      <c r="P352" s="6">
        <f t="shared" ref="P352:Q352" si="706">COUNTIFS(L:L,L352)</f>
        <v>5</v>
      </c>
      <c r="Q352" s="24">
        <f t="shared" si="706"/>
        <v>5</v>
      </c>
      <c r="R352" s="6" t="str">
        <f t="shared" si="6"/>
        <v>Diversified</v>
      </c>
      <c r="S352" s="6" t="str">
        <f t="shared" si="7"/>
        <v>Misc.</v>
      </c>
      <c r="T352" s="6">
        <f>IFERROR(__xludf.DUMMYFUNCTION("COUNTA(UNIQUE(query($A$2:$P$800,""select L where K='""&amp; K352&amp;""'"")))"),1.0)</f>
        <v>1</v>
      </c>
      <c r="U352" s="23">
        <f t="shared" si="8"/>
        <v>0.3</v>
      </c>
      <c r="V352" s="23">
        <f t="shared" ref="V352:W352" si="707">P352/O352</f>
        <v>1</v>
      </c>
      <c r="W352" s="23">
        <f t="shared" si="707"/>
        <v>1</v>
      </c>
    </row>
    <row r="353">
      <c r="A353" s="6">
        <f>IFERROR(__xludf.DUMMYFUNCTION("""COMPUTED_VALUE"""),543232.0)</f>
        <v>543232</v>
      </c>
      <c r="B353" s="6" t="str">
        <f>IFERROR(__xludf.DUMMYFUNCTION("""COMPUTED_VALUE"""),"Computer Age Management Services Limited")</f>
        <v>Computer Age Management Services Limited</v>
      </c>
      <c r="C353" s="6" t="str">
        <f>IFERROR(__xludf.DUMMYFUNCTION("""COMPUTED_VALUE"""),"CAMS")</f>
        <v>CAMS</v>
      </c>
      <c r="D353" s="6" t="str">
        <f>IFERROR(__xludf.DUMMYFUNCTION("""COMPUTED_VALUE"""),"Computer Age Management Services Ltd")</f>
        <v>Computer Age Management Services Ltd</v>
      </c>
      <c r="E353" s="6" t="str">
        <f>IFERROR(__xludf.DUMMYFUNCTION("""COMPUTED_VALUE"""),"Active")</f>
        <v>Active</v>
      </c>
      <c r="F353" s="6" t="str">
        <f>IFERROR(__xludf.DUMMYFUNCTION("""COMPUTED_VALUE"""),"A")</f>
        <v>A</v>
      </c>
      <c r="G353" s="6">
        <f>IFERROR(__xludf.DUMMYFUNCTION("""COMPUTED_VALUE"""),10.0)</f>
        <v>10</v>
      </c>
      <c r="H353" s="6" t="str">
        <f>IFERROR(__xludf.DUMMYFUNCTION("""COMPUTED_VALUE"""),"INE596I01012")</f>
        <v>INE596I01012</v>
      </c>
      <c r="I353" s="6" t="str">
        <f>IFERROR(__xludf.DUMMYFUNCTION("""COMPUTED_VALUE"""),"Equity")</f>
        <v>Equity</v>
      </c>
      <c r="J353" s="6" t="str">
        <f>IFERROR(__xludf.DUMMYFUNCTION("""COMPUTED_VALUE"""),"Financial Services")</f>
        <v>Financial Services</v>
      </c>
      <c r="K353" s="6" t="str">
        <f>IFERROR(__xludf.DUMMYFUNCTION("""COMPUTED_VALUE"""),"Financial Services")</f>
        <v>Financial Services</v>
      </c>
      <c r="L353" s="6" t="str">
        <f>IFERROR(__xludf.DUMMYFUNCTION("""COMPUTED_VALUE"""),"Capital Markets")</f>
        <v>Capital Markets</v>
      </c>
      <c r="M353" s="6" t="str">
        <f>IFERROR(__xludf.DUMMYFUNCTION("""COMPUTED_VALUE"""),"Depositories, Clearing Houses and Other Intermediaries")</f>
        <v>Depositories, Clearing Houses and Other Intermediaries</v>
      </c>
      <c r="N353" s="5">
        <f>IFERROR(__xludf.DUMMYFUNCTION("""COMPUTED_VALUE"""),18541.106748)</f>
        <v>18541.10675</v>
      </c>
      <c r="O353" s="6">
        <f t="shared" si="4"/>
        <v>123</v>
      </c>
      <c r="P353" s="6">
        <f t="shared" ref="P353:Q353" si="708">COUNTIFS(L:L,L353)</f>
        <v>19</v>
      </c>
      <c r="Q353" s="24">
        <f t="shared" si="708"/>
        <v>3</v>
      </c>
      <c r="R353" s="6" t="str">
        <f t="shared" si="6"/>
        <v>Capital Markets</v>
      </c>
      <c r="S353" s="6" t="str">
        <f t="shared" si="7"/>
        <v>Capital Markets</v>
      </c>
      <c r="T353" s="6">
        <f>IFERROR(__xludf.DUMMYFUNCTION("COUNTA(UNIQUE(query($A$2:$P$800,""select L where K='""&amp; K353&amp;""'"")))"),5.0)</f>
        <v>5</v>
      </c>
      <c r="U353" s="23">
        <f t="shared" si="8"/>
        <v>0.06097560976</v>
      </c>
      <c r="V353" s="23">
        <f t="shared" ref="V353:W353" si="709">P353/O353</f>
        <v>0.1544715447</v>
      </c>
      <c r="W353" s="23">
        <f t="shared" si="709"/>
        <v>0.1578947368</v>
      </c>
    </row>
    <row r="354">
      <c r="A354" s="6">
        <f>IFERROR(__xludf.DUMMYFUNCTION("""COMPUTED_VALUE"""),531768.0)</f>
        <v>531768</v>
      </c>
      <c r="B354" s="6" t="str">
        <f>IFERROR(__xludf.DUMMYFUNCTION("""COMPUTED_VALUE"""),"Poly Medicure Ltd")</f>
        <v>Poly Medicure Ltd</v>
      </c>
      <c r="C354" s="6" t="str">
        <f>IFERROR(__xludf.DUMMYFUNCTION("""COMPUTED_VALUE"""),"POLYMED")</f>
        <v>POLYMED</v>
      </c>
      <c r="D354" s="6" t="str">
        <f>IFERROR(__xludf.DUMMYFUNCTION("""COMPUTED_VALUE"""),"POLY MEDICURE LTD.")</f>
        <v>POLY MEDICURE LTD.</v>
      </c>
      <c r="E354" s="6" t="str">
        <f>IFERROR(__xludf.DUMMYFUNCTION("""COMPUTED_VALUE"""),"Active")</f>
        <v>Active</v>
      </c>
      <c r="F354" s="6" t="str">
        <f>IFERROR(__xludf.DUMMYFUNCTION("""COMPUTED_VALUE"""),"A")</f>
        <v>A</v>
      </c>
      <c r="G354" s="6">
        <f>IFERROR(__xludf.DUMMYFUNCTION("""COMPUTED_VALUE"""),5.0)</f>
        <v>5</v>
      </c>
      <c r="H354" s="6" t="str">
        <f>IFERROR(__xludf.DUMMYFUNCTION("""COMPUTED_VALUE"""),"INE205C01021")</f>
        <v>INE205C01021</v>
      </c>
      <c r="I354" s="6" t="str">
        <f>IFERROR(__xludf.DUMMYFUNCTION("""COMPUTED_VALUE"""),"Equity")</f>
        <v>Equity</v>
      </c>
      <c r="J354" s="6" t="str">
        <f>IFERROR(__xludf.DUMMYFUNCTION("""COMPUTED_VALUE"""),"Healthcare")</f>
        <v>Healthcare</v>
      </c>
      <c r="K354" s="6" t="str">
        <f>IFERROR(__xludf.DUMMYFUNCTION("""COMPUTED_VALUE"""),"Healthcare")</f>
        <v>Healthcare</v>
      </c>
      <c r="L354" s="6" t="str">
        <f>IFERROR(__xludf.DUMMYFUNCTION("""COMPUTED_VALUE"""),"Healthcare Equipment &amp; Supplies")</f>
        <v>Healthcare Equipment &amp; Supplies</v>
      </c>
      <c r="M354" s="6" t="str">
        <f>IFERROR(__xludf.DUMMYFUNCTION("""COMPUTED_VALUE"""),"Medical Equipment &amp; Supplies")</f>
        <v>Medical Equipment &amp; Supplies</v>
      </c>
      <c r="N354" s="5">
        <f>IFERROR(__xludf.DUMMYFUNCTION("""COMPUTED_VALUE"""),18435.3059731)</f>
        <v>18435.30597</v>
      </c>
      <c r="O354" s="6">
        <f t="shared" si="4"/>
        <v>62</v>
      </c>
      <c r="P354" s="6">
        <f t="shared" ref="P354:Q354" si="710">COUNTIFS(L:L,L354)</f>
        <v>1</v>
      </c>
      <c r="Q354" s="24">
        <f t="shared" si="710"/>
        <v>1</v>
      </c>
      <c r="R354" s="6" t="str">
        <f t="shared" si="6"/>
        <v>Healthcare</v>
      </c>
      <c r="S354" s="6" t="str">
        <f t="shared" si="7"/>
        <v>Healthcare</v>
      </c>
      <c r="T354" s="6">
        <f>IFERROR(__xludf.DUMMYFUNCTION("COUNTA(UNIQUE(query($A$2:$P$800,""select L where K='""&amp; K354&amp;""'"")))"),3.0)</f>
        <v>3</v>
      </c>
      <c r="U354" s="23">
        <f t="shared" si="8"/>
        <v>0.07258064516</v>
      </c>
      <c r="V354" s="23">
        <f t="shared" ref="V354:W354" si="711">P354/O354</f>
        <v>0.01612903226</v>
      </c>
      <c r="W354" s="23">
        <f t="shared" si="711"/>
        <v>1</v>
      </c>
    </row>
    <row r="355">
      <c r="A355" s="6">
        <f>IFERROR(__xludf.DUMMYFUNCTION("""COMPUTED_VALUE"""),544176.0)</f>
        <v>544176</v>
      </c>
      <c r="B355" s="6" t="str">
        <f>IFERROR(__xludf.DUMMYFUNCTION("""COMPUTED_VALUE"""),"Aadhar Housing Finance Limited")</f>
        <v>Aadhar Housing Finance Limited</v>
      </c>
      <c r="C355" s="6" t="str">
        <f>IFERROR(__xludf.DUMMYFUNCTION("""COMPUTED_VALUE"""),"AADHARHFC")</f>
        <v>AADHARHFC</v>
      </c>
      <c r="D355" s="6" t="str">
        <f>IFERROR(__xludf.DUMMYFUNCTION("""COMPUTED_VALUE"""),"Aadhar Housing Finance Ltd")</f>
        <v>Aadhar Housing Finance Ltd</v>
      </c>
      <c r="E355" s="6" t="str">
        <f>IFERROR(__xludf.DUMMYFUNCTION("""COMPUTED_VALUE"""),"Active")</f>
        <v>Active</v>
      </c>
      <c r="F355" s="6" t="str">
        <f>IFERROR(__xludf.DUMMYFUNCTION("""COMPUTED_VALUE"""),"B")</f>
        <v>B</v>
      </c>
      <c r="G355" s="6">
        <f>IFERROR(__xludf.DUMMYFUNCTION("""COMPUTED_VALUE"""),10.0)</f>
        <v>10</v>
      </c>
      <c r="H355" s="6" t="str">
        <f>IFERROR(__xludf.DUMMYFUNCTION("""COMPUTED_VALUE"""),"INE883F01010")</f>
        <v>INE883F01010</v>
      </c>
      <c r="I355" s="6" t="str">
        <f>IFERROR(__xludf.DUMMYFUNCTION("""COMPUTED_VALUE"""),"Equity")</f>
        <v>Equity</v>
      </c>
      <c r="J355" s="6" t="str">
        <f>IFERROR(__xludf.DUMMYFUNCTION("""COMPUTED_VALUE"""),"Financial Services")</f>
        <v>Financial Services</v>
      </c>
      <c r="K355" s="6" t="str">
        <f>IFERROR(__xludf.DUMMYFUNCTION("""COMPUTED_VALUE"""),"Financial Services")</f>
        <v>Financial Services</v>
      </c>
      <c r="L355" s="6" t="str">
        <f>IFERROR(__xludf.DUMMYFUNCTION("""COMPUTED_VALUE"""),"Finance")</f>
        <v>Finance</v>
      </c>
      <c r="M355" s="6" t="str">
        <f>IFERROR(__xludf.DUMMYFUNCTION("""COMPUTED_VALUE"""),"Housing Finance Company")</f>
        <v>Housing Finance Company</v>
      </c>
      <c r="N355" s="5">
        <f>IFERROR(__xludf.DUMMYFUNCTION("""COMPUTED_VALUE"""),18206.0486619)</f>
        <v>18206.04866</v>
      </c>
      <c r="O355" s="6">
        <f t="shared" si="4"/>
        <v>123</v>
      </c>
      <c r="P355" s="6">
        <f t="shared" ref="P355:Q355" si="712">COUNTIFS(L:L,L355)</f>
        <v>56</v>
      </c>
      <c r="Q355" s="24">
        <f t="shared" si="712"/>
        <v>9</v>
      </c>
      <c r="R355" s="6" t="str">
        <f t="shared" si="6"/>
        <v>Finance</v>
      </c>
      <c r="S355" s="6" t="str">
        <f t="shared" si="7"/>
        <v>Finance</v>
      </c>
      <c r="T355" s="6">
        <f>IFERROR(__xludf.DUMMYFUNCTION("COUNTA(UNIQUE(query($A$2:$P$800,""select L where K='""&amp; K355&amp;""'"")))"),5.0)</f>
        <v>5</v>
      </c>
      <c r="U355" s="23">
        <f t="shared" si="8"/>
        <v>0.06097560976</v>
      </c>
      <c r="V355" s="23">
        <f t="shared" ref="V355:W355" si="713">P355/O355</f>
        <v>0.4552845528</v>
      </c>
      <c r="W355" s="23">
        <f t="shared" si="713"/>
        <v>0.1607142857</v>
      </c>
    </row>
    <row r="356">
      <c r="A356" s="6">
        <f>IFERROR(__xludf.DUMMYFUNCTION("""COMPUTED_VALUE"""),543653.0)</f>
        <v>543653</v>
      </c>
      <c r="B356" s="6" t="str">
        <f>IFERROR(__xludf.DUMMYFUNCTION("""COMPUTED_VALUE"""),"Bikaji Foods International Limited")</f>
        <v>Bikaji Foods International Limited</v>
      </c>
      <c r="C356" s="6" t="str">
        <f>IFERROR(__xludf.DUMMYFUNCTION("""COMPUTED_VALUE"""),"BIKAJI")</f>
        <v>BIKAJI</v>
      </c>
      <c r="D356" s="6" t="str">
        <f>IFERROR(__xludf.DUMMYFUNCTION("""COMPUTED_VALUE"""),"Bikaji Foods International Ltd")</f>
        <v>Bikaji Foods International Ltd</v>
      </c>
      <c r="E356" s="6" t="str">
        <f>IFERROR(__xludf.DUMMYFUNCTION("""COMPUTED_VALUE"""),"Active")</f>
        <v>Active</v>
      </c>
      <c r="F356" s="6" t="str">
        <f>IFERROR(__xludf.DUMMYFUNCTION("""COMPUTED_VALUE"""),"A")</f>
        <v>A</v>
      </c>
      <c r="G356" s="6">
        <f>IFERROR(__xludf.DUMMYFUNCTION("""COMPUTED_VALUE"""),1.0)</f>
        <v>1</v>
      </c>
      <c r="H356" s="6" t="str">
        <f>IFERROR(__xludf.DUMMYFUNCTION("""COMPUTED_VALUE"""),"INE00E101023")</f>
        <v>INE00E101023</v>
      </c>
      <c r="I356" s="6" t="str">
        <f>IFERROR(__xludf.DUMMYFUNCTION("""COMPUTED_VALUE"""),"Equity")</f>
        <v>Equity</v>
      </c>
      <c r="J356" s="6" t="str">
        <f>IFERROR(__xludf.DUMMYFUNCTION("""COMPUTED_VALUE"""),"Fast Moving Consumer Goods")</f>
        <v>Fast Moving Consumer Goods</v>
      </c>
      <c r="K356" s="6" t="str">
        <f>IFERROR(__xludf.DUMMYFUNCTION("""COMPUTED_VALUE"""),"Fast Moving Consumer Goods")</f>
        <v>Fast Moving Consumer Goods</v>
      </c>
      <c r="L356" s="6" t="str">
        <f>IFERROR(__xludf.DUMMYFUNCTION("""COMPUTED_VALUE"""),"Food Products")</f>
        <v>Food Products</v>
      </c>
      <c r="M356" s="6" t="str">
        <f>IFERROR(__xludf.DUMMYFUNCTION("""COMPUTED_VALUE"""),"Packaged Foods")</f>
        <v>Packaged Foods</v>
      </c>
      <c r="N356" s="5">
        <f>IFERROR(__xludf.DUMMYFUNCTION("""COMPUTED_VALUE"""),18156.9631676)</f>
        <v>18156.96317</v>
      </c>
      <c r="O356" s="6">
        <f t="shared" si="4"/>
        <v>44</v>
      </c>
      <c r="P356" s="6">
        <f t="shared" ref="P356:Q356" si="714">COUNTIFS(L:L,L356)</f>
        <v>11</v>
      </c>
      <c r="Q356" s="24">
        <f t="shared" si="714"/>
        <v>6</v>
      </c>
      <c r="R356" s="6" t="str">
        <f t="shared" si="6"/>
        <v>Fast Moving Consumer Goods</v>
      </c>
      <c r="S356" s="6" t="str">
        <f t="shared" si="7"/>
        <v>Fast Moving Consumer Goods</v>
      </c>
      <c r="T356" s="6">
        <f>IFERROR(__xludf.DUMMYFUNCTION("COUNTA(UNIQUE(query($A$2:$P$800,""select L where K='""&amp; K356&amp;""'"")))"),7.0)</f>
        <v>7</v>
      </c>
      <c r="U356" s="23">
        <f t="shared" si="8"/>
        <v>0.2386363636</v>
      </c>
      <c r="V356" s="23">
        <f t="shared" ref="V356:W356" si="715">P356/O356</f>
        <v>0.25</v>
      </c>
      <c r="W356" s="23">
        <f t="shared" si="715"/>
        <v>0.5454545455</v>
      </c>
    </row>
    <row r="357">
      <c r="A357" s="6">
        <f>IFERROR(__xludf.DUMMYFUNCTION("""COMPUTED_VALUE"""),543988.0)</f>
        <v>543988</v>
      </c>
      <c r="B357" s="6" t="str">
        <f>IFERROR(__xludf.DUMMYFUNCTION("""COMPUTED_VALUE"""),"Nuvama Wealth Management Limited")</f>
        <v>Nuvama Wealth Management Limited</v>
      </c>
      <c r="C357" s="6" t="str">
        <f>IFERROR(__xludf.DUMMYFUNCTION("""COMPUTED_VALUE"""),"NUVAMA")</f>
        <v>NUVAMA</v>
      </c>
      <c r="D357" s="6" t="str">
        <f>IFERROR(__xludf.DUMMYFUNCTION("""COMPUTED_VALUE"""),"Nuvama Wealth Management Ltd")</f>
        <v>Nuvama Wealth Management Ltd</v>
      </c>
      <c r="E357" s="6" t="str">
        <f>IFERROR(__xludf.DUMMYFUNCTION("""COMPUTED_VALUE"""),"Active")</f>
        <v>Active</v>
      </c>
      <c r="F357" s="6" t="str">
        <f>IFERROR(__xludf.DUMMYFUNCTION("""COMPUTED_VALUE"""),"B")</f>
        <v>B</v>
      </c>
      <c r="G357" s="6">
        <f>IFERROR(__xludf.DUMMYFUNCTION("""COMPUTED_VALUE"""),10.0)</f>
        <v>10</v>
      </c>
      <c r="H357" s="6" t="str">
        <f>IFERROR(__xludf.DUMMYFUNCTION("""COMPUTED_VALUE"""),"INE531F01015")</f>
        <v>INE531F01015</v>
      </c>
      <c r="I357" s="6" t="str">
        <f>IFERROR(__xludf.DUMMYFUNCTION("""COMPUTED_VALUE"""),"Equity")</f>
        <v>Equity</v>
      </c>
      <c r="J357" s="6" t="str">
        <f>IFERROR(__xludf.DUMMYFUNCTION("""COMPUTED_VALUE"""),"Financial Services")</f>
        <v>Financial Services</v>
      </c>
      <c r="K357" s="6" t="str">
        <f>IFERROR(__xludf.DUMMYFUNCTION("""COMPUTED_VALUE"""),"Financial Services")</f>
        <v>Financial Services</v>
      </c>
      <c r="L357" s="6" t="str">
        <f>IFERROR(__xludf.DUMMYFUNCTION("""COMPUTED_VALUE"""),"Capital Markets")</f>
        <v>Capital Markets</v>
      </c>
      <c r="M357" s="6" t="str">
        <f>IFERROR(__xludf.DUMMYFUNCTION("""COMPUTED_VALUE"""),"Stockbroking &amp; Allied")</f>
        <v>Stockbroking &amp; Allied</v>
      </c>
      <c r="N357" s="5">
        <f>IFERROR(__xludf.DUMMYFUNCTION("""COMPUTED_VALUE"""),17995.9400406)</f>
        <v>17995.94004</v>
      </c>
      <c r="O357" s="6">
        <f t="shared" si="4"/>
        <v>123</v>
      </c>
      <c r="P357" s="6">
        <f t="shared" ref="P357:Q357" si="716">COUNTIFS(L:L,L357)</f>
        <v>19</v>
      </c>
      <c r="Q357" s="24">
        <f t="shared" si="716"/>
        <v>6</v>
      </c>
      <c r="R357" s="6" t="str">
        <f t="shared" si="6"/>
        <v>Capital Markets</v>
      </c>
      <c r="S357" s="6" t="str">
        <f t="shared" si="7"/>
        <v>Capital Markets</v>
      </c>
      <c r="T357" s="6">
        <f>IFERROR(__xludf.DUMMYFUNCTION("COUNTA(UNIQUE(query($A$2:$P$800,""select L where K='""&amp; K357&amp;""'"")))"),5.0)</f>
        <v>5</v>
      </c>
      <c r="U357" s="23">
        <f t="shared" si="8"/>
        <v>0.06097560976</v>
      </c>
      <c r="V357" s="23">
        <f t="shared" ref="V357:W357" si="717">P357/O357</f>
        <v>0.1544715447</v>
      </c>
      <c r="W357" s="23">
        <f t="shared" si="717"/>
        <v>0.3157894737</v>
      </c>
    </row>
    <row r="358">
      <c r="A358" s="6">
        <f>IFERROR(__xludf.DUMMYFUNCTION("""COMPUTED_VALUE"""),531595.0)</f>
        <v>531595</v>
      </c>
      <c r="B358" s="6" t="str">
        <f>IFERROR(__xludf.DUMMYFUNCTION("""COMPUTED_VALUE"""),"Capri Global Capital Limited")</f>
        <v>Capri Global Capital Limited</v>
      </c>
      <c r="C358" s="6" t="str">
        <f>IFERROR(__xludf.DUMMYFUNCTION("""COMPUTED_VALUE"""),"CGCL")</f>
        <v>CGCL</v>
      </c>
      <c r="D358" s="6" t="str">
        <f>IFERROR(__xludf.DUMMYFUNCTION("""COMPUTED_VALUE"""),"Capri Global Capital Limited")</f>
        <v>Capri Global Capital Limited</v>
      </c>
      <c r="E358" s="6" t="str">
        <f>IFERROR(__xludf.DUMMYFUNCTION("""COMPUTED_VALUE"""),"Active")</f>
        <v>Active</v>
      </c>
      <c r="F358" s="6" t="str">
        <f>IFERROR(__xludf.DUMMYFUNCTION("""COMPUTED_VALUE"""),"A")</f>
        <v>A</v>
      </c>
      <c r="G358" s="6">
        <f>IFERROR(__xludf.DUMMYFUNCTION("""COMPUTED_VALUE"""),1.0)</f>
        <v>1</v>
      </c>
      <c r="H358" s="6" t="str">
        <f>IFERROR(__xludf.DUMMYFUNCTION("""COMPUTED_VALUE"""),"INE180C01042")</f>
        <v>INE180C01042</v>
      </c>
      <c r="I358" s="6" t="str">
        <f>IFERROR(__xludf.DUMMYFUNCTION("""COMPUTED_VALUE"""),"Equity")</f>
        <v>Equity</v>
      </c>
      <c r="J358" s="6" t="str">
        <f>IFERROR(__xludf.DUMMYFUNCTION("""COMPUTED_VALUE"""),"Financial Services")</f>
        <v>Financial Services</v>
      </c>
      <c r="K358" s="6" t="str">
        <f>IFERROR(__xludf.DUMMYFUNCTION("""COMPUTED_VALUE"""),"Financial Services")</f>
        <v>Financial Services</v>
      </c>
      <c r="L358" s="6" t="str">
        <f>IFERROR(__xludf.DUMMYFUNCTION("""COMPUTED_VALUE"""),"Finance")</f>
        <v>Finance</v>
      </c>
      <c r="M358" s="6" t="str">
        <f>IFERROR(__xludf.DUMMYFUNCTION("""COMPUTED_VALUE"""),"Non Banking Financial Company (NBFC)")</f>
        <v>Non Banking Financial Company (NBFC)</v>
      </c>
      <c r="N358" s="5">
        <f>IFERROR(__xludf.DUMMYFUNCTION("""COMPUTED_VALUE"""),17949.72435)</f>
        <v>17949.72435</v>
      </c>
      <c r="O358" s="6">
        <f t="shared" si="4"/>
        <v>123</v>
      </c>
      <c r="P358" s="6">
        <f t="shared" ref="P358:Q358" si="718">COUNTIFS(L:L,L358)</f>
        <v>56</v>
      </c>
      <c r="Q358" s="24">
        <f t="shared" si="718"/>
        <v>21</v>
      </c>
      <c r="R358" s="6" t="str">
        <f t="shared" si="6"/>
        <v>Non Banking Financial Company (NBFC)</v>
      </c>
      <c r="S358" s="6" t="str">
        <f t="shared" si="7"/>
        <v>Non Banking Financial Company (NBFC)</v>
      </c>
      <c r="T358" s="6">
        <f>IFERROR(__xludf.DUMMYFUNCTION("COUNTA(UNIQUE(query($A$2:$P$800,""select L where K='""&amp; K358&amp;""'"")))"),5.0)</f>
        <v>5</v>
      </c>
      <c r="U358" s="23">
        <f t="shared" si="8"/>
        <v>0.06097560976</v>
      </c>
      <c r="V358" s="23">
        <f t="shared" ref="V358:W358" si="719">P358/O358</f>
        <v>0.4552845528</v>
      </c>
      <c r="W358" s="23">
        <f t="shared" si="719"/>
        <v>0.375</v>
      </c>
    </row>
    <row r="359">
      <c r="A359" s="6">
        <f>IFERROR(__xludf.DUMMYFUNCTION("""COMPUTED_VALUE"""),533573.0)</f>
        <v>533573</v>
      </c>
      <c r="B359" s="6" t="str">
        <f>IFERROR(__xludf.DUMMYFUNCTION("""COMPUTED_VALUE"""),"ALEMBIC PHARMACEUTICALS LIMITED")</f>
        <v>ALEMBIC PHARMACEUTICALS LIMITED</v>
      </c>
      <c r="C359" s="6" t="str">
        <f>IFERROR(__xludf.DUMMYFUNCTION("""COMPUTED_VALUE"""),"APLLTD")</f>
        <v>APLLTD</v>
      </c>
      <c r="D359" s="6" t="str">
        <f>IFERROR(__xludf.DUMMYFUNCTION("""COMPUTED_VALUE"""),"ALEMBIC PHARMACEUTICALS LTD.")</f>
        <v>ALEMBIC PHARMACEUTICALS LTD.</v>
      </c>
      <c r="E359" s="6" t="str">
        <f>IFERROR(__xludf.DUMMYFUNCTION("""COMPUTED_VALUE"""),"Active")</f>
        <v>Active</v>
      </c>
      <c r="F359" s="6" t="str">
        <f>IFERROR(__xludf.DUMMYFUNCTION("""COMPUTED_VALUE"""),"A")</f>
        <v>A</v>
      </c>
      <c r="G359" s="6">
        <f>IFERROR(__xludf.DUMMYFUNCTION("""COMPUTED_VALUE"""),2.0)</f>
        <v>2</v>
      </c>
      <c r="H359" s="6" t="str">
        <f>IFERROR(__xludf.DUMMYFUNCTION("""COMPUTED_VALUE"""),"INE901L01018")</f>
        <v>INE901L01018</v>
      </c>
      <c r="I359" s="6" t="str">
        <f>IFERROR(__xludf.DUMMYFUNCTION("""COMPUTED_VALUE"""),"Equity")</f>
        <v>Equity</v>
      </c>
      <c r="J359" s="6" t="str">
        <f>IFERROR(__xludf.DUMMYFUNCTION("""COMPUTED_VALUE"""),"Healthcare")</f>
        <v>Healthcare</v>
      </c>
      <c r="K359" s="6" t="str">
        <f>IFERROR(__xludf.DUMMYFUNCTION("""COMPUTED_VALUE"""),"Healthcare")</f>
        <v>Healthcare</v>
      </c>
      <c r="L359" s="6" t="str">
        <f>IFERROR(__xludf.DUMMYFUNCTION("""COMPUTED_VALUE"""),"Pharmaceuticals &amp; Biotechnology")</f>
        <v>Pharmaceuticals &amp; Biotechnology</v>
      </c>
      <c r="M359" s="6" t="str">
        <f>IFERROR(__xludf.DUMMYFUNCTION("""COMPUTED_VALUE"""),"Pharmaceuticals")</f>
        <v>Pharmaceuticals</v>
      </c>
      <c r="N359" s="5">
        <f>IFERROR(__xludf.DUMMYFUNCTION("""COMPUTED_VALUE"""),17864.8162973)</f>
        <v>17864.8163</v>
      </c>
      <c r="O359" s="6">
        <f t="shared" si="4"/>
        <v>62</v>
      </c>
      <c r="P359" s="6">
        <f t="shared" ref="P359:Q359" si="720">COUNTIFS(L:L,L359)</f>
        <v>45</v>
      </c>
      <c r="Q359" s="24">
        <f t="shared" si="720"/>
        <v>45</v>
      </c>
      <c r="R359" s="6" t="str">
        <f t="shared" si="6"/>
        <v>Healthcare</v>
      </c>
      <c r="S359" s="6" t="str">
        <f t="shared" si="7"/>
        <v>Healthcare</v>
      </c>
      <c r="T359" s="6">
        <f>IFERROR(__xludf.DUMMYFUNCTION("COUNTA(UNIQUE(query($A$2:$P$800,""select L where K='""&amp; K359&amp;""'"")))"),3.0)</f>
        <v>3</v>
      </c>
      <c r="U359" s="23">
        <f t="shared" si="8"/>
        <v>0.07258064516</v>
      </c>
      <c r="V359" s="23">
        <f t="shared" ref="V359:W359" si="721">P359/O359</f>
        <v>0.7258064516</v>
      </c>
      <c r="W359" s="23">
        <f t="shared" si="721"/>
        <v>1</v>
      </c>
    </row>
    <row r="360">
      <c r="A360" s="6">
        <f>IFERROR(__xludf.DUMMYFUNCTION("""COMPUTED_VALUE"""),500241.0)</f>
        <v>500241</v>
      </c>
      <c r="B360" s="6" t="str">
        <f>IFERROR(__xludf.DUMMYFUNCTION("""COMPUTED_VALUE"""),"Kirloskar Brothers Ltd.")</f>
        <v>Kirloskar Brothers Ltd.</v>
      </c>
      <c r="C360" s="6" t="str">
        <f>IFERROR(__xludf.DUMMYFUNCTION("""COMPUTED_VALUE"""),"KIRLOSBROS")</f>
        <v>KIRLOSBROS</v>
      </c>
      <c r="D360" s="6" t="str">
        <f>IFERROR(__xludf.DUMMYFUNCTION("""COMPUTED_VALUE"""),"KIRLOSKAR BROTHERS LTD.-$")</f>
        <v>KIRLOSKAR BROTHERS LTD.-$</v>
      </c>
      <c r="E360" s="6" t="str">
        <f>IFERROR(__xludf.DUMMYFUNCTION("""COMPUTED_VALUE"""),"Active")</f>
        <v>Active</v>
      </c>
      <c r="F360" s="6" t="str">
        <f>IFERROR(__xludf.DUMMYFUNCTION("""COMPUTED_VALUE"""),"A")</f>
        <v>A</v>
      </c>
      <c r="G360" s="6">
        <f>IFERROR(__xludf.DUMMYFUNCTION("""COMPUTED_VALUE"""),2.0)</f>
        <v>2</v>
      </c>
      <c r="H360" s="6" t="str">
        <f>IFERROR(__xludf.DUMMYFUNCTION("""COMPUTED_VALUE"""),"INE732A01036")</f>
        <v>INE732A01036</v>
      </c>
      <c r="I360" s="6" t="str">
        <f>IFERROR(__xludf.DUMMYFUNCTION("""COMPUTED_VALUE"""),"Equity")</f>
        <v>Equity</v>
      </c>
      <c r="J360" s="6" t="str">
        <f>IFERROR(__xludf.DUMMYFUNCTION("""COMPUTED_VALUE"""),"Industrials")</f>
        <v>Industrials</v>
      </c>
      <c r="K360" s="6" t="str">
        <f>IFERROR(__xludf.DUMMYFUNCTION("""COMPUTED_VALUE"""),"Capital Goods")</f>
        <v>Capital Goods</v>
      </c>
      <c r="L360" s="6" t="str">
        <f>IFERROR(__xludf.DUMMYFUNCTION("""COMPUTED_VALUE"""),"Industrial Products")</f>
        <v>Industrial Products</v>
      </c>
      <c r="M360" s="6" t="str">
        <f>IFERROR(__xludf.DUMMYFUNCTION("""COMPUTED_VALUE"""),"Compressors, Pumps &amp; Diesel Engines")</f>
        <v>Compressors, Pumps &amp; Diesel Engines</v>
      </c>
      <c r="N360" s="5">
        <f>IFERROR(__xludf.DUMMYFUNCTION("""COMPUTED_VALUE"""),17836.0153962)</f>
        <v>17836.0154</v>
      </c>
      <c r="O360" s="6">
        <f t="shared" si="4"/>
        <v>110</v>
      </c>
      <c r="P360" s="6">
        <f t="shared" ref="P360:Q360" si="722">COUNTIFS(L:L,L360)</f>
        <v>51</v>
      </c>
      <c r="Q360" s="24">
        <f t="shared" si="722"/>
        <v>7</v>
      </c>
      <c r="R360" s="6" t="str">
        <f t="shared" si="6"/>
        <v>Industrial Products</v>
      </c>
      <c r="S360" s="6" t="str">
        <f t="shared" si="7"/>
        <v>Industrial Products</v>
      </c>
      <c r="T360" s="6">
        <f>IFERROR(__xludf.DUMMYFUNCTION("COUNTA(UNIQUE(query($A$2:$P$800,""select L where K='""&amp; K360&amp;""'"")))"),5.0)</f>
        <v>5</v>
      </c>
      <c r="U360" s="23">
        <f t="shared" si="8"/>
        <v>0.06818181818</v>
      </c>
      <c r="V360" s="23">
        <f t="shared" ref="V360:W360" si="723">P360/O360</f>
        <v>0.4636363636</v>
      </c>
      <c r="W360" s="23">
        <f t="shared" si="723"/>
        <v>0.137254902</v>
      </c>
    </row>
    <row r="361">
      <c r="A361" s="6">
        <f>IFERROR(__xludf.DUMMYFUNCTION("""COMPUTED_VALUE"""),500252.0)</f>
        <v>500252</v>
      </c>
      <c r="B361" s="6" t="str">
        <f>IFERROR(__xludf.DUMMYFUNCTION("""COMPUTED_VALUE"""),"Lakshmi Machine Works Ltd.")</f>
        <v>Lakshmi Machine Works Ltd.</v>
      </c>
      <c r="C361" s="6" t="str">
        <f>IFERROR(__xludf.DUMMYFUNCTION("""COMPUTED_VALUE"""),"LAXMIMACH")</f>
        <v>LAXMIMACH</v>
      </c>
      <c r="D361" s="6" t="str">
        <f>IFERROR(__xludf.DUMMYFUNCTION("""COMPUTED_VALUE"""),"LAKSHMI MACHINE WORKS LTD.")</f>
        <v>LAKSHMI MACHINE WORKS LTD.</v>
      </c>
      <c r="E361" s="6" t="str">
        <f>IFERROR(__xludf.DUMMYFUNCTION("""COMPUTED_VALUE"""),"Active")</f>
        <v>Active</v>
      </c>
      <c r="F361" s="6" t="str">
        <f>IFERROR(__xludf.DUMMYFUNCTION("""COMPUTED_VALUE"""),"A")</f>
        <v>A</v>
      </c>
      <c r="G361" s="6">
        <f>IFERROR(__xludf.DUMMYFUNCTION("""COMPUTED_VALUE"""),10.0)</f>
        <v>10</v>
      </c>
      <c r="H361" s="6" t="str">
        <f>IFERROR(__xludf.DUMMYFUNCTION("""COMPUTED_VALUE"""),"INE269B01029")</f>
        <v>INE269B01029</v>
      </c>
      <c r="I361" s="6" t="str">
        <f>IFERROR(__xludf.DUMMYFUNCTION("""COMPUTED_VALUE"""),"Equity")</f>
        <v>Equity</v>
      </c>
      <c r="J361" s="6" t="str">
        <f>IFERROR(__xludf.DUMMYFUNCTION("""COMPUTED_VALUE"""),"Industrials")</f>
        <v>Industrials</v>
      </c>
      <c r="K361" s="6" t="str">
        <f>IFERROR(__xludf.DUMMYFUNCTION("""COMPUTED_VALUE"""),"Capital Goods")</f>
        <v>Capital Goods</v>
      </c>
      <c r="L361" s="6" t="str">
        <f>IFERROR(__xludf.DUMMYFUNCTION("""COMPUTED_VALUE"""),"Industrial Manufacturing")</f>
        <v>Industrial Manufacturing</v>
      </c>
      <c r="M361" s="6" t="str">
        <f>IFERROR(__xludf.DUMMYFUNCTION("""COMPUTED_VALUE"""),"Industrial Products")</f>
        <v>Industrial Products</v>
      </c>
      <c r="N361" s="5">
        <f>IFERROR(__xludf.DUMMYFUNCTION("""COMPUTED_VALUE"""),17826.3528629)</f>
        <v>17826.35286</v>
      </c>
      <c r="O361" s="6">
        <f t="shared" si="4"/>
        <v>110</v>
      </c>
      <c r="P361" s="6">
        <f t="shared" ref="P361:Q361" si="724">COUNTIFS(L:L,L361)</f>
        <v>21</v>
      </c>
      <c r="Q361" s="24">
        <f t="shared" si="724"/>
        <v>17</v>
      </c>
      <c r="R361" s="6" t="str">
        <f t="shared" si="6"/>
        <v>Industrial Manufacturing</v>
      </c>
      <c r="S361" s="6" t="str">
        <f t="shared" si="7"/>
        <v>Industrial Manufacturing</v>
      </c>
      <c r="T361" s="6">
        <f>IFERROR(__xludf.DUMMYFUNCTION("COUNTA(UNIQUE(query($A$2:$P$800,""select L where K='""&amp; K361&amp;""'"")))"),5.0)</f>
        <v>5</v>
      </c>
      <c r="U361" s="23">
        <f t="shared" si="8"/>
        <v>0.06818181818</v>
      </c>
      <c r="V361" s="23">
        <f t="shared" ref="V361:W361" si="725">P361/O361</f>
        <v>0.1909090909</v>
      </c>
      <c r="W361" s="23">
        <f t="shared" si="725"/>
        <v>0.8095238095</v>
      </c>
    </row>
    <row r="362">
      <c r="A362" s="6">
        <f>IFERROR(__xludf.DUMMYFUNCTION("""COMPUTED_VALUE"""),532504.0)</f>
        <v>532504</v>
      </c>
      <c r="B362" s="6" t="str">
        <f>IFERROR(__xludf.DUMMYFUNCTION("""COMPUTED_VALUE"""),"Navin Fluorine International Limited")</f>
        <v>Navin Fluorine International Limited</v>
      </c>
      <c r="C362" s="6" t="str">
        <f>IFERROR(__xludf.DUMMYFUNCTION("""COMPUTED_VALUE"""),"NAVINFLUOR")</f>
        <v>NAVINFLUOR</v>
      </c>
      <c r="D362" s="6" t="str">
        <f>IFERROR(__xludf.DUMMYFUNCTION("""COMPUTED_VALUE"""),"Navin Fluorine International Limited-$")</f>
        <v>Navin Fluorine International Limited-$</v>
      </c>
      <c r="E362" s="6" t="str">
        <f>IFERROR(__xludf.DUMMYFUNCTION("""COMPUTED_VALUE"""),"Active")</f>
        <v>Active</v>
      </c>
      <c r="F362" s="6" t="str">
        <f>IFERROR(__xludf.DUMMYFUNCTION("""COMPUTED_VALUE"""),"A")</f>
        <v>A</v>
      </c>
      <c r="G362" s="6">
        <f>IFERROR(__xludf.DUMMYFUNCTION("""COMPUTED_VALUE"""),2.0)</f>
        <v>2</v>
      </c>
      <c r="H362" s="6" t="str">
        <f>IFERROR(__xludf.DUMMYFUNCTION("""COMPUTED_VALUE"""),"INE048G01026")</f>
        <v>INE048G01026</v>
      </c>
      <c r="I362" s="6" t="str">
        <f>IFERROR(__xludf.DUMMYFUNCTION("""COMPUTED_VALUE"""),"Equity")</f>
        <v>Equity</v>
      </c>
      <c r="J362" s="6" t="str">
        <f>IFERROR(__xludf.DUMMYFUNCTION("""COMPUTED_VALUE"""),"Commodities")</f>
        <v>Commodities</v>
      </c>
      <c r="K362" s="6" t="str">
        <f>IFERROR(__xludf.DUMMYFUNCTION("""COMPUTED_VALUE"""),"Chemicals")</f>
        <v>Chemicals</v>
      </c>
      <c r="L362" s="6" t="str">
        <f>IFERROR(__xludf.DUMMYFUNCTION("""COMPUTED_VALUE"""),"Chemicals &amp; Petrochemicals")</f>
        <v>Chemicals &amp; Petrochemicals</v>
      </c>
      <c r="M362" s="6" t="str">
        <f>IFERROR(__xludf.DUMMYFUNCTION("""COMPUTED_VALUE"""),"Specialty Chemicals")</f>
        <v>Specialty Chemicals</v>
      </c>
      <c r="N362" s="5">
        <f>IFERROR(__xludf.DUMMYFUNCTION("""COMPUTED_VALUE"""),17712.8035111)</f>
        <v>17712.80351</v>
      </c>
      <c r="O362" s="6">
        <f t="shared" si="4"/>
        <v>52</v>
      </c>
      <c r="P362" s="6">
        <f t="shared" ref="P362:Q362" si="726">COUNTIFS(L:L,L362)</f>
        <v>37</v>
      </c>
      <c r="Q362" s="24">
        <f t="shared" si="726"/>
        <v>25</v>
      </c>
      <c r="R362" s="6" t="str">
        <f t="shared" si="6"/>
        <v>Chemicals</v>
      </c>
      <c r="S362" s="6" t="str">
        <f t="shared" si="7"/>
        <v>Chemicals</v>
      </c>
      <c r="T362" s="6">
        <f>IFERROR(__xludf.DUMMYFUNCTION("COUNTA(UNIQUE(query($A$2:$P$800,""select L where K='""&amp; K362&amp;""'"")))"),2.0)</f>
        <v>2</v>
      </c>
      <c r="U362" s="23">
        <f t="shared" si="8"/>
        <v>0.05769230769</v>
      </c>
      <c r="V362" s="23">
        <f t="shared" ref="V362:W362" si="727">P362/O362</f>
        <v>0.7115384615</v>
      </c>
      <c r="W362" s="23">
        <f t="shared" si="727"/>
        <v>0.6756756757</v>
      </c>
    </row>
    <row r="363">
      <c r="A363" s="6">
        <f>IFERROR(__xludf.DUMMYFUNCTION("""COMPUTED_VALUE"""),500378.0)</f>
        <v>500378</v>
      </c>
      <c r="B363" s="6" t="str">
        <f>IFERROR(__xludf.DUMMYFUNCTION("""COMPUTED_VALUE"""),"Jindal Saw Ltd.")</f>
        <v>Jindal Saw Ltd.</v>
      </c>
      <c r="C363" s="6" t="str">
        <f>IFERROR(__xludf.DUMMYFUNCTION("""COMPUTED_VALUE"""),"JINDALSAW")</f>
        <v>JINDALSAW</v>
      </c>
      <c r="D363" s="6" t="str">
        <f>IFERROR(__xludf.DUMMYFUNCTION("""COMPUTED_VALUE"""),"JINDAL SAW LTD.")</f>
        <v>JINDAL SAW LTD.</v>
      </c>
      <c r="E363" s="6" t="str">
        <f>IFERROR(__xludf.DUMMYFUNCTION("""COMPUTED_VALUE"""),"Active")</f>
        <v>Active</v>
      </c>
      <c r="F363" s="6" t="str">
        <f>IFERROR(__xludf.DUMMYFUNCTION("""COMPUTED_VALUE"""),"A")</f>
        <v>A</v>
      </c>
      <c r="G363" s="6">
        <f>IFERROR(__xludf.DUMMYFUNCTION("""COMPUTED_VALUE"""),2.0)</f>
        <v>2</v>
      </c>
      <c r="H363" s="6" t="str">
        <f>IFERROR(__xludf.DUMMYFUNCTION("""COMPUTED_VALUE"""),"INE324A01024")</f>
        <v>INE324A01024</v>
      </c>
      <c r="I363" s="6" t="str">
        <f>IFERROR(__xludf.DUMMYFUNCTION("""COMPUTED_VALUE"""),"Equity")</f>
        <v>Equity</v>
      </c>
      <c r="J363" s="6" t="str">
        <f>IFERROR(__xludf.DUMMYFUNCTION("""COMPUTED_VALUE"""),"Industrials")</f>
        <v>Industrials</v>
      </c>
      <c r="K363" s="6" t="str">
        <f>IFERROR(__xludf.DUMMYFUNCTION("""COMPUTED_VALUE"""),"Capital Goods")</f>
        <v>Capital Goods</v>
      </c>
      <c r="L363" s="6" t="str">
        <f>IFERROR(__xludf.DUMMYFUNCTION("""COMPUTED_VALUE"""),"Industrial Products")</f>
        <v>Industrial Products</v>
      </c>
      <c r="M363" s="6" t="str">
        <f>IFERROR(__xludf.DUMMYFUNCTION("""COMPUTED_VALUE"""),"Iron &amp; Steel Products")</f>
        <v>Iron &amp; Steel Products</v>
      </c>
      <c r="N363" s="5">
        <f>IFERROR(__xludf.DUMMYFUNCTION("""COMPUTED_VALUE"""),17692.2927955)</f>
        <v>17692.2928</v>
      </c>
      <c r="O363" s="6">
        <f t="shared" si="4"/>
        <v>110</v>
      </c>
      <c r="P363" s="6">
        <f t="shared" ref="P363:Q363" si="728">COUNTIFS(L:L,L363)</f>
        <v>51</v>
      </c>
      <c r="Q363" s="24">
        <f t="shared" si="728"/>
        <v>13</v>
      </c>
      <c r="R363" s="6" t="str">
        <f t="shared" si="6"/>
        <v>Industrial Products</v>
      </c>
      <c r="S363" s="6" t="str">
        <f t="shared" si="7"/>
        <v>Industrial Products</v>
      </c>
      <c r="T363" s="6">
        <f>IFERROR(__xludf.DUMMYFUNCTION("COUNTA(UNIQUE(query($A$2:$P$800,""select L where K='""&amp; K363&amp;""'"")))"),5.0)</f>
        <v>5</v>
      </c>
      <c r="U363" s="23">
        <f t="shared" si="8"/>
        <v>0.06818181818</v>
      </c>
      <c r="V363" s="23">
        <f t="shared" ref="V363:W363" si="729">P363/O363</f>
        <v>0.4636363636</v>
      </c>
      <c r="W363" s="23">
        <f t="shared" si="729"/>
        <v>0.2549019608</v>
      </c>
    </row>
    <row r="364">
      <c r="A364" s="6">
        <f>IFERROR(__xludf.DUMMYFUNCTION("""COMPUTED_VALUE"""),543317.0)</f>
        <v>543317</v>
      </c>
      <c r="B364" s="6" t="str">
        <f>IFERROR(__xludf.DUMMYFUNCTION("""COMPUTED_VALUE"""),"G R Infraprojects Limited")</f>
        <v>G R Infraprojects Limited</v>
      </c>
      <c r="C364" s="6" t="str">
        <f>IFERROR(__xludf.DUMMYFUNCTION("""COMPUTED_VALUE"""),"GRINFRA")</f>
        <v>GRINFRA</v>
      </c>
      <c r="D364" s="6" t="str">
        <f>IFERROR(__xludf.DUMMYFUNCTION("""COMPUTED_VALUE"""),"G R Infraprojects Ltd")</f>
        <v>G R Infraprojects Ltd</v>
      </c>
      <c r="E364" s="6" t="str">
        <f>IFERROR(__xludf.DUMMYFUNCTION("""COMPUTED_VALUE"""),"Active")</f>
        <v>Active</v>
      </c>
      <c r="F364" s="6" t="str">
        <f>IFERROR(__xludf.DUMMYFUNCTION("""COMPUTED_VALUE"""),"A")</f>
        <v>A</v>
      </c>
      <c r="G364" s="6">
        <f>IFERROR(__xludf.DUMMYFUNCTION("""COMPUTED_VALUE"""),5.0)</f>
        <v>5</v>
      </c>
      <c r="H364" s="6" t="str">
        <f>IFERROR(__xludf.DUMMYFUNCTION("""COMPUTED_VALUE"""),"INE201P01022")</f>
        <v>INE201P01022</v>
      </c>
      <c r="I364" s="6" t="str">
        <f>IFERROR(__xludf.DUMMYFUNCTION("""COMPUTED_VALUE"""),"Equity")</f>
        <v>Equity</v>
      </c>
      <c r="J364" s="6" t="str">
        <f>IFERROR(__xludf.DUMMYFUNCTION("""COMPUTED_VALUE"""),"Industrials")</f>
        <v>Industrials</v>
      </c>
      <c r="K364" s="6" t="str">
        <f>IFERROR(__xludf.DUMMYFUNCTION("""COMPUTED_VALUE"""),"Construction")</f>
        <v>Construction</v>
      </c>
      <c r="L364" s="6" t="str">
        <f>IFERROR(__xludf.DUMMYFUNCTION("""COMPUTED_VALUE"""),"Construction")</f>
        <v>Construction</v>
      </c>
      <c r="M364" s="6" t="str">
        <f>IFERROR(__xludf.DUMMYFUNCTION("""COMPUTED_VALUE"""),"Civil Construction")</f>
        <v>Civil Construction</v>
      </c>
      <c r="N364" s="5">
        <f>IFERROR(__xludf.DUMMYFUNCTION("""COMPUTED_VALUE"""),17676.96499)</f>
        <v>17676.96499</v>
      </c>
      <c r="O364" s="6">
        <f t="shared" si="4"/>
        <v>27</v>
      </c>
      <c r="P364" s="6">
        <f t="shared" ref="P364:Q364" si="730">COUNTIFS(L:L,L364)</f>
        <v>27</v>
      </c>
      <c r="Q364" s="24">
        <f t="shared" si="730"/>
        <v>27</v>
      </c>
      <c r="R364" s="6" t="str">
        <f t="shared" si="6"/>
        <v>Construction</v>
      </c>
      <c r="S364" s="6" t="str">
        <f t="shared" si="7"/>
        <v>Construction</v>
      </c>
      <c r="T364" s="6">
        <f>IFERROR(__xludf.DUMMYFUNCTION("COUNTA(UNIQUE(query($A$2:$P$800,""select L where K='""&amp; K364&amp;""'"")))"),1.0)</f>
        <v>1</v>
      </c>
      <c r="U364" s="23">
        <f t="shared" si="8"/>
        <v>0.05555555556</v>
      </c>
      <c r="V364" s="23">
        <f t="shared" ref="V364:W364" si="731">P364/O364</f>
        <v>1</v>
      </c>
      <c r="W364" s="23">
        <f t="shared" si="731"/>
        <v>1</v>
      </c>
    </row>
    <row r="365">
      <c r="A365" s="6">
        <f>IFERROR(__xludf.DUMMYFUNCTION("""COMPUTED_VALUE"""),542399.0)</f>
        <v>542399</v>
      </c>
      <c r="B365" s="6" t="str">
        <f>IFERROR(__xludf.DUMMYFUNCTION("""COMPUTED_VALUE"""),"Chalet Hotels Limited")</f>
        <v>Chalet Hotels Limited</v>
      </c>
      <c r="C365" s="6" t="str">
        <f>IFERROR(__xludf.DUMMYFUNCTION("""COMPUTED_VALUE"""),"CHALET")</f>
        <v>CHALET</v>
      </c>
      <c r="D365" s="6" t="str">
        <f>IFERROR(__xludf.DUMMYFUNCTION("""COMPUTED_VALUE"""),"Chalet Hotels Ltd")</f>
        <v>Chalet Hotels Ltd</v>
      </c>
      <c r="E365" s="6" t="str">
        <f>IFERROR(__xludf.DUMMYFUNCTION("""COMPUTED_VALUE"""),"Active")</f>
        <v>Active</v>
      </c>
      <c r="F365" s="6" t="str">
        <f>IFERROR(__xludf.DUMMYFUNCTION("""COMPUTED_VALUE"""),"A")</f>
        <v>A</v>
      </c>
      <c r="G365" s="6">
        <f>IFERROR(__xludf.DUMMYFUNCTION("""COMPUTED_VALUE"""),10.0)</f>
        <v>10</v>
      </c>
      <c r="H365" s="6" t="str">
        <f>IFERROR(__xludf.DUMMYFUNCTION("""COMPUTED_VALUE"""),"INE427F01016")</f>
        <v>INE427F01016</v>
      </c>
      <c r="I365" s="6" t="str">
        <f>IFERROR(__xludf.DUMMYFUNCTION("""COMPUTED_VALUE"""),"Equity")</f>
        <v>Equity</v>
      </c>
      <c r="J365" s="6" t="str">
        <f>IFERROR(__xludf.DUMMYFUNCTION("""COMPUTED_VALUE"""),"Consumer Discretionary")</f>
        <v>Consumer Discretionary</v>
      </c>
      <c r="K365" s="6" t="str">
        <f>IFERROR(__xludf.DUMMYFUNCTION("""COMPUTED_VALUE"""),"Consumer Services")</f>
        <v>Consumer Services</v>
      </c>
      <c r="L365" s="6" t="str">
        <f>IFERROR(__xludf.DUMMYFUNCTION("""COMPUTED_VALUE"""),"Leisure Services")</f>
        <v>Leisure Services</v>
      </c>
      <c r="M365" s="6" t="str">
        <f>IFERROR(__xludf.DUMMYFUNCTION("""COMPUTED_VALUE"""),"Hotels &amp; Resorts")</f>
        <v>Hotels &amp; Resorts</v>
      </c>
      <c r="N365" s="5">
        <f>IFERROR(__xludf.DUMMYFUNCTION("""COMPUTED_VALUE"""),17512.9457973)</f>
        <v>17512.9458</v>
      </c>
      <c r="O365" s="6">
        <f t="shared" si="4"/>
        <v>37</v>
      </c>
      <c r="P365" s="6">
        <f t="shared" ref="P365:Q365" si="732">COUNTIFS(L:L,L365)</f>
        <v>18</v>
      </c>
      <c r="Q365" s="24">
        <f t="shared" si="732"/>
        <v>7</v>
      </c>
      <c r="R365" s="6" t="str">
        <f t="shared" si="6"/>
        <v>Leisure Services</v>
      </c>
      <c r="S365" s="6" t="str">
        <f t="shared" si="7"/>
        <v>Leisure Services</v>
      </c>
      <c r="T365" s="6">
        <f>IFERROR(__xludf.DUMMYFUNCTION("COUNTA(UNIQUE(query($A$2:$P$800,""select L where K='""&amp; K365&amp;""'"")))"),3.0)</f>
        <v>3</v>
      </c>
      <c r="U365" s="23">
        <f t="shared" si="8"/>
        <v>0.1216216216</v>
      </c>
      <c r="V365" s="23">
        <f t="shared" ref="V365:W365" si="733">P365/O365</f>
        <v>0.4864864865</v>
      </c>
      <c r="W365" s="23">
        <f t="shared" si="733"/>
        <v>0.3888888889</v>
      </c>
    </row>
    <row r="366">
      <c r="A366" s="6">
        <f>IFERROR(__xludf.DUMMYFUNCTION("""COMPUTED_VALUE"""),500620.0)</f>
        <v>500620</v>
      </c>
      <c r="B366" s="6" t="str">
        <f>IFERROR(__xludf.DUMMYFUNCTION("""COMPUTED_VALUE"""),"Great Eastern Shipping Co. Ltd.")</f>
        <v>Great Eastern Shipping Co. Ltd.</v>
      </c>
      <c r="C366" s="6" t="str">
        <f>IFERROR(__xludf.DUMMYFUNCTION("""COMPUTED_VALUE"""),"GESHIP")</f>
        <v>GESHIP</v>
      </c>
      <c r="D366" s="6" t="str">
        <f>IFERROR(__xludf.DUMMYFUNCTION("""COMPUTED_VALUE"""),"GREAT EASTERN SHIPPING CO.LTD.")</f>
        <v>GREAT EASTERN SHIPPING CO.LTD.</v>
      </c>
      <c r="E366" s="6" t="str">
        <f>IFERROR(__xludf.DUMMYFUNCTION("""COMPUTED_VALUE"""),"Active")</f>
        <v>Active</v>
      </c>
      <c r="F366" s="6" t="str">
        <f>IFERROR(__xludf.DUMMYFUNCTION("""COMPUTED_VALUE"""),"A")</f>
        <v>A</v>
      </c>
      <c r="G366" s="6">
        <f>IFERROR(__xludf.DUMMYFUNCTION("""COMPUTED_VALUE"""),10.0)</f>
        <v>10</v>
      </c>
      <c r="H366" s="6" t="str">
        <f>IFERROR(__xludf.DUMMYFUNCTION("""COMPUTED_VALUE"""),"INE017A01032")</f>
        <v>INE017A01032</v>
      </c>
      <c r="I366" s="6" t="str">
        <f>IFERROR(__xludf.DUMMYFUNCTION("""COMPUTED_VALUE"""),"Equity")</f>
        <v>Equity</v>
      </c>
      <c r="J366" s="6" t="str">
        <f>IFERROR(__xludf.DUMMYFUNCTION("""COMPUTED_VALUE"""),"Services")</f>
        <v>Services</v>
      </c>
      <c r="K366" s="6" t="str">
        <f>IFERROR(__xludf.DUMMYFUNCTION("""COMPUTED_VALUE"""),"Services")</f>
        <v>Services</v>
      </c>
      <c r="L366" s="6" t="str">
        <f>IFERROR(__xludf.DUMMYFUNCTION("""COMPUTED_VALUE"""),"Transport Services")</f>
        <v>Transport Services</v>
      </c>
      <c r="M366" s="6" t="str">
        <f>IFERROR(__xludf.DUMMYFUNCTION("""COMPUTED_VALUE"""),"Shipping")</f>
        <v>Shipping</v>
      </c>
      <c r="N366" s="5">
        <f>IFERROR(__xludf.DUMMYFUNCTION("""COMPUTED_VALUE"""),17460.2657036)</f>
        <v>17460.2657</v>
      </c>
      <c r="O366" s="6">
        <f t="shared" si="4"/>
        <v>27</v>
      </c>
      <c r="P366" s="6">
        <f t="shared" ref="P366:Q366" si="734">COUNTIFS(L:L,L366)</f>
        <v>12</v>
      </c>
      <c r="Q366" s="24">
        <f t="shared" si="734"/>
        <v>2</v>
      </c>
      <c r="R366" s="6" t="str">
        <f t="shared" si="6"/>
        <v>Services</v>
      </c>
      <c r="S366" s="6" t="str">
        <f t="shared" si="7"/>
        <v>Services</v>
      </c>
      <c r="T366" s="6">
        <f>IFERROR(__xludf.DUMMYFUNCTION("COUNTA(UNIQUE(query($A$2:$P$800,""select L where K='""&amp; K366&amp;""'"")))"),3.0)</f>
        <v>3</v>
      </c>
      <c r="U366" s="23">
        <f t="shared" si="8"/>
        <v>0.1666666667</v>
      </c>
      <c r="V366" s="23">
        <f t="shared" ref="V366:W366" si="735">P366/O366</f>
        <v>0.4444444444</v>
      </c>
      <c r="W366" s="23">
        <f t="shared" si="735"/>
        <v>0.1666666667</v>
      </c>
    </row>
    <row r="367">
      <c r="A367" s="6">
        <f>IFERROR(__xludf.DUMMYFUNCTION("""COMPUTED_VALUE"""),531213.0)</f>
        <v>531213</v>
      </c>
      <c r="B367" s="6" t="str">
        <f>IFERROR(__xludf.DUMMYFUNCTION("""COMPUTED_VALUE"""),"Manappuram Finance Limited")</f>
        <v>Manappuram Finance Limited</v>
      </c>
      <c r="C367" s="6" t="str">
        <f>IFERROR(__xludf.DUMMYFUNCTION("""COMPUTED_VALUE"""),"MANAPPURAM")</f>
        <v>MANAPPURAM</v>
      </c>
      <c r="D367" s="6" t="str">
        <f>IFERROR(__xludf.DUMMYFUNCTION("""COMPUTED_VALUE"""),"MANAPPURAM FINANCE LTD.")</f>
        <v>MANAPPURAM FINANCE LTD.</v>
      </c>
      <c r="E367" s="6" t="str">
        <f>IFERROR(__xludf.DUMMYFUNCTION("""COMPUTED_VALUE"""),"Active")</f>
        <v>Active</v>
      </c>
      <c r="F367" s="6" t="str">
        <f>IFERROR(__xludf.DUMMYFUNCTION("""COMPUTED_VALUE"""),"A")</f>
        <v>A</v>
      </c>
      <c r="G367" s="6">
        <f>IFERROR(__xludf.DUMMYFUNCTION("""COMPUTED_VALUE"""),2.0)</f>
        <v>2</v>
      </c>
      <c r="H367" s="6" t="str">
        <f>IFERROR(__xludf.DUMMYFUNCTION("""COMPUTED_VALUE"""),"INE522D01027")</f>
        <v>INE522D01027</v>
      </c>
      <c r="I367" s="6" t="str">
        <f>IFERROR(__xludf.DUMMYFUNCTION("""COMPUTED_VALUE"""),"Equity")</f>
        <v>Equity</v>
      </c>
      <c r="J367" s="6" t="str">
        <f>IFERROR(__xludf.DUMMYFUNCTION("""COMPUTED_VALUE"""),"Financial Services")</f>
        <v>Financial Services</v>
      </c>
      <c r="K367" s="6" t="str">
        <f>IFERROR(__xludf.DUMMYFUNCTION("""COMPUTED_VALUE"""),"Financial Services")</f>
        <v>Financial Services</v>
      </c>
      <c r="L367" s="6" t="str">
        <f>IFERROR(__xludf.DUMMYFUNCTION("""COMPUTED_VALUE"""),"Finance")</f>
        <v>Finance</v>
      </c>
      <c r="M367" s="6" t="str">
        <f>IFERROR(__xludf.DUMMYFUNCTION("""COMPUTED_VALUE"""),"Non Banking Financial Company (NBFC)")</f>
        <v>Non Banking Financial Company (NBFC)</v>
      </c>
      <c r="N367" s="5">
        <f>IFERROR(__xludf.DUMMYFUNCTION("""COMPUTED_VALUE"""),17298.1885694)</f>
        <v>17298.18857</v>
      </c>
      <c r="O367" s="6">
        <f t="shared" si="4"/>
        <v>123</v>
      </c>
      <c r="P367" s="6">
        <f t="shared" ref="P367:Q367" si="736">COUNTIFS(L:L,L367)</f>
        <v>56</v>
      </c>
      <c r="Q367" s="24">
        <f t="shared" si="736"/>
        <v>21</v>
      </c>
      <c r="R367" s="6" t="str">
        <f t="shared" si="6"/>
        <v>Non Banking Financial Company (NBFC)</v>
      </c>
      <c r="S367" s="6" t="str">
        <f t="shared" si="7"/>
        <v>Non Banking Financial Company (NBFC)</v>
      </c>
      <c r="T367" s="6">
        <f>IFERROR(__xludf.DUMMYFUNCTION("COUNTA(UNIQUE(query($A$2:$P$800,""select L where K='""&amp; K367&amp;""'"")))"),5.0)</f>
        <v>5</v>
      </c>
      <c r="U367" s="23">
        <f t="shared" si="8"/>
        <v>0.06097560976</v>
      </c>
      <c r="V367" s="23">
        <f t="shared" ref="V367:W367" si="737">P367/O367</f>
        <v>0.4552845528</v>
      </c>
      <c r="W367" s="23">
        <f t="shared" si="737"/>
        <v>0.375</v>
      </c>
    </row>
    <row r="368">
      <c r="A368" s="6">
        <f>IFERROR(__xludf.DUMMYFUNCTION("""COMPUTED_VALUE"""),540975.0)</f>
        <v>540975</v>
      </c>
      <c r="B368" s="6" t="str">
        <f>IFERROR(__xludf.DUMMYFUNCTION("""COMPUTED_VALUE"""),"Aster DM Healthcare Limited")</f>
        <v>Aster DM Healthcare Limited</v>
      </c>
      <c r="C368" s="6" t="str">
        <f>IFERROR(__xludf.DUMMYFUNCTION("""COMPUTED_VALUE"""),"ASTERDM")</f>
        <v>ASTERDM</v>
      </c>
      <c r="D368" s="6" t="str">
        <f>IFERROR(__xludf.DUMMYFUNCTION("""COMPUTED_VALUE"""),"Aster DM Healthcare Ltd")</f>
        <v>Aster DM Healthcare Ltd</v>
      </c>
      <c r="E368" s="6" t="str">
        <f>IFERROR(__xludf.DUMMYFUNCTION("""COMPUTED_VALUE"""),"Active")</f>
        <v>Active</v>
      </c>
      <c r="F368" s="6" t="str">
        <f>IFERROR(__xludf.DUMMYFUNCTION("""COMPUTED_VALUE"""),"A")</f>
        <v>A</v>
      </c>
      <c r="G368" s="6">
        <f>IFERROR(__xludf.DUMMYFUNCTION("""COMPUTED_VALUE"""),10.0)</f>
        <v>10</v>
      </c>
      <c r="H368" s="6" t="str">
        <f>IFERROR(__xludf.DUMMYFUNCTION("""COMPUTED_VALUE"""),"INE914M01019")</f>
        <v>INE914M01019</v>
      </c>
      <c r="I368" s="6" t="str">
        <f>IFERROR(__xludf.DUMMYFUNCTION("""COMPUTED_VALUE"""),"Equity")</f>
        <v>Equity</v>
      </c>
      <c r="J368" s="6" t="str">
        <f>IFERROR(__xludf.DUMMYFUNCTION("""COMPUTED_VALUE"""),"Healthcare")</f>
        <v>Healthcare</v>
      </c>
      <c r="K368" s="6" t="str">
        <f>IFERROR(__xludf.DUMMYFUNCTION("""COMPUTED_VALUE"""),"Healthcare")</f>
        <v>Healthcare</v>
      </c>
      <c r="L368" s="6" t="str">
        <f>IFERROR(__xludf.DUMMYFUNCTION("""COMPUTED_VALUE"""),"Healthcare Services")</f>
        <v>Healthcare Services</v>
      </c>
      <c r="M368" s="6" t="str">
        <f>IFERROR(__xludf.DUMMYFUNCTION("""COMPUTED_VALUE"""),"Hospital")</f>
        <v>Hospital</v>
      </c>
      <c r="N368" s="5">
        <f>IFERROR(__xludf.DUMMYFUNCTION("""COMPUTED_VALUE"""),17144.5611083)</f>
        <v>17144.56111</v>
      </c>
      <c r="O368" s="6">
        <f t="shared" si="4"/>
        <v>62</v>
      </c>
      <c r="P368" s="6">
        <f t="shared" ref="P368:Q368" si="738">COUNTIFS(L:L,L368)</f>
        <v>16</v>
      </c>
      <c r="Q368" s="24">
        <f t="shared" si="738"/>
        <v>11</v>
      </c>
      <c r="R368" s="6" t="str">
        <f t="shared" si="6"/>
        <v>Healthcare Services</v>
      </c>
      <c r="S368" s="6" t="str">
        <f t="shared" si="7"/>
        <v>Healthcare Services</v>
      </c>
      <c r="T368" s="6">
        <f>IFERROR(__xludf.DUMMYFUNCTION("COUNTA(UNIQUE(query($A$2:$P$800,""select L where K='""&amp; K368&amp;""'"")))"),3.0)</f>
        <v>3</v>
      </c>
      <c r="U368" s="23">
        <f t="shared" si="8"/>
        <v>0.07258064516</v>
      </c>
      <c r="V368" s="23">
        <f t="shared" ref="V368:W368" si="739">P368/O368</f>
        <v>0.2580645161</v>
      </c>
      <c r="W368" s="23">
        <f t="shared" si="739"/>
        <v>0.6875</v>
      </c>
    </row>
    <row r="369">
      <c r="A369" s="6">
        <f>IFERROR(__xludf.DUMMYFUNCTION("""COMPUTED_VALUE"""),543428.0)</f>
        <v>543428</v>
      </c>
      <c r="B369" s="6" t="str">
        <f>IFERROR(__xludf.DUMMYFUNCTION("""COMPUTED_VALUE"""),"Data Patterns (India) Limited")</f>
        <v>Data Patterns (India) Limited</v>
      </c>
      <c r="C369" s="6" t="str">
        <f>IFERROR(__xludf.DUMMYFUNCTION("""COMPUTED_VALUE"""),"DATAPATTNS")</f>
        <v>DATAPATTNS</v>
      </c>
      <c r="D369" s="6" t="str">
        <f>IFERROR(__xludf.DUMMYFUNCTION("""COMPUTED_VALUE"""),"Data Patterns (India) Ltd")</f>
        <v>Data Patterns (India) Ltd</v>
      </c>
      <c r="E369" s="6" t="str">
        <f>IFERROR(__xludf.DUMMYFUNCTION("""COMPUTED_VALUE"""),"Active")</f>
        <v>Active</v>
      </c>
      <c r="F369" s="6" t="str">
        <f>IFERROR(__xludf.DUMMYFUNCTION("""COMPUTED_VALUE"""),"A")</f>
        <v>A</v>
      </c>
      <c r="G369" s="6">
        <f>IFERROR(__xludf.DUMMYFUNCTION("""COMPUTED_VALUE"""),2.0)</f>
        <v>2</v>
      </c>
      <c r="H369" s="6" t="str">
        <f>IFERROR(__xludf.DUMMYFUNCTION("""COMPUTED_VALUE"""),"INE0IX101010")</f>
        <v>INE0IX101010</v>
      </c>
      <c r="I369" s="6" t="str">
        <f>IFERROR(__xludf.DUMMYFUNCTION("""COMPUTED_VALUE"""),"Equity")</f>
        <v>Equity</v>
      </c>
      <c r="J369" s="6" t="str">
        <f>IFERROR(__xludf.DUMMYFUNCTION("""COMPUTED_VALUE"""),"Industrials")</f>
        <v>Industrials</v>
      </c>
      <c r="K369" s="6" t="str">
        <f>IFERROR(__xludf.DUMMYFUNCTION("""COMPUTED_VALUE"""),"Capital Goods")</f>
        <v>Capital Goods</v>
      </c>
      <c r="L369" s="6" t="str">
        <f>IFERROR(__xludf.DUMMYFUNCTION("""COMPUTED_VALUE"""),"Aerospace &amp; Defense")</f>
        <v>Aerospace &amp; Defense</v>
      </c>
      <c r="M369" s="6" t="str">
        <f>IFERROR(__xludf.DUMMYFUNCTION("""COMPUTED_VALUE"""),"Aerospace &amp; Defense")</f>
        <v>Aerospace &amp; Defense</v>
      </c>
      <c r="N369" s="5">
        <f>IFERROR(__xludf.DUMMYFUNCTION("""COMPUTED_VALUE"""),17074.692468)</f>
        <v>17074.69247</v>
      </c>
      <c r="O369" s="6">
        <f t="shared" si="4"/>
        <v>110</v>
      </c>
      <c r="P369" s="6">
        <f t="shared" ref="P369:Q369" si="740">COUNTIFS(L:L,L369)</f>
        <v>11</v>
      </c>
      <c r="Q369" s="24">
        <f t="shared" si="740"/>
        <v>11</v>
      </c>
      <c r="R369" s="6" t="str">
        <f t="shared" si="6"/>
        <v>Capital Goods</v>
      </c>
      <c r="S369" s="6" t="str">
        <f t="shared" si="7"/>
        <v>Capital Goods</v>
      </c>
      <c r="T369" s="6">
        <f>IFERROR(__xludf.DUMMYFUNCTION("COUNTA(UNIQUE(query($A$2:$P$800,""select L where K='""&amp; K369&amp;""'"")))"),5.0)</f>
        <v>5</v>
      </c>
      <c r="U369" s="23">
        <f t="shared" si="8"/>
        <v>0.06818181818</v>
      </c>
      <c r="V369" s="23">
        <f t="shared" ref="V369:W369" si="741">P369/O369</f>
        <v>0.1</v>
      </c>
      <c r="W369" s="23">
        <f t="shared" si="741"/>
        <v>1</v>
      </c>
    </row>
    <row r="370">
      <c r="A370" s="6">
        <f>IFERROR(__xludf.DUMMYFUNCTION("""COMPUTED_VALUE"""),500249.0)</f>
        <v>500249</v>
      </c>
      <c r="B370" s="6" t="str">
        <f>IFERROR(__xludf.DUMMYFUNCTION("""COMPUTED_VALUE"""),"KSB LIMITED")</f>
        <v>KSB LIMITED</v>
      </c>
      <c r="C370" s="6" t="str">
        <f>IFERROR(__xludf.DUMMYFUNCTION("""COMPUTED_VALUE"""),"KSB")</f>
        <v>KSB</v>
      </c>
      <c r="D370" s="6" t="str">
        <f>IFERROR(__xludf.DUMMYFUNCTION("""COMPUTED_VALUE"""),"KSB Ltd")</f>
        <v>KSB Ltd</v>
      </c>
      <c r="E370" s="6" t="str">
        <f>IFERROR(__xludf.DUMMYFUNCTION("""COMPUTED_VALUE"""),"Active")</f>
        <v>Active</v>
      </c>
      <c r="F370" s="6" t="str">
        <f>IFERROR(__xludf.DUMMYFUNCTION("""COMPUTED_VALUE"""),"A")</f>
        <v>A</v>
      </c>
      <c r="G370" s="6">
        <f>IFERROR(__xludf.DUMMYFUNCTION("""COMPUTED_VALUE"""),10.0)</f>
        <v>10</v>
      </c>
      <c r="H370" s="6" t="str">
        <f>IFERROR(__xludf.DUMMYFUNCTION("""COMPUTED_VALUE"""),"INE999A01015")</f>
        <v>INE999A01015</v>
      </c>
      <c r="I370" s="6" t="str">
        <f>IFERROR(__xludf.DUMMYFUNCTION("""COMPUTED_VALUE"""),"Equity")</f>
        <v>Equity</v>
      </c>
      <c r="J370" s="6" t="str">
        <f>IFERROR(__xludf.DUMMYFUNCTION("""COMPUTED_VALUE"""),"Industrials")</f>
        <v>Industrials</v>
      </c>
      <c r="K370" s="6" t="str">
        <f>IFERROR(__xludf.DUMMYFUNCTION("""COMPUTED_VALUE"""),"Capital Goods")</f>
        <v>Capital Goods</v>
      </c>
      <c r="L370" s="6" t="str">
        <f>IFERROR(__xludf.DUMMYFUNCTION("""COMPUTED_VALUE"""),"Industrial Products")</f>
        <v>Industrial Products</v>
      </c>
      <c r="M370" s="6" t="str">
        <f>IFERROR(__xludf.DUMMYFUNCTION("""COMPUTED_VALUE"""),"Compressors, Pumps &amp; Diesel Engines")</f>
        <v>Compressors, Pumps &amp; Diesel Engines</v>
      </c>
      <c r="N370" s="5">
        <f>IFERROR(__xludf.DUMMYFUNCTION("""COMPUTED_VALUE"""),17008.7900074)</f>
        <v>17008.79001</v>
      </c>
      <c r="O370" s="6">
        <f t="shared" si="4"/>
        <v>110</v>
      </c>
      <c r="P370" s="6">
        <f t="shared" ref="P370:Q370" si="742">COUNTIFS(L:L,L370)</f>
        <v>51</v>
      </c>
      <c r="Q370" s="24">
        <f t="shared" si="742"/>
        <v>7</v>
      </c>
      <c r="R370" s="6" t="str">
        <f t="shared" si="6"/>
        <v>Industrial Products</v>
      </c>
      <c r="S370" s="6" t="str">
        <f t="shared" si="7"/>
        <v>Industrial Products</v>
      </c>
      <c r="T370" s="6">
        <f>IFERROR(__xludf.DUMMYFUNCTION("COUNTA(UNIQUE(query($A$2:$P$800,""select L where K='""&amp; K370&amp;""'"")))"),5.0)</f>
        <v>5</v>
      </c>
      <c r="U370" s="23">
        <f t="shared" si="8"/>
        <v>0.06818181818</v>
      </c>
      <c r="V370" s="23">
        <f t="shared" ref="V370:W370" si="743">P370/O370</f>
        <v>0.4636363636</v>
      </c>
      <c r="W370" s="23">
        <f t="shared" si="743"/>
        <v>0.137254902</v>
      </c>
    </row>
    <row r="371">
      <c r="A371" s="6">
        <f>IFERROR(__xludf.DUMMYFUNCTION("""COMPUTED_VALUE"""),532926.0)</f>
        <v>532926</v>
      </c>
      <c r="B371" s="6" t="str">
        <f>IFERROR(__xludf.DUMMYFUNCTION("""COMPUTED_VALUE"""),"JYOTHY LABS LIMITED")</f>
        <v>JYOTHY LABS LIMITED</v>
      </c>
      <c r="C371" s="6" t="str">
        <f>IFERROR(__xludf.DUMMYFUNCTION("""COMPUTED_VALUE"""),"JYOTHYLAB")</f>
        <v>JYOTHYLAB</v>
      </c>
      <c r="D371" s="6" t="str">
        <f>IFERROR(__xludf.DUMMYFUNCTION("""COMPUTED_VALUE"""),"Jyothy Labs Ltd")</f>
        <v>Jyothy Labs Ltd</v>
      </c>
      <c r="E371" s="6" t="str">
        <f>IFERROR(__xludf.DUMMYFUNCTION("""COMPUTED_VALUE"""),"Active")</f>
        <v>Active</v>
      </c>
      <c r="F371" s="6" t="str">
        <f>IFERROR(__xludf.DUMMYFUNCTION("""COMPUTED_VALUE"""),"A")</f>
        <v>A</v>
      </c>
      <c r="G371" s="6">
        <f>IFERROR(__xludf.DUMMYFUNCTION("""COMPUTED_VALUE"""),1.0)</f>
        <v>1</v>
      </c>
      <c r="H371" s="6" t="str">
        <f>IFERROR(__xludf.DUMMYFUNCTION("""COMPUTED_VALUE"""),"INE668F01031")</f>
        <v>INE668F01031</v>
      </c>
      <c r="I371" s="6" t="str">
        <f>IFERROR(__xludf.DUMMYFUNCTION("""COMPUTED_VALUE"""),"Equity")</f>
        <v>Equity</v>
      </c>
      <c r="J371" s="6" t="str">
        <f>IFERROR(__xludf.DUMMYFUNCTION("""COMPUTED_VALUE"""),"Fast Moving Consumer Goods")</f>
        <v>Fast Moving Consumer Goods</v>
      </c>
      <c r="K371" s="6" t="str">
        <f>IFERROR(__xludf.DUMMYFUNCTION("""COMPUTED_VALUE"""),"Fast Moving Consumer Goods")</f>
        <v>Fast Moving Consumer Goods</v>
      </c>
      <c r="L371" s="6" t="str">
        <f>IFERROR(__xludf.DUMMYFUNCTION("""COMPUTED_VALUE"""),"Household Products")</f>
        <v>Household Products</v>
      </c>
      <c r="M371" s="6" t="str">
        <f>IFERROR(__xludf.DUMMYFUNCTION("""COMPUTED_VALUE"""),"Household Products")</f>
        <v>Household Products</v>
      </c>
      <c r="N371" s="5">
        <f>IFERROR(__xludf.DUMMYFUNCTION("""COMPUTED_VALUE"""),16974.0072805)</f>
        <v>16974.00728</v>
      </c>
      <c r="O371" s="6">
        <f t="shared" si="4"/>
        <v>44</v>
      </c>
      <c r="P371" s="6">
        <f t="shared" ref="P371:Q371" si="744">COUNTIFS(L:L,L371)</f>
        <v>2</v>
      </c>
      <c r="Q371" s="24">
        <f t="shared" si="744"/>
        <v>1</v>
      </c>
      <c r="R371" s="6" t="str">
        <f t="shared" si="6"/>
        <v>Fast Moving Consumer Goods</v>
      </c>
      <c r="S371" s="6" t="str">
        <f t="shared" si="7"/>
        <v>Fast Moving Consumer Goods</v>
      </c>
      <c r="T371" s="6">
        <f>IFERROR(__xludf.DUMMYFUNCTION("COUNTA(UNIQUE(query($A$2:$P$800,""select L where K='""&amp; K371&amp;""'"")))"),7.0)</f>
        <v>7</v>
      </c>
      <c r="U371" s="23">
        <f t="shared" si="8"/>
        <v>0.2386363636</v>
      </c>
      <c r="V371" s="23">
        <f t="shared" ref="V371:W371" si="745">P371/O371</f>
        <v>0.04545454545</v>
      </c>
      <c r="W371" s="23">
        <f t="shared" si="745"/>
        <v>0.5</v>
      </c>
    </row>
    <row r="372">
      <c r="A372" s="6">
        <f>IFERROR(__xludf.DUMMYFUNCTION("""COMPUTED_VALUE"""),542760.0)</f>
        <v>542760</v>
      </c>
      <c r="B372" s="6" t="str">
        <f>IFERROR(__xludf.DUMMYFUNCTION("""COMPUTED_VALUE"""),"STERLING AND WILSON RENEWABLE ENERGY LIMITED")</f>
        <v>STERLING AND WILSON RENEWABLE ENERGY LIMITED</v>
      </c>
      <c r="C372" s="6" t="str">
        <f>IFERROR(__xludf.DUMMYFUNCTION("""COMPUTED_VALUE"""),"SWSOLAR")</f>
        <v>SWSOLAR</v>
      </c>
      <c r="D372" s="6" t="str">
        <f>IFERROR(__xludf.DUMMYFUNCTION("""COMPUTED_VALUE"""),"Sterling and Wilson Renewable Energy Ltd")</f>
        <v>Sterling and Wilson Renewable Energy Ltd</v>
      </c>
      <c r="E372" s="6" t="str">
        <f>IFERROR(__xludf.DUMMYFUNCTION("""COMPUTED_VALUE"""),"Active")</f>
        <v>Active</v>
      </c>
      <c r="F372" s="6" t="str">
        <f>IFERROR(__xludf.DUMMYFUNCTION("""COMPUTED_VALUE"""),"A")</f>
        <v>A</v>
      </c>
      <c r="G372" s="6">
        <f>IFERROR(__xludf.DUMMYFUNCTION("""COMPUTED_VALUE"""),1.0)</f>
        <v>1</v>
      </c>
      <c r="H372" s="6" t="str">
        <f>IFERROR(__xludf.DUMMYFUNCTION("""COMPUTED_VALUE"""),"INE00M201021")</f>
        <v>INE00M201021</v>
      </c>
      <c r="I372" s="6" t="str">
        <f>IFERROR(__xludf.DUMMYFUNCTION("""COMPUTED_VALUE"""),"Equity")</f>
        <v>Equity</v>
      </c>
      <c r="J372" s="6" t="str">
        <f>IFERROR(__xludf.DUMMYFUNCTION("""COMPUTED_VALUE"""),"Industrials")</f>
        <v>Industrials</v>
      </c>
      <c r="K372" s="6" t="str">
        <f>IFERROR(__xludf.DUMMYFUNCTION("""COMPUTED_VALUE"""),"Construction")</f>
        <v>Construction</v>
      </c>
      <c r="L372" s="6" t="str">
        <f>IFERROR(__xludf.DUMMYFUNCTION("""COMPUTED_VALUE"""),"Construction")</f>
        <v>Construction</v>
      </c>
      <c r="M372" s="6" t="str">
        <f>IFERROR(__xludf.DUMMYFUNCTION("""COMPUTED_VALUE"""),"Civil Construction")</f>
        <v>Civil Construction</v>
      </c>
      <c r="N372" s="5">
        <f>IFERROR(__xludf.DUMMYFUNCTION("""COMPUTED_VALUE"""),16970.061085)</f>
        <v>16970.06109</v>
      </c>
      <c r="O372" s="6">
        <f t="shared" si="4"/>
        <v>27</v>
      </c>
      <c r="P372" s="6">
        <f t="shared" ref="P372:Q372" si="746">COUNTIFS(L:L,L372)</f>
        <v>27</v>
      </c>
      <c r="Q372" s="24">
        <f t="shared" si="746"/>
        <v>27</v>
      </c>
      <c r="R372" s="6" t="str">
        <f t="shared" si="6"/>
        <v>Construction</v>
      </c>
      <c r="S372" s="6" t="str">
        <f t="shared" si="7"/>
        <v>Construction</v>
      </c>
      <c r="T372" s="6">
        <f>IFERROR(__xludf.DUMMYFUNCTION("COUNTA(UNIQUE(query($A$2:$P$800,""select L where K='""&amp; K372&amp;""'"")))"),1.0)</f>
        <v>1</v>
      </c>
      <c r="U372" s="23">
        <f t="shared" si="8"/>
        <v>0.05555555556</v>
      </c>
      <c r="V372" s="23">
        <f t="shared" ref="V372:W372" si="747">P372/O372</f>
        <v>1</v>
      </c>
      <c r="W372" s="23">
        <f t="shared" si="747"/>
        <v>1</v>
      </c>
    </row>
    <row r="373">
      <c r="A373" s="6">
        <f>IFERROR(__xludf.DUMMYFUNCTION("""COMPUTED_VALUE"""),532221.0)</f>
        <v>532221</v>
      </c>
      <c r="B373" s="6" t="str">
        <f>IFERROR(__xludf.DUMMYFUNCTION("""COMPUTED_VALUE"""),"Sonata Software Ltd.")</f>
        <v>Sonata Software Ltd.</v>
      </c>
      <c r="C373" s="6" t="str">
        <f>IFERROR(__xludf.DUMMYFUNCTION("""COMPUTED_VALUE"""),"SONATSOFTW")</f>
        <v>SONATSOFTW</v>
      </c>
      <c r="D373" s="6" t="str">
        <f>IFERROR(__xludf.DUMMYFUNCTION("""COMPUTED_VALUE"""),"SONATA SOFTWARE LTD.")</f>
        <v>SONATA SOFTWARE LTD.</v>
      </c>
      <c r="E373" s="6" t="str">
        <f>IFERROR(__xludf.DUMMYFUNCTION("""COMPUTED_VALUE"""),"Active")</f>
        <v>Active</v>
      </c>
      <c r="F373" s="6" t="str">
        <f>IFERROR(__xludf.DUMMYFUNCTION("""COMPUTED_VALUE"""),"A")</f>
        <v>A</v>
      </c>
      <c r="G373" s="6">
        <f>IFERROR(__xludf.DUMMYFUNCTION("""COMPUTED_VALUE"""),1.0)</f>
        <v>1</v>
      </c>
      <c r="H373" s="6" t="str">
        <f>IFERROR(__xludf.DUMMYFUNCTION("""COMPUTED_VALUE"""),"INE269A01021")</f>
        <v>INE269A01021</v>
      </c>
      <c r="I373" s="6" t="str">
        <f>IFERROR(__xludf.DUMMYFUNCTION("""COMPUTED_VALUE"""),"Equity")</f>
        <v>Equity</v>
      </c>
      <c r="J373" s="6" t="str">
        <f>IFERROR(__xludf.DUMMYFUNCTION("""COMPUTED_VALUE"""),"Information Technology")</f>
        <v>Information Technology</v>
      </c>
      <c r="K373" s="6" t="str">
        <f>IFERROR(__xludf.DUMMYFUNCTION("""COMPUTED_VALUE"""),"Information Technology")</f>
        <v>Information Technology</v>
      </c>
      <c r="L373" s="6" t="str">
        <f>IFERROR(__xludf.DUMMYFUNCTION("""COMPUTED_VALUE"""),"IT - Software")</f>
        <v>IT - Software</v>
      </c>
      <c r="M373" s="6" t="str">
        <f>IFERROR(__xludf.DUMMYFUNCTION("""COMPUTED_VALUE"""),"Computers - Software &amp; Consulting")</f>
        <v>Computers - Software &amp; Consulting</v>
      </c>
      <c r="N373" s="5">
        <f>IFERROR(__xludf.DUMMYFUNCTION("""COMPUTED_VALUE"""),16833.8516)</f>
        <v>16833.8516</v>
      </c>
      <c r="O373" s="6">
        <f t="shared" si="4"/>
        <v>36</v>
      </c>
      <c r="P373" s="6">
        <f t="shared" ref="P373:Q373" si="748">COUNTIFS(L:L,L373)</f>
        <v>27</v>
      </c>
      <c r="Q373" s="24">
        <f t="shared" si="748"/>
        <v>22</v>
      </c>
      <c r="R373" s="6" t="str">
        <f t="shared" si="6"/>
        <v>Information Technology</v>
      </c>
      <c r="S373" s="6" t="str">
        <f t="shared" si="7"/>
        <v>Information Technology</v>
      </c>
      <c r="T373" s="6">
        <f>IFERROR(__xludf.DUMMYFUNCTION("COUNTA(UNIQUE(query($A$2:$P$800,""select L where K='""&amp; K373&amp;""'"")))"),3.0)</f>
        <v>3</v>
      </c>
      <c r="U373" s="23">
        <f t="shared" si="8"/>
        <v>0.125</v>
      </c>
      <c r="V373" s="23">
        <f t="shared" ref="V373:W373" si="749">P373/O373</f>
        <v>0.75</v>
      </c>
      <c r="W373" s="23">
        <f t="shared" si="749"/>
        <v>0.8148148148</v>
      </c>
    </row>
    <row r="374">
      <c r="A374" s="6">
        <f>IFERROR(__xludf.DUMMYFUNCTION("""COMPUTED_VALUE"""),541556.0)</f>
        <v>541556</v>
      </c>
      <c r="B374" s="6" t="str">
        <f>IFERROR(__xludf.DUMMYFUNCTION("""COMPUTED_VALUE"""),"RITES Limited")</f>
        <v>RITES Limited</v>
      </c>
      <c r="C374" s="6" t="str">
        <f>IFERROR(__xludf.DUMMYFUNCTION("""COMPUTED_VALUE"""),"RITES")</f>
        <v>RITES</v>
      </c>
      <c r="D374" s="6" t="str">
        <f>IFERROR(__xludf.DUMMYFUNCTION("""COMPUTED_VALUE"""),"RITES Ltd")</f>
        <v>RITES Ltd</v>
      </c>
      <c r="E374" s="6" t="str">
        <f>IFERROR(__xludf.DUMMYFUNCTION("""COMPUTED_VALUE"""),"Active")</f>
        <v>Active</v>
      </c>
      <c r="F374" s="6" t="str">
        <f>IFERROR(__xludf.DUMMYFUNCTION("""COMPUTED_VALUE"""),"A")</f>
        <v>A</v>
      </c>
      <c r="G374" s="6">
        <f>IFERROR(__xludf.DUMMYFUNCTION("""COMPUTED_VALUE"""),10.0)</f>
        <v>10</v>
      </c>
      <c r="H374" s="6" t="str">
        <f>IFERROR(__xludf.DUMMYFUNCTION("""COMPUTED_VALUE"""),"INE320J01015")</f>
        <v>INE320J01015</v>
      </c>
      <c r="I374" s="6" t="str">
        <f>IFERROR(__xludf.DUMMYFUNCTION("""COMPUTED_VALUE"""),"Equity")</f>
        <v>Equity</v>
      </c>
      <c r="J374" s="6" t="str">
        <f>IFERROR(__xludf.DUMMYFUNCTION("""COMPUTED_VALUE"""),"Industrials")</f>
        <v>Industrials</v>
      </c>
      <c r="K374" s="6" t="str">
        <f>IFERROR(__xludf.DUMMYFUNCTION("""COMPUTED_VALUE"""),"Construction")</f>
        <v>Construction</v>
      </c>
      <c r="L374" s="6" t="str">
        <f>IFERROR(__xludf.DUMMYFUNCTION("""COMPUTED_VALUE"""),"Construction")</f>
        <v>Construction</v>
      </c>
      <c r="M374" s="6" t="str">
        <f>IFERROR(__xludf.DUMMYFUNCTION("""COMPUTED_VALUE"""),"Civil Construction")</f>
        <v>Civil Construction</v>
      </c>
      <c r="N374" s="5">
        <f>IFERROR(__xludf.DUMMYFUNCTION("""COMPUTED_VALUE"""),16775.420922)</f>
        <v>16775.42092</v>
      </c>
      <c r="O374" s="6">
        <f t="shared" si="4"/>
        <v>27</v>
      </c>
      <c r="P374" s="6">
        <f t="shared" ref="P374:Q374" si="750">COUNTIFS(L:L,L374)</f>
        <v>27</v>
      </c>
      <c r="Q374" s="24">
        <f t="shared" si="750"/>
        <v>27</v>
      </c>
      <c r="R374" s="6" t="str">
        <f t="shared" si="6"/>
        <v>Construction</v>
      </c>
      <c r="S374" s="6" t="str">
        <f t="shared" si="7"/>
        <v>Construction</v>
      </c>
      <c r="T374" s="6">
        <f>IFERROR(__xludf.DUMMYFUNCTION("COUNTA(UNIQUE(query($A$2:$P$800,""select L where K='""&amp; K374&amp;""'"")))"),1.0)</f>
        <v>1</v>
      </c>
      <c r="U374" s="23">
        <f t="shared" si="8"/>
        <v>0.05555555556</v>
      </c>
      <c r="V374" s="23">
        <f t="shared" ref="V374:W374" si="751">P374/O374</f>
        <v>1</v>
      </c>
      <c r="W374" s="23">
        <f t="shared" si="751"/>
        <v>1</v>
      </c>
    </row>
    <row r="375">
      <c r="A375" s="6">
        <f>IFERROR(__xludf.DUMMYFUNCTION("""COMPUTED_VALUE"""),532702.0)</f>
        <v>532702</v>
      </c>
      <c r="B375" s="6" t="str">
        <f>IFERROR(__xludf.DUMMYFUNCTION("""COMPUTED_VALUE"""),"Gujarat State Petronet Ltd.")</f>
        <v>Gujarat State Petronet Ltd.</v>
      </c>
      <c r="C375" s="6" t="str">
        <f>IFERROR(__xludf.DUMMYFUNCTION("""COMPUTED_VALUE"""),"GSPL")</f>
        <v>GSPL</v>
      </c>
      <c r="D375" s="6" t="str">
        <f>IFERROR(__xludf.DUMMYFUNCTION("""COMPUTED_VALUE"""),"GUJARAT STATE PETRONET LTD.")</f>
        <v>GUJARAT STATE PETRONET LTD.</v>
      </c>
      <c r="E375" s="6" t="str">
        <f>IFERROR(__xludf.DUMMYFUNCTION("""COMPUTED_VALUE"""),"Active")</f>
        <v>Active</v>
      </c>
      <c r="F375" s="6" t="str">
        <f>IFERROR(__xludf.DUMMYFUNCTION("""COMPUTED_VALUE"""),"A")</f>
        <v>A</v>
      </c>
      <c r="G375" s="6">
        <f>IFERROR(__xludf.DUMMYFUNCTION("""COMPUTED_VALUE"""),10.0)</f>
        <v>10</v>
      </c>
      <c r="H375" s="6" t="str">
        <f>IFERROR(__xludf.DUMMYFUNCTION("""COMPUTED_VALUE"""),"INE246F01010")</f>
        <v>INE246F01010</v>
      </c>
      <c r="I375" s="6" t="str">
        <f>IFERROR(__xludf.DUMMYFUNCTION("""COMPUTED_VALUE"""),"Equity")</f>
        <v>Equity</v>
      </c>
      <c r="J375" s="6" t="str">
        <f>IFERROR(__xludf.DUMMYFUNCTION("""COMPUTED_VALUE"""),"Energy")</f>
        <v>Energy</v>
      </c>
      <c r="K375" s="6" t="str">
        <f>IFERROR(__xludf.DUMMYFUNCTION("""COMPUTED_VALUE"""),"Oil, Gas &amp; Consumable, Fuels")</f>
        <v>Oil, Gas &amp; Consumable, Fuels</v>
      </c>
      <c r="L375" s="6" t="str">
        <f>IFERROR(__xludf.DUMMYFUNCTION("""COMPUTED_VALUE"""),"Gas")</f>
        <v>Gas</v>
      </c>
      <c r="M375" s="6" t="str">
        <f>IFERROR(__xludf.DUMMYFUNCTION("""COMPUTED_VALUE"""),"Gas Transmission/Marketing")</f>
        <v>Gas Transmission/Marketing</v>
      </c>
      <c r="N375" s="5">
        <f>IFERROR(__xludf.DUMMYFUNCTION("""COMPUTED_VALUE"""),16764.81374)</f>
        <v>16764.81374</v>
      </c>
      <c r="O375" s="6">
        <f t="shared" si="4"/>
        <v>20</v>
      </c>
      <c r="P375" s="6">
        <f t="shared" ref="P375:Q375" si="752">COUNTIFS(L:L,L375)</f>
        <v>8</v>
      </c>
      <c r="Q375" s="24">
        <f t="shared" si="752"/>
        <v>2</v>
      </c>
      <c r="R375" s="6" t="str">
        <f t="shared" si="6"/>
        <v>Oil, Gas &amp; Consumable, Fuels</v>
      </c>
      <c r="S375" s="6" t="str">
        <f t="shared" si="7"/>
        <v>Oil, Gas &amp; Consumable, Fuels</v>
      </c>
      <c r="T375" s="6">
        <f>IFERROR(__xludf.DUMMYFUNCTION("COUNTA(UNIQUE(query($A$2:$P$800,""select L where K='""&amp; K375&amp;""'"")))"),4.0)</f>
        <v>4</v>
      </c>
      <c r="U375" s="23">
        <f t="shared" si="8"/>
        <v>0.3</v>
      </c>
      <c r="V375" s="23">
        <f t="shared" ref="V375:W375" si="753">P375/O375</f>
        <v>0.4</v>
      </c>
      <c r="W375" s="23">
        <f t="shared" si="753"/>
        <v>0.25</v>
      </c>
    </row>
    <row r="376">
      <c r="A376" s="6">
        <f>IFERROR(__xludf.DUMMYFUNCTION("""COMPUTED_VALUE"""),590003.0)</f>
        <v>590003</v>
      </c>
      <c r="B376" s="6" t="str">
        <f>IFERROR(__xludf.DUMMYFUNCTION("""COMPUTED_VALUE"""),"Karur Vysya Bank Ltd.")</f>
        <v>Karur Vysya Bank Ltd.</v>
      </c>
      <c r="C376" s="6" t="str">
        <f>IFERROR(__xludf.DUMMYFUNCTION("""COMPUTED_VALUE"""),"KARURVYSYA")</f>
        <v>KARURVYSYA</v>
      </c>
      <c r="D376" s="6" t="str">
        <f>IFERROR(__xludf.DUMMYFUNCTION("""COMPUTED_VALUE"""),"KARUR VYSYA BANK LTD.")</f>
        <v>KARUR VYSYA BANK LTD.</v>
      </c>
      <c r="E376" s="6" t="str">
        <f>IFERROR(__xludf.DUMMYFUNCTION("""COMPUTED_VALUE"""),"Active")</f>
        <v>Active</v>
      </c>
      <c r="F376" s="6" t="str">
        <f>IFERROR(__xludf.DUMMYFUNCTION("""COMPUTED_VALUE"""),"B")</f>
        <v>B</v>
      </c>
      <c r="G376" s="6">
        <f>IFERROR(__xludf.DUMMYFUNCTION("""COMPUTED_VALUE"""),2.0)</f>
        <v>2</v>
      </c>
      <c r="H376" s="6" t="str">
        <f>IFERROR(__xludf.DUMMYFUNCTION("""COMPUTED_VALUE"""),"INE036D01028")</f>
        <v>INE036D01028</v>
      </c>
      <c r="I376" s="6" t="str">
        <f>IFERROR(__xludf.DUMMYFUNCTION("""COMPUTED_VALUE"""),"Equity")</f>
        <v>Equity</v>
      </c>
      <c r="J376" s="6" t="str">
        <f>IFERROR(__xludf.DUMMYFUNCTION("""COMPUTED_VALUE"""),"Financial Services")</f>
        <v>Financial Services</v>
      </c>
      <c r="K376" s="6" t="str">
        <f>IFERROR(__xludf.DUMMYFUNCTION("""COMPUTED_VALUE"""),"Financial Services")</f>
        <v>Financial Services</v>
      </c>
      <c r="L376" s="6" t="str">
        <f>IFERROR(__xludf.DUMMYFUNCTION("""COMPUTED_VALUE"""),"Banks")</f>
        <v>Banks</v>
      </c>
      <c r="M376" s="6" t="str">
        <f>IFERROR(__xludf.DUMMYFUNCTION("""COMPUTED_VALUE"""),"Private Sector Bank")</f>
        <v>Private Sector Bank</v>
      </c>
      <c r="N376" s="5">
        <f>IFERROR(__xludf.DUMMYFUNCTION("""COMPUTED_VALUE"""),16686.5396342)</f>
        <v>16686.53963</v>
      </c>
      <c r="O376" s="6">
        <f t="shared" si="4"/>
        <v>123</v>
      </c>
      <c r="P376" s="6">
        <f t="shared" ref="P376:Q376" si="754">COUNTIFS(L:L,L376)</f>
        <v>35</v>
      </c>
      <c r="Q376" s="24">
        <f t="shared" si="754"/>
        <v>23</v>
      </c>
      <c r="R376" s="6" t="str">
        <f t="shared" si="6"/>
        <v>Banks</v>
      </c>
      <c r="S376" s="6" t="str">
        <f t="shared" si="7"/>
        <v>Banks</v>
      </c>
      <c r="T376" s="6">
        <f>IFERROR(__xludf.DUMMYFUNCTION("COUNTA(UNIQUE(query($A$2:$P$800,""select L where K='""&amp; K376&amp;""'"")))"),5.0)</f>
        <v>5</v>
      </c>
      <c r="U376" s="23">
        <f t="shared" si="8"/>
        <v>0.06097560976</v>
      </c>
      <c r="V376" s="23">
        <f t="shared" ref="V376:W376" si="755">P376/O376</f>
        <v>0.2845528455</v>
      </c>
      <c r="W376" s="23">
        <f t="shared" si="755"/>
        <v>0.6571428571</v>
      </c>
    </row>
    <row r="377">
      <c r="A377" s="6">
        <f>IFERROR(__xludf.DUMMYFUNCTION("""COMPUTED_VALUE"""),542141.0)</f>
        <v>542141</v>
      </c>
      <c r="B377" s="6" t="str">
        <f>IFERROR(__xludf.DUMMYFUNCTION("""COMPUTED_VALUE"""),"Techno Electric &amp; Engineering Company Limited")</f>
        <v>Techno Electric &amp; Engineering Company Limited</v>
      </c>
      <c r="C377" s="6" t="str">
        <f>IFERROR(__xludf.DUMMYFUNCTION("""COMPUTED_VALUE"""),"TECHNOE")</f>
        <v>TECHNOE</v>
      </c>
      <c r="D377" s="6" t="str">
        <f>IFERROR(__xludf.DUMMYFUNCTION("""COMPUTED_VALUE"""),"Techno Electric &amp; Engineering Company Ltd")</f>
        <v>Techno Electric &amp; Engineering Company Ltd</v>
      </c>
      <c r="E377" s="6" t="str">
        <f>IFERROR(__xludf.DUMMYFUNCTION("""COMPUTED_VALUE"""),"Active")</f>
        <v>Active</v>
      </c>
      <c r="F377" s="6" t="str">
        <f>IFERROR(__xludf.DUMMYFUNCTION("""COMPUTED_VALUE"""),"T")</f>
        <v>T</v>
      </c>
      <c r="G377" s="6">
        <f>IFERROR(__xludf.DUMMYFUNCTION("""COMPUTED_VALUE"""),2.0)</f>
        <v>2</v>
      </c>
      <c r="H377" s="6" t="str">
        <f>IFERROR(__xludf.DUMMYFUNCTION("""COMPUTED_VALUE"""),"INE285K01026")</f>
        <v>INE285K01026</v>
      </c>
      <c r="I377" s="6" t="str">
        <f>IFERROR(__xludf.DUMMYFUNCTION("""COMPUTED_VALUE"""),"Equity")</f>
        <v>Equity</v>
      </c>
      <c r="J377" s="6" t="str">
        <f>IFERROR(__xludf.DUMMYFUNCTION("""COMPUTED_VALUE"""),"Industrials")</f>
        <v>Industrials</v>
      </c>
      <c r="K377" s="6" t="str">
        <f>IFERROR(__xludf.DUMMYFUNCTION("""COMPUTED_VALUE"""),"Construction")</f>
        <v>Construction</v>
      </c>
      <c r="L377" s="6" t="str">
        <f>IFERROR(__xludf.DUMMYFUNCTION("""COMPUTED_VALUE"""),"Construction")</f>
        <v>Construction</v>
      </c>
      <c r="M377" s="6" t="str">
        <f>IFERROR(__xludf.DUMMYFUNCTION("""COMPUTED_VALUE"""),"Civil Construction")</f>
        <v>Civil Construction</v>
      </c>
      <c r="N377" s="5">
        <f>IFERROR(__xludf.DUMMYFUNCTION("""COMPUTED_VALUE"""),16658.97513)</f>
        <v>16658.97513</v>
      </c>
      <c r="O377" s="6">
        <f t="shared" si="4"/>
        <v>27</v>
      </c>
      <c r="P377" s="6">
        <f t="shared" ref="P377:Q377" si="756">COUNTIFS(L:L,L377)</f>
        <v>27</v>
      </c>
      <c r="Q377" s="24">
        <f t="shared" si="756"/>
        <v>27</v>
      </c>
      <c r="R377" s="6" t="str">
        <f t="shared" si="6"/>
        <v>Construction</v>
      </c>
      <c r="S377" s="6" t="str">
        <f t="shared" si="7"/>
        <v>Construction</v>
      </c>
      <c r="T377" s="6">
        <f>IFERROR(__xludf.DUMMYFUNCTION("COUNTA(UNIQUE(query($A$2:$P$800,""select L where K='""&amp; K377&amp;""'"")))"),1.0)</f>
        <v>1</v>
      </c>
      <c r="U377" s="23">
        <f t="shared" si="8"/>
        <v>0.05555555556</v>
      </c>
      <c r="V377" s="23">
        <f t="shared" ref="V377:W377" si="757">P377/O377</f>
        <v>1</v>
      </c>
      <c r="W377" s="23">
        <f t="shared" si="757"/>
        <v>1</v>
      </c>
    </row>
    <row r="378">
      <c r="A378" s="6">
        <f>IFERROR(__xludf.DUMMYFUNCTION("""COMPUTED_VALUE"""),504067.0)</f>
        <v>504067</v>
      </c>
      <c r="B378" s="6" t="str">
        <f>IFERROR(__xludf.DUMMYFUNCTION("""COMPUTED_VALUE"""),"Zensar Technologies Ltd.")</f>
        <v>Zensar Technologies Ltd.</v>
      </c>
      <c r="C378" s="6" t="str">
        <f>IFERROR(__xludf.DUMMYFUNCTION("""COMPUTED_VALUE"""),"ZENSARTECH")</f>
        <v>ZENSARTECH</v>
      </c>
      <c r="D378" s="6" t="str">
        <f>IFERROR(__xludf.DUMMYFUNCTION("""COMPUTED_VALUE"""),"ZENSAR TECHNOLOGIES LTD.")</f>
        <v>ZENSAR TECHNOLOGIES LTD.</v>
      </c>
      <c r="E378" s="6" t="str">
        <f>IFERROR(__xludf.DUMMYFUNCTION("""COMPUTED_VALUE"""),"Active")</f>
        <v>Active</v>
      </c>
      <c r="F378" s="6" t="str">
        <f>IFERROR(__xludf.DUMMYFUNCTION("""COMPUTED_VALUE"""),"A")</f>
        <v>A</v>
      </c>
      <c r="G378" s="6">
        <f>IFERROR(__xludf.DUMMYFUNCTION("""COMPUTED_VALUE"""),2.0)</f>
        <v>2</v>
      </c>
      <c r="H378" s="6" t="str">
        <f>IFERROR(__xludf.DUMMYFUNCTION("""COMPUTED_VALUE"""),"INE520A01027")</f>
        <v>INE520A01027</v>
      </c>
      <c r="I378" s="6" t="str">
        <f>IFERROR(__xludf.DUMMYFUNCTION("""COMPUTED_VALUE"""),"Equity")</f>
        <v>Equity</v>
      </c>
      <c r="J378" s="6" t="str">
        <f>IFERROR(__xludf.DUMMYFUNCTION("""COMPUTED_VALUE"""),"Information Technology")</f>
        <v>Information Technology</v>
      </c>
      <c r="K378" s="6" t="str">
        <f>IFERROR(__xludf.DUMMYFUNCTION("""COMPUTED_VALUE"""),"Information Technology")</f>
        <v>Information Technology</v>
      </c>
      <c r="L378" s="6" t="str">
        <f>IFERROR(__xludf.DUMMYFUNCTION("""COMPUTED_VALUE"""),"IT - Software")</f>
        <v>IT - Software</v>
      </c>
      <c r="M378" s="6" t="str">
        <f>IFERROR(__xludf.DUMMYFUNCTION("""COMPUTED_VALUE"""),"Computers - Software &amp; Consulting")</f>
        <v>Computers - Software &amp; Consulting</v>
      </c>
      <c r="N378" s="5">
        <f>IFERROR(__xludf.DUMMYFUNCTION("""COMPUTED_VALUE"""),16629.3422551)</f>
        <v>16629.34226</v>
      </c>
      <c r="O378" s="6">
        <f t="shared" si="4"/>
        <v>36</v>
      </c>
      <c r="P378" s="6">
        <f t="shared" ref="P378:Q378" si="758">COUNTIFS(L:L,L378)</f>
        <v>27</v>
      </c>
      <c r="Q378" s="24">
        <f t="shared" si="758"/>
        <v>22</v>
      </c>
      <c r="R378" s="6" t="str">
        <f t="shared" si="6"/>
        <v>Information Technology</v>
      </c>
      <c r="S378" s="6" t="str">
        <f t="shared" si="7"/>
        <v>Information Technology</v>
      </c>
      <c r="T378" s="6">
        <f>IFERROR(__xludf.DUMMYFUNCTION("COUNTA(UNIQUE(query($A$2:$P$800,""select L where K='""&amp; K378&amp;""'"")))"),3.0)</f>
        <v>3</v>
      </c>
      <c r="U378" s="23">
        <f t="shared" si="8"/>
        <v>0.125</v>
      </c>
      <c r="V378" s="23">
        <f t="shared" ref="V378:W378" si="759">P378/O378</f>
        <v>0.75</v>
      </c>
      <c r="W378" s="23">
        <f t="shared" si="759"/>
        <v>0.8148148148</v>
      </c>
    </row>
    <row r="379">
      <c r="A379" s="6">
        <f>IFERROR(__xludf.DUMMYFUNCTION("""COMPUTED_VALUE"""),543960.0)</f>
        <v>543960</v>
      </c>
      <c r="B379" s="6" t="str">
        <f>IFERROR(__xludf.DUMMYFUNCTION("""COMPUTED_VALUE"""),"Concord Biotech Limited")</f>
        <v>Concord Biotech Limited</v>
      </c>
      <c r="C379" s="6" t="str">
        <f>IFERROR(__xludf.DUMMYFUNCTION("""COMPUTED_VALUE"""),"CONCORDBIO")</f>
        <v>CONCORDBIO</v>
      </c>
      <c r="D379" s="6" t="str">
        <f>IFERROR(__xludf.DUMMYFUNCTION("""COMPUTED_VALUE"""),"Concord Biotech Ltd")</f>
        <v>Concord Biotech Ltd</v>
      </c>
      <c r="E379" s="6" t="str">
        <f>IFERROR(__xludf.DUMMYFUNCTION("""COMPUTED_VALUE"""),"Active")</f>
        <v>Active</v>
      </c>
      <c r="F379" s="6" t="str">
        <f>IFERROR(__xludf.DUMMYFUNCTION("""COMPUTED_VALUE"""),"B")</f>
        <v>B</v>
      </c>
      <c r="G379" s="6">
        <f>IFERROR(__xludf.DUMMYFUNCTION("""COMPUTED_VALUE"""),1.0)</f>
        <v>1</v>
      </c>
      <c r="H379" s="6" t="str">
        <f>IFERROR(__xludf.DUMMYFUNCTION("""COMPUTED_VALUE"""),"INE338H01029")</f>
        <v>INE338H01029</v>
      </c>
      <c r="I379" s="6" t="str">
        <f>IFERROR(__xludf.DUMMYFUNCTION("""COMPUTED_VALUE"""),"Equity")</f>
        <v>Equity</v>
      </c>
      <c r="J379" s="6" t="str">
        <f>IFERROR(__xludf.DUMMYFUNCTION("""COMPUTED_VALUE"""),"Healthcare")</f>
        <v>Healthcare</v>
      </c>
      <c r="K379" s="6" t="str">
        <f>IFERROR(__xludf.DUMMYFUNCTION("""COMPUTED_VALUE"""),"Healthcare")</f>
        <v>Healthcare</v>
      </c>
      <c r="L379" s="6" t="str">
        <f>IFERROR(__xludf.DUMMYFUNCTION("""COMPUTED_VALUE"""),"Pharmaceuticals &amp; Biotechnology")</f>
        <v>Pharmaceuticals &amp; Biotechnology</v>
      </c>
      <c r="M379" s="6" t="str">
        <f>IFERROR(__xludf.DUMMYFUNCTION("""COMPUTED_VALUE"""),"Pharmaceuticals")</f>
        <v>Pharmaceuticals</v>
      </c>
      <c r="N379" s="5">
        <f>IFERROR(__xludf.DUMMYFUNCTION("""COMPUTED_VALUE"""),16575.6956759)</f>
        <v>16575.69568</v>
      </c>
      <c r="O379" s="6">
        <f t="shared" si="4"/>
        <v>62</v>
      </c>
      <c r="P379" s="6">
        <f t="shared" ref="P379:Q379" si="760">COUNTIFS(L:L,L379)</f>
        <v>45</v>
      </c>
      <c r="Q379" s="24">
        <f t="shared" si="760"/>
        <v>45</v>
      </c>
      <c r="R379" s="6" t="str">
        <f t="shared" si="6"/>
        <v>Healthcare</v>
      </c>
      <c r="S379" s="6" t="str">
        <f t="shared" si="7"/>
        <v>Healthcare</v>
      </c>
      <c r="T379" s="6">
        <f>IFERROR(__xludf.DUMMYFUNCTION("COUNTA(UNIQUE(query($A$2:$P$800,""select L where K='""&amp; K379&amp;""'"")))"),3.0)</f>
        <v>3</v>
      </c>
      <c r="U379" s="23">
        <f t="shared" si="8"/>
        <v>0.07258064516</v>
      </c>
      <c r="V379" s="23">
        <f t="shared" ref="V379:W379" si="761">P379/O379</f>
        <v>0.7258064516</v>
      </c>
      <c r="W379" s="23">
        <f t="shared" si="761"/>
        <v>1</v>
      </c>
    </row>
    <row r="380">
      <c r="A380" s="6">
        <f>IFERROR(__xludf.DUMMYFUNCTION("""COMPUTED_VALUE"""),543308.0)</f>
        <v>543308</v>
      </c>
      <c r="B380" s="6" t="str">
        <f>IFERROR(__xludf.DUMMYFUNCTION("""COMPUTED_VALUE"""),"Krishna Institute of Medical Sciences Limited")</f>
        <v>Krishna Institute of Medical Sciences Limited</v>
      </c>
      <c r="C380" s="6" t="str">
        <f>IFERROR(__xludf.DUMMYFUNCTION("""COMPUTED_VALUE"""),"KIMS")</f>
        <v>KIMS</v>
      </c>
      <c r="D380" s="6" t="str">
        <f>IFERROR(__xludf.DUMMYFUNCTION("""COMPUTED_VALUE"""),"Krishna Institute of Medical Sciences Ltd")</f>
        <v>Krishna Institute of Medical Sciences Ltd</v>
      </c>
      <c r="E380" s="6" t="str">
        <f>IFERROR(__xludf.DUMMYFUNCTION("""COMPUTED_VALUE"""),"Active")</f>
        <v>Active</v>
      </c>
      <c r="F380" s="6" t="str">
        <f>IFERROR(__xludf.DUMMYFUNCTION("""COMPUTED_VALUE"""),"A")</f>
        <v>A</v>
      </c>
      <c r="G380" s="6">
        <f>IFERROR(__xludf.DUMMYFUNCTION("""COMPUTED_VALUE"""),10.0)</f>
        <v>10</v>
      </c>
      <c r="H380" s="6" t="str">
        <f>IFERROR(__xludf.DUMMYFUNCTION("""COMPUTED_VALUE"""),"INE967H01017")</f>
        <v>INE967H01017</v>
      </c>
      <c r="I380" s="6" t="str">
        <f>IFERROR(__xludf.DUMMYFUNCTION("""COMPUTED_VALUE"""),"Equity")</f>
        <v>Equity</v>
      </c>
      <c r="J380" s="6" t="str">
        <f>IFERROR(__xludf.DUMMYFUNCTION("""COMPUTED_VALUE"""),"Healthcare")</f>
        <v>Healthcare</v>
      </c>
      <c r="K380" s="6" t="str">
        <f>IFERROR(__xludf.DUMMYFUNCTION("""COMPUTED_VALUE"""),"Healthcare")</f>
        <v>Healthcare</v>
      </c>
      <c r="L380" s="6" t="str">
        <f>IFERROR(__xludf.DUMMYFUNCTION("""COMPUTED_VALUE"""),"Healthcare Services")</f>
        <v>Healthcare Services</v>
      </c>
      <c r="M380" s="6" t="str">
        <f>IFERROR(__xludf.DUMMYFUNCTION("""COMPUTED_VALUE"""),"Hospital")</f>
        <v>Hospital</v>
      </c>
      <c r="N380" s="5">
        <f>IFERROR(__xludf.DUMMYFUNCTION("""COMPUTED_VALUE"""),16548.8512926)</f>
        <v>16548.85129</v>
      </c>
      <c r="O380" s="6">
        <f t="shared" si="4"/>
        <v>62</v>
      </c>
      <c r="P380" s="6">
        <f t="shared" ref="P380:Q380" si="762">COUNTIFS(L:L,L380)</f>
        <v>16</v>
      </c>
      <c r="Q380" s="24">
        <f t="shared" si="762"/>
        <v>11</v>
      </c>
      <c r="R380" s="6" t="str">
        <f t="shared" si="6"/>
        <v>Healthcare Services</v>
      </c>
      <c r="S380" s="6" t="str">
        <f t="shared" si="7"/>
        <v>Healthcare Services</v>
      </c>
      <c r="T380" s="6">
        <f>IFERROR(__xludf.DUMMYFUNCTION("COUNTA(UNIQUE(query($A$2:$P$800,""select L where K='""&amp; K380&amp;""'"")))"),3.0)</f>
        <v>3</v>
      </c>
      <c r="U380" s="23">
        <f t="shared" si="8"/>
        <v>0.07258064516</v>
      </c>
      <c r="V380" s="23">
        <f t="shared" ref="V380:W380" si="763">P380/O380</f>
        <v>0.2580645161</v>
      </c>
      <c r="W380" s="23">
        <f t="shared" si="763"/>
        <v>0.6875</v>
      </c>
    </row>
    <row r="381">
      <c r="A381" s="6">
        <f>IFERROR(__xludf.DUMMYFUNCTION("""COMPUTED_VALUE"""),532805.0)</f>
        <v>532805</v>
      </c>
      <c r="B381" s="6" t="str">
        <f>IFERROR(__xludf.DUMMYFUNCTION("""COMPUTED_VALUE"""),"Redington Limited")</f>
        <v>Redington Limited</v>
      </c>
      <c r="C381" s="6" t="str">
        <f>IFERROR(__xludf.DUMMYFUNCTION("""COMPUTED_VALUE"""),"REDINGTON")</f>
        <v>REDINGTON</v>
      </c>
      <c r="D381" s="6" t="str">
        <f>IFERROR(__xludf.DUMMYFUNCTION("""COMPUTED_VALUE"""),"Redington Ltd")</f>
        <v>Redington Ltd</v>
      </c>
      <c r="E381" s="6" t="str">
        <f>IFERROR(__xludf.DUMMYFUNCTION("""COMPUTED_VALUE"""),"Active")</f>
        <v>Active</v>
      </c>
      <c r="F381" s="6" t="str">
        <f>IFERROR(__xludf.DUMMYFUNCTION("""COMPUTED_VALUE"""),"A")</f>
        <v>A</v>
      </c>
      <c r="G381" s="6">
        <f>IFERROR(__xludf.DUMMYFUNCTION("""COMPUTED_VALUE"""),2.0)</f>
        <v>2</v>
      </c>
      <c r="H381" s="6" t="str">
        <f>IFERROR(__xludf.DUMMYFUNCTION("""COMPUTED_VALUE"""),"INE891D01026")</f>
        <v>INE891D01026</v>
      </c>
      <c r="I381" s="6" t="str">
        <f>IFERROR(__xludf.DUMMYFUNCTION("""COMPUTED_VALUE"""),"Equity")</f>
        <v>Equity</v>
      </c>
      <c r="J381" s="6" t="str">
        <f>IFERROR(__xludf.DUMMYFUNCTION("""COMPUTED_VALUE"""),"Services")</f>
        <v>Services</v>
      </c>
      <c r="K381" s="6" t="str">
        <f>IFERROR(__xludf.DUMMYFUNCTION("""COMPUTED_VALUE"""),"Services")</f>
        <v>Services</v>
      </c>
      <c r="L381" s="6" t="str">
        <f>IFERROR(__xludf.DUMMYFUNCTION("""COMPUTED_VALUE"""),"Commercial Services &amp; Supplies")</f>
        <v>Commercial Services &amp; Supplies</v>
      </c>
      <c r="M381" s="6" t="str">
        <f>IFERROR(__xludf.DUMMYFUNCTION("""COMPUTED_VALUE"""),"Trading &amp; Distributors")</f>
        <v>Trading &amp; Distributors</v>
      </c>
      <c r="N381" s="5">
        <f>IFERROR(__xludf.DUMMYFUNCTION("""COMPUTED_VALUE"""),16531.3923231)</f>
        <v>16531.39232</v>
      </c>
      <c r="O381" s="6">
        <f t="shared" si="4"/>
        <v>27</v>
      </c>
      <c r="P381" s="6">
        <f t="shared" ref="P381:Q381" si="764">COUNTIFS(L:L,L381)</f>
        <v>11</v>
      </c>
      <c r="Q381" s="24">
        <f t="shared" si="764"/>
        <v>3</v>
      </c>
      <c r="R381" s="6" t="str">
        <f t="shared" si="6"/>
        <v>Services</v>
      </c>
      <c r="S381" s="6" t="str">
        <f t="shared" si="7"/>
        <v>Services</v>
      </c>
      <c r="T381" s="6">
        <f>IFERROR(__xludf.DUMMYFUNCTION("COUNTA(UNIQUE(query($A$2:$P$800,""select L where K='""&amp; K381&amp;""'"")))"),3.0)</f>
        <v>3</v>
      </c>
      <c r="U381" s="23">
        <f t="shared" si="8"/>
        <v>0.1666666667</v>
      </c>
      <c r="V381" s="23">
        <f t="shared" ref="V381:W381" si="765">P381/O381</f>
        <v>0.4074074074</v>
      </c>
      <c r="W381" s="23">
        <f t="shared" si="765"/>
        <v>0.2727272727</v>
      </c>
    </row>
    <row r="382">
      <c r="A382" s="6">
        <f>IFERROR(__xludf.DUMMYFUNCTION("""COMPUTED_VALUE"""),543335.0)</f>
        <v>543335</v>
      </c>
      <c r="B382" s="6" t="str">
        <f>IFERROR(__xludf.DUMMYFUNCTION("""COMPUTED_VALUE"""),"Aptus Value Housing Finance India Limited")</f>
        <v>Aptus Value Housing Finance India Limited</v>
      </c>
      <c r="C382" s="6" t="str">
        <f>IFERROR(__xludf.DUMMYFUNCTION("""COMPUTED_VALUE"""),"APTUS")</f>
        <v>APTUS</v>
      </c>
      <c r="D382" s="6" t="str">
        <f>IFERROR(__xludf.DUMMYFUNCTION("""COMPUTED_VALUE"""),"Aptus Value Housing Finance India Ltd")</f>
        <v>Aptus Value Housing Finance India Ltd</v>
      </c>
      <c r="E382" s="6" t="str">
        <f>IFERROR(__xludf.DUMMYFUNCTION("""COMPUTED_VALUE"""),"Active")</f>
        <v>Active</v>
      </c>
      <c r="F382" s="6" t="str">
        <f>IFERROR(__xludf.DUMMYFUNCTION("""COMPUTED_VALUE"""),"A")</f>
        <v>A</v>
      </c>
      <c r="G382" s="6">
        <f>IFERROR(__xludf.DUMMYFUNCTION("""COMPUTED_VALUE"""),2.0)</f>
        <v>2</v>
      </c>
      <c r="H382" s="6" t="str">
        <f>IFERROR(__xludf.DUMMYFUNCTION("""COMPUTED_VALUE"""),"INE852O01025")</f>
        <v>INE852O01025</v>
      </c>
      <c r="I382" s="6" t="str">
        <f>IFERROR(__xludf.DUMMYFUNCTION("""COMPUTED_VALUE"""),"Equity")</f>
        <v>Equity</v>
      </c>
      <c r="J382" s="6" t="str">
        <f>IFERROR(__xludf.DUMMYFUNCTION("""COMPUTED_VALUE"""),"Financial Services")</f>
        <v>Financial Services</v>
      </c>
      <c r="K382" s="6" t="str">
        <f>IFERROR(__xludf.DUMMYFUNCTION("""COMPUTED_VALUE"""),"Financial Services")</f>
        <v>Financial Services</v>
      </c>
      <c r="L382" s="6" t="str">
        <f>IFERROR(__xludf.DUMMYFUNCTION("""COMPUTED_VALUE"""),"Finance")</f>
        <v>Finance</v>
      </c>
      <c r="M382" s="6" t="str">
        <f>IFERROR(__xludf.DUMMYFUNCTION("""COMPUTED_VALUE"""),"Housing Finance Company")</f>
        <v>Housing Finance Company</v>
      </c>
      <c r="N382" s="5">
        <f>IFERROR(__xludf.DUMMYFUNCTION("""COMPUTED_VALUE"""),16449.3027092)</f>
        <v>16449.30271</v>
      </c>
      <c r="O382" s="6">
        <f t="shared" si="4"/>
        <v>123</v>
      </c>
      <c r="P382" s="6">
        <f t="shared" ref="P382:Q382" si="766">COUNTIFS(L:L,L382)</f>
        <v>56</v>
      </c>
      <c r="Q382" s="24">
        <f t="shared" si="766"/>
        <v>9</v>
      </c>
      <c r="R382" s="6" t="str">
        <f t="shared" si="6"/>
        <v>Finance</v>
      </c>
      <c r="S382" s="6" t="str">
        <f t="shared" si="7"/>
        <v>Finance</v>
      </c>
      <c r="T382" s="6">
        <f>IFERROR(__xludf.DUMMYFUNCTION("COUNTA(UNIQUE(query($A$2:$P$800,""select L where K='""&amp; K382&amp;""'"")))"),5.0)</f>
        <v>5</v>
      </c>
      <c r="U382" s="23">
        <f t="shared" si="8"/>
        <v>0.06097560976</v>
      </c>
      <c r="V382" s="23">
        <f t="shared" ref="V382:W382" si="767">P382/O382</f>
        <v>0.4552845528</v>
      </c>
      <c r="W382" s="23">
        <f t="shared" si="767"/>
        <v>0.1607142857</v>
      </c>
    </row>
    <row r="383">
      <c r="A383" s="6">
        <f>IFERROR(__xludf.DUMMYFUNCTION("""COMPUTED_VALUE"""),515030.0)</f>
        <v>515030</v>
      </c>
      <c r="B383" s="6" t="str">
        <f>IFERROR(__xludf.DUMMYFUNCTION("""COMPUTED_VALUE"""),"Asahi India Glass Ltd.")</f>
        <v>Asahi India Glass Ltd.</v>
      </c>
      <c r="C383" s="6" t="str">
        <f>IFERROR(__xludf.DUMMYFUNCTION("""COMPUTED_VALUE"""),"ASAHIINDIA")</f>
        <v>ASAHIINDIA</v>
      </c>
      <c r="D383" s="6" t="str">
        <f>IFERROR(__xludf.DUMMYFUNCTION("""COMPUTED_VALUE"""),"ASAHI INDIA GLASS LTD.")</f>
        <v>ASAHI INDIA GLASS LTD.</v>
      </c>
      <c r="E383" s="6" t="str">
        <f>IFERROR(__xludf.DUMMYFUNCTION("""COMPUTED_VALUE"""),"Active")</f>
        <v>Active</v>
      </c>
      <c r="F383" s="6" t="str">
        <f>IFERROR(__xludf.DUMMYFUNCTION("""COMPUTED_VALUE"""),"A")</f>
        <v>A</v>
      </c>
      <c r="G383" s="6">
        <f>IFERROR(__xludf.DUMMYFUNCTION("""COMPUTED_VALUE"""),1.0)</f>
        <v>1</v>
      </c>
      <c r="H383" s="6" t="str">
        <f>IFERROR(__xludf.DUMMYFUNCTION("""COMPUTED_VALUE"""),"INE439A01020")</f>
        <v>INE439A01020</v>
      </c>
      <c r="I383" s="6" t="str">
        <f>IFERROR(__xludf.DUMMYFUNCTION("""COMPUTED_VALUE"""),"Equity")</f>
        <v>Equity</v>
      </c>
      <c r="J383" s="6" t="str">
        <f>IFERROR(__xludf.DUMMYFUNCTION("""COMPUTED_VALUE"""),"Consumer Discretionary")</f>
        <v>Consumer Discretionary</v>
      </c>
      <c r="K383" s="6" t="str">
        <f>IFERROR(__xludf.DUMMYFUNCTION("""COMPUTED_VALUE"""),"Automobile and Auto Components")</f>
        <v>Automobile and Auto Components</v>
      </c>
      <c r="L383" s="6" t="str">
        <f>IFERROR(__xludf.DUMMYFUNCTION("""COMPUTED_VALUE"""),"Auto Components")</f>
        <v>Auto Components</v>
      </c>
      <c r="M383" s="6" t="str">
        <f>IFERROR(__xludf.DUMMYFUNCTION("""COMPUTED_VALUE"""),"Auto Components &amp; Equipments")</f>
        <v>Auto Components &amp; Equipments</v>
      </c>
      <c r="N383" s="5">
        <f>IFERROR(__xludf.DUMMYFUNCTION("""COMPUTED_VALUE"""),16402.6722402)</f>
        <v>16402.67224</v>
      </c>
      <c r="O383" s="6">
        <f t="shared" si="4"/>
        <v>47</v>
      </c>
      <c r="P383" s="6">
        <f t="shared" ref="P383:Q383" si="768">COUNTIFS(L:L,L383)</f>
        <v>37</v>
      </c>
      <c r="Q383" s="24">
        <f t="shared" si="768"/>
        <v>32</v>
      </c>
      <c r="R383" s="6" t="str">
        <f t="shared" si="6"/>
        <v>Automobile and Auto Components</v>
      </c>
      <c r="S383" s="6" t="str">
        <f t="shared" si="7"/>
        <v>Automobile and Auto Components</v>
      </c>
      <c r="T383" s="6">
        <f>IFERROR(__xludf.DUMMYFUNCTION("COUNTA(UNIQUE(query($A$2:$P$800,""select L where K='""&amp; K383&amp;""'"")))"),2.0)</f>
        <v>2</v>
      </c>
      <c r="U383" s="23">
        <f t="shared" si="8"/>
        <v>0.06382978723</v>
      </c>
      <c r="V383" s="23">
        <f t="shared" ref="V383:W383" si="769">P383/O383</f>
        <v>0.7872340426</v>
      </c>
      <c r="W383" s="23">
        <f t="shared" si="769"/>
        <v>0.8648648649</v>
      </c>
    </row>
    <row r="384">
      <c r="A384" s="6">
        <f>IFERROR(__xludf.DUMMYFUNCTION("""COMPUTED_VALUE"""),532548.0)</f>
        <v>532548</v>
      </c>
      <c r="B384" s="6" t="str">
        <f>IFERROR(__xludf.DUMMYFUNCTION("""COMPUTED_VALUE"""),"Century Plyboards (India) Ltd.")</f>
        <v>Century Plyboards (India) Ltd.</v>
      </c>
      <c r="C384" s="6" t="str">
        <f>IFERROR(__xludf.DUMMYFUNCTION("""COMPUTED_VALUE"""),"CENTURYPLY")</f>
        <v>CENTURYPLY</v>
      </c>
      <c r="D384" s="6" t="str">
        <f>IFERROR(__xludf.DUMMYFUNCTION("""COMPUTED_VALUE"""),"CENTURY PLYBOARDS (I) LTD.-$")</f>
        <v>CENTURY PLYBOARDS (I) LTD.-$</v>
      </c>
      <c r="E384" s="6" t="str">
        <f>IFERROR(__xludf.DUMMYFUNCTION("""COMPUTED_VALUE"""),"Active")</f>
        <v>Active</v>
      </c>
      <c r="F384" s="6" t="str">
        <f>IFERROR(__xludf.DUMMYFUNCTION("""COMPUTED_VALUE"""),"A")</f>
        <v>A</v>
      </c>
      <c r="G384" s="6">
        <f>IFERROR(__xludf.DUMMYFUNCTION("""COMPUTED_VALUE"""),1.0)</f>
        <v>1</v>
      </c>
      <c r="H384" s="6" t="str">
        <f>IFERROR(__xludf.DUMMYFUNCTION("""COMPUTED_VALUE"""),"INE348B01021")</f>
        <v>INE348B01021</v>
      </c>
      <c r="I384" s="6" t="str">
        <f>IFERROR(__xludf.DUMMYFUNCTION("""COMPUTED_VALUE"""),"Equity")</f>
        <v>Equity</v>
      </c>
      <c r="J384" s="6" t="str">
        <f>IFERROR(__xludf.DUMMYFUNCTION("""COMPUTED_VALUE"""),"Consumer Discretionary")</f>
        <v>Consumer Discretionary</v>
      </c>
      <c r="K384" s="6" t="str">
        <f>IFERROR(__xludf.DUMMYFUNCTION("""COMPUTED_VALUE"""),"Consumer Durables")</f>
        <v>Consumer Durables</v>
      </c>
      <c r="L384" s="6" t="str">
        <f>IFERROR(__xludf.DUMMYFUNCTION("""COMPUTED_VALUE"""),"Consumer Durables")</f>
        <v>Consumer Durables</v>
      </c>
      <c r="M384" s="6" t="str">
        <f>IFERROR(__xludf.DUMMYFUNCTION("""COMPUTED_VALUE"""),"Plywood Boards/ Laminates")</f>
        <v>Plywood Boards/ Laminates</v>
      </c>
      <c r="N384" s="5">
        <f>IFERROR(__xludf.DUMMYFUNCTION("""COMPUTED_VALUE"""),16343.6808187)</f>
        <v>16343.68082</v>
      </c>
      <c r="O384" s="6">
        <f t="shared" si="4"/>
        <v>42</v>
      </c>
      <c r="P384" s="6">
        <f t="shared" ref="P384:Q384" si="770">COUNTIFS(L:L,L384)</f>
        <v>42</v>
      </c>
      <c r="Q384" s="24">
        <f t="shared" si="770"/>
        <v>2</v>
      </c>
      <c r="R384" s="6" t="str">
        <f t="shared" si="6"/>
        <v>Consumer Durables</v>
      </c>
      <c r="S384" s="6" t="str">
        <f t="shared" si="7"/>
        <v>Consumer Durables</v>
      </c>
      <c r="T384" s="6">
        <f>IFERROR(__xludf.DUMMYFUNCTION("COUNTA(UNIQUE(query($A$2:$P$800,""select L where K='""&amp; K384&amp;""'"")))"),1.0)</f>
        <v>1</v>
      </c>
      <c r="U384" s="23">
        <f t="shared" si="8"/>
        <v>0.03571428571</v>
      </c>
      <c r="V384" s="23">
        <f t="shared" ref="V384:W384" si="771">P384/O384</f>
        <v>1</v>
      </c>
      <c r="W384" s="23">
        <f t="shared" si="771"/>
        <v>0.04761904762</v>
      </c>
    </row>
    <row r="385">
      <c r="A385" s="6">
        <f>IFERROR(__xludf.DUMMYFUNCTION("""COMPUTED_VALUE"""),532527.0)</f>
        <v>532527</v>
      </c>
      <c r="B385" s="6" t="str">
        <f>IFERROR(__xludf.DUMMYFUNCTION("""COMPUTED_VALUE"""),"ramkrishna forgings Ltd.")</f>
        <v>ramkrishna forgings Ltd.</v>
      </c>
      <c r="C385" s="6" t="str">
        <f>IFERROR(__xludf.DUMMYFUNCTION("""COMPUTED_VALUE"""),"RKFORGE")</f>
        <v>RKFORGE</v>
      </c>
      <c r="D385" s="6" t="str">
        <f>IFERROR(__xludf.DUMMYFUNCTION("""COMPUTED_VALUE"""),"RAMKRISHNA FORGINGS LTD.")</f>
        <v>RAMKRISHNA FORGINGS LTD.</v>
      </c>
      <c r="E385" s="6" t="str">
        <f>IFERROR(__xludf.DUMMYFUNCTION("""COMPUTED_VALUE"""),"Active")</f>
        <v>Active</v>
      </c>
      <c r="F385" s="6" t="str">
        <f>IFERROR(__xludf.DUMMYFUNCTION("""COMPUTED_VALUE"""),"A")</f>
        <v>A</v>
      </c>
      <c r="G385" s="6">
        <f>IFERROR(__xludf.DUMMYFUNCTION("""COMPUTED_VALUE"""),2.0)</f>
        <v>2</v>
      </c>
      <c r="H385" s="6" t="str">
        <f>IFERROR(__xludf.DUMMYFUNCTION("""COMPUTED_VALUE"""),"INE399G01023")</f>
        <v>INE399G01023</v>
      </c>
      <c r="I385" s="6" t="str">
        <f>IFERROR(__xludf.DUMMYFUNCTION("""COMPUTED_VALUE"""),"Equity")</f>
        <v>Equity</v>
      </c>
      <c r="J385" s="6" t="str">
        <f>IFERROR(__xludf.DUMMYFUNCTION("""COMPUTED_VALUE"""),"Consumer Discretionary")</f>
        <v>Consumer Discretionary</v>
      </c>
      <c r="K385" s="6" t="str">
        <f>IFERROR(__xludf.DUMMYFUNCTION("""COMPUTED_VALUE"""),"Automobile and Auto Components")</f>
        <v>Automobile and Auto Components</v>
      </c>
      <c r="L385" s="6" t="str">
        <f>IFERROR(__xludf.DUMMYFUNCTION("""COMPUTED_VALUE"""),"Auto Components")</f>
        <v>Auto Components</v>
      </c>
      <c r="M385" s="6" t="str">
        <f>IFERROR(__xludf.DUMMYFUNCTION("""COMPUTED_VALUE"""),"Auto Components &amp; Equipments")</f>
        <v>Auto Components &amp; Equipments</v>
      </c>
      <c r="N385" s="5">
        <f>IFERROR(__xludf.DUMMYFUNCTION("""COMPUTED_VALUE"""),16325.7593948)</f>
        <v>16325.75939</v>
      </c>
      <c r="O385" s="6">
        <f t="shared" si="4"/>
        <v>47</v>
      </c>
      <c r="P385" s="6">
        <f t="shared" ref="P385:Q385" si="772">COUNTIFS(L:L,L385)</f>
        <v>37</v>
      </c>
      <c r="Q385" s="24">
        <f t="shared" si="772"/>
        <v>32</v>
      </c>
      <c r="R385" s="6" t="str">
        <f t="shared" si="6"/>
        <v>Automobile and Auto Components</v>
      </c>
      <c r="S385" s="6" t="str">
        <f t="shared" si="7"/>
        <v>Automobile and Auto Components</v>
      </c>
      <c r="T385" s="6">
        <f>IFERROR(__xludf.DUMMYFUNCTION("COUNTA(UNIQUE(query($A$2:$P$800,""select L where K='""&amp; K385&amp;""'"")))"),2.0)</f>
        <v>2</v>
      </c>
      <c r="U385" s="23">
        <f t="shared" si="8"/>
        <v>0.06382978723</v>
      </c>
      <c r="V385" s="23">
        <f t="shared" ref="V385:W385" si="773">P385/O385</f>
        <v>0.7872340426</v>
      </c>
      <c r="W385" s="23">
        <f t="shared" si="773"/>
        <v>0.8648648649</v>
      </c>
    </row>
    <row r="386">
      <c r="A386" s="6">
        <f>IFERROR(__xludf.DUMMYFUNCTION("""COMPUTED_VALUE"""),515055.0)</f>
        <v>515055</v>
      </c>
      <c r="B386" s="6" t="str">
        <f>IFERROR(__xludf.DUMMYFUNCTION("""COMPUTED_VALUE"""),"Anant Raj Limited")</f>
        <v>Anant Raj Limited</v>
      </c>
      <c r="C386" s="6" t="str">
        <f>IFERROR(__xludf.DUMMYFUNCTION("""COMPUTED_VALUE"""),"ANANTRAJ")</f>
        <v>ANANTRAJ</v>
      </c>
      <c r="D386" s="6" t="str">
        <f>IFERROR(__xludf.DUMMYFUNCTION("""COMPUTED_VALUE"""),"Anant Raj Limited-$")</f>
        <v>Anant Raj Limited-$</v>
      </c>
      <c r="E386" s="6" t="str">
        <f>IFERROR(__xludf.DUMMYFUNCTION("""COMPUTED_VALUE"""),"Active")</f>
        <v>Active</v>
      </c>
      <c r="F386" s="6" t="str">
        <f>IFERROR(__xludf.DUMMYFUNCTION("""COMPUTED_VALUE"""),"A")</f>
        <v>A</v>
      </c>
      <c r="G386" s="6">
        <f>IFERROR(__xludf.DUMMYFUNCTION("""COMPUTED_VALUE"""),2.0)</f>
        <v>2</v>
      </c>
      <c r="H386" s="6" t="str">
        <f>IFERROR(__xludf.DUMMYFUNCTION("""COMPUTED_VALUE"""),"INE242C01024")</f>
        <v>INE242C01024</v>
      </c>
      <c r="I386" s="6" t="str">
        <f>IFERROR(__xludf.DUMMYFUNCTION("""COMPUTED_VALUE"""),"Equity")</f>
        <v>Equity</v>
      </c>
      <c r="J386" s="6" t="str">
        <f>IFERROR(__xludf.DUMMYFUNCTION("""COMPUTED_VALUE"""),"Consumer Discretionary")</f>
        <v>Consumer Discretionary</v>
      </c>
      <c r="K386" s="6" t="str">
        <f>IFERROR(__xludf.DUMMYFUNCTION("""COMPUTED_VALUE"""),"Realty")</f>
        <v>Realty</v>
      </c>
      <c r="L386" s="6" t="str">
        <f>IFERROR(__xludf.DUMMYFUNCTION("""COMPUTED_VALUE"""),"Realty")</f>
        <v>Realty</v>
      </c>
      <c r="M386" s="6" t="str">
        <f>IFERROR(__xludf.DUMMYFUNCTION("""COMPUTED_VALUE"""),"Residential, Commercial Projects")</f>
        <v>Residential, Commercial Projects</v>
      </c>
      <c r="N386" s="5">
        <f>IFERROR(__xludf.DUMMYFUNCTION("""COMPUTED_VALUE"""),16252.3753357)</f>
        <v>16252.37534</v>
      </c>
      <c r="O386" s="6">
        <f t="shared" si="4"/>
        <v>20</v>
      </c>
      <c r="P386" s="6">
        <f t="shared" ref="P386:Q386" si="774">COUNTIFS(L:L,L386)</f>
        <v>20</v>
      </c>
      <c r="Q386" s="24">
        <f t="shared" si="774"/>
        <v>20</v>
      </c>
      <c r="R386" s="6" t="str">
        <f t="shared" si="6"/>
        <v>Realty</v>
      </c>
      <c r="S386" s="6" t="str">
        <f t="shared" si="7"/>
        <v>Realty</v>
      </c>
      <c r="T386" s="6">
        <f>IFERROR(__xludf.DUMMYFUNCTION("COUNTA(UNIQUE(query($A$2:$P$800,""select L where K='""&amp; K386&amp;""'"")))"),1.0)</f>
        <v>1</v>
      </c>
      <c r="U386" s="23">
        <f t="shared" si="8"/>
        <v>0.075</v>
      </c>
      <c r="V386" s="23">
        <f t="shared" ref="V386:W386" si="775">P386/O386</f>
        <v>1</v>
      </c>
      <c r="W386" s="23">
        <f t="shared" si="775"/>
        <v>1</v>
      </c>
    </row>
    <row r="387">
      <c r="A387" s="6">
        <f>IFERROR(__xludf.DUMMYFUNCTION("""COMPUTED_VALUE"""),542726.0)</f>
        <v>542726</v>
      </c>
      <c r="B387" s="6" t="str">
        <f>IFERROR(__xludf.DUMMYFUNCTION("""COMPUTED_VALUE"""),"IndiaMART InterMESH Limited")</f>
        <v>IndiaMART InterMESH Limited</v>
      </c>
      <c r="C387" s="6" t="str">
        <f>IFERROR(__xludf.DUMMYFUNCTION("""COMPUTED_VALUE"""),"INDIAMART")</f>
        <v>INDIAMART</v>
      </c>
      <c r="D387" s="6" t="str">
        <f>IFERROR(__xludf.DUMMYFUNCTION("""COMPUTED_VALUE"""),"IndiaMART InterMESH Ltd")</f>
        <v>IndiaMART InterMESH Ltd</v>
      </c>
      <c r="E387" s="6" t="str">
        <f>IFERROR(__xludf.DUMMYFUNCTION("""COMPUTED_VALUE"""),"Active")</f>
        <v>Active</v>
      </c>
      <c r="F387" s="6" t="str">
        <f>IFERROR(__xludf.DUMMYFUNCTION("""COMPUTED_VALUE"""),"A")</f>
        <v>A</v>
      </c>
      <c r="G387" s="6">
        <f>IFERROR(__xludf.DUMMYFUNCTION("""COMPUTED_VALUE"""),10.0)</f>
        <v>10</v>
      </c>
      <c r="H387" s="6" t="str">
        <f>IFERROR(__xludf.DUMMYFUNCTION("""COMPUTED_VALUE"""),"INE933S01016")</f>
        <v>INE933S01016</v>
      </c>
      <c r="I387" s="6" t="str">
        <f>IFERROR(__xludf.DUMMYFUNCTION("""COMPUTED_VALUE"""),"Equity")</f>
        <v>Equity</v>
      </c>
      <c r="J387" s="6" t="str">
        <f>IFERROR(__xludf.DUMMYFUNCTION("""COMPUTED_VALUE"""),"Consumer Discretionary")</f>
        <v>Consumer Discretionary</v>
      </c>
      <c r="K387" s="6" t="str">
        <f>IFERROR(__xludf.DUMMYFUNCTION("""COMPUTED_VALUE"""),"Consumer Services")</f>
        <v>Consumer Services</v>
      </c>
      <c r="L387" s="6" t="str">
        <f>IFERROR(__xludf.DUMMYFUNCTION("""COMPUTED_VALUE"""),"Retailing")</f>
        <v>Retailing</v>
      </c>
      <c r="M387" s="6" t="str">
        <f>IFERROR(__xludf.DUMMYFUNCTION("""COMPUTED_VALUE"""),"Internet &amp; Catalogue Retail")</f>
        <v>Internet &amp; Catalogue Retail</v>
      </c>
      <c r="N387" s="5">
        <f>IFERROR(__xludf.DUMMYFUNCTION("""COMPUTED_VALUE"""),16192.327465)</f>
        <v>16192.32747</v>
      </c>
      <c r="O387" s="6">
        <f t="shared" si="4"/>
        <v>37</v>
      </c>
      <c r="P387" s="6">
        <f t="shared" ref="P387:Q387" si="776">COUNTIFS(L:L,L387)</f>
        <v>18</v>
      </c>
      <c r="Q387" s="24">
        <f t="shared" si="776"/>
        <v>3</v>
      </c>
      <c r="R387" s="6" t="str">
        <f t="shared" si="6"/>
        <v>Retailing</v>
      </c>
      <c r="S387" s="6" t="str">
        <f t="shared" si="7"/>
        <v>Retailing</v>
      </c>
      <c r="T387" s="6">
        <f>IFERROR(__xludf.DUMMYFUNCTION("COUNTA(UNIQUE(query($A$2:$P$800,""select L where K='""&amp; K387&amp;""'"")))"),3.0)</f>
        <v>3</v>
      </c>
      <c r="U387" s="23">
        <f t="shared" si="8"/>
        <v>0.1216216216</v>
      </c>
      <c r="V387" s="23">
        <f t="shared" ref="V387:W387" si="777">P387/O387</f>
        <v>0.4864864865</v>
      </c>
      <c r="W387" s="23">
        <f t="shared" si="777"/>
        <v>0.1666666667</v>
      </c>
    </row>
    <row r="388">
      <c r="A388" s="6">
        <f>IFERROR(__xludf.DUMMYFUNCTION("""COMPUTED_VALUE"""),543415.0)</f>
        <v>543415</v>
      </c>
      <c r="B388" s="6" t="str">
        <f>IFERROR(__xludf.DUMMYFUNCTION("""COMPUTED_VALUE"""),"Anand Rathi Wealth Limited")</f>
        <v>Anand Rathi Wealth Limited</v>
      </c>
      <c r="C388" s="6" t="str">
        <f>IFERROR(__xludf.DUMMYFUNCTION("""COMPUTED_VALUE"""),"ANANDRATHI")</f>
        <v>ANANDRATHI</v>
      </c>
      <c r="D388" s="6" t="str">
        <f>IFERROR(__xludf.DUMMYFUNCTION("""COMPUTED_VALUE"""),"Anand Rathi Wealth Ltd")</f>
        <v>Anand Rathi Wealth Ltd</v>
      </c>
      <c r="E388" s="6" t="str">
        <f>IFERROR(__xludf.DUMMYFUNCTION("""COMPUTED_VALUE"""),"Active")</f>
        <v>Active</v>
      </c>
      <c r="F388" s="6" t="str">
        <f>IFERROR(__xludf.DUMMYFUNCTION("""COMPUTED_VALUE"""),"A")</f>
        <v>A</v>
      </c>
      <c r="G388" s="6">
        <f>IFERROR(__xludf.DUMMYFUNCTION("""COMPUTED_VALUE"""),5.0)</f>
        <v>5</v>
      </c>
      <c r="H388" s="6" t="str">
        <f>IFERROR(__xludf.DUMMYFUNCTION("""COMPUTED_VALUE"""),"INE463V01026")</f>
        <v>INE463V01026</v>
      </c>
      <c r="I388" s="6" t="str">
        <f>IFERROR(__xludf.DUMMYFUNCTION("""COMPUTED_VALUE"""),"Equity")</f>
        <v>Equity</v>
      </c>
      <c r="J388" s="6" t="str">
        <f>IFERROR(__xludf.DUMMYFUNCTION("""COMPUTED_VALUE"""),"Financial Services")</f>
        <v>Financial Services</v>
      </c>
      <c r="K388" s="6" t="str">
        <f>IFERROR(__xludf.DUMMYFUNCTION("""COMPUTED_VALUE"""),"Financial Services")</f>
        <v>Financial Services</v>
      </c>
      <c r="L388" s="6" t="str">
        <f>IFERROR(__xludf.DUMMYFUNCTION("""COMPUTED_VALUE"""),"Capital Markets")</f>
        <v>Capital Markets</v>
      </c>
      <c r="M388" s="6" t="str">
        <f>IFERROR(__xludf.DUMMYFUNCTION("""COMPUTED_VALUE"""),"Financial Products Distributor")</f>
        <v>Financial Products Distributor</v>
      </c>
      <c r="N388" s="5">
        <f>IFERROR(__xludf.DUMMYFUNCTION("""COMPUTED_VALUE"""),16191.8198)</f>
        <v>16191.8198</v>
      </c>
      <c r="O388" s="6">
        <f t="shared" si="4"/>
        <v>123</v>
      </c>
      <c r="P388" s="6">
        <f t="shared" ref="P388:Q388" si="778">COUNTIFS(L:L,L388)</f>
        <v>19</v>
      </c>
      <c r="Q388" s="24">
        <f t="shared" si="778"/>
        <v>2</v>
      </c>
      <c r="R388" s="6" t="str">
        <f t="shared" si="6"/>
        <v>Capital Markets</v>
      </c>
      <c r="S388" s="6" t="str">
        <f t="shared" si="7"/>
        <v>Capital Markets</v>
      </c>
      <c r="T388" s="6">
        <f>IFERROR(__xludf.DUMMYFUNCTION("COUNTA(UNIQUE(query($A$2:$P$800,""select L where K='""&amp; K388&amp;""'"")))"),5.0)</f>
        <v>5</v>
      </c>
      <c r="U388" s="23">
        <f t="shared" si="8"/>
        <v>0.06097560976</v>
      </c>
      <c r="V388" s="23">
        <f t="shared" ref="V388:W388" si="779">P388/O388</f>
        <v>0.1544715447</v>
      </c>
      <c r="W388" s="23">
        <f t="shared" si="779"/>
        <v>0.1052631579</v>
      </c>
    </row>
    <row r="389">
      <c r="A389" s="6">
        <f>IFERROR(__xludf.DUMMYFUNCTION("""COMPUTED_VALUE"""),500183.0)</f>
        <v>500183</v>
      </c>
      <c r="B389" s="6" t="str">
        <f>IFERROR(__xludf.DUMMYFUNCTION("""COMPUTED_VALUE"""),"HFCL LIMITED")</f>
        <v>HFCL LIMITED</v>
      </c>
      <c r="C389" s="6" t="str">
        <f>IFERROR(__xludf.DUMMYFUNCTION("""COMPUTED_VALUE"""),"HFCL")</f>
        <v>HFCL</v>
      </c>
      <c r="D389" s="6" t="str">
        <f>IFERROR(__xludf.DUMMYFUNCTION("""COMPUTED_VALUE"""),"HFCL Ltd")</f>
        <v>HFCL Ltd</v>
      </c>
      <c r="E389" s="6" t="str">
        <f>IFERROR(__xludf.DUMMYFUNCTION("""COMPUTED_VALUE"""),"Active")</f>
        <v>Active</v>
      </c>
      <c r="F389" s="6" t="str">
        <f>IFERROR(__xludf.DUMMYFUNCTION("""COMPUTED_VALUE"""),"A")</f>
        <v>A</v>
      </c>
      <c r="G389" s="6">
        <f>IFERROR(__xludf.DUMMYFUNCTION("""COMPUTED_VALUE"""),1.0)</f>
        <v>1</v>
      </c>
      <c r="H389" s="6" t="str">
        <f>IFERROR(__xludf.DUMMYFUNCTION("""COMPUTED_VALUE"""),"INE548A01028")</f>
        <v>INE548A01028</v>
      </c>
      <c r="I389" s="6" t="str">
        <f>IFERROR(__xludf.DUMMYFUNCTION("""COMPUTED_VALUE"""),"Equity")</f>
        <v>Equity</v>
      </c>
      <c r="J389" s="6" t="str">
        <f>IFERROR(__xludf.DUMMYFUNCTION("""COMPUTED_VALUE"""),"Telecommunication")</f>
        <v>Telecommunication</v>
      </c>
      <c r="K389" s="6" t="str">
        <f>IFERROR(__xludf.DUMMYFUNCTION("""COMPUTED_VALUE"""),"Telecommunication")</f>
        <v>Telecommunication</v>
      </c>
      <c r="L389" s="6" t="str">
        <f>IFERROR(__xludf.DUMMYFUNCTION("""COMPUTED_VALUE"""),"Telecom - Services")</f>
        <v>Telecom - Services</v>
      </c>
      <c r="M389" s="6" t="str">
        <f>IFERROR(__xludf.DUMMYFUNCTION("""COMPUTED_VALUE"""),"Telecom - Infrastructure")</f>
        <v>Telecom - Infrastructure</v>
      </c>
      <c r="N389" s="5">
        <f>IFERROR(__xludf.DUMMYFUNCTION("""COMPUTED_VALUE"""),16142.5359445)</f>
        <v>16142.53594</v>
      </c>
      <c r="O389" s="6">
        <f t="shared" si="4"/>
        <v>14</v>
      </c>
      <c r="P389" s="6">
        <f t="shared" ref="P389:Q389" si="780">COUNTIFS(L:L,L389)</f>
        <v>11</v>
      </c>
      <c r="Q389" s="24">
        <f t="shared" si="780"/>
        <v>4</v>
      </c>
      <c r="R389" s="6" t="str">
        <f t="shared" si="6"/>
        <v>Telecommunication</v>
      </c>
      <c r="S389" s="6" t="str">
        <f t="shared" si="7"/>
        <v>Telecommunication</v>
      </c>
      <c r="T389" s="6">
        <f>IFERROR(__xludf.DUMMYFUNCTION("COUNTA(UNIQUE(query($A$2:$P$800,""select L where K='""&amp; K389&amp;""'"")))"),2.0)</f>
        <v>2</v>
      </c>
      <c r="U389" s="23">
        <f t="shared" si="8"/>
        <v>0.2142857143</v>
      </c>
      <c r="V389" s="23">
        <f t="shared" ref="V389:W389" si="781">P389/O389</f>
        <v>0.7857142857</v>
      </c>
      <c r="W389" s="23">
        <f t="shared" si="781"/>
        <v>0.3636363636</v>
      </c>
    </row>
    <row r="390">
      <c r="A390" s="6">
        <f>IFERROR(__xludf.DUMMYFUNCTION("""COMPUTED_VALUE"""),540065.0)</f>
        <v>540065</v>
      </c>
      <c r="B390" s="6" t="str">
        <f>IFERROR(__xludf.DUMMYFUNCTION("""COMPUTED_VALUE"""),"RBL Bank Limited")</f>
        <v>RBL Bank Limited</v>
      </c>
      <c r="C390" s="6" t="str">
        <f>IFERROR(__xludf.DUMMYFUNCTION("""COMPUTED_VALUE"""),"RBLBANK")</f>
        <v>RBLBANK</v>
      </c>
      <c r="D390" s="6" t="str">
        <f>IFERROR(__xludf.DUMMYFUNCTION("""COMPUTED_VALUE"""),"RBL Bank Ltd")</f>
        <v>RBL Bank Ltd</v>
      </c>
      <c r="E390" s="6" t="str">
        <f>IFERROR(__xludf.DUMMYFUNCTION("""COMPUTED_VALUE"""),"Active")</f>
        <v>Active</v>
      </c>
      <c r="F390" s="6" t="str">
        <f>IFERROR(__xludf.DUMMYFUNCTION("""COMPUTED_VALUE"""),"A")</f>
        <v>A</v>
      </c>
      <c r="G390" s="6">
        <f>IFERROR(__xludf.DUMMYFUNCTION("""COMPUTED_VALUE"""),10.0)</f>
        <v>10</v>
      </c>
      <c r="H390" s="6" t="str">
        <f>IFERROR(__xludf.DUMMYFUNCTION("""COMPUTED_VALUE"""),"INE976G01028")</f>
        <v>INE976G01028</v>
      </c>
      <c r="I390" s="6" t="str">
        <f>IFERROR(__xludf.DUMMYFUNCTION("""COMPUTED_VALUE"""),"Equity")</f>
        <v>Equity</v>
      </c>
      <c r="J390" s="6" t="str">
        <f>IFERROR(__xludf.DUMMYFUNCTION("""COMPUTED_VALUE"""),"Financial Services")</f>
        <v>Financial Services</v>
      </c>
      <c r="K390" s="6" t="str">
        <f>IFERROR(__xludf.DUMMYFUNCTION("""COMPUTED_VALUE"""),"Financial Services")</f>
        <v>Financial Services</v>
      </c>
      <c r="L390" s="6" t="str">
        <f>IFERROR(__xludf.DUMMYFUNCTION("""COMPUTED_VALUE"""),"Banks")</f>
        <v>Banks</v>
      </c>
      <c r="M390" s="6" t="str">
        <f>IFERROR(__xludf.DUMMYFUNCTION("""COMPUTED_VALUE"""),"Private Sector Bank")</f>
        <v>Private Sector Bank</v>
      </c>
      <c r="N390" s="5">
        <f>IFERROR(__xludf.DUMMYFUNCTION("""COMPUTED_VALUE"""),16124.9035719)</f>
        <v>16124.90357</v>
      </c>
      <c r="O390" s="6">
        <f t="shared" si="4"/>
        <v>123</v>
      </c>
      <c r="P390" s="6">
        <f t="shared" ref="P390:Q390" si="782">COUNTIFS(L:L,L390)</f>
        <v>35</v>
      </c>
      <c r="Q390" s="24">
        <f t="shared" si="782"/>
        <v>23</v>
      </c>
      <c r="R390" s="6" t="str">
        <f t="shared" si="6"/>
        <v>Banks</v>
      </c>
      <c r="S390" s="6" t="str">
        <f t="shared" si="7"/>
        <v>Banks</v>
      </c>
      <c r="T390" s="6">
        <f>IFERROR(__xludf.DUMMYFUNCTION("COUNTA(UNIQUE(query($A$2:$P$800,""select L where K='""&amp; K390&amp;""'"")))"),5.0)</f>
        <v>5</v>
      </c>
      <c r="U390" s="23">
        <f t="shared" si="8"/>
        <v>0.06097560976</v>
      </c>
      <c r="V390" s="23">
        <f t="shared" ref="V390:W390" si="783">P390/O390</f>
        <v>0.2845528455</v>
      </c>
      <c r="W390" s="23">
        <f t="shared" si="783"/>
        <v>0.6571428571</v>
      </c>
    </row>
    <row r="391">
      <c r="A391" s="6">
        <f>IFERROR(__xludf.DUMMYFUNCTION("""COMPUTED_VALUE"""),500106.0)</f>
        <v>500106</v>
      </c>
      <c r="B391" s="6" t="str">
        <f>IFERROR(__xludf.DUMMYFUNCTION("""COMPUTED_VALUE"""),"IFCI Ltd.")</f>
        <v>IFCI Ltd.</v>
      </c>
      <c r="C391" s="6" t="str">
        <f>IFERROR(__xludf.DUMMYFUNCTION("""COMPUTED_VALUE"""),"IFCI")</f>
        <v>IFCI</v>
      </c>
      <c r="D391" s="6" t="str">
        <f>IFERROR(__xludf.DUMMYFUNCTION("""COMPUTED_VALUE"""),"IFCI LTD.")</f>
        <v>IFCI LTD.</v>
      </c>
      <c r="E391" s="6" t="str">
        <f>IFERROR(__xludf.DUMMYFUNCTION("""COMPUTED_VALUE"""),"Active")</f>
        <v>Active</v>
      </c>
      <c r="F391" s="6" t="str">
        <f>IFERROR(__xludf.DUMMYFUNCTION("""COMPUTED_VALUE"""),"A")</f>
        <v>A</v>
      </c>
      <c r="G391" s="6">
        <f>IFERROR(__xludf.DUMMYFUNCTION("""COMPUTED_VALUE"""),10.0)</f>
        <v>10</v>
      </c>
      <c r="H391" s="6" t="str">
        <f>IFERROR(__xludf.DUMMYFUNCTION("""COMPUTED_VALUE"""),"INE039A01010")</f>
        <v>INE039A01010</v>
      </c>
      <c r="I391" s="6" t="str">
        <f>IFERROR(__xludf.DUMMYFUNCTION("""COMPUTED_VALUE"""),"Equity")</f>
        <v>Equity</v>
      </c>
      <c r="J391" s="6" t="str">
        <f>IFERROR(__xludf.DUMMYFUNCTION("""COMPUTED_VALUE"""),"Financial Services")</f>
        <v>Financial Services</v>
      </c>
      <c r="K391" s="6" t="str">
        <f>IFERROR(__xludf.DUMMYFUNCTION("""COMPUTED_VALUE"""),"Financial Services")</f>
        <v>Financial Services</v>
      </c>
      <c r="L391" s="6" t="str">
        <f>IFERROR(__xludf.DUMMYFUNCTION("""COMPUTED_VALUE"""),"Finance")</f>
        <v>Finance</v>
      </c>
      <c r="M391" s="6" t="str">
        <f>IFERROR(__xludf.DUMMYFUNCTION("""COMPUTED_VALUE"""),"Financial Institution")</f>
        <v>Financial Institution</v>
      </c>
      <c r="N391" s="5">
        <f>IFERROR(__xludf.DUMMYFUNCTION("""COMPUTED_VALUE"""),15957.1323116)</f>
        <v>15957.13231</v>
      </c>
      <c r="O391" s="6">
        <f t="shared" si="4"/>
        <v>123</v>
      </c>
      <c r="P391" s="6">
        <f t="shared" ref="P391:Q391" si="784">COUNTIFS(L:L,L391)</f>
        <v>56</v>
      </c>
      <c r="Q391" s="24">
        <f t="shared" si="784"/>
        <v>6</v>
      </c>
      <c r="R391" s="6" t="str">
        <f t="shared" si="6"/>
        <v>Finance</v>
      </c>
      <c r="S391" s="6" t="str">
        <f t="shared" si="7"/>
        <v>Finance</v>
      </c>
      <c r="T391" s="6">
        <f>IFERROR(__xludf.DUMMYFUNCTION("COUNTA(UNIQUE(query($A$2:$P$800,""select L where K='""&amp; K391&amp;""'"")))"),5.0)</f>
        <v>5</v>
      </c>
      <c r="U391" s="23">
        <f t="shared" si="8"/>
        <v>0.06097560976</v>
      </c>
      <c r="V391" s="23">
        <f t="shared" ref="V391:W391" si="785">P391/O391</f>
        <v>0.4552845528</v>
      </c>
      <c r="W391" s="23">
        <f t="shared" si="785"/>
        <v>0.1071428571</v>
      </c>
    </row>
    <row r="392">
      <c r="A392" s="6">
        <f>IFERROR(__xludf.DUMMYFUNCTION("""COMPUTED_VALUE"""),532976.0)</f>
        <v>532976</v>
      </c>
      <c r="B392" s="6" t="str">
        <f>IFERROR(__xludf.DUMMYFUNCTION("""COMPUTED_VALUE"""),"Jai Balaji Industries Limited")</f>
        <v>Jai Balaji Industries Limited</v>
      </c>
      <c r="C392" s="6" t="str">
        <f>IFERROR(__xludf.DUMMYFUNCTION("""COMPUTED_VALUE"""),"JAIBALAJI")</f>
        <v>JAIBALAJI</v>
      </c>
      <c r="D392" s="6" t="str">
        <f>IFERROR(__xludf.DUMMYFUNCTION("""COMPUTED_VALUE"""),"JAI BALAJI INDUSTRIES LTD.")</f>
        <v>JAI BALAJI INDUSTRIES LTD.</v>
      </c>
      <c r="E392" s="6" t="str">
        <f>IFERROR(__xludf.DUMMYFUNCTION("""COMPUTED_VALUE"""),"Active")</f>
        <v>Active</v>
      </c>
      <c r="F392" s="6" t="str">
        <f>IFERROR(__xludf.DUMMYFUNCTION("""COMPUTED_VALUE"""),"T")</f>
        <v>T</v>
      </c>
      <c r="G392" s="6">
        <f>IFERROR(__xludf.DUMMYFUNCTION("""COMPUTED_VALUE"""),10.0)</f>
        <v>10</v>
      </c>
      <c r="H392" s="6" t="str">
        <f>IFERROR(__xludf.DUMMYFUNCTION("""COMPUTED_VALUE"""),"INE091G01018")</f>
        <v>INE091G01018</v>
      </c>
      <c r="I392" s="6" t="str">
        <f>IFERROR(__xludf.DUMMYFUNCTION("""COMPUTED_VALUE"""),"Equity")</f>
        <v>Equity</v>
      </c>
      <c r="J392" s="6" t="str">
        <f>IFERROR(__xludf.DUMMYFUNCTION("""COMPUTED_VALUE"""),"Commodities")</f>
        <v>Commodities</v>
      </c>
      <c r="K392" s="6" t="str">
        <f>IFERROR(__xludf.DUMMYFUNCTION("""COMPUTED_VALUE"""),"Metals &amp; Mining")</f>
        <v>Metals &amp; Mining</v>
      </c>
      <c r="L392" s="6" t="str">
        <f>IFERROR(__xludf.DUMMYFUNCTION("""COMPUTED_VALUE"""),"Ferrous Metals")</f>
        <v>Ferrous Metals</v>
      </c>
      <c r="M392" s="6" t="str">
        <f>IFERROR(__xludf.DUMMYFUNCTION("""COMPUTED_VALUE"""),"Iron &amp; Steel")</f>
        <v>Iron &amp; Steel</v>
      </c>
      <c r="N392" s="5">
        <f>IFERROR(__xludf.DUMMYFUNCTION("""COMPUTED_VALUE"""),15943.5374)</f>
        <v>15943.5374</v>
      </c>
      <c r="O392" s="6">
        <f t="shared" si="4"/>
        <v>20</v>
      </c>
      <c r="P392" s="6">
        <f t="shared" ref="P392:Q392" si="786">COUNTIFS(L:L,L392)</f>
        <v>10</v>
      </c>
      <c r="Q392" s="24">
        <f t="shared" si="786"/>
        <v>7</v>
      </c>
      <c r="R392" s="6" t="str">
        <f t="shared" si="6"/>
        <v>Metals &amp; Mining</v>
      </c>
      <c r="S392" s="6" t="str">
        <f t="shared" si="7"/>
        <v>Metals &amp; Mining</v>
      </c>
      <c r="T392" s="6">
        <f>IFERROR(__xludf.DUMMYFUNCTION("COUNTA(UNIQUE(query($A$2:$P$800,""select L where K='""&amp; K392&amp;""'"")))"),5.0)</f>
        <v>5</v>
      </c>
      <c r="U392" s="23">
        <f t="shared" si="8"/>
        <v>0.375</v>
      </c>
      <c r="V392" s="23">
        <f t="shared" ref="V392:W392" si="787">P392/O392</f>
        <v>0.5</v>
      </c>
      <c r="W392" s="23">
        <f t="shared" si="787"/>
        <v>0.7</v>
      </c>
    </row>
    <row r="393">
      <c r="A393" s="6">
        <f>IFERROR(__xludf.DUMMYFUNCTION("""COMPUTED_VALUE"""),540750.0)</f>
        <v>540750</v>
      </c>
      <c r="B393" s="6" t="str">
        <f>IFERROR(__xludf.DUMMYFUNCTION("""COMPUTED_VALUE"""),"Indian Energy Exchange Limited")</f>
        <v>Indian Energy Exchange Limited</v>
      </c>
      <c r="C393" s="6" t="str">
        <f>IFERROR(__xludf.DUMMYFUNCTION("""COMPUTED_VALUE"""),"IEX")</f>
        <v>IEX</v>
      </c>
      <c r="D393" s="6" t="str">
        <f>IFERROR(__xludf.DUMMYFUNCTION("""COMPUTED_VALUE"""),"Indian Energy Exchange Ltd")</f>
        <v>Indian Energy Exchange Ltd</v>
      </c>
      <c r="E393" s="6" t="str">
        <f>IFERROR(__xludf.DUMMYFUNCTION("""COMPUTED_VALUE"""),"Active")</f>
        <v>Active</v>
      </c>
      <c r="F393" s="6" t="str">
        <f>IFERROR(__xludf.DUMMYFUNCTION("""COMPUTED_VALUE"""),"A")</f>
        <v>A</v>
      </c>
      <c r="G393" s="6">
        <f>IFERROR(__xludf.DUMMYFUNCTION("""COMPUTED_VALUE"""),1.0)</f>
        <v>1</v>
      </c>
      <c r="H393" s="6" t="str">
        <f>IFERROR(__xludf.DUMMYFUNCTION("""COMPUTED_VALUE"""),"INE022Q01020")</f>
        <v>INE022Q01020</v>
      </c>
      <c r="I393" s="6" t="str">
        <f>IFERROR(__xludf.DUMMYFUNCTION("""COMPUTED_VALUE"""),"Equity")</f>
        <v>Equity</v>
      </c>
      <c r="J393" s="6" t="str">
        <f>IFERROR(__xludf.DUMMYFUNCTION("""COMPUTED_VALUE"""),"Financial Services")</f>
        <v>Financial Services</v>
      </c>
      <c r="K393" s="6" t="str">
        <f>IFERROR(__xludf.DUMMYFUNCTION("""COMPUTED_VALUE"""),"Financial Services")</f>
        <v>Financial Services</v>
      </c>
      <c r="L393" s="6" t="str">
        <f>IFERROR(__xludf.DUMMYFUNCTION("""COMPUTED_VALUE"""),"Capital Markets")</f>
        <v>Capital Markets</v>
      </c>
      <c r="M393" s="6" t="str">
        <f>IFERROR(__xludf.DUMMYFUNCTION("""COMPUTED_VALUE"""),"Exchange and Data Platform")</f>
        <v>Exchange and Data Platform</v>
      </c>
      <c r="N393" s="5">
        <f>IFERROR(__xludf.DUMMYFUNCTION("""COMPUTED_VALUE"""),15795.3773951)</f>
        <v>15795.3774</v>
      </c>
      <c r="O393" s="6">
        <f t="shared" si="4"/>
        <v>123</v>
      </c>
      <c r="P393" s="6">
        <f t="shared" ref="P393:Q393" si="788">COUNTIFS(L:L,L393)</f>
        <v>19</v>
      </c>
      <c r="Q393" s="24">
        <f t="shared" si="788"/>
        <v>3</v>
      </c>
      <c r="R393" s="6" t="str">
        <f t="shared" si="6"/>
        <v>Capital Markets</v>
      </c>
      <c r="S393" s="6" t="str">
        <f t="shared" si="7"/>
        <v>Capital Markets</v>
      </c>
      <c r="T393" s="6">
        <f>IFERROR(__xludf.DUMMYFUNCTION("COUNTA(UNIQUE(query($A$2:$P$800,""select L where K='""&amp; K393&amp;""'"")))"),5.0)</f>
        <v>5</v>
      </c>
      <c r="U393" s="23">
        <f t="shared" si="8"/>
        <v>0.06097560976</v>
      </c>
      <c r="V393" s="23">
        <f t="shared" ref="V393:W393" si="789">P393/O393</f>
        <v>0.1544715447</v>
      </c>
      <c r="W393" s="23">
        <f t="shared" si="789"/>
        <v>0.1578947368</v>
      </c>
    </row>
    <row r="394">
      <c r="A394" s="6">
        <f>IFERROR(__xludf.DUMMYFUNCTION("""COMPUTED_VALUE"""),506820.0)</f>
        <v>506820</v>
      </c>
      <c r="B394" s="6" t="str">
        <f>IFERROR(__xludf.DUMMYFUNCTION("""COMPUTED_VALUE"""),"AstraZeneca Pharma India Ltd.")</f>
        <v>AstraZeneca Pharma India Ltd.</v>
      </c>
      <c r="C394" s="6" t="str">
        <f>IFERROR(__xludf.DUMMYFUNCTION("""COMPUTED_VALUE"""),"ASTRAZEN")</f>
        <v>ASTRAZEN</v>
      </c>
      <c r="D394" s="6" t="str">
        <f>IFERROR(__xludf.DUMMYFUNCTION("""COMPUTED_VALUE"""),"ASTRAZENECA PHARMA INDIA LTD.")</f>
        <v>ASTRAZENECA PHARMA INDIA LTD.</v>
      </c>
      <c r="E394" s="6" t="str">
        <f>IFERROR(__xludf.DUMMYFUNCTION("""COMPUTED_VALUE"""),"Active")</f>
        <v>Active</v>
      </c>
      <c r="F394" s="6" t="str">
        <f>IFERROR(__xludf.DUMMYFUNCTION("""COMPUTED_VALUE"""),"A")</f>
        <v>A</v>
      </c>
      <c r="G394" s="6">
        <f>IFERROR(__xludf.DUMMYFUNCTION("""COMPUTED_VALUE"""),2.0)</f>
        <v>2</v>
      </c>
      <c r="H394" s="6" t="str">
        <f>IFERROR(__xludf.DUMMYFUNCTION("""COMPUTED_VALUE"""),"INE203A01020")</f>
        <v>INE203A01020</v>
      </c>
      <c r="I394" s="6" t="str">
        <f>IFERROR(__xludf.DUMMYFUNCTION("""COMPUTED_VALUE"""),"Equity")</f>
        <v>Equity</v>
      </c>
      <c r="J394" s="6" t="str">
        <f>IFERROR(__xludf.DUMMYFUNCTION("""COMPUTED_VALUE"""),"Healthcare")</f>
        <v>Healthcare</v>
      </c>
      <c r="K394" s="6" t="str">
        <f>IFERROR(__xludf.DUMMYFUNCTION("""COMPUTED_VALUE"""),"Healthcare")</f>
        <v>Healthcare</v>
      </c>
      <c r="L394" s="6" t="str">
        <f>IFERROR(__xludf.DUMMYFUNCTION("""COMPUTED_VALUE"""),"Pharmaceuticals &amp; Biotechnology")</f>
        <v>Pharmaceuticals &amp; Biotechnology</v>
      </c>
      <c r="M394" s="6" t="str">
        <f>IFERROR(__xludf.DUMMYFUNCTION("""COMPUTED_VALUE"""),"Pharmaceuticals")</f>
        <v>Pharmaceuticals</v>
      </c>
      <c r="N394" s="5">
        <f>IFERROR(__xludf.DUMMYFUNCTION("""COMPUTED_VALUE"""),15625.6537993)</f>
        <v>15625.6538</v>
      </c>
      <c r="O394" s="6">
        <f t="shared" si="4"/>
        <v>62</v>
      </c>
      <c r="P394" s="6">
        <f t="shared" ref="P394:Q394" si="790">COUNTIFS(L:L,L394)</f>
        <v>45</v>
      </c>
      <c r="Q394" s="24">
        <f t="shared" si="790"/>
        <v>45</v>
      </c>
      <c r="R394" s="6" t="str">
        <f t="shared" si="6"/>
        <v>Healthcare</v>
      </c>
      <c r="S394" s="6" t="str">
        <f t="shared" si="7"/>
        <v>Healthcare</v>
      </c>
      <c r="T394" s="6">
        <f>IFERROR(__xludf.DUMMYFUNCTION("COUNTA(UNIQUE(query($A$2:$P$800,""select L where K='""&amp; K394&amp;""'"")))"),3.0)</f>
        <v>3</v>
      </c>
      <c r="U394" s="23">
        <f t="shared" si="8"/>
        <v>0.07258064516</v>
      </c>
      <c r="V394" s="23">
        <f t="shared" ref="V394:W394" si="791">P394/O394</f>
        <v>0.7258064516</v>
      </c>
      <c r="W394" s="23">
        <f t="shared" si="791"/>
        <v>1</v>
      </c>
    </row>
    <row r="395">
      <c r="A395" s="6">
        <f>IFERROR(__xludf.DUMMYFUNCTION("""COMPUTED_VALUE"""),523367.0)</f>
        <v>523367</v>
      </c>
      <c r="B395" s="6" t="str">
        <f>IFERROR(__xludf.DUMMYFUNCTION("""COMPUTED_VALUE"""),"DCM Shriram Limited")</f>
        <v>DCM Shriram Limited</v>
      </c>
      <c r="C395" s="6" t="str">
        <f>IFERROR(__xludf.DUMMYFUNCTION("""COMPUTED_VALUE"""),"DCMSHRIRAM")</f>
        <v>DCMSHRIRAM</v>
      </c>
      <c r="D395" s="6" t="str">
        <f>IFERROR(__xludf.DUMMYFUNCTION("""COMPUTED_VALUE"""),"DCM Shriram Limited")</f>
        <v>DCM Shriram Limited</v>
      </c>
      <c r="E395" s="6" t="str">
        <f>IFERROR(__xludf.DUMMYFUNCTION("""COMPUTED_VALUE"""),"Active")</f>
        <v>Active</v>
      </c>
      <c r="F395" s="6" t="str">
        <f>IFERROR(__xludf.DUMMYFUNCTION("""COMPUTED_VALUE"""),"A")</f>
        <v>A</v>
      </c>
      <c r="G395" s="6">
        <f>IFERROR(__xludf.DUMMYFUNCTION("""COMPUTED_VALUE"""),2.0)</f>
        <v>2</v>
      </c>
      <c r="H395" s="6" t="str">
        <f>IFERROR(__xludf.DUMMYFUNCTION("""COMPUTED_VALUE"""),"INE499A01024")</f>
        <v>INE499A01024</v>
      </c>
      <c r="I395" s="6" t="str">
        <f>IFERROR(__xludf.DUMMYFUNCTION("""COMPUTED_VALUE"""),"Equity")</f>
        <v>Equity</v>
      </c>
      <c r="J395" s="6" t="str">
        <f>IFERROR(__xludf.DUMMYFUNCTION("""COMPUTED_VALUE"""),"Diversified")</f>
        <v>Diversified</v>
      </c>
      <c r="K395" s="6" t="str">
        <f>IFERROR(__xludf.DUMMYFUNCTION("""COMPUTED_VALUE"""),"Diversified")</f>
        <v>Diversified</v>
      </c>
      <c r="L395" s="6" t="str">
        <f>IFERROR(__xludf.DUMMYFUNCTION("""COMPUTED_VALUE"""),"Diversified")</f>
        <v>Diversified</v>
      </c>
      <c r="M395" s="6" t="str">
        <f>IFERROR(__xludf.DUMMYFUNCTION("""COMPUTED_VALUE"""),"Diversified")</f>
        <v>Diversified</v>
      </c>
      <c r="N395" s="5">
        <f>IFERROR(__xludf.DUMMYFUNCTION("""COMPUTED_VALUE"""),15599.5308)</f>
        <v>15599.5308</v>
      </c>
      <c r="O395" s="6">
        <f t="shared" si="4"/>
        <v>5</v>
      </c>
      <c r="P395" s="6">
        <f t="shared" ref="P395:Q395" si="792">COUNTIFS(L:L,L395)</f>
        <v>5</v>
      </c>
      <c r="Q395" s="24">
        <f t="shared" si="792"/>
        <v>5</v>
      </c>
      <c r="R395" s="6" t="str">
        <f t="shared" si="6"/>
        <v>Diversified</v>
      </c>
      <c r="S395" s="6" t="str">
        <f t="shared" si="7"/>
        <v>Misc.</v>
      </c>
      <c r="T395" s="6">
        <f>IFERROR(__xludf.DUMMYFUNCTION("COUNTA(UNIQUE(query($A$2:$P$800,""select L where K='""&amp; K395&amp;""'"")))"),1.0)</f>
        <v>1</v>
      </c>
      <c r="U395" s="23">
        <f t="shared" si="8"/>
        <v>0.3</v>
      </c>
      <c r="V395" s="23">
        <f t="shared" ref="V395:W395" si="793">P395/O395</f>
        <v>1</v>
      </c>
      <c r="W395" s="23">
        <f t="shared" si="793"/>
        <v>1</v>
      </c>
    </row>
    <row r="396">
      <c r="A396" s="6">
        <f>IFERROR(__xludf.DUMMYFUNCTION("""COMPUTED_VALUE"""),543318.0)</f>
        <v>543318</v>
      </c>
      <c r="B396" s="6" t="str">
        <f>IFERROR(__xludf.DUMMYFUNCTION("""COMPUTED_VALUE"""),"Clean Science and Technology Limited")</f>
        <v>Clean Science and Technology Limited</v>
      </c>
      <c r="C396" s="6" t="str">
        <f>IFERROR(__xludf.DUMMYFUNCTION("""COMPUTED_VALUE"""),"CLEAN")</f>
        <v>CLEAN</v>
      </c>
      <c r="D396" s="6" t="str">
        <f>IFERROR(__xludf.DUMMYFUNCTION("""COMPUTED_VALUE"""),"Clean Science and Technology Ltd")</f>
        <v>Clean Science and Technology Ltd</v>
      </c>
      <c r="E396" s="6" t="str">
        <f>IFERROR(__xludf.DUMMYFUNCTION("""COMPUTED_VALUE"""),"Active")</f>
        <v>Active</v>
      </c>
      <c r="F396" s="6" t="str">
        <f>IFERROR(__xludf.DUMMYFUNCTION("""COMPUTED_VALUE"""),"A")</f>
        <v>A</v>
      </c>
      <c r="G396" s="6">
        <f>IFERROR(__xludf.DUMMYFUNCTION("""COMPUTED_VALUE"""),1.0)</f>
        <v>1</v>
      </c>
      <c r="H396" s="6" t="str">
        <f>IFERROR(__xludf.DUMMYFUNCTION("""COMPUTED_VALUE"""),"INE227W01023")</f>
        <v>INE227W01023</v>
      </c>
      <c r="I396" s="6" t="str">
        <f>IFERROR(__xludf.DUMMYFUNCTION("""COMPUTED_VALUE"""),"Equity")</f>
        <v>Equity</v>
      </c>
      <c r="J396" s="6" t="str">
        <f>IFERROR(__xludf.DUMMYFUNCTION("""COMPUTED_VALUE"""),"Commodities")</f>
        <v>Commodities</v>
      </c>
      <c r="K396" s="6" t="str">
        <f>IFERROR(__xludf.DUMMYFUNCTION("""COMPUTED_VALUE"""),"Chemicals")</f>
        <v>Chemicals</v>
      </c>
      <c r="L396" s="6" t="str">
        <f>IFERROR(__xludf.DUMMYFUNCTION("""COMPUTED_VALUE"""),"Chemicals &amp; Petrochemicals")</f>
        <v>Chemicals &amp; Petrochemicals</v>
      </c>
      <c r="M396" s="6" t="str">
        <f>IFERROR(__xludf.DUMMYFUNCTION("""COMPUTED_VALUE"""),"Specialty Chemicals")</f>
        <v>Specialty Chemicals</v>
      </c>
      <c r="N396" s="5">
        <f>IFERROR(__xludf.DUMMYFUNCTION("""COMPUTED_VALUE"""),15510.50384)</f>
        <v>15510.50384</v>
      </c>
      <c r="O396" s="6">
        <f t="shared" si="4"/>
        <v>52</v>
      </c>
      <c r="P396" s="6">
        <f t="shared" ref="P396:Q396" si="794">COUNTIFS(L:L,L396)</f>
        <v>37</v>
      </c>
      <c r="Q396" s="24">
        <f t="shared" si="794"/>
        <v>25</v>
      </c>
      <c r="R396" s="6" t="str">
        <f t="shared" si="6"/>
        <v>Chemicals</v>
      </c>
      <c r="S396" s="6" t="str">
        <f t="shared" si="7"/>
        <v>Chemicals</v>
      </c>
      <c r="T396" s="6">
        <f>IFERROR(__xludf.DUMMYFUNCTION("COUNTA(UNIQUE(query($A$2:$P$800,""select L where K='""&amp; K396&amp;""'"")))"),2.0)</f>
        <v>2</v>
      </c>
      <c r="U396" s="23">
        <f t="shared" si="8"/>
        <v>0.05769230769</v>
      </c>
      <c r="V396" s="23">
        <f t="shared" ref="V396:W396" si="795">P396/O396</f>
        <v>0.7115384615</v>
      </c>
      <c r="W396" s="23">
        <f t="shared" si="795"/>
        <v>0.6756756757</v>
      </c>
    </row>
    <row r="397">
      <c r="A397" s="6">
        <f>IFERROR(__xludf.DUMMYFUNCTION("""COMPUTED_VALUE"""),540902.0)</f>
        <v>540902</v>
      </c>
      <c r="B397" s="6" t="str">
        <f>IFERROR(__xludf.DUMMYFUNCTION("""COMPUTED_VALUE"""),"Amber Enterprises India Limited")</f>
        <v>Amber Enterprises India Limited</v>
      </c>
      <c r="C397" s="6" t="str">
        <f>IFERROR(__xludf.DUMMYFUNCTION("""COMPUTED_VALUE"""),"AMBER")</f>
        <v>AMBER</v>
      </c>
      <c r="D397" s="6" t="str">
        <f>IFERROR(__xludf.DUMMYFUNCTION("""COMPUTED_VALUE"""),"Amber Enterprises India Ltd")</f>
        <v>Amber Enterprises India Ltd</v>
      </c>
      <c r="E397" s="6" t="str">
        <f>IFERROR(__xludf.DUMMYFUNCTION("""COMPUTED_VALUE"""),"Active")</f>
        <v>Active</v>
      </c>
      <c r="F397" s="6" t="str">
        <f>IFERROR(__xludf.DUMMYFUNCTION("""COMPUTED_VALUE"""),"A")</f>
        <v>A</v>
      </c>
      <c r="G397" s="6">
        <f>IFERROR(__xludf.DUMMYFUNCTION("""COMPUTED_VALUE"""),10.0)</f>
        <v>10</v>
      </c>
      <c r="H397" s="6" t="str">
        <f>IFERROR(__xludf.DUMMYFUNCTION("""COMPUTED_VALUE"""),"INE371P01015")</f>
        <v>INE371P01015</v>
      </c>
      <c r="I397" s="6" t="str">
        <f>IFERROR(__xludf.DUMMYFUNCTION("""COMPUTED_VALUE"""),"Equity")</f>
        <v>Equity</v>
      </c>
      <c r="J397" s="6" t="str">
        <f>IFERROR(__xludf.DUMMYFUNCTION("""COMPUTED_VALUE"""),"Consumer Discretionary")</f>
        <v>Consumer Discretionary</v>
      </c>
      <c r="K397" s="6" t="str">
        <f>IFERROR(__xludf.DUMMYFUNCTION("""COMPUTED_VALUE"""),"Consumer Durables")</f>
        <v>Consumer Durables</v>
      </c>
      <c r="L397" s="6" t="str">
        <f>IFERROR(__xludf.DUMMYFUNCTION("""COMPUTED_VALUE"""),"Consumer Durables")</f>
        <v>Consumer Durables</v>
      </c>
      <c r="M397" s="6" t="str">
        <f>IFERROR(__xludf.DUMMYFUNCTION("""COMPUTED_VALUE"""),"Household Appliances")</f>
        <v>Household Appliances</v>
      </c>
      <c r="N397" s="5">
        <f>IFERROR(__xludf.DUMMYFUNCTION("""COMPUTED_VALUE"""),15492.073548)</f>
        <v>15492.07355</v>
      </c>
      <c r="O397" s="6">
        <f t="shared" si="4"/>
        <v>42</v>
      </c>
      <c r="P397" s="6">
        <f t="shared" ref="P397:Q397" si="796">COUNTIFS(L:L,L397)</f>
        <v>42</v>
      </c>
      <c r="Q397" s="24">
        <f t="shared" si="796"/>
        <v>13</v>
      </c>
      <c r="R397" s="6" t="str">
        <f t="shared" si="6"/>
        <v>Consumer Durables</v>
      </c>
      <c r="S397" s="6" t="str">
        <f t="shared" si="7"/>
        <v>Consumer Durables</v>
      </c>
      <c r="T397" s="6">
        <f>IFERROR(__xludf.DUMMYFUNCTION("COUNTA(UNIQUE(query($A$2:$P$800,""select L where K='""&amp; K397&amp;""'"")))"),1.0)</f>
        <v>1</v>
      </c>
      <c r="U397" s="23">
        <f t="shared" si="8"/>
        <v>0.03571428571</v>
      </c>
      <c r="V397" s="23">
        <f t="shared" ref="V397:W397" si="797">P397/O397</f>
        <v>1</v>
      </c>
      <c r="W397" s="23">
        <f t="shared" si="797"/>
        <v>0.3095238095</v>
      </c>
    </row>
    <row r="398">
      <c r="A398" s="6">
        <f>IFERROR(__xludf.DUMMYFUNCTION("""COMPUTED_VALUE"""),539957.0)</f>
        <v>539957</v>
      </c>
      <c r="B398" s="6" t="str">
        <f>IFERROR(__xludf.DUMMYFUNCTION("""COMPUTED_VALUE"""),"Mahanagar Gas Limited")</f>
        <v>Mahanagar Gas Limited</v>
      </c>
      <c r="C398" s="6" t="str">
        <f>IFERROR(__xludf.DUMMYFUNCTION("""COMPUTED_VALUE"""),"MGL")</f>
        <v>MGL</v>
      </c>
      <c r="D398" s="6" t="str">
        <f>IFERROR(__xludf.DUMMYFUNCTION("""COMPUTED_VALUE"""),"Mahanagar Gas Ltd")</f>
        <v>Mahanagar Gas Ltd</v>
      </c>
      <c r="E398" s="6" t="str">
        <f>IFERROR(__xludf.DUMMYFUNCTION("""COMPUTED_VALUE"""),"Active")</f>
        <v>Active</v>
      </c>
      <c r="F398" s="6" t="str">
        <f>IFERROR(__xludf.DUMMYFUNCTION("""COMPUTED_VALUE"""),"A")</f>
        <v>A</v>
      </c>
      <c r="G398" s="6">
        <f>IFERROR(__xludf.DUMMYFUNCTION("""COMPUTED_VALUE"""),10.0)</f>
        <v>10</v>
      </c>
      <c r="H398" s="6" t="str">
        <f>IFERROR(__xludf.DUMMYFUNCTION("""COMPUTED_VALUE"""),"INE002S01010")</f>
        <v>INE002S01010</v>
      </c>
      <c r="I398" s="6" t="str">
        <f>IFERROR(__xludf.DUMMYFUNCTION("""COMPUTED_VALUE"""),"Equity")</f>
        <v>Equity</v>
      </c>
      <c r="J398" s="6" t="str">
        <f>IFERROR(__xludf.DUMMYFUNCTION("""COMPUTED_VALUE"""),"Energy")</f>
        <v>Energy</v>
      </c>
      <c r="K398" s="6" t="str">
        <f>IFERROR(__xludf.DUMMYFUNCTION("""COMPUTED_VALUE"""),"Oil, Gas &amp; Consumable, Fuels")</f>
        <v>Oil, Gas &amp; Consumable, Fuels</v>
      </c>
      <c r="L398" s="6" t="str">
        <f>IFERROR(__xludf.DUMMYFUNCTION("""COMPUTED_VALUE"""),"Gas")</f>
        <v>Gas</v>
      </c>
      <c r="M398" s="6" t="str">
        <f>IFERROR(__xludf.DUMMYFUNCTION("""COMPUTED_VALUE"""),"LPG/CNG/PNG/LNG Supplier")</f>
        <v>LPG/CNG/PNG/LNG Supplier</v>
      </c>
      <c r="N398" s="5">
        <f>IFERROR(__xludf.DUMMYFUNCTION("""COMPUTED_VALUE"""),15322.763992)</f>
        <v>15322.76399</v>
      </c>
      <c r="O398" s="6">
        <f t="shared" si="4"/>
        <v>20</v>
      </c>
      <c r="P398" s="6">
        <f t="shared" ref="P398:Q398" si="798">COUNTIFS(L:L,L398)</f>
        <v>8</v>
      </c>
      <c r="Q398" s="24">
        <f t="shared" si="798"/>
        <v>5</v>
      </c>
      <c r="R398" s="6" t="str">
        <f t="shared" si="6"/>
        <v>Oil, Gas &amp; Consumable, Fuels</v>
      </c>
      <c r="S398" s="6" t="str">
        <f t="shared" si="7"/>
        <v>Oil, Gas &amp; Consumable, Fuels</v>
      </c>
      <c r="T398" s="6">
        <f>IFERROR(__xludf.DUMMYFUNCTION("COUNTA(UNIQUE(query($A$2:$P$800,""select L where K='""&amp; K398&amp;""'"")))"),4.0)</f>
        <v>4</v>
      </c>
      <c r="U398" s="23">
        <f t="shared" si="8"/>
        <v>0.3</v>
      </c>
      <c r="V398" s="23">
        <f t="shared" ref="V398:W398" si="799">P398/O398</f>
        <v>0.4</v>
      </c>
      <c r="W398" s="23">
        <f t="shared" si="799"/>
        <v>0.625</v>
      </c>
    </row>
    <row r="399">
      <c r="A399" s="6">
        <f>IFERROR(__xludf.DUMMYFUNCTION("""COMPUTED_VALUE"""),532809.0)</f>
        <v>532809</v>
      </c>
      <c r="B399" s="6" t="str">
        <f>IFERROR(__xludf.DUMMYFUNCTION("""COMPUTED_VALUE"""),"Firstsource Solutions Ltd.")</f>
        <v>Firstsource Solutions Ltd.</v>
      </c>
      <c r="C399" s="6" t="str">
        <f>IFERROR(__xludf.DUMMYFUNCTION("""COMPUTED_VALUE"""),"FSL")</f>
        <v>FSL</v>
      </c>
      <c r="D399" s="6" t="str">
        <f>IFERROR(__xludf.DUMMYFUNCTION("""COMPUTED_VALUE"""),"FIRSTSOURCE SOLUTIONS LTD.")</f>
        <v>FIRSTSOURCE SOLUTIONS LTD.</v>
      </c>
      <c r="E399" s="6" t="str">
        <f>IFERROR(__xludf.DUMMYFUNCTION("""COMPUTED_VALUE"""),"Active")</f>
        <v>Active</v>
      </c>
      <c r="F399" s="6" t="str">
        <f>IFERROR(__xludf.DUMMYFUNCTION("""COMPUTED_VALUE"""),"A")</f>
        <v>A</v>
      </c>
      <c r="G399" s="6">
        <f>IFERROR(__xludf.DUMMYFUNCTION("""COMPUTED_VALUE"""),10.0)</f>
        <v>10</v>
      </c>
      <c r="H399" s="6" t="str">
        <f>IFERROR(__xludf.DUMMYFUNCTION("""COMPUTED_VALUE"""),"INE684F01012")</f>
        <v>INE684F01012</v>
      </c>
      <c r="I399" s="6" t="str">
        <f>IFERROR(__xludf.DUMMYFUNCTION("""COMPUTED_VALUE"""),"Equity")</f>
        <v>Equity</v>
      </c>
      <c r="J399" s="6" t="str">
        <f>IFERROR(__xludf.DUMMYFUNCTION("""COMPUTED_VALUE"""),"Services")</f>
        <v>Services</v>
      </c>
      <c r="K399" s="6" t="str">
        <f>IFERROR(__xludf.DUMMYFUNCTION("""COMPUTED_VALUE"""),"Services")</f>
        <v>Services</v>
      </c>
      <c r="L399" s="6" t="str">
        <f>IFERROR(__xludf.DUMMYFUNCTION("""COMPUTED_VALUE"""),"Commercial Services &amp; Supplies")</f>
        <v>Commercial Services &amp; Supplies</v>
      </c>
      <c r="M399" s="6" t="str">
        <f>IFERROR(__xludf.DUMMYFUNCTION("""COMPUTED_VALUE"""),"Business Process Outsourcing (BPO)/ Knowledge Process Outsourcing (KPO)")</f>
        <v>Business Process Outsourcing (BPO)/ Knowledge Process Outsourcing (KPO)</v>
      </c>
      <c r="N399" s="5">
        <f>IFERROR(__xludf.DUMMYFUNCTION("""COMPUTED_VALUE"""),15248.0633095)</f>
        <v>15248.06331</v>
      </c>
      <c r="O399" s="6">
        <f t="shared" si="4"/>
        <v>27</v>
      </c>
      <c r="P399" s="6">
        <f t="shared" ref="P399:Q399" si="800">COUNTIFS(L:L,L399)</f>
        <v>11</v>
      </c>
      <c r="Q399" s="24">
        <f t="shared" si="800"/>
        <v>2</v>
      </c>
      <c r="R399" s="6" t="str">
        <f t="shared" si="6"/>
        <v>Services</v>
      </c>
      <c r="S399" s="6" t="str">
        <f t="shared" si="7"/>
        <v>Services</v>
      </c>
      <c r="T399" s="6">
        <f>IFERROR(__xludf.DUMMYFUNCTION("COUNTA(UNIQUE(query($A$2:$P$800,""select L where K='""&amp; K399&amp;""'"")))"),3.0)</f>
        <v>3</v>
      </c>
      <c r="U399" s="23">
        <f t="shared" si="8"/>
        <v>0.1666666667</v>
      </c>
      <c r="V399" s="23">
        <f t="shared" ref="V399:W399" si="801">P399/O399</f>
        <v>0.4074074074</v>
      </c>
      <c r="W399" s="23">
        <f t="shared" si="801"/>
        <v>0.1818181818</v>
      </c>
    </row>
    <row r="400">
      <c r="A400" s="6">
        <f>IFERROR(__xludf.DUMMYFUNCTION("""COMPUTED_VALUE"""),500674.0)</f>
        <v>500674</v>
      </c>
      <c r="B400" s="6" t="str">
        <f>IFERROR(__xludf.DUMMYFUNCTION("""COMPUTED_VALUE"""),"Sanofi India Ltd")</f>
        <v>Sanofi India Ltd</v>
      </c>
      <c r="C400" s="6" t="str">
        <f>IFERROR(__xludf.DUMMYFUNCTION("""COMPUTED_VALUE"""),"SANOFI")</f>
        <v>SANOFI</v>
      </c>
      <c r="D400" s="6" t="str">
        <f>IFERROR(__xludf.DUMMYFUNCTION("""COMPUTED_VALUE"""),"Sanofi India Ltd")</f>
        <v>Sanofi India Ltd</v>
      </c>
      <c r="E400" s="6" t="str">
        <f>IFERROR(__xludf.DUMMYFUNCTION("""COMPUTED_VALUE"""),"Active")</f>
        <v>Active</v>
      </c>
      <c r="F400" s="6" t="str">
        <f>IFERROR(__xludf.DUMMYFUNCTION("""COMPUTED_VALUE"""),"A")</f>
        <v>A</v>
      </c>
      <c r="G400" s="6">
        <f>IFERROR(__xludf.DUMMYFUNCTION("""COMPUTED_VALUE"""),10.0)</f>
        <v>10</v>
      </c>
      <c r="H400" s="6" t="str">
        <f>IFERROR(__xludf.DUMMYFUNCTION("""COMPUTED_VALUE"""),"INE058A01010")</f>
        <v>INE058A01010</v>
      </c>
      <c r="I400" s="6" t="str">
        <f>IFERROR(__xludf.DUMMYFUNCTION("""COMPUTED_VALUE"""),"Equity")</f>
        <v>Equity</v>
      </c>
      <c r="J400" s="6" t="str">
        <f>IFERROR(__xludf.DUMMYFUNCTION("""COMPUTED_VALUE"""),"Healthcare")</f>
        <v>Healthcare</v>
      </c>
      <c r="K400" s="6" t="str">
        <f>IFERROR(__xludf.DUMMYFUNCTION("""COMPUTED_VALUE"""),"Healthcare")</f>
        <v>Healthcare</v>
      </c>
      <c r="L400" s="6" t="str">
        <f>IFERROR(__xludf.DUMMYFUNCTION("""COMPUTED_VALUE"""),"Pharmaceuticals &amp; Biotechnology")</f>
        <v>Pharmaceuticals &amp; Biotechnology</v>
      </c>
      <c r="M400" s="6" t="str">
        <f>IFERROR(__xludf.DUMMYFUNCTION("""COMPUTED_VALUE"""),"Pharmaceuticals")</f>
        <v>Pharmaceuticals</v>
      </c>
      <c r="N400" s="5">
        <f>IFERROR(__xludf.DUMMYFUNCTION("""COMPUTED_VALUE"""),15216.07536)</f>
        <v>15216.07536</v>
      </c>
      <c r="O400" s="6">
        <f t="shared" si="4"/>
        <v>62</v>
      </c>
      <c r="P400" s="6">
        <f t="shared" ref="P400:Q400" si="802">COUNTIFS(L:L,L400)</f>
        <v>45</v>
      </c>
      <c r="Q400" s="24">
        <f t="shared" si="802"/>
        <v>45</v>
      </c>
      <c r="R400" s="6" t="str">
        <f t="shared" si="6"/>
        <v>Healthcare</v>
      </c>
      <c r="S400" s="6" t="str">
        <f t="shared" si="7"/>
        <v>Healthcare</v>
      </c>
      <c r="T400" s="6">
        <f>IFERROR(__xludf.DUMMYFUNCTION("COUNTA(UNIQUE(query($A$2:$P$800,""select L where K='""&amp; K400&amp;""'"")))"),3.0)</f>
        <v>3</v>
      </c>
      <c r="U400" s="23">
        <f t="shared" si="8"/>
        <v>0.07258064516</v>
      </c>
      <c r="V400" s="23">
        <f t="shared" ref="V400:W400" si="803">P400/O400</f>
        <v>0.7258064516</v>
      </c>
      <c r="W400" s="23">
        <f t="shared" si="803"/>
        <v>1</v>
      </c>
    </row>
    <row r="401">
      <c r="A401" s="6">
        <f>IFERROR(__xludf.DUMMYFUNCTION("""COMPUTED_VALUE"""),541557.0)</f>
        <v>541557</v>
      </c>
      <c r="B401" s="6" t="str">
        <f>IFERROR(__xludf.DUMMYFUNCTION("""COMPUTED_VALUE"""),"Fine Organic Industries Limited")</f>
        <v>Fine Organic Industries Limited</v>
      </c>
      <c r="C401" s="6" t="str">
        <f>IFERROR(__xludf.DUMMYFUNCTION("""COMPUTED_VALUE"""),"FINEORG")</f>
        <v>FINEORG</v>
      </c>
      <c r="D401" s="6" t="str">
        <f>IFERROR(__xludf.DUMMYFUNCTION("""COMPUTED_VALUE"""),"Fine Organic Industries Ltd")</f>
        <v>Fine Organic Industries Ltd</v>
      </c>
      <c r="E401" s="6" t="str">
        <f>IFERROR(__xludf.DUMMYFUNCTION("""COMPUTED_VALUE"""),"Active")</f>
        <v>Active</v>
      </c>
      <c r="F401" s="6" t="str">
        <f>IFERROR(__xludf.DUMMYFUNCTION("""COMPUTED_VALUE"""),"A")</f>
        <v>A</v>
      </c>
      <c r="G401" s="6">
        <f>IFERROR(__xludf.DUMMYFUNCTION("""COMPUTED_VALUE"""),5.0)</f>
        <v>5</v>
      </c>
      <c r="H401" s="6" t="str">
        <f>IFERROR(__xludf.DUMMYFUNCTION("""COMPUTED_VALUE"""),"INE686Y01026")</f>
        <v>INE686Y01026</v>
      </c>
      <c r="I401" s="6" t="str">
        <f>IFERROR(__xludf.DUMMYFUNCTION("""COMPUTED_VALUE"""),"Equity")</f>
        <v>Equity</v>
      </c>
      <c r="J401" s="6" t="str">
        <f>IFERROR(__xludf.DUMMYFUNCTION("""COMPUTED_VALUE"""),"Commodities")</f>
        <v>Commodities</v>
      </c>
      <c r="K401" s="6" t="str">
        <f>IFERROR(__xludf.DUMMYFUNCTION("""COMPUTED_VALUE"""),"Chemicals")</f>
        <v>Chemicals</v>
      </c>
      <c r="L401" s="6" t="str">
        <f>IFERROR(__xludf.DUMMYFUNCTION("""COMPUTED_VALUE"""),"Chemicals &amp; Petrochemicals")</f>
        <v>Chemicals &amp; Petrochemicals</v>
      </c>
      <c r="M401" s="6" t="str">
        <f>IFERROR(__xludf.DUMMYFUNCTION("""COMPUTED_VALUE"""),"Specialty Chemicals")</f>
        <v>Specialty Chemicals</v>
      </c>
      <c r="N401" s="5">
        <f>IFERROR(__xludf.DUMMYFUNCTION("""COMPUTED_VALUE"""),15214.072311)</f>
        <v>15214.07231</v>
      </c>
      <c r="O401" s="6">
        <f t="shared" si="4"/>
        <v>52</v>
      </c>
      <c r="P401" s="6">
        <f t="shared" ref="P401:Q401" si="804">COUNTIFS(L:L,L401)</f>
        <v>37</v>
      </c>
      <c r="Q401" s="24">
        <f t="shared" si="804"/>
        <v>25</v>
      </c>
      <c r="R401" s="6" t="str">
        <f t="shared" si="6"/>
        <v>Chemicals</v>
      </c>
      <c r="S401" s="6" t="str">
        <f t="shared" si="7"/>
        <v>Chemicals</v>
      </c>
      <c r="T401" s="6">
        <f>IFERROR(__xludf.DUMMYFUNCTION("COUNTA(UNIQUE(query($A$2:$P$800,""select L where K='""&amp; K401&amp;""'"")))"),2.0)</f>
        <v>2</v>
      </c>
      <c r="U401" s="23">
        <f t="shared" si="8"/>
        <v>0.05769230769</v>
      </c>
      <c r="V401" s="23">
        <f t="shared" ref="V401:W401" si="805">P401/O401</f>
        <v>0.7115384615</v>
      </c>
      <c r="W401" s="23">
        <f t="shared" si="805"/>
        <v>0.6756756757</v>
      </c>
    </row>
    <row r="402">
      <c r="A402" s="6">
        <f>IFERROR(__xludf.DUMMYFUNCTION("""COMPUTED_VALUE"""),543265.0)</f>
        <v>543265</v>
      </c>
      <c r="B402" s="6" t="str">
        <f>IFERROR(__xludf.DUMMYFUNCTION("""COMPUTED_VALUE"""),"RailTel Corporation of India Limited")</f>
        <v>RailTel Corporation of India Limited</v>
      </c>
      <c r="C402" s="6" t="str">
        <f>IFERROR(__xludf.DUMMYFUNCTION("""COMPUTED_VALUE"""),"RAILTEL")</f>
        <v>RAILTEL</v>
      </c>
      <c r="D402" s="6" t="str">
        <f>IFERROR(__xludf.DUMMYFUNCTION("""COMPUTED_VALUE"""),"RailTel Corporation of India Ltd")</f>
        <v>RailTel Corporation of India Ltd</v>
      </c>
      <c r="E402" s="6" t="str">
        <f>IFERROR(__xludf.DUMMYFUNCTION("""COMPUTED_VALUE"""),"Active")</f>
        <v>Active</v>
      </c>
      <c r="F402" s="6" t="str">
        <f>IFERROR(__xludf.DUMMYFUNCTION("""COMPUTED_VALUE"""),"A")</f>
        <v>A</v>
      </c>
      <c r="G402" s="6">
        <f>IFERROR(__xludf.DUMMYFUNCTION("""COMPUTED_VALUE"""),10.0)</f>
        <v>10</v>
      </c>
      <c r="H402" s="6" t="str">
        <f>IFERROR(__xludf.DUMMYFUNCTION("""COMPUTED_VALUE"""),"INE0DD101019")</f>
        <v>INE0DD101019</v>
      </c>
      <c r="I402" s="6" t="str">
        <f>IFERROR(__xludf.DUMMYFUNCTION("""COMPUTED_VALUE"""),"Equity")</f>
        <v>Equity</v>
      </c>
      <c r="J402" s="6" t="str">
        <f>IFERROR(__xludf.DUMMYFUNCTION("""COMPUTED_VALUE"""),"Telecommunication")</f>
        <v>Telecommunication</v>
      </c>
      <c r="K402" s="6" t="str">
        <f>IFERROR(__xludf.DUMMYFUNCTION("""COMPUTED_VALUE"""),"Telecommunication")</f>
        <v>Telecommunication</v>
      </c>
      <c r="L402" s="6" t="str">
        <f>IFERROR(__xludf.DUMMYFUNCTION("""COMPUTED_VALUE"""),"Telecom - Services")</f>
        <v>Telecom - Services</v>
      </c>
      <c r="M402" s="6" t="str">
        <f>IFERROR(__xludf.DUMMYFUNCTION("""COMPUTED_VALUE"""),"Other Telecom Services")</f>
        <v>Other Telecom Services</v>
      </c>
      <c r="N402" s="5">
        <f>IFERROR(__xludf.DUMMYFUNCTION("""COMPUTED_VALUE"""),15199.1388231)</f>
        <v>15199.13882</v>
      </c>
      <c r="O402" s="6">
        <f t="shared" si="4"/>
        <v>14</v>
      </c>
      <c r="P402" s="6">
        <f t="shared" ref="P402:Q402" si="806">COUNTIFS(L:L,L402)</f>
        <v>11</v>
      </c>
      <c r="Q402" s="24">
        <f t="shared" si="806"/>
        <v>2</v>
      </c>
      <c r="R402" s="6" t="str">
        <f t="shared" si="6"/>
        <v>Telecommunication</v>
      </c>
      <c r="S402" s="6" t="str">
        <f t="shared" si="7"/>
        <v>Telecommunication</v>
      </c>
      <c r="T402" s="6">
        <f>IFERROR(__xludf.DUMMYFUNCTION("COUNTA(UNIQUE(query($A$2:$P$800,""select L where K='""&amp; K402&amp;""'"")))"),2.0)</f>
        <v>2</v>
      </c>
      <c r="U402" s="23">
        <f t="shared" si="8"/>
        <v>0.2142857143</v>
      </c>
      <c r="V402" s="23">
        <f t="shared" ref="V402:W402" si="807">P402/O402</f>
        <v>0.7857142857</v>
      </c>
      <c r="W402" s="23">
        <f t="shared" si="807"/>
        <v>0.1818181818</v>
      </c>
    </row>
    <row r="403">
      <c r="A403" s="6">
        <f>IFERROR(__xludf.DUMMYFUNCTION("""COMPUTED_VALUE"""),532144.0)</f>
        <v>532144</v>
      </c>
      <c r="B403" s="6" t="str">
        <f>IFERROR(__xludf.DUMMYFUNCTION("""COMPUTED_VALUE"""),"Welspun Corp Limited")</f>
        <v>Welspun Corp Limited</v>
      </c>
      <c r="C403" s="6" t="str">
        <f>IFERROR(__xludf.DUMMYFUNCTION("""COMPUTED_VALUE"""),"WELCORP")</f>
        <v>WELCORP</v>
      </c>
      <c r="D403" s="6" t="str">
        <f>IFERROR(__xludf.DUMMYFUNCTION("""COMPUTED_VALUE"""),"Welspun Corp Limited")</f>
        <v>Welspun Corp Limited</v>
      </c>
      <c r="E403" s="6" t="str">
        <f>IFERROR(__xludf.DUMMYFUNCTION("""COMPUTED_VALUE"""),"Active")</f>
        <v>Active</v>
      </c>
      <c r="F403" s="6" t="str">
        <f>IFERROR(__xludf.DUMMYFUNCTION("""COMPUTED_VALUE"""),"A")</f>
        <v>A</v>
      </c>
      <c r="G403" s="6">
        <f>IFERROR(__xludf.DUMMYFUNCTION("""COMPUTED_VALUE"""),5.0)</f>
        <v>5</v>
      </c>
      <c r="H403" s="6" t="str">
        <f>IFERROR(__xludf.DUMMYFUNCTION("""COMPUTED_VALUE"""),"INE191B01025")</f>
        <v>INE191B01025</v>
      </c>
      <c r="I403" s="6" t="str">
        <f>IFERROR(__xludf.DUMMYFUNCTION("""COMPUTED_VALUE"""),"Equity")</f>
        <v>Equity</v>
      </c>
      <c r="J403" s="6" t="str">
        <f>IFERROR(__xludf.DUMMYFUNCTION("""COMPUTED_VALUE"""),"Industrials")</f>
        <v>Industrials</v>
      </c>
      <c r="K403" s="6" t="str">
        <f>IFERROR(__xludf.DUMMYFUNCTION("""COMPUTED_VALUE"""),"Capital Goods")</f>
        <v>Capital Goods</v>
      </c>
      <c r="L403" s="6" t="str">
        <f>IFERROR(__xludf.DUMMYFUNCTION("""COMPUTED_VALUE"""),"Industrial Products")</f>
        <v>Industrial Products</v>
      </c>
      <c r="M403" s="6" t="str">
        <f>IFERROR(__xludf.DUMMYFUNCTION("""COMPUTED_VALUE"""),"Iron &amp; Steel Products")</f>
        <v>Iron &amp; Steel Products</v>
      </c>
      <c r="N403" s="5">
        <f>IFERROR(__xludf.DUMMYFUNCTION("""COMPUTED_VALUE"""),15191.4325069)</f>
        <v>15191.43251</v>
      </c>
      <c r="O403" s="6">
        <f t="shared" si="4"/>
        <v>110</v>
      </c>
      <c r="P403" s="6">
        <f t="shared" ref="P403:Q403" si="808">COUNTIFS(L:L,L403)</f>
        <v>51</v>
      </c>
      <c r="Q403" s="24">
        <f t="shared" si="808"/>
        <v>13</v>
      </c>
      <c r="R403" s="6" t="str">
        <f t="shared" si="6"/>
        <v>Industrial Products</v>
      </c>
      <c r="S403" s="6" t="str">
        <f t="shared" si="7"/>
        <v>Industrial Products</v>
      </c>
      <c r="T403" s="6">
        <f>IFERROR(__xludf.DUMMYFUNCTION("COUNTA(UNIQUE(query($A$2:$P$800,""select L where K='""&amp; K403&amp;""'"")))"),5.0)</f>
        <v>5</v>
      </c>
      <c r="U403" s="23">
        <f t="shared" si="8"/>
        <v>0.06818181818</v>
      </c>
      <c r="V403" s="23">
        <f t="shared" ref="V403:W403" si="809">P403/O403</f>
        <v>0.4636363636</v>
      </c>
      <c r="W403" s="23">
        <f t="shared" si="809"/>
        <v>0.2549019608</v>
      </c>
    </row>
    <row r="404">
      <c r="A404" s="6">
        <f>IFERROR(__xludf.DUMMYFUNCTION("""COMPUTED_VALUE"""),505700.0)</f>
        <v>505700</v>
      </c>
      <c r="B404" s="6" t="str">
        <f>IFERROR(__xludf.DUMMYFUNCTION("""COMPUTED_VALUE"""),"Elecon Engineering Co.Ltd.")</f>
        <v>Elecon Engineering Co.Ltd.</v>
      </c>
      <c r="C404" s="6" t="str">
        <f>IFERROR(__xludf.DUMMYFUNCTION("""COMPUTED_VALUE"""),"ELECON")</f>
        <v>ELECON</v>
      </c>
      <c r="D404" s="6" t="str">
        <f>IFERROR(__xludf.DUMMYFUNCTION("""COMPUTED_VALUE"""),"ELECON ENGINEERING CO.LTD.")</f>
        <v>ELECON ENGINEERING CO.LTD.</v>
      </c>
      <c r="E404" s="6" t="str">
        <f>IFERROR(__xludf.DUMMYFUNCTION("""COMPUTED_VALUE"""),"Active")</f>
        <v>Active</v>
      </c>
      <c r="F404" s="6" t="str">
        <f>IFERROR(__xludf.DUMMYFUNCTION("""COMPUTED_VALUE"""),"A")</f>
        <v>A</v>
      </c>
      <c r="G404" s="6">
        <f>IFERROR(__xludf.DUMMYFUNCTION("""COMPUTED_VALUE"""),2.0)</f>
        <v>2</v>
      </c>
      <c r="H404" s="6" t="str">
        <f>IFERROR(__xludf.DUMMYFUNCTION("""COMPUTED_VALUE"""),"INE205B01023")</f>
        <v>INE205B01023</v>
      </c>
      <c r="I404" s="6" t="str">
        <f>IFERROR(__xludf.DUMMYFUNCTION("""COMPUTED_VALUE"""),"Equity")</f>
        <v>Equity</v>
      </c>
      <c r="J404" s="6" t="str">
        <f>IFERROR(__xludf.DUMMYFUNCTION("""COMPUTED_VALUE"""),"Industrials")</f>
        <v>Industrials</v>
      </c>
      <c r="K404" s="6" t="str">
        <f>IFERROR(__xludf.DUMMYFUNCTION("""COMPUTED_VALUE"""),"Capital Goods")</f>
        <v>Capital Goods</v>
      </c>
      <c r="L404" s="6" t="str">
        <f>IFERROR(__xludf.DUMMYFUNCTION("""COMPUTED_VALUE"""),"Industrial Manufacturing")</f>
        <v>Industrial Manufacturing</v>
      </c>
      <c r="M404" s="6" t="str">
        <f>IFERROR(__xludf.DUMMYFUNCTION("""COMPUTED_VALUE"""),"Industrial Products")</f>
        <v>Industrial Products</v>
      </c>
      <c r="N404" s="5">
        <f>IFERROR(__xludf.DUMMYFUNCTION("""COMPUTED_VALUE"""),15101.4423753)</f>
        <v>15101.44238</v>
      </c>
      <c r="O404" s="6">
        <f t="shared" si="4"/>
        <v>110</v>
      </c>
      <c r="P404" s="6">
        <f t="shared" ref="P404:Q404" si="810">COUNTIFS(L:L,L404)</f>
        <v>21</v>
      </c>
      <c r="Q404" s="24">
        <f t="shared" si="810"/>
        <v>17</v>
      </c>
      <c r="R404" s="6" t="str">
        <f t="shared" si="6"/>
        <v>Industrial Manufacturing</v>
      </c>
      <c r="S404" s="6" t="str">
        <f t="shared" si="7"/>
        <v>Industrial Manufacturing</v>
      </c>
      <c r="T404" s="6">
        <f>IFERROR(__xludf.DUMMYFUNCTION("COUNTA(UNIQUE(query($A$2:$P$800,""select L where K='""&amp; K404&amp;""'"")))"),5.0)</f>
        <v>5</v>
      </c>
      <c r="U404" s="23">
        <f t="shared" si="8"/>
        <v>0.06818181818</v>
      </c>
      <c r="V404" s="23">
        <f t="shared" ref="V404:W404" si="811">P404/O404</f>
        <v>0.1909090909</v>
      </c>
      <c r="W404" s="23">
        <f t="shared" si="811"/>
        <v>0.8095238095</v>
      </c>
    </row>
    <row r="405">
      <c r="A405" s="6">
        <f>IFERROR(__xludf.DUMMYFUNCTION("""COMPUTED_VALUE"""),532371.0)</f>
        <v>532371</v>
      </c>
      <c r="B405" s="6" t="str">
        <f>IFERROR(__xludf.DUMMYFUNCTION("""COMPUTED_VALUE"""),"Tata Teleservices (Maharashtra) Ltd.")</f>
        <v>Tata Teleservices (Maharashtra) Ltd.</v>
      </c>
      <c r="C405" s="6" t="str">
        <f>IFERROR(__xludf.DUMMYFUNCTION("""COMPUTED_VALUE"""),"TTML")</f>
        <v>TTML</v>
      </c>
      <c r="D405" s="6" t="str">
        <f>IFERROR(__xludf.DUMMYFUNCTION("""COMPUTED_VALUE"""),"TATA TELESERVICES (MAHARASHTRA) LTD.")</f>
        <v>TATA TELESERVICES (MAHARASHTRA) LTD.</v>
      </c>
      <c r="E405" s="6" t="str">
        <f>IFERROR(__xludf.DUMMYFUNCTION("""COMPUTED_VALUE"""),"Active")</f>
        <v>Active</v>
      </c>
      <c r="F405" s="6" t="str">
        <f>IFERROR(__xludf.DUMMYFUNCTION("""COMPUTED_VALUE"""),"A")</f>
        <v>A</v>
      </c>
      <c r="G405" s="6">
        <f>IFERROR(__xludf.DUMMYFUNCTION("""COMPUTED_VALUE"""),10.0)</f>
        <v>10</v>
      </c>
      <c r="H405" s="6" t="str">
        <f>IFERROR(__xludf.DUMMYFUNCTION("""COMPUTED_VALUE"""),"INE517B01013")</f>
        <v>INE517B01013</v>
      </c>
      <c r="I405" s="6" t="str">
        <f>IFERROR(__xludf.DUMMYFUNCTION("""COMPUTED_VALUE"""),"Equity")</f>
        <v>Equity</v>
      </c>
      <c r="J405" s="6" t="str">
        <f>IFERROR(__xludf.DUMMYFUNCTION("""COMPUTED_VALUE"""),"Telecommunication")</f>
        <v>Telecommunication</v>
      </c>
      <c r="K405" s="6" t="str">
        <f>IFERROR(__xludf.DUMMYFUNCTION("""COMPUTED_VALUE"""),"Telecommunication")</f>
        <v>Telecommunication</v>
      </c>
      <c r="L405" s="6" t="str">
        <f>IFERROR(__xludf.DUMMYFUNCTION("""COMPUTED_VALUE"""),"Telecom - Services")</f>
        <v>Telecom - Services</v>
      </c>
      <c r="M405" s="6" t="str">
        <f>IFERROR(__xludf.DUMMYFUNCTION("""COMPUTED_VALUE"""),"Telecom - Cellular &amp; Fixed line services")</f>
        <v>Telecom - Cellular &amp; Fixed line services</v>
      </c>
      <c r="N405" s="5">
        <f>IFERROR(__xludf.DUMMYFUNCTION("""COMPUTED_VALUE"""),14977.1985685)</f>
        <v>14977.19857</v>
      </c>
      <c r="O405" s="6">
        <f t="shared" si="4"/>
        <v>14</v>
      </c>
      <c r="P405" s="6">
        <f t="shared" ref="P405:Q405" si="812">COUNTIFS(L:L,L405)</f>
        <v>11</v>
      </c>
      <c r="Q405" s="24">
        <f t="shared" si="812"/>
        <v>5</v>
      </c>
      <c r="R405" s="6" t="str">
        <f t="shared" si="6"/>
        <v>Telecommunication</v>
      </c>
      <c r="S405" s="6" t="str">
        <f t="shared" si="7"/>
        <v>Telecommunication</v>
      </c>
      <c r="T405" s="6">
        <f>IFERROR(__xludf.DUMMYFUNCTION("COUNTA(UNIQUE(query($A$2:$P$800,""select L where K='""&amp; K405&amp;""'"")))"),2.0)</f>
        <v>2</v>
      </c>
      <c r="U405" s="23">
        <f t="shared" si="8"/>
        <v>0.2142857143</v>
      </c>
      <c r="V405" s="23">
        <f t="shared" ref="V405:W405" si="813">P405/O405</f>
        <v>0.7857142857</v>
      </c>
      <c r="W405" s="23">
        <f t="shared" si="813"/>
        <v>0.4545454545</v>
      </c>
    </row>
    <row r="406">
      <c r="A406" s="6">
        <f>IFERROR(__xludf.DUMMYFUNCTION("""COMPUTED_VALUE"""),541988.0)</f>
        <v>541988</v>
      </c>
      <c r="B406" s="6" t="str">
        <f>IFERROR(__xludf.DUMMYFUNCTION("""COMPUTED_VALUE"""),"AAVAS Financiers Limited")</f>
        <v>AAVAS Financiers Limited</v>
      </c>
      <c r="C406" s="6" t="str">
        <f>IFERROR(__xludf.DUMMYFUNCTION("""COMPUTED_VALUE"""),"AAVAS")</f>
        <v>AAVAS</v>
      </c>
      <c r="D406" s="6" t="str">
        <f>IFERROR(__xludf.DUMMYFUNCTION("""COMPUTED_VALUE"""),"AAVAS Financiers Ltd")</f>
        <v>AAVAS Financiers Ltd</v>
      </c>
      <c r="E406" s="6" t="str">
        <f>IFERROR(__xludf.DUMMYFUNCTION("""COMPUTED_VALUE"""),"Active")</f>
        <v>Active</v>
      </c>
      <c r="F406" s="6" t="str">
        <f>IFERROR(__xludf.DUMMYFUNCTION("""COMPUTED_VALUE"""),"A")</f>
        <v>A</v>
      </c>
      <c r="G406" s="6">
        <f>IFERROR(__xludf.DUMMYFUNCTION("""COMPUTED_VALUE"""),10.0)</f>
        <v>10</v>
      </c>
      <c r="H406" s="6" t="str">
        <f>IFERROR(__xludf.DUMMYFUNCTION("""COMPUTED_VALUE"""),"INE216P01012")</f>
        <v>INE216P01012</v>
      </c>
      <c r="I406" s="6" t="str">
        <f>IFERROR(__xludf.DUMMYFUNCTION("""COMPUTED_VALUE"""),"Equity")</f>
        <v>Equity</v>
      </c>
      <c r="J406" s="6" t="str">
        <f>IFERROR(__xludf.DUMMYFUNCTION("""COMPUTED_VALUE"""),"Financial Services")</f>
        <v>Financial Services</v>
      </c>
      <c r="K406" s="6" t="str">
        <f>IFERROR(__xludf.DUMMYFUNCTION("""COMPUTED_VALUE"""),"Financial Services")</f>
        <v>Financial Services</v>
      </c>
      <c r="L406" s="6" t="str">
        <f>IFERROR(__xludf.DUMMYFUNCTION("""COMPUTED_VALUE"""),"Finance")</f>
        <v>Finance</v>
      </c>
      <c r="M406" s="6" t="str">
        <f>IFERROR(__xludf.DUMMYFUNCTION("""COMPUTED_VALUE"""),"Housing Finance Company")</f>
        <v>Housing Finance Company</v>
      </c>
      <c r="N406" s="5">
        <f>IFERROR(__xludf.DUMMYFUNCTION("""COMPUTED_VALUE"""),14914.012318)</f>
        <v>14914.01232</v>
      </c>
      <c r="O406" s="6">
        <f t="shared" si="4"/>
        <v>123</v>
      </c>
      <c r="P406" s="6">
        <f t="shared" ref="P406:Q406" si="814">COUNTIFS(L:L,L406)</f>
        <v>56</v>
      </c>
      <c r="Q406" s="24">
        <f t="shared" si="814"/>
        <v>9</v>
      </c>
      <c r="R406" s="6" t="str">
        <f t="shared" si="6"/>
        <v>Finance</v>
      </c>
      <c r="S406" s="6" t="str">
        <f t="shared" si="7"/>
        <v>Finance</v>
      </c>
      <c r="T406" s="6">
        <f>IFERROR(__xludf.DUMMYFUNCTION("COUNTA(UNIQUE(query($A$2:$P$800,""select L where K='""&amp; K406&amp;""'"")))"),5.0)</f>
        <v>5</v>
      </c>
      <c r="U406" s="23">
        <f t="shared" si="8"/>
        <v>0.06097560976</v>
      </c>
      <c r="V406" s="23">
        <f t="shared" ref="V406:W406" si="815">P406/O406</f>
        <v>0.4552845528</v>
      </c>
      <c r="W406" s="23">
        <f t="shared" si="815"/>
        <v>0.1607142857</v>
      </c>
    </row>
    <row r="407">
      <c r="A407" s="6">
        <f>IFERROR(__xludf.DUMMYFUNCTION("""COMPUTED_VALUE"""),514162.0)</f>
        <v>514162</v>
      </c>
      <c r="B407" s="6" t="str">
        <f>IFERROR(__xludf.DUMMYFUNCTION("""COMPUTED_VALUE"""),"WELSPUN LIVING LIMITED")</f>
        <v>WELSPUN LIVING LIMITED</v>
      </c>
      <c r="C407" s="6" t="str">
        <f>IFERROR(__xludf.DUMMYFUNCTION("""COMPUTED_VALUE"""),"WELSPUNLIV")</f>
        <v>WELSPUNLIV</v>
      </c>
      <c r="D407" s="6" t="str">
        <f>IFERROR(__xludf.DUMMYFUNCTION("""COMPUTED_VALUE"""),"Welspun Living Ltd")</f>
        <v>Welspun Living Ltd</v>
      </c>
      <c r="E407" s="6" t="str">
        <f>IFERROR(__xludf.DUMMYFUNCTION("""COMPUTED_VALUE"""),"Active")</f>
        <v>Active</v>
      </c>
      <c r="F407" s="6" t="str">
        <f>IFERROR(__xludf.DUMMYFUNCTION("""COMPUTED_VALUE"""),"A")</f>
        <v>A</v>
      </c>
      <c r="G407" s="6">
        <f>IFERROR(__xludf.DUMMYFUNCTION("""COMPUTED_VALUE"""),1.0)</f>
        <v>1</v>
      </c>
      <c r="H407" s="6" t="str">
        <f>IFERROR(__xludf.DUMMYFUNCTION("""COMPUTED_VALUE"""),"INE192B01031")</f>
        <v>INE192B01031</v>
      </c>
      <c r="I407" s="6" t="str">
        <f>IFERROR(__xludf.DUMMYFUNCTION("""COMPUTED_VALUE"""),"Equity")</f>
        <v>Equity</v>
      </c>
      <c r="J407" s="6" t="str">
        <f>IFERROR(__xludf.DUMMYFUNCTION("""COMPUTED_VALUE"""),"Consumer Discretionary")</f>
        <v>Consumer Discretionary</v>
      </c>
      <c r="K407" s="6" t="str">
        <f>IFERROR(__xludf.DUMMYFUNCTION("""COMPUTED_VALUE"""),"Textiles")</f>
        <v>Textiles</v>
      </c>
      <c r="L407" s="6" t="str">
        <f>IFERROR(__xludf.DUMMYFUNCTION("""COMPUTED_VALUE"""),"Textiles &amp; Apparels")</f>
        <v>Textiles &amp; Apparels</v>
      </c>
      <c r="M407" s="6" t="str">
        <f>IFERROR(__xludf.DUMMYFUNCTION("""COMPUTED_VALUE"""),"Other Textile Products")</f>
        <v>Other Textile Products</v>
      </c>
      <c r="N407" s="5">
        <f>IFERROR(__xludf.DUMMYFUNCTION("""COMPUTED_VALUE"""),14782.7)</f>
        <v>14782.7</v>
      </c>
      <c r="O407" s="6">
        <f t="shared" si="4"/>
        <v>13</v>
      </c>
      <c r="P407" s="6">
        <f t="shared" ref="P407:Q407" si="816">COUNTIFS(L:L,L407)</f>
        <v>13</v>
      </c>
      <c r="Q407" s="24">
        <f t="shared" si="816"/>
        <v>8</v>
      </c>
      <c r="R407" s="6" t="str">
        <f t="shared" si="6"/>
        <v>Textiles</v>
      </c>
      <c r="S407" s="6" t="str">
        <f t="shared" si="7"/>
        <v>Textiles</v>
      </c>
      <c r="T407" s="6">
        <f>IFERROR(__xludf.DUMMYFUNCTION("COUNTA(UNIQUE(query($A$2:$P$800,""select L where K='""&amp; K407&amp;""'"")))"),1.0)</f>
        <v>1</v>
      </c>
      <c r="U407" s="23">
        <f t="shared" si="8"/>
        <v>0.1153846154</v>
      </c>
      <c r="V407" s="23">
        <f t="shared" ref="V407:W407" si="817">P407/O407</f>
        <v>1</v>
      </c>
      <c r="W407" s="23">
        <f t="shared" si="817"/>
        <v>0.6153846154</v>
      </c>
    </row>
    <row r="408">
      <c r="A408" s="6">
        <f>IFERROR(__xludf.DUMMYFUNCTION("""COMPUTED_VALUE"""),538835.0)</f>
        <v>538835</v>
      </c>
      <c r="B408" s="6" t="str">
        <f>IFERROR(__xludf.DUMMYFUNCTION("""COMPUTED_VALUE"""),"INTELLECT DESIGN ARENA LIMITED")</f>
        <v>INTELLECT DESIGN ARENA LIMITED</v>
      </c>
      <c r="C408" s="6" t="str">
        <f>IFERROR(__xludf.DUMMYFUNCTION("""COMPUTED_VALUE"""),"INTELLECT")</f>
        <v>INTELLECT</v>
      </c>
      <c r="D408" s="6" t="str">
        <f>IFERROR(__xludf.DUMMYFUNCTION("""COMPUTED_VALUE"""),"Intellect Design Arena Ltd")</f>
        <v>Intellect Design Arena Ltd</v>
      </c>
      <c r="E408" s="6" t="str">
        <f>IFERROR(__xludf.DUMMYFUNCTION("""COMPUTED_VALUE"""),"Active")</f>
        <v>Active</v>
      </c>
      <c r="F408" s="6" t="str">
        <f>IFERROR(__xludf.DUMMYFUNCTION("""COMPUTED_VALUE"""),"A")</f>
        <v>A</v>
      </c>
      <c r="G408" s="6">
        <f>IFERROR(__xludf.DUMMYFUNCTION("""COMPUTED_VALUE"""),5.0)</f>
        <v>5</v>
      </c>
      <c r="H408" s="6" t="str">
        <f>IFERROR(__xludf.DUMMYFUNCTION("""COMPUTED_VALUE"""),"INE306R01017")</f>
        <v>INE306R01017</v>
      </c>
      <c r="I408" s="6" t="str">
        <f>IFERROR(__xludf.DUMMYFUNCTION("""COMPUTED_VALUE"""),"Equity")</f>
        <v>Equity</v>
      </c>
      <c r="J408" s="6" t="str">
        <f>IFERROR(__xludf.DUMMYFUNCTION("""COMPUTED_VALUE"""),"Information Technology")</f>
        <v>Information Technology</v>
      </c>
      <c r="K408" s="6" t="str">
        <f>IFERROR(__xludf.DUMMYFUNCTION("""COMPUTED_VALUE"""),"Information Technology")</f>
        <v>Information Technology</v>
      </c>
      <c r="L408" s="6" t="str">
        <f>IFERROR(__xludf.DUMMYFUNCTION("""COMPUTED_VALUE"""),"IT - Software")</f>
        <v>IT - Software</v>
      </c>
      <c r="M408" s="6" t="str">
        <f>IFERROR(__xludf.DUMMYFUNCTION("""COMPUTED_VALUE"""),"Computers - Software &amp; Consulting")</f>
        <v>Computers - Software &amp; Consulting</v>
      </c>
      <c r="N408" s="5">
        <f>IFERROR(__xludf.DUMMYFUNCTION("""COMPUTED_VALUE"""),14635.323816)</f>
        <v>14635.32382</v>
      </c>
      <c r="O408" s="6">
        <f t="shared" si="4"/>
        <v>36</v>
      </c>
      <c r="P408" s="6">
        <f t="shared" ref="P408:Q408" si="818">COUNTIFS(L:L,L408)</f>
        <v>27</v>
      </c>
      <c r="Q408" s="24">
        <f t="shared" si="818"/>
        <v>22</v>
      </c>
      <c r="R408" s="6" t="str">
        <f t="shared" si="6"/>
        <v>Information Technology</v>
      </c>
      <c r="S408" s="6" t="str">
        <f t="shared" si="7"/>
        <v>Information Technology</v>
      </c>
      <c r="T408" s="6">
        <f>IFERROR(__xludf.DUMMYFUNCTION("COUNTA(UNIQUE(query($A$2:$P$800,""select L where K='""&amp; K408&amp;""'"")))"),3.0)</f>
        <v>3</v>
      </c>
      <c r="U408" s="23">
        <f t="shared" si="8"/>
        <v>0.125</v>
      </c>
      <c r="V408" s="23">
        <f t="shared" ref="V408:W408" si="819">P408/O408</f>
        <v>0.75</v>
      </c>
      <c r="W408" s="23">
        <f t="shared" si="819"/>
        <v>0.8148148148</v>
      </c>
    </row>
    <row r="409">
      <c r="A409" s="6">
        <f>IFERROR(__xludf.DUMMYFUNCTION("""COMPUTED_VALUE"""),505537.0)</f>
        <v>505537</v>
      </c>
      <c r="B409" s="6" t="str">
        <f>IFERROR(__xludf.DUMMYFUNCTION("""COMPUTED_VALUE"""),"Zee Entertainment Enterprises Ltd.")</f>
        <v>Zee Entertainment Enterprises Ltd.</v>
      </c>
      <c r="C409" s="6" t="str">
        <f>IFERROR(__xludf.DUMMYFUNCTION("""COMPUTED_VALUE"""),"ZEEL")</f>
        <v>ZEEL</v>
      </c>
      <c r="D409" s="6" t="str">
        <f>IFERROR(__xludf.DUMMYFUNCTION("""COMPUTED_VALUE"""),"ZEE ENTERTAINMENT ENTERPRISES LTD.")</f>
        <v>ZEE ENTERTAINMENT ENTERPRISES LTD.</v>
      </c>
      <c r="E409" s="6" t="str">
        <f>IFERROR(__xludf.DUMMYFUNCTION("""COMPUTED_VALUE"""),"Active")</f>
        <v>Active</v>
      </c>
      <c r="F409" s="6" t="str">
        <f>IFERROR(__xludf.DUMMYFUNCTION("""COMPUTED_VALUE"""),"A")</f>
        <v>A</v>
      </c>
      <c r="G409" s="6">
        <f>IFERROR(__xludf.DUMMYFUNCTION("""COMPUTED_VALUE"""),1.0)</f>
        <v>1</v>
      </c>
      <c r="H409" s="6" t="str">
        <f>IFERROR(__xludf.DUMMYFUNCTION("""COMPUTED_VALUE"""),"INE256A01028")</f>
        <v>INE256A01028</v>
      </c>
      <c r="I409" s="6" t="str">
        <f>IFERROR(__xludf.DUMMYFUNCTION("""COMPUTED_VALUE"""),"Equity")</f>
        <v>Equity</v>
      </c>
      <c r="J409" s="6" t="str">
        <f>IFERROR(__xludf.DUMMYFUNCTION("""COMPUTED_VALUE"""),"Consumer Discretionary")</f>
        <v>Consumer Discretionary</v>
      </c>
      <c r="K409" s="6" t="str">
        <f>IFERROR(__xludf.DUMMYFUNCTION("""COMPUTED_VALUE"""),"Media, Entertainment &amp; Publication")</f>
        <v>Media, Entertainment &amp; Publication</v>
      </c>
      <c r="L409" s="6" t="str">
        <f>IFERROR(__xludf.DUMMYFUNCTION("""COMPUTED_VALUE"""),"Entertainment")</f>
        <v>Entertainment</v>
      </c>
      <c r="M409" s="6" t="str">
        <f>IFERROR(__xludf.DUMMYFUNCTION("""COMPUTED_VALUE"""),"TV Broadcasting &amp; Software Production")</f>
        <v>TV Broadcasting &amp; Software Production</v>
      </c>
      <c r="N409" s="5">
        <f>IFERROR(__xludf.DUMMYFUNCTION("""COMPUTED_VALUE"""),14585.4505739)</f>
        <v>14585.45057</v>
      </c>
      <c r="O409" s="6">
        <f t="shared" si="4"/>
        <v>9</v>
      </c>
      <c r="P409" s="6">
        <f t="shared" ref="P409:Q409" si="820">COUNTIFS(L:L,L409)</f>
        <v>8</v>
      </c>
      <c r="Q409" s="24">
        <f t="shared" si="820"/>
        <v>3</v>
      </c>
      <c r="R409" s="6" t="str">
        <f t="shared" si="6"/>
        <v>Media, Entertainment &amp; Publication</v>
      </c>
      <c r="S409" s="6" t="str">
        <f t="shared" si="7"/>
        <v>Media, Entertainment &amp; Publication</v>
      </c>
      <c r="T409" s="6">
        <f>IFERROR(__xludf.DUMMYFUNCTION("COUNTA(UNIQUE(query($A$2:$P$800,""select L where K='""&amp; K409&amp;""'"")))"),2.0)</f>
        <v>2</v>
      </c>
      <c r="U409" s="23">
        <f t="shared" si="8"/>
        <v>0.3333333333</v>
      </c>
      <c r="V409" s="23">
        <f t="shared" ref="V409:W409" si="821">P409/O409</f>
        <v>0.8888888889</v>
      </c>
      <c r="W409" s="23">
        <f t="shared" si="821"/>
        <v>0.375</v>
      </c>
    </row>
    <row r="410">
      <c r="A410" s="6">
        <f>IFERROR(__xludf.DUMMYFUNCTION("""COMPUTED_VALUE"""),500405.0)</f>
        <v>500405</v>
      </c>
      <c r="B410" s="6" t="str">
        <f>IFERROR(__xludf.DUMMYFUNCTION("""COMPUTED_VALUE"""),"Supreme Petrochem Ltd.")</f>
        <v>Supreme Petrochem Ltd.</v>
      </c>
      <c r="C410" s="6" t="str">
        <f>IFERROR(__xludf.DUMMYFUNCTION("""COMPUTED_VALUE"""),"SPLPETRO")</f>
        <v>SPLPETRO</v>
      </c>
      <c r="D410" s="6" t="str">
        <f>IFERROR(__xludf.DUMMYFUNCTION("""COMPUTED_VALUE"""),"SUPREME PETROCHEM LTD.")</f>
        <v>SUPREME PETROCHEM LTD.</v>
      </c>
      <c r="E410" s="6" t="str">
        <f>IFERROR(__xludf.DUMMYFUNCTION("""COMPUTED_VALUE"""),"Active")</f>
        <v>Active</v>
      </c>
      <c r="F410" s="6" t="str">
        <f>IFERROR(__xludf.DUMMYFUNCTION("""COMPUTED_VALUE"""),"A")</f>
        <v>A</v>
      </c>
      <c r="G410" s="6">
        <f>IFERROR(__xludf.DUMMYFUNCTION("""COMPUTED_VALUE"""),2.0)</f>
        <v>2</v>
      </c>
      <c r="H410" s="6" t="str">
        <f>IFERROR(__xludf.DUMMYFUNCTION("""COMPUTED_VALUE"""),"INE663A01033")</f>
        <v>INE663A01033</v>
      </c>
      <c r="I410" s="6" t="str">
        <f>IFERROR(__xludf.DUMMYFUNCTION("""COMPUTED_VALUE"""),"Equity")</f>
        <v>Equity</v>
      </c>
      <c r="J410" s="6" t="str">
        <f>IFERROR(__xludf.DUMMYFUNCTION("""COMPUTED_VALUE"""),"Commodities")</f>
        <v>Commodities</v>
      </c>
      <c r="K410" s="6" t="str">
        <f>IFERROR(__xludf.DUMMYFUNCTION("""COMPUTED_VALUE"""),"Chemicals")</f>
        <v>Chemicals</v>
      </c>
      <c r="L410" s="6" t="str">
        <f>IFERROR(__xludf.DUMMYFUNCTION("""COMPUTED_VALUE"""),"Chemicals &amp; Petrochemicals")</f>
        <v>Chemicals &amp; Petrochemicals</v>
      </c>
      <c r="M410" s="6" t="str">
        <f>IFERROR(__xludf.DUMMYFUNCTION("""COMPUTED_VALUE"""),"Petrochemicals")</f>
        <v>Petrochemicals</v>
      </c>
      <c r="N410" s="5">
        <f>IFERROR(__xludf.DUMMYFUNCTION("""COMPUTED_VALUE"""),14581.9601804)</f>
        <v>14581.96018</v>
      </c>
      <c r="O410" s="6">
        <f t="shared" si="4"/>
        <v>52</v>
      </c>
      <c r="P410" s="6">
        <f t="shared" ref="P410:Q410" si="822">COUNTIFS(L:L,L410)</f>
        <v>37</v>
      </c>
      <c r="Q410" s="24">
        <f t="shared" si="822"/>
        <v>2</v>
      </c>
      <c r="R410" s="6" t="str">
        <f t="shared" si="6"/>
        <v>Chemicals</v>
      </c>
      <c r="S410" s="6" t="str">
        <f t="shared" si="7"/>
        <v>Chemicals</v>
      </c>
      <c r="T410" s="6">
        <f>IFERROR(__xludf.DUMMYFUNCTION("COUNTA(UNIQUE(query($A$2:$P$800,""select L where K='""&amp; K410&amp;""'"")))"),2.0)</f>
        <v>2</v>
      </c>
      <c r="U410" s="23">
        <f t="shared" si="8"/>
        <v>0.05769230769</v>
      </c>
      <c r="V410" s="23">
        <f t="shared" ref="V410:W410" si="823">P410/O410</f>
        <v>0.7115384615</v>
      </c>
      <c r="W410" s="23">
        <f t="shared" si="823"/>
        <v>0.05405405405</v>
      </c>
    </row>
    <row r="411">
      <c r="A411" s="6">
        <f>IFERROR(__xludf.DUMMYFUNCTION("""COMPUTED_VALUE"""),543945.0)</f>
        <v>543945</v>
      </c>
      <c r="B411" s="6" t="str">
        <f>IFERROR(__xludf.DUMMYFUNCTION("""COMPUTED_VALUE"""),"NETWEB TECHNOLOGIES INDIA LIMITED")</f>
        <v>NETWEB TECHNOLOGIES INDIA LIMITED</v>
      </c>
      <c r="C411" s="6" t="str">
        <f>IFERROR(__xludf.DUMMYFUNCTION("""COMPUTED_VALUE"""),"NETWEB")</f>
        <v>NETWEB</v>
      </c>
      <c r="D411" s="6" t="str">
        <f>IFERROR(__xludf.DUMMYFUNCTION("""COMPUTED_VALUE"""),"Netweb Technologies India Ltd")</f>
        <v>Netweb Technologies India Ltd</v>
      </c>
      <c r="E411" s="6" t="str">
        <f>IFERROR(__xludf.DUMMYFUNCTION("""COMPUTED_VALUE"""),"Active")</f>
        <v>Active</v>
      </c>
      <c r="F411" s="6" t="str">
        <f>IFERROR(__xludf.DUMMYFUNCTION("""COMPUTED_VALUE"""),"B")</f>
        <v>B</v>
      </c>
      <c r="G411" s="6">
        <f>IFERROR(__xludf.DUMMYFUNCTION("""COMPUTED_VALUE"""),2.0)</f>
        <v>2</v>
      </c>
      <c r="H411" s="6" t="str">
        <f>IFERROR(__xludf.DUMMYFUNCTION("""COMPUTED_VALUE"""),"INE0NT901020")</f>
        <v>INE0NT901020</v>
      </c>
      <c r="I411" s="6" t="str">
        <f>IFERROR(__xludf.DUMMYFUNCTION("""COMPUTED_VALUE"""),"Equity")</f>
        <v>Equity</v>
      </c>
      <c r="J411" s="6" t="str">
        <f>IFERROR(__xludf.DUMMYFUNCTION("""COMPUTED_VALUE"""),"Information Technology")</f>
        <v>Information Technology</v>
      </c>
      <c r="K411" s="6" t="str">
        <f>IFERROR(__xludf.DUMMYFUNCTION("""COMPUTED_VALUE"""),"Information Technology")</f>
        <v>Information Technology</v>
      </c>
      <c r="L411" s="6" t="str">
        <f>IFERROR(__xludf.DUMMYFUNCTION("""COMPUTED_VALUE"""),"IT - Hardware")</f>
        <v>IT - Hardware</v>
      </c>
      <c r="M411" s="6" t="str">
        <f>IFERROR(__xludf.DUMMYFUNCTION("""COMPUTED_VALUE"""),"Computers Hardware &amp; Equipments")</f>
        <v>Computers Hardware &amp; Equipments</v>
      </c>
      <c r="N411" s="5">
        <f>IFERROR(__xludf.DUMMYFUNCTION("""COMPUTED_VALUE"""),14570.5875342)</f>
        <v>14570.58753</v>
      </c>
      <c r="O411" s="6">
        <f t="shared" si="4"/>
        <v>36</v>
      </c>
      <c r="P411" s="6">
        <f t="shared" ref="P411:Q411" si="824">COUNTIFS(L:L,L411)</f>
        <v>1</v>
      </c>
      <c r="Q411" s="24">
        <f t="shared" si="824"/>
        <v>1</v>
      </c>
      <c r="R411" s="6" t="str">
        <f t="shared" si="6"/>
        <v>Information Technology</v>
      </c>
      <c r="S411" s="6" t="str">
        <f t="shared" si="7"/>
        <v>Information Technology</v>
      </c>
      <c r="T411" s="6">
        <f>IFERROR(__xludf.DUMMYFUNCTION("COUNTA(UNIQUE(query($A$2:$P$800,""select L where K='""&amp; K411&amp;""'"")))"),3.0)</f>
        <v>3</v>
      </c>
      <c r="U411" s="23">
        <f t="shared" si="8"/>
        <v>0.125</v>
      </c>
      <c r="V411" s="23">
        <f t="shared" ref="V411:W411" si="825">P411/O411</f>
        <v>0.02777777778</v>
      </c>
      <c r="W411" s="23">
        <f t="shared" si="825"/>
        <v>1</v>
      </c>
    </row>
    <row r="412">
      <c r="A412" s="6">
        <f>IFERROR(__xludf.DUMMYFUNCTION("""COMPUTED_VALUE"""),532734.0)</f>
        <v>532734</v>
      </c>
      <c r="B412" s="6" t="str">
        <f>IFERROR(__xludf.DUMMYFUNCTION("""COMPUTED_VALUE"""),"GODAWARI POWER AND ISPAT LTD.")</f>
        <v>GODAWARI POWER AND ISPAT LTD.</v>
      </c>
      <c r="C412" s="6" t="str">
        <f>IFERROR(__xludf.DUMMYFUNCTION("""COMPUTED_VALUE"""),"GPIL")</f>
        <v>GPIL</v>
      </c>
      <c r="D412" s="6" t="str">
        <f>IFERROR(__xludf.DUMMYFUNCTION("""COMPUTED_VALUE"""),"GODAWARI POWER &amp; ISPAT LTD.")</f>
        <v>GODAWARI POWER &amp; ISPAT LTD.</v>
      </c>
      <c r="E412" s="6" t="str">
        <f>IFERROR(__xludf.DUMMYFUNCTION("""COMPUTED_VALUE"""),"Active")</f>
        <v>Active</v>
      </c>
      <c r="F412" s="6" t="str">
        <f>IFERROR(__xludf.DUMMYFUNCTION("""COMPUTED_VALUE"""),"A")</f>
        <v>A</v>
      </c>
      <c r="G412" s="6">
        <f>IFERROR(__xludf.DUMMYFUNCTION("""COMPUTED_VALUE"""),5.0)</f>
        <v>5</v>
      </c>
      <c r="H412" s="6" t="str">
        <f>IFERROR(__xludf.DUMMYFUNCTION("""COMPUTED_VALUE"""),"INE177H01021")</f>
        <v>INE177H01021</v>
      </c>
      <c r="I412" s="6" t="str">
        <f>IFERROR(__xludf.DUMMYFUNCTION("""COMPUTED_VALUE"""),"Equity")</f>
        <v>Equity</v>
      </c>
      <c r="J412" s="6" t="str">
        <f>IFERROR(__xludf.DUMMYFUNCTION("""COMPUTED_VALUE"""),"Industrials")</f>
        <v>Industrials</v>
      </c>
      <c r="K412" s="6" t="str">
        <f>IFERROR(__xludf.DUMMYFUNCTION("""COMPUTED_VALUE"""),"Capital Goods")</f>
        <v>Capital Goods</v>
      </c>
      <c r="L412" s="6" t="str">
        <f>IFERROR(__xludf.DUMMYFUNCTION("""COMPUTED_VALUE"""),"Industrial Products")</f>
        <v>Industrial Products</v>
      </c>
      <c r="M412" s="6" t="str">
        <f>IFERROR(__xludf.DUMMYFUNCTION("""COMPUTED_VALUE"""),"Iron &amp; Steel Products")</f>
        <v>Iron &amp; Steel Products</v>
      </c>
      <c r="N412" s="5">
        <f>IFERROR(__xludf.DUMMYFUNCTION("""COMPUTED_VALUE"""),14561.39052)</f>
        <v>14561.39052</v>
      </c>
      <c r="O412" s="6">
        <f t="shared" si="4"/>
        <v>110</v>
      </c>
      <c r="P412" s="6">
        <f t="shared" ref="P412:Q412" si="826">COUNTIFS(L:L,L412)</f>
        <v>51</v>
      </c>
      <c r="Q412" s="24">
        <f t="shared" si="826"/>
        <v>13</v>
      </c>
      <c r="R412" s="6" t="str">
        <f t="shared" si="6"/>
        <v>Industrial Products</v>
      </c>
      <c r="S412" s="6" t="str">
        <f t="shared" si="7"/>
        <v>Industrial Products</v>
      </c>
      <c r="T412" s="6">
        <f>IFERROR(__xludf.DUMMYFUNCTION("COUNTA(UNIQUE(query($A$2:$P$800,""select L where K='""&amp; K412&amp;""'"")))"),5.0)</f>
        <v>5</v>
      </c>
      <c r="U412" s="23">
        <f t="shared" si="8"/>
        <v>0.06818181818</v>
      </c>
      <c r="V412" s="23">
        <f t="shared" ref="V412:W412" si="827">P412/O412</f>
        <v>0.4636363636</v>
      </c>
      <c r="W412" s="23">
        <f t="shared" si="827"/>
        <v>0.2549019608</v>
      </c>
    </row>
    <row r="413">
      <c r="A413" s="6">
        <f>IFERROR(__xludf.DUMMYFUNCTION("""COMPUTED_VALUE"""),500110.0)</f>
        <v>500110</v>
      </c>
      <c r="B413" s="6" t="str">
        <f>IFERROR(__xludf.DUMMYFUNCTION("""COMPUTED_VALUE"""),"Chennai Petroleum Corporation Ltd.")</f>
        <v>Chennai Petroleum Corporation Ltd.</v>
      </c>
      <c r="C413" s="6" t="str">
        <f>IFERROR(__xludf.DUMMYFUNCTION("""COMPUTED_VALUE"""),"CHENNPETRO")</f>
        <v>CHENNPETRO</v>
      </c>
      <c r="D413" s="6" t="str">
        <f>IFERROR(__xludf.DUMMYFUNCTION("""COMPUTED_VALUE"""),"CHENNAI PETROLEUM CORPORATION LTD.")</f>
        <v>CHENNAI PETROLEUM CORPORATION LTD.</v>
      </c>
      <c r="E413" s="6" t="str">
        <f>IFERROR(__xludf.DUMMYFUNCTION("""COMPUTED_VALUE"""),"Active")</f>
        <v>Active</v>
      </c>
      <c r="F413" s="6" t="str">
        <f>IFERROR(__xludf.DUMMYFUNCTION("""COMPUTED_VALUE"""),"A")</f>
        <v>A</v>
      </c>
      <c r="G413" s="6">
        <f>IFERROR(__xludf.DUMMYFUNCTION("""COMPUTED_VALUE"""),10.0)</f>
        <v>10</v>
      </c>
      <c r="H413" s="6" t="str">
        <f>IFERROR(__xludf.DUMMYFUNCTION("""COMPUTED_VALUE"""),"INE178A01016")</f>
        <v>INE178A01016</v>
      </c>
      <c r="I413" s="6" t="str">
        <f>IFERROR(__xludf.DUMMYFUNCTION("""COMPUTED_VALUE"""),"Equity")</f>
        <v>Equity</v>
      </c>
      <c r="J413" s="6" t="str">
        <f>IFERROR(__xludf.DUMMYFUNCTION("""COMPUTED_VALUE"""),"Energy")</f>
        <v>Energy</v>
      </c>
      <c r="K413" s="6" t="str">
        <f>IFERROR(__xludf.DUMMYFUNCTION("""COMPUTED_VALUE"""),"Oil, Gas &amp; Consumable, Fuels")</f>
        <v>Oil, Gas &amp; Consumable, Fuels</v>
      </c>
      <c r="L413" s="6" t="str">
        <f>IFERROR(__xludf.DUMMYFUNCTION("""COMPUTED_VALUE"""),"Petroleum Products")</f>
        <v>Petroleum Products</v>
      </c>
      <c r="M413" s="6" t="str">
        <f>IFERROR(__xludf.DUMMYFUNCTION("""COMPUTED_VALUE"""),"Refineries &amp; Marketing")</f>
        <v>Refineries &amp; Marketing</v>
      </c>
      <c r="N413" s="5">
        <f>IFERROR(__xludf.DUMMYFUNCTION("""COMPUTED_VALUE"""),14480.0784)</f>
        <v>14480.0784</v>
      </c>
      <c r="O413" s="6">
        <f t="shared" si="4"/>
        <v>20</v>
      </c>
      <c r="P413" s="6">
        <f t="shared" ref="P413:Q413" si="828">COUNTIFS(L:L,L413)</f>
        <v>8</v>
      </c>
      <c r="Q413" s="24">
        <f t="shared" si="828"/>
        <v>6</v>
      </c>
      <c r="R413" s="6" t="str">
        <f t="shared" si="6"/>
        <v>Oil, Gas &amp; Consumable, Fuels</v>
      </c>
      <c r="S413" s="6" t="str">
        <f t="shared" si="7"/>
        <v>Oil, Gas &amp; Consumable, Fuels</v>
      </c>
      <c r="T413" s="6">
        <f>IFERROR(__xludf.DUMMYFUNCTION("COUNTA(UNIQUE(query($A$2:$P$800,""select L where K='""&amp; K413&amp;""'"")))"),4.0)</f>
        <v>4</v>
      </c>
      <c r="U413" s="23">
        <f t="shared" si="8"/>
        <v>0.3</v>
      </c>
      <c r="V413" s="23">
        <f t="shared" ref="V413:W413" si="829">P413/O413</f>
        <v>0.4</v>
      </c>
      <c r="W413" s="23">
        <f t="shared" si="829"/>
        <v>0.75</v>
      </c>
    </row>
    <row r="414">
      <c r="A414" s="6">
        <f>IFERROR(__xludf.DUMMYFUNCTION("""COMPUTED_VALUE"""),517271.0)</f>
        <v>517271</v>
      </c>
      <c r="B414" s="6" t="str">
        <f>IFERROR(__xludf.DUMMYFUNCTION("""COMPUTED_VALUE"""),"HBL Power Systems Ltd.")</f>
        <v>HBL Power Systems Ltd.</v>
      </c>
      <c r="C414" s="6" t="str">
        <f>IFERROR(__xludf.DUMMYFUNCTION("""COMPUTED_VALUE"""),"HBLPOWER")</f>
        <v>HBLPOWER</v>
      </c>
      <c r="D414" s="6" t="str">
        <f>IFERROR(__xludf.DUMMYFUNCTION("""COMPUTED_VALUE"""),"HBL POWER SYSTEMS LTD.-$")</f>
        <v>HBL POWER SYSTEMS LTD.-$</v>
      </c>
      <c r="E414" s="6" t="str">
        <f>IFERROR(__xludf.DUMMYFUNCTION("""COMPUTED_VALUE"""),"Active")</f>
        <v>Active</v>
      </c>
      <c r="F414" s="6" t="str">
        <f>IFERROR(__xludf.DUMMYFUNCTION("""COMPUTED_VALUE"""),"A")</f>
        <v>A</v>
      </c>
      <c r="G414" s="6">
        <f>IFERROR(__xludf.DUMMYFUNCTION("""COMPUTED_VALUE"""),1.0)</f>
        <v>1</v>
      </c>
      <c r="H414" s="6" t="str">
        <f>IFERROR(__xludf.DUMMYFUNCTION("""COMPUTED_VALUE"""),"INE292B01021")</f>
        <v>INE292B01021</v>
      </c>
      <c r="I414" s="6" t="str">
        <f>IFERROR(__xludf.DUMMYFUNCTION("""COMPUTED_VALUE"""),"Equity")</f>
        <v>Equity</v>
      </c>
      <c r="J414" s="6" t="str">
        <f>IFERROR(__xludf.DUMMYFUNCTION("""COMPUTED_VALUE"""),"Consumer Discretionary")</f>
        <v>Consumer Discretionary</v>
      </c>
      <c r="K414" s="6" t="str">
        <f>IFERROR(__xludf.DUMMYFUNCTION("""COMPUTED_VALUE"""),"Automobile and Auto Components")</f>
        <v>Automobile and Auto Components</v>
      </c>
      <c r="L414" s="6" t="str">
        <f>IFERROR(__xludf.DUMMYFUNCTION("""COMPUTED_VALUE"""),"Auto Components")</f>
        <v>Auto Components</v>
      </c>
      <c r="M414" s="6" t="str">
        <f>IFERROR(__xludf.DUMMYFUNCTION("""COMPUTED_VALUE"""),"Auto Components &amp; Equipments")</f>
        <v>Auto Components &amp; Equipments</v>
      </c>
      <c r="N414" s="5">
        <f>IFERROR(__xludf.DUMMYFUNCTION("""COMPUTED_VALUE"""),14406.1707887)</f>
        <v>14406.17079</v>
      </c>
      <c r="O414" s="6">
        <f t="shared" si="4"/>
        <v>47</v>
      </c>
      <c r="P414" s="6">
        <f t="shared" ref="P414:Q414" si="830">COUNTIFS(L:L,L414)</f>
        <v>37</v>
      </c>
      <c r="Q414" s="24">
        <f t="shared" si="830"/>
        <v>32</v>
      </c>
      <c r="R414" s="6" t="str">
        <f t="shared" si="6"/>
        <v>Automobile and Auto Components</v>
      </c>
      <c r="S414" s="6" t="str">
        <f t="shared" si="7"/>
        <v>Automobile and Auto Components</v>
      </c>
      <c r="T414" s="6">
        <f>IFERROR(__xludf.DUMMYFUNCTION("COUNTA(UNIQUE(query($A$2:$P$800,""select L where K='""&amp; K414&amp;""'"")))"),2.0)</f>
        <v>2</v>
      </c>
      <c r="U414" s="23">
        <f t="shared" si="8"/>
        <v>0.06382978723</v>
      </c>
      <c r="V414" s="23">
        <f t="shared" ref="V414:W414" si="831">P414/O414</f>
        <v>0.7872340426</v>
      </c>
      <c r="W414" s="23">
        <f t="shared" si="831"/>
        <v>0.8648648649</v>
      </c>
    </row>
    <row r="415">
      <c r="A415" s="6">
        <f>IFERROR(__xludf.DUMMYFUNCTION("""COMPUTED_VALUE"""),532439.0)</f>
        <v>532439</v>
      </c>
      <c r="B415" s="6" t="str">
        <f>IFERROR(__xludf.DUMMYFUNCTION("""COMPUTED_VALUE"""),"OLECTRA GREENTECH LIMITED")</f>
        <v>OLECTRA GREENTECH LIMITED</v>
      </c>
      <c r="C415" s="6" t="str">
        <f>IFERROR(__xludf.DUMMYFUNCTION("""COMPUTED_VALUE"""),"OLECTRA")</f>
        <v>OLECTRA</v>
      </c>
      <c r="D415" s="6" t="str">
        <f>IFERROR(__xludf.DUMMYFUNCTION("""COMPUTED_VALUE"""),"Olectra Greentech Ltd")</f>
        <v>Olectra Greentech Ltd</v>
      </c>
      <c r="E415" s="6" t="str">
        <f>IFERROR(__xludf.DUMMYFUNCTION("""COMPUTED_VALUE"""),"Active")</f>
        <v>Active</v>
      </c>
      <c r="F415" s="6" t="str">
        <f>IFERROR(__xludf.DUMMYFUNCTION("""COMPUTED_VALUE"""),"A")</f>
        <v>A</v>
      </c>
      <c r="G415" s="6">
        <f>IFERROR(__xludf.DUMMYFUNCTION("""COMPUTED_VALUE"""),4.0)</f>
        <v>4</v>
      </c>
      <c r="H415" s="6" t="str">
        <f>IFERROR(__xludf.DUMMYFUNCTION("""COMPUTED_VALUE"""),"INE260D01016")</f>
        <v>INE260D01016</v>
      </c>
      <c r="I415" s="6" t="str">
        <f>IFERROR(__xludf.DUMMYFUNCTION("""COMPUTED_VALUE"""),"Equity")</f>
        <v>Equity</v>
      </c>
      <c r="J415" s="6" t="str">
        <f>IFERROR(__xludf.DUMMYFUNCTION("""COMPUTED_VALUE"""),"Consumer Discretionary")</f>
        <v>Consumer Discretionary</v>
      </c>
      <c r="K415" s="6" t="str">
        <f>IFERROR(__xludf.DUMMYFUNCTION("""COMPUTED_VALUE"""),"Automobile and Auto Components")</f>
        <v>Automobile and Auto Components</v>
      </c>
      <c r="L415" s="6" t="str">
        <f>IFERROR(__xludf.DUMMYFUNCTION("""COMPUTED_VALUE"""),"Automobiles")</f>
        <v>Automobiles</v>
      </c>
      <c r="M415" s="6" t="str">
        <f>IFERROR(__xludf.DUMMYFUNCTION("""COMPUTED_VALUE"""),"Passenger Cars &amp; Utility Vehicles")</f>
        <v>Passenger Cars &amp; Utility Vehicles</v>
      </c>
      <c r="N415" s="5">
        <f>IFERROR(__xludf.DUMMYFUNCTION("""COMPUTED_VALUE"""),14360.6370289)</f>
        <v>14360.63703</v>
      </c>
      <c r="O415" s="6">
        <f t="shared" si="4"/>
        <v>47</v>
      </c>
      <c r="P415" s="6">
        <f t="shared" ref="P415:Q415" si="832">COUNTIFS(L:L,L415)</f>
        <v>10</v>
      </c>
      <c r="Q415" s="24">
        <f t="shared" si="832"/>
        <v>6</v>
      </c>
      <c r="R415" s="6" t="str">
        <f t="shared" si="6"/>
        <v>Automobile and Auto Components</v>
      </c>
      <c r="S415" s="6" t="str">
        <f t="shared" si="7"/>
        <v>Automobile and Auto Components</v>
      </c>
      <c r="T415" s="6">
        <f>IFERROR(__xludf.DUMMYFUNCTION("COUNTA(UNIQUE(query($A$2:$P$800,""select L where K='""&amp; K415&amp;""'"")))"),2.0)</f>
        <v>2</v>
      </c>
      <c r="U415" s="23">
        <f t="shared" si="8"/>
        <v>0.06382978723</v>
      </c>
      <c r="V415" s="23">
        <f t="shared" ref="V415:W415" si="833">P415/O415</f>
        <v>0.2127659574</v>
      </c>
      <c r="W415" s="23">
        <f t="shared" si="833"/>
        <v>0.6</v>
      </c>
    </row>
    <row r="416">
      <c r="A416" s="6">
        <f>IFERROR(__xludf.DUMMYFUNCTION("""COMPUTED_VALUE"""),540073.0)</f>
        <v>540073</v>
      </c>
      <c r="B416" s="6" t="str">
        <f>IFERROR(__xludf.DUMMYFUNCTION("""COMPUTED_VALUE"""),"BLS International Services Ltd")</f>
        <v>BLS International Services Ltd</v>
      </c>
      <c r="C416" s="6" t="str">
        <f>IFERROR(__xludf.DUMMYFUNCTION("""COMPUTED_VALUE"""),"BLS")</f>
        <v>BLS</v>
      </c>
      <c r="D416" s="6" t="str">
        <f>IFERROR(__xludf.DUMMYFUNCTION("""COMPUTED_VALUE"""),"BLS International Services Ltd")</f>
        <v>BLS International Services Ltd</v>
      </c>
      <c r="E416" s="6" t="str">
        <f>IFERROR(__xludf.DUMMYFUNCTION("""COMPUTED_VALUE"""),"Active")</f>
        <v>Active</v>
      </c>
      <c r="F416" s="6" t="str">
        <f>IFERROR(__xludf.DUMMYFUNCTION("""COMPUTED_VALUE"""),"A")</f>
        <v>A</v>
      </c>
      <c r="G416" s="6">
        <f>IFERROR(__xludf.DUMMYFUNCTION("""COMPUTED_VALUE"""),1.0)</f>
        <v>1</v>
      </c>
      <c r="H416" s="6" t="str">
        <f>IFERROR(__xludf.DUMMYFUNCTION("""COMPUTED_VALUE"""),"INE153T01027")</f>
        <v>INE153T01027</v>
      </c>
      <c r="I416" s="6" t="str">
        <f>IFERROR(__xludf.DUMMYFUNCTION("""COMPUTED_VALUE"""),"Equity")</f>
        <v>Equity</v>
      </c>
      <c r="J416" s="6" t="str">
        <f>IFERROR(__xludf.DUMMYFUNCTION("""COMPUTED_VALUE"""),"Consumer Discretionary")</f>
        <v>Consumer Discretionary</v>
      </c>
      <c r="K416" s="6" t="str">
        <f>IFERROR(__xludf.DUMMYFUNCTION("""COMPUTED_VALUE"""),"Consumer Services")</f>
        <v>Consumer Services</v>
      </c>
      <c r="L416" s="6" t="str">
        <f>IFERROR(__xludf.DUMMYFUNCTION("""COMPUTED_VALUE"""),"Leisure Services")</f>
        <v>Leisure Services</v>
      </c>
      <c r="M416" s="6" t="str">
        <f>IFERROR(__xludf.DUMMYFUNCTION("""COMPUTED_VALUE"""),"Tour, Travel Related Services")</f>
        <v>Tour, Travel Related Services</v>
      </c>
      <c r="N416" s="5">
        <f>IFERROR(__xludf.DUMMYFUNCTION("""COMPUTED_VALUE"""),14270.4582298)</f>
        <v>14270.45823</v>
      </c>
      <c r="O416" s="6">
        <f t="shared" si="4"/>
        <v>37</v>
      </c>
      <c r="P416" s="6">
        <f t="shared" ref="P416:Q416" si="834">COUNTIFS(L:L,L416)</f>
        <v>18</v>
      </c>
      <c r="Q416" s="24">
        <f t="shared" si="834"/>
        <v>5</v>
      </c>
      <c r="R416" s="6" t="str">
        <f t="shared" si="6"/>
        <v>Leisure Services</v>
      </c>
      <c r="S416" s="6" t="str">
        <f t="shared" si="7"/>
        <v>Leisure Services</v>
      </c>
      <c r="T416" s="6">
        <f>IFERROR(__xludf.DUMMYFUNCTION("COUNTA(UNIQUE(query($A$2:$P$800,""select L where K='""&amp; K416&amp;""'"")))"),3.0)</f>
        <v>3</v>
      </c>
      <c r="U416" s="23">
        <f t="shared" si="8"/>
        <v>0.1216216216</v>
      </c>
      <c r="V416" s="23">
        <f t="shared" ref="V416:W416" si="835">P416/O416</f>
        <v>0.4864864865</v>
      </c>
      <c r="W416" s="23">
        <f t="shared" si="835"/>
        <v>0.2777777778</v>
      </c>
    </row>
    <row r="417">
      <c r="A417" s="6">
        <f>IFERROR(__xludf.DUMMYFUNCTION("""COMPUTED_VALUE"""),532178.0)</f>
        <v>532178</v>
      </c>
      <c r="B417" s="6" t="str">
        <f>IFERROR(__xludf.DUMMYFUNCTION("""COMPUTED_VALUE"""),"Engineers India Ltd.")</f>
        <v>Engineers India Ltd.</v>
      </c>
      <c r="C417" s="6" t="str">
        <f>IFERROR(__xludf.DUMMYFUNCTION("""COMPUTED_VALUE"""),"ENGINERSIN")</f>
        <v>ENGINERSIN</v>
      </c>
      <c r="D417" s="6" t="str">
        <f>IFERROR(__xludf.DUMMYFUNCTION("""COMPUTED_VALUE"""),"ENGINEERS INDIA LTD.")</f>
        <v>ENGINEERS INDIA LTD.</v>
      </c>
      <c r="E417" s="6" t="str">
        <f>IFERROR(__xludf.DUMMYFUNCTION("""COMPUTED_VALUE"""),"Active")</f>
        <v>Active</v>
      </c>
      <c r="F417" s="6" t="str">
        <f>IFERROR(__xludf.DUMMYFUNCTION("""COMPUTED_VALUE"""),"A")</f>
        <v>A</v>
      </c>
      <c r="G417" s="6">
        <f>IFERROR(__xludf.DUMMYFUNCTION("""COMPUTED_VALUE"""),5.0)</f>
        <v>5</v>
      </c>
      <c r="H417" s="6" t="str">
        <f>IFERROR(__xludf.DUMMYFUNCTION("""COMPUTED_VALUE"""),"INE510A01028")</f>
        <v>INE510A01028</v>
      </c>
      <c r="I417" s="6" t="str">
        <f>IFERROR(__xludf.DUMMYFUNCTION("""COMPUTED_VALUE"""),"Equity")</f>
        <v>Equity</v>
      </c>
      <c r="J417" s="6" t="str">
        <f>IFERROR(__xludf.DUMMYFUNCTION("""COMPUTED_VALUE"""),"Industrials")</f>
        <v>Industrials</v>
      </c>
      <c r="K417" s="6" t="str">
        <f>IFERROR(__xludf.DUMMYFUNCTION("""COMPUTED_VALUE"""),"Construction")</f>
        <v>Construction</v>
      </c>
      <c r="L417" s="6" t="str">
        <f>IFERROR(__xludf.DUMMYFUNCTION("""COMPUTED_VALUE"""),"Construction")</f>
        <v>Construction</v>
      </c>
      <c r="M417" s="6" t="str">
        <f>IFERROR(__xludf.DUMMYFUNCTION("""COMPUTED_VALUE"""),"Civil Construction")</f>
        <v>Civil Construction</v>
      </c>
      <c r="N417" s="5">
        <f>IFERROR(__xludf.DUMMYFUNCTION("""COMPUTED_VALUE"""),14246.8159601)</f>
        <v>14246.81596</v>
      </c>
      <c r="O417" s="6">
        <f t="shared" si="4"/>
        <v>27</v>
      </c>
      <c r="P417" s="6">
        <f t="shared" ref="P417:Q417" si="836">COUNTIFS(L:L,L417)</f>
        <v>27</v>
      </c>
      <c r="Q417" s="24">
        <f t="shared" si="836"/>
        <v>27</v>
      </c>
      <c r="R417" s="6" t="str">
        <f t="shared" si="6"/>
        <v>Construction</v>
      </c>
      <c r="S417" s="6" t="str">
        <f t="shared" si="7"/>
        <v>Construction</v>
      </c>
      <c r="T417" s="6">
        <f>IFERROR(__xludf.DUMMYFUNCTION("COUNTA(UNIQUE(query($A$2:$P$800,""select L where K='""&amp; K417&amp;""'"")))"),1.0)</f>
        <v>1</v>
      </c>
      <c r="U417" s="23">
        <f t="shared" si="8"/>
        <v>0.05555555556</v>
      </c>
      <c r="V417" s="23">
        <f t="shared" ref="V417:W417" si="837">P417/O417</f>
        <v>1</v>
      </c>
      <c r="W417" s="23">
        <f t="shared" si="837"/>
        <v>1</v>
      </c>
    </row>
    <row r="418">
      <c r="A418" s="6">
        <f>IFERROR(__xludf.DUMMYFUNCTION("""COMPUTED_VALUE"""),501425.0)</f>
        <v>501425</v>
      </c>
      <c r="B418" s="6" t="str">
        <f>IFERROR(__xludf.DUMMYFUNCTION("""COMPUTED_VALUE"""),"Bombay Burmah Trading Corpn. Ltd.")</f>
        <v>Bombay Burmah Trading Corpn. Ltd.</v>
      </c>
      <c r="C418" s="6" t="str">
        <f>IFERROR(__xludf.DUMMYFUNCTION("""COMPUTED_VALUE"""),"BBTC")</f>
        <v>BBTC</v>
      </c>
      <c r="D418" s="6" t="str">
        <f>IFERROR(__xludf.DUMMYFUNCTION("""COMPUTED_VALUE"""),"BOMBAY BURMAH TRADING CORP.LTD.")</f>
        <v>BOMBAY BURMAH TRADING CORP.LTD.</v>
      </c>
      <c r="E418" s="6" t="str">
        <f>IFERROR(__xludf.DUMMYFUNCTION("""COMPUTED_VALUE"""),"Active")</f>
        <v>Active</v>
      </c>
      <c r="F418" s="6" t="str">
        <f>IFERROR(__xludf.DUMMYFUNCTION("""COMPUTED_VALUE"""),"A")</f>
        <v>A</v>
      </c>
      <c r="G418" s="6">
        <f>IFERROR(__xludf.DUMMYFUNCTION("""COMPUTED_VALUE"""),2.0)</f>
        <v>2</v>
      </c>
      <c r="H418" s="6" t="str">
        <f>IFERROR(__xludf.DUMMYFUNCTION("""COMPUTED_VALUE"""),"INE050A01025")</f>
        <v>INE050A01025</v>
      </c>
      <c r="I418" s="6" t="str">
        <f>IFERROR(__xludf.DUMMYFUNCTION("""COMPUTED_VALUE"""),"Equity")</f>
        <v>Equity</v>
      </c>
      <c r="J418" s="6" t="str">
        <f>IFERROR(__xludf.DUMMYFUNCTION("""COMPUTED_VALUE"""),"Fast Moving Consumer Goods")</f>
        <v>Fast Moving Consumer Goods</v>
      </c>
      <c r="K418" s="6" t="str">
        <f>IFERROR(__xludf.DUMMYFUNCTION("""COMPUTED_VALUE"""),"Fast Moving Consumer Goods")</f>
        <v>Fast Moving Consumer Goods</v>
      </c>
      <c r="L418" s="6" t="str">
        <f>IFERROR(__xludf.DUMMYFUNCTION("""COMPUTED_VALUE"""),"Food Products")</f>
        <v>Food Products</v>
      </c>
      <c r="M418" s="6" t="str">
        <f>IFERROR(__xludf.DUMMYFUNCTION("""COMPUTED_VALUE"""),"Packaged Foods")</f>
        <v>Packaged Foods</v>
      </c>
      <c r="N418" s="5">
        <f>IFERROR(__xludf.DUMMYFUNCTION("""COMPUTED_VALUE"""),14196.4056112)</f>
        <v>14196.40561</v>
      </c>
      <c r="O418" s="6">
        <f t="shared" si="4"/>
        <v>44</v>
      </c>
      <c r="P418" s="6">
        <f t="shared" ref="P418:Q418" si="838">COUNTIFS(L:L,L418)</f>
        <v>11</v>
      </c>
      <c r="Q418" s="24">
        <f t="shared" si="838"/>
        <v>6</v>
      </c>
      <c r="R418" s="6" t="str">
        <f t="shared" si="6"/>
        <v>Fast Moving Consumer Goods</v>
      </c>
      <c r="S418" s="6" t="str">
        <f t="shared" si="7"/>
        <v>Fast Moving Consumer Goods</v>
      </c>
      <c r="T418" s="6">
        <f>IFERROR(__xludf.DUMMYFUNCTION("COUNTA(UNIQUE(query($A$2:$P$800,""select L where K='""&amp; K418&amp;""'"")))"),7.0)</f>
        <v>7</v>
      </c>
      <c r="U418" s="23">
        <f t="shared" si="8"/>
        <v>0.2386363636</v>
      </c>
      <c r="V418" s="23">
        <f t="shared" ref="V418:W418" si="839">P418/O418</f>
        <v>0.25</v>
      </c>
      <c r="W418" s="23">
        <f t="shared" si="839"/>
        <v>0.5454545455</v>
      </c>
    </row>
    <row r="419">
      <c r="A419" s="6">
        <f>IFERROR(__xludf.DUMMYFUNCTION("""COMPUTED_VALUE"""),500210.0)</f>
        <v>500210</v>
      </c>
      <c r="B419" s="6" t="str">
        <f>IFERROR(__xludf.DUMMYFUNCTION("""COMPUTED_VALUE"""),"Ingersoll-Rand (India) Ltd.")</f>
        <v>Ingersoll-Rand (India) Ltd.</v>
      </c>
      <c r="C419" s="6" t="str">
        <f>IFERROR(__xludf.DUMMYFUNCTION("""COMPUTED_VALUE"""),"INGERRAND")</f>
        <v>INGERRAND</v>
      </c>
      <c r="D419" s="6" t="str">
        <f>IFERROR(__xludf.DUMMYFUNCTION("""COMPUTED_VALUE"""),"INGERSOLL-RAND (INDIA) LTD.")</f>
        <v>INGERSOLL-RAND (INDIA) LTD.</v>
      </c>
      <c r="E419" s="6" t="str">
        <f>IFERROR(__xludf.DUMMYFUNCTION("""COMPUTED_VALUE"""),"Active")</f>
        <v>Active</v>
      </c>
      <c r="F419" s="6" t="str">
        <f>IFERROR(__xludf.DUMMYFUNCTION("""COMPUTED_VALUE"""),"A")</f>
        <v>A</v>
      </c>
      <c r="G419" s="6">
        <f>IFERROR(__xludf.DUMMYFUNCTION("""COMPUTED_VALUE"""),10.0)</f>
        <v>10</v>
      </c>
      <c r="H419" s="6" t="str">
        <f>IFERROR(__xludf.DUMMYFUNCTION("""COMPUTED_VALUE"""),"INE177A01018")</f>
        <v>INE177A01018</v>
      </c>
      <c r="I419" s="6" t="str">
        <f>IFERROR(__xludf.DUMMYFUNCTION("""COMPUTED_VALUE"""),"Equity")</f>
        <v>Equity</v>
      </c>
      <c r="J419" s="6" t="str">
        <f>IFERROR(__xludf.DUMMYFUNCTION("""COMPUTED_VALUE"""),"Industrials")</f>
        <v>Industrials</v>
      </c>
      <c r="K419" s="6" t="str">
        <f>IFERROR(__xludf.DUMMYFUNCTION("""COMPUTED_VALUE"""),"Capital Goods")</f>
        <v>Capital Goods</v>
      </c>
      <c r="L419" s="6" t="str">
        <f>IFERROR(__xludf.DUMMYFUNCTION("""COMPUTED_VALUE"""),"Industrial Products")</f>
        <v>Industrial Products</v>
      </c>
      <c r="M419" s="6" t="str">
        <f>IFERROR(__xludf.DUMMYFUNCTION("""COMPUTED_VALUE"""),"Compressors, Pumps &amp; Diesel Engines")</f>
        <v>Compressors, Pumps &amp; Diesel Engines</v>
      </c>
      <c r="N419" s="5">
        <f>IFERROR(__xludf.DUMMYFUNCTION("""COMPUTED_VALUE"""),14152.3720259)</f>
        <v>14152.37203</v>
      </c>
      <c r="O419" s="6">
        <f t="shared" si="4"/>
        <v>110</v>
      </c>
      <c r="P419" s="6">
        <f t="shared" ref="P419:Q419" si="840">COUNTIFS(L:L,L419)</f>
        <v>51</v>
      </c>
      <c r="Q419" s="24">
        <f t="shared" si="840"/>
        <v>7</v>
      </c>
      <c r="R419" s="6" t="str">
        <f t="shared" si="6"/>
        <v>Industrial Products</v>
      </c>
      <c r="S419" s="6" t="str">
        <f t="shared" si="7"/>
        <v>Industrial Products</v>
      </c>
      <c r="T419" s="6">
        <f>IFERROR(__xludf.DUMMYFUNCTION("COUNTA(UNIQUE(query($A$2:$P$800,""select L where K='""&amp; K419&amp;""'"")))"),5.0)</f>
        <v>5</v>
      </c>
      <c r="U419" s="23">
        <f t="shared" si="8"/>
        <v>0.06818181818</v>
      </c>
      <c r="V419" s="23">
        <f t="shared" ref="V419:W419" si="841">P419/O419</f>
        <v>0.4636363636</v>
      </c>
      <c r="W419" s="23">
        <f t="shared" si="841"/>
        <v>0.137254902</v>
      </c>
    </row>
    <row r="420">
      <c r="A420" s="6">
        <f>IFERROR(__xludf.DUMMYFUNCTION("""COMPUTED_VALUE"""),532689.0)</f>
        <v>532689</v>
      </c>
      <c r="B420" s="6" t="str">
        <f>IFERROR(__xludf.DUMMYFUNCTION("""COMPUTED_VALUE"""),"PVR INOX LIMITED")</f>
        <v>PVR INOX LIMITED</v>
      </c>
      <c r="C420" s="6" t="str">
        <f>IFERROR(__xludf.DUMMYFUNCTION("""COMPUTED_VALUE"""),"PVRINOX")</f>
        <v>PVRINOX</v>
      </c>
      <c r="D420" s="6" t="str">
        <f>IFERROR(__xludf.DUMMYFUNCTION("""COMPUTED_VALUE"""),"PVR Inox Ltd")</f>
        <v>PVR Inox Ltd</v>
      </c>
      <c r="E420" s="6" t="str">
        <f>IFERROR(__xludf.DUMMYFUNCTION("""COMPUTED_VALUE"""),"Active")</f>
        <v>Active</v>
      </c>
      <c r="F420" s="6" t="str">
        <f>IFERROR(__xludf.DUMMYFUNCTION("""COMPUTED_VALUE"""),"A")</f>
        <v>A</v>
      </c>
      <c r="G420" s="6">
        <f>IFERROR(__xludf.DUMMYFUNCTION("""COMPUTED_VALUE"""),10.0)</f>
        <v>10</v>
      </c>
      <c r="H420" s="6" t="str">
        <f>IFERROR(__xludf.DUMMYFUNCTION("""COMPUTED_VALUE"""),"INE191H01014")</f>
        <v>INE191H01014</v>
      </c>
      <c r="I420" s="6" t="str">
        <f>IFERROR(__xludf.DUMMYFUNCTION("""COMPUTED_VALUE"""),"Equity")</f>
        <v>Equity</v>
      </c>
      <c r="J420" s="6" t="str">
        <f>IFERROR(__xludf.DUMMYFUNCTION("""COMPUTED_VALUE"""),"Consumer Discretionary")</f>
        <v>Consumer Discretionary</v>
      </c>
      <c r="K420" s="6" t="str">
        <f>IFERROR(__xludf.DUMMYFUNCTION("""COMPUTED_VALUE"""),"Media, Entertainment &amp; Publication")</f>
        <v>Media, Entertainment &amp; Publication</v>
      </c>
      <c r="L420" s="6" t="str">
        <f>IFERROR(__xludf.DUMMYFUNCTION("""COMPUTED_VALUE"""),"Entertainment")</f>
        <v>Entertainment</v>
      </c>
      <c r="M420" s="6" t="str">
        <f>IFERROR(__xludf.DUMMYFUNCTION("""COMPUTED_VALUE"""),"Film Production, Distribution &amp; Exhibition")</f>
        <v>Film Production, Distribution &amp; Exhibition</v>
      </c>
      <c r="N420" s="5">
        <f>IFERROR(__xludf.DUMMYFUNCTION("""COMPUTED_VALUE"""),14007.22)</f>
        <v>14007.22</v>
      </c>
      <c r="O420" s="6">
        <f t="shared" si="4"/>
        <v>9</v>
      </c>
      <c r="P420" s="6">
        <f t="shared" ref="P420:Q420" si="842">COUNTIFS(L:L,L420)</f>
        <v>8</v>
      </c>
      <c r="Q420" s="24">
        <f t="shared" si="842"/>
        <v>1</v>
      </c>
      <c r="R420" s="6" t="str">
        <f t="shared" si="6"/>
        <v>Media, Entertainment &amp; Publication</v>
      </c>
      <c r="S420" s="6" t="str">
        <f t="shared" si="7"/>
        <v>Media, Entertainment &amp; Publication</v>
      </c>
      <c r="T420" s="6">
        <f>IFERROR(__xludf.DUMMYFUNCTION("COUNTA(UNIQUE(query($A$2:$P$800,""select L where K='""&amp; K420&amp;""'"")))"),2.0)</f>
        <v>2</v>
      </c>
      <c r="U420" s="23">
        <f t="shared" si="8"/>
        <v>0.3333333333</v>
      </c>
      <c r="V420" s="23">
        <f t="shared" ref="V420:W420" si="843">P420/O420</f>
        <v>0.8888888889</v>
      </c>
      <c r="W420" s="23">
        <f t="shared" si="843"/>
        <v>0.125</v>
      </c>
    </row>
    <row r="421">
      <c r="A421" s="6">
        <f>IFERROR(__xludf.DUMMYFUNCTION("""COMPUTED_VALUE"""),540596.0)</f>
        <v>540596</v>
      </c>
      <c r="B421" s="6" t="str">
        <f>IFERROR(__xludf.DUMMYFUNCTION("""COMPUTED_VALUE"""),"Eris Lifesciences Limited")</f>
        <v>Eris Lifesciences Limited</v>
      </c>
      <c r="C421" s="6" t="str">
        <f>IFERROR(__xludf.DUMMYFUNCTION("""COMPUTED_VALUE"""),"ERIS")</f>
        <v>ERIS</v>
      </c>
      <c r="D421" s="6" t="str">
        <f>IFERROR(__xludf.DUMMYFUNCTION("""COMPUTED_VALUE"""),"Eris Lifesciences Ltd")</f>
        <v>Eris Lifesciences Ltd</v>
      </c>
      <c r="E421" s="6" t="str">
        <f>IFERROR(__xludf.DUMMYFUNCTION("""COMPUTED_VALUE"""),"Active")</f>
        <v>Active</v>
      </c>
      <c r="F421" s="6" t="str">
        <f>IFERROR(__xludf.DUMMYFUNCTION("""COMPUTED_VALUE"""),"A")</f>
        <v>A</v>
      </c>
      <c r="G421" s="6">
        <f>IFERROR(__xludf.DUMMYFUNCTION("""COMPUTED_VALUE"""),1.0)</f>
        <v>1</v>
      </c>
      <c r="H421" s="6" t="str">
        <f>IFERROR(__xludf.DUMMYFUNCTION("""COMPUTED_VALUE"""),"INE406M01024")</f>
        <v>INE406M01024</v>
      </c>
      <c r="I421" s="6" t="str">
        <f>IFERROR(__xludf.DUMMYFUNCTION("""COMPUTED_VALUE"""),"Equity")</f>
        <v>Equity</v>
      </c>
      <c r="J421" s="6" t="str">
        <f>IFERROR(__xludf.DUMMYFUNCTION("""COMPUTED_VALUE"""),"Healthcare")</f>
        <v>Healthcare</v>
      </c>
      <c r="K421" s="6" t="str">
        <f>IFERROR(__xludf.DUMMYFUNCTION("""COMPUTED_VALUE"""),"Healthcare")</f>
        <v>Healthcare</v>
      </c>
      <c r="L421" s="6" t="str">
        <f>IFERROR(__xludf.DUMMYFUNCTION("""COMPUTED_VALUE"""),"Pharmaceuticals &amp; Biotechnology")</f>
        <v>Pharmaceuticals &amp; Biotechnology</v>
      </c>
      <c r="M421" s="6" t="str">
        <f>IFERROR(__xludf.DUMMYFUNCTION("""COMPUTED_VALUE"""),"Pharmaceuticals")</f>
        <v>Pharmaceuticals</v>
      </c>
      <c r="N421" s="5">
        <f>IFERROR(__xludf.DUMMYFUNCTION("""COMPUTED_VALUE"""),13946.4883482)</f>
        <v>13946.48835</v>
      </c>
      <c r="O421" s="6">
        <f t="shared" si="4"/>
        <v>62</v>
      </c>
      <c r="P421" s="6">
        <f t="shared" ref="P421:Q421" si="844">COUNTIFS(L:L,L421)</f>
        <v>45</v>
      </c>
      <c r="Q421" s="24">
        <f t="shared" si="844"/>
        <v>45</v>
      </c>
      <c r="R421" s="6" t="str">
        <f t="shared" si="6"/>
        <v>Healthcare</v>
      </c>
      <c r="S421" s="6" t="str">
        <f t="shared" si="7"/>
        <v>Healthcare</v>
      </c>
      <c r="T421" s="6">
        <f>IFERROR(__xludf.DUMMYFUNCTION("COUNTA(UNIQUE(query($A$2:$P$800,""select L where K='""&amp; K421&amp;""'"")))"),3.0)</f>
        <v>3</v>
      </c>
      <c r="U421" s="23">
        <f t="shared" si="8"/>
        <v>0.07258064516</v>
      </c>
      <c r="V421" s="23">
        <f t="shared" ref="V421:W421" si="845">P421/O421</f>
        <v>0.7258064516</v>
      </c>
      <c r="W421" s="23">
        <f t="shared" si="845"/>
        <v>1</v>
      </c>
    </row>
    <row r="422">
      <c r="A422" s="6">
        <f>IFERROR(__xludf.DUMMYFUNCTION("""COMPUTED_VALUE"""),540743.0)</f>
        <v>540743</v>
      </c>
      <c r="B422" s="6" t="str">
        <f>IFERROR(__xludf.DUMMYFUNCTION("""COMPUTED_VALUE"""),"Godrej Agrovet Limited")</f>
        <v>Godrej Agrovet Limited</v>
      </c>
      <c r="C422" s="6" t="str">
        <f>IFERROR(__xludf.DUMMYFUNCTION("""COMPUTED_VALUE"""),"GODREJAGRO")</f>
        <v>GODREJAGRO</v>
      </c>
      <c r="D422" s="6" t="str">
        <f>IFERROR(__xludf.DUMMYFUNCTION("""COMPUTED_VALUE"""),"Godrej Agrovet Ltd")</f>
        <v>Godrej Agrovet Ltd</v>
      </c>
      <c r="E422" s="6" t="str">
        <f>IFERROR(__xludf.DUMMYFUNCTION("""COMPUTED_VALUE"""),"Active")</f>
        <v>Active</v>
      </c>
      <c r="F422" s="6" t="str">
        <f>IFERROR(__xludf.DUMMYFUNCTION("""COMPUTED_VALUE"""),"A")</f>
        <v>A</v>
      </c>
      <c r="G422" s="6">
        <f>IFERROR(__xludf.DUMMYFUNCTION("""COMPUTED_VALUE"""),10.0)</f>
        <v>10</v>
      </c>
      <c r="H422" s="6" t="str">
        <f>IFERROR(__xludf.DUMMYFUNCTION("""COMPUTED_VALUE"""),"INE850D01014")</f>
        <v>INE850D01014</v>
      </c>
      <c r="I422" s="6" t="str">
        <f>IFERROR(__xludf.DUMMYFUNCTION("""COMPUTED_VALUE"""),"Equity")</f>
        <v>Equity</v>
      </c>
      <c r="J422" s="6" t="str">
        <f>IFERROR(__xludf.DUMMYFUNCTION("""COMPUTED_VALUE"""),"Fast Moving Consumer Goods")</f>
        <v>Fast Moving Consumer Goods</v>
      </c>
      <c r="K422" s="6" t="str">
        <f>IFERROR(__xludf.DUMMYFUNCTION("""COMPUTED_VALUE"""),"Fast Moving Consumer Goods")</f>
        <v>Fast Moving Consumer Goods</v>
      </c>
      <c r="L422" s="6" t="str">
        <f>IFERROR(__xludf.DUMMYFUNCTION("""COMPUTED_VALUE"""),"Food Products")</f>
        <v>Food Products</v>
      </c>
      <c r="M422" s="6" t="str">
        <f>IFERROR(__xludf.DUMMYFUNCTION("""COMPUTED_VALUE"""),"Animal Feed")</f>
        <v>Animal Feed</v>
      </c>
      <c r="N422" s="5">
        <f>IFERROR(__xludf.DUMMYFUNCTION("""COMPUTED_VALUE"""),13924.1437497)</f>
        <v>13924.14375</v>
      </c>
      <c r="O422" s="6">
        <f t="shared" si="4"/>
        <v>44</v>
      </c>
      <c r="P422" s="6">
        <f t="shared" ref="P422:Q422" si="846">COUNTIFS(L:L,L422)</f>
        <v>11</v>
      </c>
      <c r="Q422" s="24">
        <f t="shared" si="846"/>
        <v>2</v>
      </c>
      <c r="R422" s="6" t="str">
        <f t="shared" si="6"/>
        <v>Fast Moving Consumer Goods</v>
      </c>
      <c r="S422" s="6" t="str">
        <f t="shared" si="7"/>
        <v>Fast Moving Consumer Goods</v>
      </c>
      <c r="T422" s="6">
        <f>IFERROR(__xludf.DUMMYFUNCTION("COUNTA(UNIQUE(query($A$2:$P$800,""select L where K='""&amp; K422&amp;""'"")))"),7.0)</f>
        <v>7</v>
      </c>
      <c r="U422" s="23">
        <f t="shared" si="8"/>
        <v>0.2386363636</v>
      </c>
      <c r="V422" s="23">
        <f t="shared" ref="V422:W422" si="847">P422/O422</f>
        <v>0.25</v>
      </c>
      <c r="W422" s="23">
        <f t="shared" si="847"/>
        <v>0.1818181818</v>
      </c>
    </row>
    <row r="423">
      <c r="A423" s="6">
        <f>IFERROR(__xludf.DUMMYFUNCTION("""COMPUTED_VALUE"""),544014.0)</f>
        <v>544014</v>
      </c>
      <c r="B423" s="6" t="str">
        <f>IFERROR(__xludf.DUMMYFUNCTION("""COMPUTED_VALUE"""),"Honasa Consumer Limited")</f>
        <v>Honasa Consumer Limited</v>
      </c>
      <c r="C423" s="6" t="str">
        <f>IFERROR(__xludf.DUMMYFUNCTION("""COMPUTED_VALUE"""),"HONASA")</f>
        <v>HONASA</v>
      </c>
      <c r="D423" s="6" t="str">
        <f>IFERROR(__xludf.DUMMYFUNCTION("""COMPUTED_VALUE"""),"Honasa Consumer Ltd")</f>
        <v>Honasa Consumer Ltd</v>
      </c>
      <c r="E423" s="6" t="str">
        <f>IFERROR(__xludf.DUMMYFUNCTION("""COMPUTED_VALUE"""),"Active")</f>
        <v>Active</v>
      </c>
      <c r="F423" s="6" t="str">
        <f>IFERROR(__xludf.DUMMYFUNCTION("""COMPUTED_VALUE"""),"B")</f>
        <v>B</v>
      </c>
      <c r="G423" s="6">
        <f>IFERROR(__xludf.DUMMYFUNCTION("""COMPUTED_VALUE"""),10.0)</f>
        <v>10</v>
      </c>
      <c r="H423" s="6" t="str">
        <f>IFERROR(__xludf.DUMMYFUNCTION("""COMPUTED_VALUE"""),"INE0J5401028")</f>
        <v>INE0J5401028</v>
      </c>
      <c r="I423" s="6" t="str">
        <f>IFERROR(__xludf.DUMMYFUNCTION("""COMPUTED_VALUE"""),"Equity")</f>
        <v>Equity</v>
      </c>
      <c r="J423" s="6" t="str">
        <f>IFERROR(__xludf.DUMMYFUNCTION("""COMPUTED_VALUE"""),"Fast Moving Consumer Goods")</f>
        <v>Fast Moving Consumer Goods</v>
      </c>
      <c r="K423" s="6" t="str">
        <f>IFERROR(__xludf.DUMMYFUNCTION("""COMPUTED_VALUE"""),"Fast Moving Consumer Goods")</f>
        <v>Fast Moving Consumer Goods</v>
      </c>
      <c r="L423" s="6" t="str">
        <f>IFERROR(__xludf.DUMMYFUNCTION("""COMPUTED_VALUE"""),"Personal Products")</f>
        <v>Personal Products</v>
      </c>
      <c r="M423" s="6" t="str">
        <f>IFERROR(__xludf.DUMMYFUNCTION("""COMPUTED_VALUE"""),"Personal Care")</f>
        <v>Personal Care</v>
      </c>
      <c r="N423" s="5">
        <f>IFERROR(__xludf.DUMMYFUNCTION("""COMPUTED_VALUE"""),13885.39674)</f>
        <v>13885.39674</v>
      </c>
      <c r="O423" s="6">
        <f t="shared" si="4"/>
        <v>44</v>
      </c>
      <c r="P423" s="6">
        <f t="shared" ref="P423:Q423" si="848">COUNTIFS(L:L,L423)</f>
        <v>7</v>
      </c>
      <c r="Q423" s="24">
        <f t="shared" si="848"/>
        <v>7</v>
      </c>
      <c r="R423" s="6" t="str">
        <f t="shared" si="6"/>
        <v>Fast Moving Consumer Goods</v>
      </c>
      <c r="S423" s="6" t="str">
        <f t="shared" si="7"/>
        <v>Fast Moving Consumer Goods</v>
      </c>
      <c r="T423" s="6">
        <f>IFERROR(__xludf.DUMMYFUNCTION("COUNTA(UNIQUE(query($A$2:$P$800,""select L where K='""&amp; K423&amp;""'"")))"),7.0)</f>
        <v>7</v>
      </c>
      <c r="U423" s="23">
        <f t="shared" si="8"/>
        <v>0.2386363636</v>
      </c>
      <c r="V423" s="23">
        <f t="shared" ref="V423:W423" si="849">P423/O423</f>
        <v>0.1590909091</v>
      </c>
      <c r="W423" s="23">
        <f t="shared" si="849"/>
        <v>1</v>
      </c>
    </row>
    <row r="424">
      <c r="A424" s="6">
        <f>IFERROR(__xludf.DUMMYFUNCTION("""COMPUTED_VALUE"""),502986.0)</f>
        <v>502986</v>
      </c>
      <c r="B424" s="6" t="str">
        <f>IFERROR(__xludf.DUMMYFUNCTION("""COMPUTED_VALUE"""),"Vardhman Textiles Limted")</f>
        <v>Vardhman Textiles Limted</v>
      </c>
      <c r="C424" s="6" t="str">
        <f>IFERROR(__xludf.DUMMYFUNCTION("""COMPUTED_VALUE"""),"VTL")</f>
        <v>VTL</v>
      </c>
      <c r="D424" s="6" t="str">
        <f>IFERROR(__xludf.DUMMYFUNCTION("""COMPUTED_VALUE"""),"VARDHMAN TEXTILES LTD.")</f>
        <v>VARDHMAN TEXTILES LTD.</v>
      </c>
      <c r="E424" s="6" t="str">
        <f>IFERROR(__xludf.DUMMYFUNCTION("""COMPUTED_VALUE"""),"Active")</f>
        <v>Active</v>
      </c>
      <c r="F424" s="6" t="str">
        <f>IFERROR(__xludf.DUMMYFUNCTION("""COMPUTED_VALUE"""),"A")</f>
        <v>A</v>
      </c>
      <c r="G424" s="6">
        <f>IFERROR(__xludf.DUMMYFUNCTION("""COMPUTED_VALUE"""),2.0)</f>
        <v>2</v>
      </c>
      <c r="H424" s="6" t="str">
        <f>IFERROR(__xludf.DUMMYFUNCTION("""COMPUTED_VALUE"""),"INE825A01020")</f>
        <v>INE825A01020</v>
      </c>
      <c r="I424" s="6" t="str">
        <f>IFERROR(__xludf.DUMMYFUNCTION("""COMPUTED_VALUE"""),"Equity")</f>
        <v>Equity</v>
      </c>
      <c r="J424" s="6" t="str">
        <f>IFERROR(__xludf.DUMMYFUNCTION("""COMPUTED_VALUE"""),"Consumer Discretionary")</f>
        <v>Consumer Discretionary</v>
      </c>
      <c r="K424" s="6" t="str">
        <f>IFERROR(__xludf.DUMMYFUNCTION("""COMPUTED_VALUE"""),"Textiles")</f>
        <v>Textiles</v>
      </c>
      <c r="L424" s="6" t="str">
        <f>IFERROR(__xludf.DUMMYFUNCTION("""COMPUTED_VALUE"""),"Textiles &amp; Apparels")</f>
        <v>Textiles &amp; Apparels</v>
      </c>
      <c r="M424" s="6" t="str">
        <f>IFERROR(__xludf.DUMMYFUNCTION("""COMPUTED_VALUE"""),"Other Textile Products")</f>
        <v>Other Textile Products</v>
      </c>
      <c r="N424" s="5">
        <f>IFERROR(__xludf.DUMMYFUNCTION("""COMPUTED_VALUE"""),13770.3571357)</f>
        <v>13770.35714</v>
      </c>
      <c r="O424" s="6">
        <f t="shared" si="4"/>
        <v>13</v>
      </c>
      <c r="P424" s="6">
        <f t="shared" ref="P424:Q424" si="850">COUNTIFS(L:L,L424)</f>
        <v>13</v>
      </c>
      <c r="Q424" s="24">
        <f t="shared" si="850"/>
        <v>8</v>
      </c>
      <c r="R424" s="6" t="str">
        <f t="shared" si="6"/>
        <v>Textiles</v>
      </c>
      <c r="S424" s="6" t="str">
        <f t="shared" si="7"/>
        <v>Textiles</v>
      </c>
      <c r="T424" s="6">
        <f>IFERROR(__xludf.DUMMYFUNCTION("COUNTA(UNIQUE(query($A$2:$P$800,""select L where K='""&amp; K424&amp;""'"")))"),1.0)</f>
        <v>1</v>
      </c>
      <c r="U424" s="23">
        <f t="shared" si="8"/>
        <v>0.1153846154</v>
      </c>
      <c r="V424" s="23">
        <f t="shared" ref="V424:W424" si="851">P424/O424</f>
        <v>1</v>
      </c>
      <c r="W424" s="23">
        <f t="shared" si="851"/>
        <v>0.6153846154</v>
      </c>
    </row>
    <row r="425">
      <c r="A425" s="6">
        <f>IFERROR(__xludf.DUMMYFUNCTION("""COMPUTED_VALUE"""),521070.0)</f>
        <v>521070</v>
      </c>
      <c r="B425" s="6" t="str">
        <f>IFERROR(__xludf.DUMMYFUNCTION("""COMPUTED_VALUE"""),"Alok Industries Ltd.")</f>
        <v>Alok Industries Ltd.</v>
      </c>
      <c r="C425" s="6" t="str">
        <f>IFERROR(__xludf.DUMMYFUNCTION("""COMPUTED_VALUE"""),"ALOKINDS")</f>
        <v>ALOKINDS</v>
      </c>
      <c r="D425" s="6" t="str">
        <f>IFERROR(__xludf.DUMMYFUNCTION("""COMPUTED_VALUE"""),"ALOK INDUSTRIES LTD.")</f>
        <v>ALOK INDUSTRIES LTD.</v>
      </c>
      <c r="E425" s="6" t="str">
        <f>IFERROR(__xludf.DUMMYFUNCTION("""COMPUTED_VALUE"""),"Active")</f>
        <v>Active</v>
      </c>
      <c r="F425" s="6" t="str">
        <f>IFERROR(__xludf.DUMMYFUNCTION("""COMPUTED_VALUE"""),"A")</f>
        <v>A</v>
      </c>
      <c r="G425" s="6">
        <f>IFERROR(__xludf.DUMMYFUNCTION("""COMPUTED_VALUE"""),1.0)</f>
        <v>1</v>
      </c>
      <c r="H425" s="6" t="str">
        <f>IFERROR(__xludf.DUMMYFUNCTION("""COMPUTED_VALUE"""),"INE270A01029")</f>
        <v>INE270A01029</v>
      </c>
      <c r="I425" s="6" t="str">
        <f>IFERROR(__xludf.DUMMYFUNCTION("""COMPUTED_VALUE"""),"Equity")</f>
        <v>Equity</v>
      </c>
      <c r="J425" s="6" t="str">
        <f>IFERROR(__xludf.DUMMYFUNCTION("""COMPUTED_VALUE"""),"Consumer Discretionary")</f>
        <v>Consumer Discretionary</v>
      </c>
      <c r="K425" s="6" t="str">
        <f>IFERROR(__xludf.DUMMYFUNCTION("""COMPUTED_VALUE"""),"Textiles")</f>
        <v>Textiles</v>
      </c>
      <c r="L425" s="6" t="str">
        <f>IFERROR(__xludf.DUMMYFUNCTION("""COMPUTED_VALUE"""),"Textiles &amp; Apparels")</f>
        <v>Textiles &amp; Apparels</v>
      </c>
      <c r="M425" s="6" t="str">
        <f>IFERROR(__xludf.DUMMYFUNCTION("""COMPUTED_VALUE"""),"Other Textile Products")</f>
        <v>Other Textile Products</v>
      </c>
      <c r="N425" s="5">
        <f>IFERROR(__xludf.DUMMYFUNCTION("""COMPUTED_VALUE"""),13645.6740807)</f>
        <v>13645.67408</v>
      </c>
      <c r="O425" s="6">
        <f t="shared" si="4"/>
        <v>13</v>
      </c>
      <c r="P425" s="6">
        <f t="shared" ref="P425:Q425" si="852">COUNTIFS(L:L,L425)</f>
        <v>13</v>
      </c>
      <c r="Q425" s="24">
        <f t="shared" si="852"/>
        <v>8</v>
      </c>
      <c r="R425" s="6" t="str">
        <f t="shared" si="6"/>
        <v>Textiles</v>
      </c>
      <c r="S425" s="6" t="str">
        <f t="shared" si="7"/>
        <v>Textiles</v>
      </c>
      <c r="T425" s="6">
        <f>IFERROR(__xludf.DUMMYFUNCTION("COUNTA(UNIQUE(query($A$2:$P$800,""select L where K='""&amp; K425&amp;""'"")))"),1.0)</f>
        <v>1</v>
      </c>
      <c r="U425" s="23">
        <f t="shared" si="8"/>
        <v>0.1153846154</v>
      </c>
      <c r="V425" s="23">
        <f t="shared" ref="V425:W425" si="853">P425/O425</f>
        <v>1</v>
      </c>
      <c r="W425" s="23">
        <f t="shared" si="853"/>
        <v>0.6153846154</v>
      </c>
    </row>
    <row r="426">
      <c r="A426" s="6">
        <f>IFERROR(__xludf.DUMMYFUNCTION("""COMPUTED_VALUE"""),540900.0)</f>
        <v>540900</v>
      </c>
      <c r="B426" s="6" t="str">
        <f>IFERROR(__xludf.DUMMYFUNCTION("""COMPUTED_VALUE"""),"Newgen Software Technologies Limited")</f>
        <v>Newgen Software Technologies Limited</v>
      </c>
      <c r="C426" s="6" t="str">
        <f>IFERROR(__xludf.DUMMYFUNCTION("""COMPUTED_VALUE"""),"NEWGEN")</f>
        <v>NEWGEN</v>
      </c>
      <c r="D426" s="6" t="str">
        <f>IFERROR(__xludf.DUMMYFUNCTION("""COMPUTED_VALUE"""),"Newgen Software Technologies Ltd")</f>
        <v>Newgen Software Technologies Ltd</v>
      </c>
      <c r="E426" s="6" t="str">
        <f>IFERROR(__xludf.DUMMYFUNCTION("""COMPUTED_VALUE"""),"Active")</f>
        <v>Active</v>
      </c>
      <c r="F426" s="6" t="str">
        <f>IFERROR(__xludf.DUMMYFUNCTION("""COMPUTED_VALUE"""),"A")</f>
        <v>A</v>
      </c>
      <c r="G426" s="6">
        <f>IFERROR(__xludf.DUMMYFUNCTION("""COMPUTED_VALUE"""),10.0)</f>
        <v>10</v>
      </c>
      <c r="H426" s="6" t="str">
        <f>IFERROR(__xludf.DUMMYFUNCTION("""COMPUTED_VALUE"""),"INE619B01017")</f>
        <v>INE619B01017</v>
      </c>
      <c r="I426" s="6" t="str">
        <f>IFERROR(__xludf.DUMMYFUNCTION("""COMPUTED_VALUE"""),"Equity")</f>
        <v>Equity</v>
      </c>
      <c r="J426" s="6" t="str">
        <f>IFERROR(__xludf.DUMMYFUNCTION("""COMPUTED_VALUE"""),"Information Technology")</f>
        <v>Information Technology</v>
      </c>
      <c r="K426" s="6" t="str">
        <f>IFERROR(__xludf.DUMMYFUNCTION("""COMPUTED_VALUE"""),"Information Technology")</f>
        <v>Information Technology</v>
      </c>
      <c r="L426" s="6" t="str">
        <f>IFERROR(__xludf.DUMMYFUNCTION("""COMPUTED_VALUE"""),"IT - Software")</f>
        <v>IT - Software</v>
      </c>
      <c r="M426" s="6" t="str">
        <f>IFERROR(__xludf.DUMMYFUNCTION("""COMPUTED_VALUE"""),"Computers - Software &amp; Consulting")</f>
        <v>Computers - Software &amp; Consulting</v>
      </c>
      <c r="N426" s="5">
        <f>IFERROR(__xludf.DUMMYFUNCTION("""COMPUTED_VALUE"""),13547.87137)</f>
        <v>13547.87137</v>
      </c>
      <c r="O426" s="6">
        <f t="shared" si="4"/>
        <v>36</v>
      </c>
      <c r="P426" s="6">
        <f t="shared" ref="P426:Q426" si="854">COUNTIFS(L:L,L426)</f>
        <v>27</v>
      </c>
      <c r="Q426" s="24">
        <f t="shared" si="854"/>
        <v>22</v>
      </c>
      <c r="R426" s="6" t="str">
        <f t="shared" si="6"/>
        <v>Information Technology</v>
      </c>
      <c r="S426" s="6" t="str">
        <f t="shared" si="7"/>
        <v>Information Technology</v>
      </c>
      <c r="T426" s="6">
        <f>IFERROR(__xludf.DUMMYFUNCTION("COUNTA(UNIQUE(query($A$2:$P$800,""select L where K='""&amp; K426&amp;""'"")))"),3.0)</f>
        <v>3</v>
      </c>
      <c r="U426" s="23">
        <f t="shared" si="8"/>
        <v>0.125</v>
      </c>
      <c r="V426" s="23">
        <f t="shared" ref="V426:W426" si="855">P426/O426</f>
        <v>0.75</v>
      </c>
      <c r="W426" s="23">
        <f t="shared" si="855"/>
        <v>0.8148148148</v>
      </c>
    </row>
    <row r="427">
      <c r="A427" s="6">
        <f>IFERROR(__xludf.DUMMYFUNCTION("""COMPUTED_VALUE"""),543276.0)</f>
        <v>543276</v>
      </c>
      <c r="B427" s="6" t="str">
        <f>IFERROR(__xludf.DUMMYFUNCTION("""COMPUTED_VALUE"""),"Craftsman Automation Limited")</f>
        <v>Craftsman Automation Limited</v>
      </c>
      <c r="C427" s="6" t="str">
        <f>IFERROR(__xludf.DUMMYFUNCTION("""COMPUTED_VALUE"""),"CRAFTSMAN")</f>
        <v>CRAFTSMAN</v>
      </c>
      <c r="D427" s="6" t="str">
        <f>IFERROR(__xludf.DUMMYFUNCTION("""COMPUTED_VALUE"""),"Craftsman Automation Ltd")</f>
        <v>Craftsman Automation Ltd</v>
      </c>
      <c r="E427" s="6" t="str">
        <f>IFERROR(__xludf.DUMMYFUNCTION("""COMPUTED_VALUE"""),"Active")</f>
        <v>Active</v>
      </c>
      <c r="F427" s="6" t="str">
        <f>IFERROR(__xludf.DUMMYFUNCTION("""COMPUTED_VALUE"""),"A")</f>
        <v>A</v>
      </c>
      <c r="G427" s="6">
        <f>IFERROR(__xludf.DUMMYFUNCTION("""COMPUTED_VALUE"""),5.0)</f>
        <v>5</v>
      </c>
      <c r="H427" s="6" t="str">
        <f>IFERROR(__xludf.DUMMYFUNCTION("""COMPUTED_VALUE"""),"INE00LO01017")</f>
        <v>INE00LO01017</v>
      </c>
      <c r="I427" s="6" t="str">
        <f>IFERROR(__xludf.DUMMYFUNCTION("""COMPUTED_VALUE"""),"Equity")</f>
        <v>Equity</v>
      </c>
      <c r="J427" s="6" t="str">
        <f>IFERROR(__xludf.DUMMYFUNCTION("""COMPUTED_VALUE"""),"Consumer Discretionary")</f>
        <v>Consumer Discretionary</v>
      </c>
      <c r="K427" s="6" t="str">
        <f>IFERROR(__xludf.DUMMYFUNCTION("""COMPUTED_VALUE"""),"Automobile and Auto Components")</f>
        <v>Automobile and Auto Components</v>
      </c>
      <c r="L427" s="6" t="str">
        <f>IFERROR(__xludf.DUMMYFUNCTION("""COMPUTED_VALUE"""),"Auto Components")</f>
        <v>Auto Components</v>
      </c>
      <c r="M427" s="6" t="str">
        <f>IFERROR(__xludf.DUMMYFUNCTION("""COMPUTED_VALUE"""),"Auto Components &amp; Equipments")</f>
        <v>Auto Components &amp; Equipments</v>
      </c>
      <c r="N427" s="5">
        <f>IFERROR(__xludf.DUMMYFUNCTION("""COMPUTED_VALUE"""),13525.522395)</f>
        <v>13525.5224</v>
      </c>
      <c r="O427" s="6">
        <f t="shared" si="4"/>
        <v>47</v>
      </c>
      <c r="P427" s="6">
        <f t="shared" ref="P427:Q427" si="856">COUNTIFS(L:L,L427)</f>
        <v>37</v>
      </c>
      <c r="Q427" s="24">
        <f t="shared" si="856"/>
        <v>32</v>
      </c>
      <c r="R427" s="6" t="str">
        <f t="shared" si="6"/>
        <v>Automobile and Auto Components</v>
      </c>
      <c r="S427" s="6" t="str">
        <f t="shared" si="7"/>
        <v>Automobile and Auto Components</v>
      </c>
      <c r="T427" s="6">
        <f>IFERROR(__xludf.DUMMYFUNCTION("COUNTA(UNIQUE(query($A$2:$P$800,""select L where K='""&amp; K427&amp;""'"")))"),2.0)</f>
        <v>2</v>
      </c>
      <c r="U427" s="23">
        <f t="shared" si="8"/>
        <v>0.06382978723</v>
      </c>
      <c r="V427" s="23">
        <f t="shared" ref="V427:W427" si="857">P427/O427</f>
        <v>0.7872340426</v>
      </c>
      <c r="W427" s="23">
        <f t="shared" si="857"/>
        <v>0.8648648649</v>
      </c>
    </row>
    <row r="428">
      <c r="A428" s="6">
        <f>IFERROR(__xludf.DUMMYFUNCTION("""COMPUTED_VALUE"""),500125.0)</f>
        <v>500125</v>
      </c>
      <c r="B428" s="6" t="str">
        <f>IFERROR(__xludf.DUMMYFUNCTION("""COMPUTED_VALUE"""),"E.I.D. Parry (India) Ltd.")</f>
        <v>E.I.D. Parry (India) Ltd.</v>
      </c>
      <c r="C428" s="6" t="str">
        <f>IFERROR(__xludf.DUMMYFUNCTION("""COMPUTED_VALUE"""),"EIDPARRY")</f>
        <v>EIDPARRY</v>
      </c>
      <c r="D428" s="6" t="str">
        <f>IFERROR(__xludf.DUMMYFUNCTION("""COMPUTED_VALUE"""),"E.I.D.-PARRY (INDIA) LTD.")</f>
        <v>E.I.D.-PARRY (INDIA) LTD.</v>
      </c>
      <c r="E428" s="6" t="str">
        <f>IFERROR(__xludf.DUMMYFUNCTION("""COMPUTED_VALUE"""),"Active")</f>
        <v>Active</v>
      </c>
      <c r="F428" s="6" t="str">
        <f>IFERROR(__xludf.DUMMYFUNCTION("""COMPUTED_VALUE"""),"A")</f>
        <v>A</v>
      </c>
      <c r="G428" s="6">
        <f>IFERROR(__xludf.DUMMYFUNCTION("""COMPUTED_VALUE"""),1.0)</f>
        <v>1</v>
      </c>
      <c r="H428" s="6" t="str">
        <f>IFERROR(__xludf.DUMMYFUNCTION("""COMPUTED_VALUE"""),"INE126A01031")</f>
        <v>INE126A01031</v>
      </c>
      <c r="I428" s="6" t="str">
        <f>IFERROR(__xludf.DUMMYFUNCTION("""COMPUTED_VALUE"""),"Equity")</f>
        <v>Equity</v>
      </c>
      <c r="J428" s="6" t="str">
        <f>IFERROR(__xludf.DUMMYFUNCTION("""COMPUTED_VALUE"""),"Commodities")</f>
        <v>Commodities</v>
      </c>
      <c r="K428" s="6" t="str">
        <f>IFERROR(__xludf.DUMMYFUNCTION("""COMPUTED_VALUE"""),"Chemicals")</f>
        <v>Chemicals</v>
      </c>
      <c r="L428" s="6" t="str">
        <f>IFERROR(__xludf.DUMMYFUNCTION("""COMPUTED_VALUE"""),"Fertilizers &amp; Agrochemicals")</f>
        <v>Fertilizers &amp; Agrochemicals</v>
      </c>
      <c r="M428" s="6" t="str">
        <f>IFERROR(__xludf.DUMMYFUNCTION("""COMPUTED_VALUE"""),"Fertilizers")</f>
        <v>Fertilizers</v>
      </c>
      <c r="N428" s="5">
        <f>IFERROR(__xludf.DUMMYFUNCTION("""COMPUTED_VALUE"""),13455.4937729)</f>
        <v>13455.49377</v>
      </c>
      <c r="O428" s="6">
        <f t="shared" si="4"/>
        <v>52</v>
      </c>
      <c r="P428" s="6">
        <f t="shared" ref="P428:Q428" si="858">COUNTIFS(L:L,L428)</f>
        <v>15</v>
      </c>
      <c r="Q428" s="24">
        <f t="shared" si="858"/>
        <v>8</v>
      </c>
      <c r="R428" s="6" t="str">
        <f t="shared" si="6"/>
        <v>Fertilizers &amp; Agrochemicals</v>
      </c>
      <c r="S428" s="6" t="str">
        <f t="shared" si="7"/>
        <v>Fertilizers &amp; Agrochemicals</v>
      </c>
      <c r="T428" s="6">
        <f>IFERROR(__xludf.DUMMYFUNCTION("COUNTA(UNIQUE(query($A$2:$P$800,""select L where K='""&amp; K428&amp;""'"")))"),2.0)</f>
        <v>2</v>
      </c>
      <c r="U428" s="23">
        <f t="shared" si="8"/>
        <v>0.05769230769</v>
      </c>
      <c r="V428" s="23">
        <f t="shared" ref="V428:W428" si="859">P428/O428</f>
        <v>0.2884615385</v>
      </c>
      <c r="W428" s="23">
        <f t="shared" si="859"/>
        <v>0.5333333333</v>
      </c>
    </row>
    <row r="429">
      <c r="A429" s="6">
        <f>IFERROR(__xludf.DUMMYFUNCTION("""COMPUTED_VALUE"""),532627.0)</f>
        <v>532627</v>
      </c>
      <c r="B429" s="6" t="str">
        <f>IFERROR(__xludf.DUMMYFUNCTION("""COMPUTED_VALUE"""),"Jaiprakash Power Ventures Limited")</f>
        <v>Jaiprakash Power Ventures Limited</v>
      </c>
      <c r="C429" s="6" t="str">
        <f>IFERROR(__xludf.DUMMYFUNCTION("""COMPUTED_VALUE"""),"JPPOWER")</f>
        <v>JPPOWER</v>
      </c>
      <c r="D429" s="6" t="str">
        <f>IFERROR(__xludf.DUMMYFUNCTION("""COMPUTED_VALUE"""),"Jaiprakash Power Ventures Limited")</f>
        <v>Jaiprakash Power Ventures Limited</v>
      </c>
      <c r="E429" s="6" t="str">
        <f>IFERROR(__xludf.DUMMYFUNCTION("""COMPUTED_VALUE"""),"Active")</f>
        <v>Active</v>
      </c>
      <c r="F429" s="6" t="str">
        <f>IFERROR(__xludf.DUMMYFUNCTION("""COMPUTED_VALUE"""),"A")</f>
        <v>A</v>
      </c>
      <c r="G429" s="6">
        <f>IFERROR(__xludf.DUMMYFUNCTION("""COMPUTED_VALUE"""),10.0)</f>
        <v>10</v>
      </c>
      <c r="H429" s="6" t="str">
        <f>IFERROR(__xludf.DUMMYFUNCTION("""COMPUTED_VALUE"""),"INE351F01018")</f>
        <v>INE351F01018</v>
      </c>
      <c r="I429" s="6" t="str">
        <f>IFERROR(__xludf.DUMMYFUNCTION("""COMPUTED_VALUE"""),"Equity")</f>
        <v>Equity</v>
      </c>
      <c r="J429" s="6" t="str">
        <f>IFERROR(__xludf.DUMMYFUNCTION("""COMPUTED_VALUE"""),"Utilities")</f>
        <v>Utilities</v>
      </c>
      <c r="K429" s="6" t="str">
        <f>IFERROR(__xludf.DUMMYFUNCTION("""COMPUTED_VALUE"""),"Power")</f>
        <v>Power</v>
      </c>
      <c r="L429" s="6" t="str">
        <f>IFERROR(__xludf.DUMMYFUNCTION("""COMPUTED_VALUE"""),"Power")</f>
        <v>Power</v>
      </c>
      <c r="M429" s="6" t="str">
        <f>IFERROR(__xludf.DUMMYFUNCTION("""COMPUTED_VALUE"""),"Power Generation")</f>
        <v>Power Generation</v>
      </c>
      <c r="N429" s="5">
        <f>IFERROR(__xludf.DUMMYFUNCTION("""COMPUTED_VALUE"""),13317.9103823)</f>
        <v>13317.91038</v>
      </c>
      <c r="O429" s="6">
        <f t="shared" si="4"/>
        <v>22</v>
      </c>
      <c r="P429" s="6">
        <f t="shared" ref="P429:Q429" si="860">COUNTIFS(L:L,L429)</f>
        <v>22</v>
      </c>
      <c r="Q429" s="24">
        <f t="shared" si="860"/>
        <v>13</v>
      </c>
      <c r="R429" s="6" t="str">
        <f t="shared" si="6"/>
        <v>Power</v>
      </c>
      <c r="S429" s="6" t="str">
        <f t="shared" si="7"/>
        <v>Power</v>
      </c>
      <c r="T429" s="6">
        <f>IFERROR(__xludf.DUMMYFUNCTION("COUNTA(UNIQUE(query($A$2:$P$800,""select L where K='""&amp; K429&amp;""'"")))"),1.0)</f>
        <v>1</v>
      </c>
      <c r="U429" s="23">
        <f t="shared" si="8"/>
        <v>0.06818181818</v>
      </c>
      <c r="V429" s="23">
        <f t="shared" ref="V429:W429" si="861">P429/O429</f>
        <v>1</v>
      </c>
      <c r="W429" s="23">
        <f t="shared" si="861"/>
        <v>0.5909090909</v>
      </c>
    </row>
    <row r="430">
      <c r="A430" s="6">
        <f>IFERROR(__xludf.DUMMYFUNCTION("""COMPUTED_VALUE"""),522205.0)</f>
        <v>522205</v>
      </c>
      <c r="B430" s="6" t="str">
        <f>IFERROR(__xludf.DUMMYFUNCTION("""COMPUTED_VALUE"""),"Praj Industries Ltd.")</f>
        <v>Praj Industries Ltd.</v>
      </c>
      <c r="C430" s="6" t="str">
        <f>IFERROR(__xludf.DUMMYFUNCTION("""COMPUTED_VALUE"""),"PRAJIND")</f>
        <v>PRAJIND</v>
      </c>
      <c r="D430" s="6" t="str">
        <f>IFERROR(__xludf.DUMMYFUNCTION("""COMPUTED_VALUE"""),"PRAJ INDUSTRIES LTD.")</f>
        <v>PRAJ INDUSTRIES LTD.</v>
      </c>
      <c r="E430" s="6" t="str">
        <f>IFERROR(__xludf.DUMMYFUNCTION("""COMPUTED_VALUE"""),"Active")</f>
        <v>Active</v>
      </c>
      <c r="F430" s="6" t="str">
        <f>IFERROR(__xludf.DUMMYFUNCTION("""COMPUTED_VALUE"""),"A")</f>
        <v>A</v>
      </c>
      <c r="G430" s="6">
        <f>IFERROR(__xludf.DUMMYFUNCTION("""COMPUTED_VALUE"""),2.0)</f>
        <v>2</v>
      </c>
      <c r="H430" s="6" t="str">
        <f>IFERROR(__xludf.DUMMYFUNCTION("""COMPUTED_VALUE"""),"INE074A01025")</f>
        <v>INE074A01025</v>
      </c>
      <c r="I430" s="6" t="str">
        <f>IFERROR(__xludf.DUMMYFUNCTION("""COMPUTED_VALUE"""),"Equity")</f>
        <v>Equity</v>
      </c>
      <c r="J430" s="6" t="str">
        <f>IFERROR(__xludf.DUMMYFUNCTION("""COMPUTED_VALUE"""),"Industrials")</f>
        <v>Industrials</v>
      </c>
      <c r="K430" s="6" t="str">
        <f>IFERROR(__xludf.DUMMYFUNCTION("""COMPUTED_VALUE"""),"Capital Goods")</f>
        <v>Capital Goods</v>
      </c>
      <c r="L430" s="6" t="str">
        <f>IFERROR(__xludf.DUMMYFUNCTION("""COMPUTED_VALUE"""),"Industrial Manufacturing")</f>
        <v>Industrial Manufacturing</v>
      </c>
      <c r="M430" s="6" t="str">
        <f>IFERROR(__xludf.DUMMYFUNCTION("""COMPUTED_VALUE"""),"Industrial Products")</f>
        <v>Industrial Products</v>
      </c>
      <c r="N430" s="5">
        <f>IFERROR(__xludf.DUMMYFUNCTION("""COMPUTED_VALUE"""),13313.2911678)</f>
        <v>13313.29117</v>
      </c>
      <c r="O430" s="6">
        <f t="shared" si="4"/>
        <v>110</v>
      </c>
      <c r="P430" s="6">
        <f t="shared" ref="P430:Q430" si="862">COUNTIFS(L:L,L430)</f>
        <v>21</v>
      </c>
      <c r="Q430" s="24">
        <f t="shared" si="862"/>
        <v>17</v>
      </c>
      <c r="R430" s="6" t="str">
        <f t="shared" si="6"/>
        <v>Industrial Manufacturing</v>
      </c>
      <c r="S430" s="6" t="str">
        <f t="shared" si="7"/>
        <v>Industrial Manufacturing</v>
      </c>
      <c r="T430" s="6">
        <f>IFERROR(__xludf.DUMMYFUNCTION("COUNTA(UNIQUE(query($A$2:$P$800,""select L where K='""&amp; K430&amp;""'"")))"),5.0)</f>
        <v>5</v>
      </c>
      <c r="U430" s="23">
        <f t="shared" si="8"/>
        <v>0.06818181818</v>
      </c>
      <c r="V430" s="23">
        <f t="shared" ref="V430:W430" si="863">P430/O430</f>
        <v>0.1909090909</v>
      </c>
      <c r="W430" s="23">
        <f t="shared" si="863"/>
        <v>0.8095238095</v>
      </c>
    </row>
    <row r="431">
      <c r="A431" s="6">
        <f>IFERROR(__xludf.DUMMYFUNCTION("""COMPUTED_VALUE"""),544172.0)</f>
        <v>544172</v>
      </c>
      <c r="B431" s="6" t="str">
        <f>IFERROR(__xludf.DUMMYFUNCTION("""COMPUTED_VALUE"""),"Indegene Limited")</f>
        <v>Indegene Limited</v>
      </c>
      <c r="C431" s="6" t="str">
        <f>IFERROR(__xludf.DUMMYFUNCTION("""COMPUTED_VALUE"""),"INDGN")</f>
        <v>INDGN</v>
      </c>
      <c r="D431" s="6" t="str">
        <f>IFERROR(__xludf.DUMMYFUNCTION("""COMPUTED_VALUE"""),"Indegene Ltd")</f>
        <v>Indegene Ltd</v>
      </c>
      <c r="E431" s="6" t="str">
        <f>IFERROR(__xludf.DUMMYFUNCTION("""COMPUTED_VALUE"""),"Active")</f>
        <v>Active</v>
      </c>
      <c r="F431" s="6" t="str">
        <f>IFERROR(__xludf.DUMMYFUNCTION("""COMPUTED_VALUE"""),"B")</f>
        <v>B</v>
      </c>
      <c r="G431" s="6">
        <f>IFERROR(__xludf.DUMMYFUNCTION("""COMPUTED_VALUE"""),2.0)</f>
        <v>2</v>
      </c>
      <c r="H431" s="6" t="str">
        <f>IFERROR(__xludf.DUMMYFUNCTION("""COMPUTED_VALUE"""),"INE065X01017")</f>
        <v>INE065X01017</v>
      </c>
      <c r="I431" s="6" t="str">
        <f>IFERROR(__xludf.DUMMYFUNCTION("""COMPUTED_VALUE"""),"Equity")</f>
        <v>Equity</v>
      </c>
      <c r="J431" s="6" t="str">
        <f>IFERROR(__xludf.DUMMYFUNCTION("""COMPUTED_VALUE"""),"Healthcare")</f>
        <v>Healthcare</v>
      </c>
      <c r="K431" s="6" t="str">
        <f>IFERROR(__xludf.DUMMYFUNCTION("""COMPUTED_VALUE"""),"Healthcare")</f>
        <v>Healthcare</v>
      </c>
      <c r="L431" s="6" t="str">
        <f>IFERROR(__xludf.DUMMYFUNCTION("""COMPUTED_VALUE"""),"Healthcare Services")</f>
        <v>Healthcare Services</v>
      </c>
      <c r="M431" s="6" t="str">
        <f>IFERROR(__xludf.DUMMYFUNCTION("""COMPUTED_VALUE"""),"Healthcare Research, Analytics &amp; Technology")</f>
        <v>Healthcare Research, Analytics &amp; Technology</v>
      </c>
      <c r="N431" s="5">
        <f>IFERROR(__xludf.DUMMYFUNCTION("""COMPUTED_VALUE"""),13258.6077)</f>
        <v>13258.6077</v>
      </c>
      <c r="O431" s="6">
        <f t="shared" si="4"/>
        <v>62</v>
      </c>
      <c r="P431" s="6">
        <f t="shared" ref="P431:Q431" si="864">COUNTIFS(L:L,L431)</f>
        <v>16</v>
      </c>
      <c r="Q431" s="24">
        <f t="shared" si="864"/>
        <v>2</v>
      </c>
      <c r="R431" s="6" t="str">
        <f t="shared" si="6"/>
        <v>Healthcare Services</v>
      </c>
      <c r="S431" s="6" t="str">
        <f t="shared" si="7"/>
        <v>Healthcare Services</v>
      </c>
      <c r="T431" s="6">
        <f>IFERROR(__xludf.DUMMYFUNCTION("COUNTA(UNIQUE(query($A$2:$P$800,""select L where K='""&amp; K431&amp;""'"")))"),3.0)</f>
        <v>3</v>
      </c>
      <c r="U431" s="23">
        <f t="shared" si="8"/>
        <v>0.07258064516</v>
      </c>
      <c r="V431" s="23">
        <f t="shared" ref="V431:W431" si="865">P431/O431</f>
        <v>0.2580645161</v>
      </c>
      <c r="W431" s="23">
        <f t="shared" si="865"/>
        <v>0.125</v>
      </c>
    </row>
    <row r="432">
      <c r="A432" s="6">
        <f>IFERROR(__xludf.DUMMYFUNCTION("""COMPUTED_VALUE"""),534076.0)</f>
        <v>534076</v>
      </c>
      <c r="B432" s="6" t="str">
        <f>IFERROR(__xludf.DUMMYFUNCTION("""COMPUTED_VALUE"""),"RHI MAGNESITA INDIA LIMITED")</f>
        <v>RHI MAGNESITA INDIA LIMITED</v>
      </c>
      <c r="C432" s="6" t="str">
        <f>IFERROR(__xludf.DUMMYFUNCTION("""COMPUTED_VALUE"""),"RHIM")</f>
        <v>RHIM</v>
      </c>
      <c r="D432" s="6" t="str">
        <f>IFERROR(__xludf.DUMMYFUNCTION("""COMPUTED_VALUE"""),"Rhi Magnesita India Ltd")</f>
        <v>Rhi Magnesita India Ltd</v>
      </c>
      <c r="E432" s="6" t="str">
        <f>IFERROR(__xludf.DUMMYFUNCTION("""COMPUTED_VALUE"""),"Active")</f>
        <v>Active</v>
      </c>
      <c r="F432" s="6" t="str">
        <f>IFERROR(__xludf.DUMMYFUNCTION("""COMPUTED_VALUE"""),"A")</f>
        <v>A</v>
      </c>
      <c r="G432" s="6">
        <f>IFERROR(__xludf.DUMMYFUNCTION("""COMPUTED_VALUE"""),1.0)</f>
        <v>1</v>
      </c>
      <c r="H432" s="6" t="str">
        <f>IFERROR(__xludf.DUMMYFUNCTION("""COMPUTED_VALUE"""),"INE743M01012")</f>
        <v>INE743M01012</v>
      </c>
      <c r="I432" s="6" t="str">
        <f>IFERROR(__xludf.DUMMYFUNCTION("""COMPUTED_VALUE"""),"Equity")</f>
        <v>Equity</v>
      </c>
      <c r="J432" s="6" t="str">
        <f>IFERROR(__xludf.DUMMYFUNCTION("""COMPUTED_VALUE"""),"Industrials")</f>
        <v>Industrials</v>
      </c>
      <c r="K432" s="6" t="str">
        <f>IFERROR(__xludf.DUMMYFUNCTION("""COMPUTED_VALUE"""),"Capital Goods")</f>
        <v>Capital Goods</v>
      </c>
      <c r="L432" s="6" t="str">
        <f>IFERROR(__xludf.DUMMYFUNCTION("""COMPUTED_VALUE"""),"Industrial Products")</f>
        <v>Industrial Products</v>
      </c>
      <c r="M432" s="6" t="str">
        <f>IFERROR(__xludf.DUMMYFUNCTION("""COMPUTED_VALUE"""),"Electrodes &amp; Refractories")</f>
        <v>Electrodes &amp; Refractories</v>
      </c>
      <c r="N432" s="5">
        <f>IFERROR(__xludf.DUMMYFUNCTION("""COMPUTED_VALUE"""),13157.24)</f>
        <v>13157.24</v>
      </c>
      <c r="O432" s="6">
        <f t="shared" si="4"/>
        <v>110</v>
      </c>
      <c r="P432" s="6">
        <f t="shared" ref="P432:Q432" si="866">COUNTIFS(L:L,L432)</f>
        <v>51</v>
      </c>
      <c r="Q432" s="24">
        <f t="shared" si="866"/>
        <v>4</v>
      </c>
      <c r="R432" s="6" t="str">
        <f t="shared" si="6"/>
        <v>Industrial Products</v>
      </c>
      <c r="S432" s="6" t="str">
        <f t="shared" si="7"/>
        <v>Industrial Products</v>
      </c>
      <c r="T432" s="6">
        <f>IFERROR(__xludf.DUMMYFUNCTION("COUNTA(UNIQUE(query($A$2:$P$800,""select L where K='""&amp; K432&amp;""'"")))"),5.0)</f>
        <v>5</v>
      </c>
      <c r="U432" s="23">
        <f t="shared" si="8"/>
        <v>0.06818181818</v>
      </c>
      <c r="V432" s="23">
        <f t="shared" ref="V432:W432" si="867">P432/O432</f>
        <v>0.4636363636</v>
      </c>
      <c r="W432" s="23">
        <f t="shared" si="867"/>
        <v>0.07843137255</v>
      </c>
    </row>
    <row r="433">
      <c r="A433" s="6">
        <f>IFERROR(__xludf.DUMMYFUNCTION("""COMPUTED_VALUE"""),505533.0)</f>
        <v>505533</v>
      </c>
      <c r="B433" s="6" t="str">
        <f>IFERROR(__xludf.DUMMYFUNCTION("""COMPUTED_VALUE"""),"WESTLIFE FOODWORLD LIMITED")</f>
        <v>WESTLIFE FOODWORLD LIMITED</v>
      </c>
      <c r="C433" s="6" t="str">
        <f>IFERROR(__xludf.DUMMYFUNCTION("""COMPUTED_VALUE"""),"WESTLIFE")</f>
        <v>WESTLIFE</v>
      </c>
      <c r="D433" s="6" t="str">
        <f>IFERROR(__xludf.DUMMYFUNCTION("""COMPUTED_VALUE"""),"Westlife Foodworld Ltd")</f>
        <v>Westlife Foodworld Ltd</v>
      </c>
      <c r="E433" s="6" t="str">
        <f>IFERROR(__xludf.DUMMYFUNCTION("""COMPUTED_VALUE"""),"Active")</f>
        <v>Active</v>
      </c>
      <c r="F433" s="6" t="str">
        <f>IFERROR(__xludf.DUMMYFUNCTION("""COMPUTED_VALUE"""),"A")</f>
        <v>A</v>
      </c>
      <c r="G433" s="6">
        <f>IFERROR(__xludf.DUMMYFUNCTION("""COMPUTED_VALUE"""),2.0)</f>
        <v>2</v>
      </c>
      <c r="H433" s="6" t="str">
        <f>IFERROR(__xludf.DUMMYFUNCTION("""COMPUTED_VALUE"""),"INE274F01020")</f>
        <v>INE274F01020</v>
      </c>
      <c r="I433" s="6" t="str">
        <f>IFERROR(__xludf.DUMMYFUNCTION("""COMPUTED_VALUE"""),"Equity")</f>
        <v>Equity</v>
      </c>
      <c r="J433" s="6" t="str">
        <f>IFERROR(__xludf.DUMMYFUNCTION("""COMPUTED_VALUE"""),"Consumer Discretionary")</f>
        <v>Consumer Discretionary</v>
      </c>
      <c r="K433" s="6" t="str">
        <f>IFERROR(__xludf.DUMMYFUNCTION("""COMPUTED_VALUE"""),"Consumer Services")</f>
        <v>Consumer Services</v>
      </c>
      <c r="L433" s="6" t="str">
        <f>IFERROR(__xludf.DUMMYFUNCTION("""COMPUTED_VALUE"""),"Leisure Services")</f>
        <v>Leisure Services</v>
      </c>
      <c r="M433" s="6" t="str">
        <f>IFERROR(__xludf.DUMMYFUNCTION("""COMPUTED_VALUE"""),"Restaurants")</f>
        <v>Restaurants</v>
      </c>
      <c r="N433" s="5">
        <f>IFERROR(__xludf.DUMMYFUNCTION("""COMPUTED_VALUE"""),13145.3114879)</f>
        <v>13145.31149</v>
      </c>
      <c r="O433" s="6">
        <f t="shared" si="4"/>
        <v>37</v>
      </c>
      <c r="P433" s="6">
        <f t="shared" ref="P433:Q433" si="868">COUNTIFS(L:L,L433)</f>
        <v>18</v>
      </c>
      <c r="Q433" s="24">
        <f t="shared" si="868"/>
        <v>5</v>
      </c>
      <c r="R433" s="6" t="str">
        <f t="shared" si="6"/>
        <v>Leisure Services</v>
      </c>
      <c r="S433" s="6" t="str">
        <f t="shared" si="7"/>
        <v>Leisure Services</v>
      </c>
      <c r="T433" s="6">
        <f>IFERROR(__xludf.DUMMYFUNCTION("COUNTA(UNIQUE(query($A$2:$P$800,""select L where K='""&amp; K433&amp;""'"")))"),3.0)</f>
        <v>3</v>
      </c>
      <c r="U433" s="23">
        <f t="shared" si="8"/>
        <v>0.1216216216</v>
      </c>
      <c r="V433" s="23">
        <f t="shared" ref="V433:W433" si="869">P433/O433</f>
        <v>0.4864864865</v>
      </c>
      <c r="W433" s="23">
        <f t="shared" si="869"/>
        <v>0.2777777778</v>
      </c>
    </row>
    <row r="434">
      <c r="A434" s="6">
        <f>IFERROR(__xludf.DUMMYFUNCTION("""COMPUTED_VALUE"""),500710.0)</f>
        <v>500710</v>
      </c>
      <c r="B434" s="6" t="str">
        <f>IFERROR(__xludf.DUMMYFUNCTION("""COMPUTED_VALUE"""),"Akzo Nobel India Limited")</f>
        <v>Akzo Nobel India Limited</v>
      </c>
      <c r="C434" s="6" t="str">
        <f>IFERROR(__xludf.DUMMYFUNCTION("""COMPUTED_VALUE"""),"AKZOINDIA")</f>
        <v>AKZOINDIA</v>
      </c>
      <c r="D434" s="6" t="str">
        <f>IFERROR(__xludf.DUMMYFUNCTION("""COMPUTED_VALUE"""),"Akzo Nobel India Limited")</f>
        <v>Akzo Nobel India Limited</v>
      </c>
      <c r="E434" s="6" t="str">
        <f>IFERROR(__xludf.DUMMYFUNCTION("""COMPUTED_VALUE"""),"Active")</f>
        <v>Active</v>
      </c>
      <c r="F434" s="6" t="str">
        <f>IFERROR(__xludf.DUMMYFUNCTION("""COMPUTED_VALUE"""),"A")</f>
        <v>A</v>
      </c>
      <c r="G434" s="6">
        <f>IFERROR(__xludf.DUMMYFUNCTION("""COMPUTED_VALUE"""),10.0)</f>
        <v>10</v>
      </c>
      <c r="H434" s="6" t="str">
        <f>IFERROR(__xludf.DUMMYFUNCTION("""COMPUTED_VALUE"""),"INE133A01011")</f>
        <v>INE133A01011</v>
      </c>
      <c r="I434" s="6" t="str">
        <f>IFERROR(__xludf.DUMMYFUNCTION("""COMPUTED_VALUE"""),"Equity")</f>
        <v>Equity</v>
      </c>
      <c r="J434" s="6" t="str">
        <f>IFERROR(__xludf.DUMMYFUNCTION("""COMPUTED_VALUE"""),"Consumer Discretionary")</f>
        <v>Consumer Discretionary</v>
      </c>
      <c r="K434" s="6" t="str">
        <f>IFERROR(__xludf.DUMMYFUNCTION("""COMPUTED_VALUE"""),"Consumer Durables")</f>
        <v>Consumer Durables</v>
      </c>
      <c r="L434" s="6" t="str">
        <f>IFERROR(__xludf.DUMMYFUNCTION("""COMPUTED_VALUE"""),"Consumer Durables")</f>
        <v>Consumer Durables</v>
      </c>
      <c r="M434" s="6" t="str">
        <f>IFERROR(__xludf.DUMMYFUNCTION("""COMPUTED_VALUE"""),"Paints")</f>
        <v>Paints</v>
      </c>
      <c r="N434" s="5">
        <f>IFERROR(__xludf.DUMMYFUNCTION("""COMPUTED_VALUE"""),12958.51392)</f>
        <v>12958.51392</v>
      </c>
      <c r="O434" s="6">
        <f t="shared" si="4"/>
        <v>42</v>
      </c>
      <c r="P434" s="6">
        <f t="shared" ref="P434:Q434" si="870">COUNTIFS(L:L,L434)</f>
        <v>42</v>
      </c>
      <c r="Q434" s="24">
        <f t="shared" si="870"/>
        <v>5</v>
      </c>
      <c r="R434" s="6" t="str">
        <f t="shared" si="6"/>
        <v>Consumer Durables</v>
      </c>
      <c r="S434" s="6" t="str">
        <f t="shared" si="7"/>
        <v>Consumer Durables</v>
      </c>
      <c r="T434" s="6">
        <f>IFERROR(__xludf.DUMMYFUNCTION("COUNTA(UNIQUE(query($A$2:$P$800,""select L where K='""&amp; K434&amp;""'"")))"),1.0)</f>
        <v>1</v>
      </c>
      <c r="U434" s="23">
        <f t="shared" si="8"/>
        <v>0.03571428571</v>
      </c>
      <c r="V434" s="23">
        <f t="shared" ref="V434:W434" si="871">P434/O434</f>
        <v>1</v>
      </c>
      <c r="W434" s="23">
        <f t="shared" si="871"/>
        <v>0.119047619</v>
      </c>
    </row>
    <row r="435">
      <c r="A435" s="6">
        <f>IFERROR(__xludf.DUMMYFUNCTION("""COMPUTED_VALUE"""),543524.0)</f>
        <v>543524</v>
      </c>
      <c r="B435" s="6" t="str">
        <f>IFERROR(__xludf.DUMMYFUNCTION("""COMPUTED_VALUE"""),"Rainbow Children's Medicare Limited")</f>
        <v>Rainbow Children's Medicare Limited</v>
      </c>
      <c r="C435" s="6" t="str">
        <f>IFERROR(__xludf.DUMMYFUNCTION("""COMPUTED_VALUE"""),"RAINBOW")</f>
        <v>RAINBOW</v>
      </c>
      <c r="D435" s="6" t="str">
        <f>IFERROR(__xludf.DUMMYFUNCTION("""COMPUTED_VALUE"""),"Rainbow Children's Medicare Ltd")</f>
        <v>Rainbow Children's Medicare Ltd</v>
      </c>
      <c r="E435" s="6" t="str">
        <f>IFERROR(__xludf.DUMMYFUNCTION("""COMPUTED_VALUE"""),"Active")</f>
        <v>Active</v>
      </c>
      <c r="F435" s="6" t="str">
        <f>IFERROR(__xludf.DUMMYFUNCTION("""COMPUTED_VALUE"""),"A")</f>
        <v>A</v>
      </c>
      <c r="G435" s="6">
        <f>IFERROR(__xludf.DUMMYFUNCTION("""COMPUTED_VALUE"""),10.0)</f>
        <v>10</v>
      </c>
      <c r="H435" s="6" t="str">
        <f>IFERROR(__xludf.DUMMYFUNCTION("""COMPUTED_VALUE"""),"INE961O01016")</f>
        <v>INE961O01016</v>
      </c>
      <c r="I435" s="6" t="str">
        <f>IFERROR(__xludf.DUMMYFUNCTION("""COMPUTED_VALUE"""),"Equity")</f>
        <v>Equity</v>
      </c>
      <c r="J435" s="6" t="str">
        <f>IFERROR(__xludf.DUMMYFUNCTION("""COMPUTED_VALUE"""),"Healthcare")</f>
        <v>Healthcare</v>
      </c>
      <c r="K435" s="6" t="str">
        <f>IFERROR(__xludf.DUMMYFUNCTION("""COMPUTED_VALUE"""),"Healthcare")</f>
        <v>Healthcare</v>
      </c>
      <c r="L435" s="6" t="str">
        <f>IFERROR(__xludf.DUMMYFUNCTION("""COMPUTED_VALUE"""),"Healthcare Services")</f>
        <v>Healthcare Services</v>
      </c>
      <c r="M435" s="6" t="str">
        <f>IFERROR(__xludf.DUMMYFUNCTION("""COMPUTED_VALUE"""),"Hospital")</f>
        <v>Hospital</v>
      </c>
      <c r="N435" s="5">
        <f>IFERROR(__xludf.DUMMYFUNCTION("""COMPUTED_VALUE"""),12919.8701782)</f>
        <v>12919.87018</v>
      </c>
      <c r="O435" s="6">
        <f t="shared" si="4"/>
        <v>62</v>
      </c>
      <c r="P435" s="6">
        <f t="shared" ref="P435:Q435" si="872">COUNTIFS(L:L,L435)</f>
        <v>16</v>
      </c>
      <c r="Q435" s="24">
        <f t="shared" si="872"/>
        <v>11</v>
      </c>
      <c r="R435" s="6" t="str">
        <f t="shared" si="6"/>
        <v>Healthcare Services</v>
      </c>
      <c r="S435" s="6" t="str">
        <f t="shared" si="7"/>
        <v>Healthcare Services</v>
      </c>
      <c r="T435" s="6">
        <f>IFERROR(__xludf.DUMMYFUNCTION("COUNTA(UNIQUE(query($A$2:$P$800,""select L where K='""&amp; K435&amp;""'"")))"),3.0)</f>
        <v>3</v>
      </c>
      <c r="U435" s="23">
        <f t="shared" si="8"/>
        <v>0.07258064516</v>
      </c>
      <c r="V435" s="23">
        <f t="shared" ref="V435:W435" si="873">P435/O435</f>
        <v>0.2580645161</v>
      </c>
      <c r="W435" s="23">
        <f t="shared" si="873"/>
        <v>0.6875</v>
      </c>
    </row>
    <row r="436">
      <c r="A436" s="6">
        <f>IFERROR(__xludf.DUMMYFUNCTION("""COMPUTED_VALUE"""),513377.0)</f>
        <v>513377</v>
      </c>
      <c r="B436" s="6" t="str">
        <f>IFERROR(__xludf.DUMMYFUNCTION("""COMPUTED_VALUE"""),"MMTC Ltd.")</f>
        <v>MMTC Ltd.</v>
      </c>
      <c r="C436" s="6" t="str">
        <f>IFERROR(__xludf.DUMMYFUNCTION("""COMPUTED_VALUE"""),"MMTC")</f>
        <v>MMTC</v>
      </c>
      <c r="D436" s="6" t="str">
        <f>IFERROR(__xludf.DUMMYFUNCTION("""COMPUTED_VALUE"""),"MMTC LTD.")</f>
        <v>MMTC LTD.</v>
      </c>
      <c r="E436" s="6" t="str">
        <f>IFERROR(__xludf.DUMMYFUNCTION("""COMPUTED_VALUE"""),"Active")</f>
        <v>Active</v>
      </c>
      <c r="F436" s="6" t="str">
        <f>IFERROR(__xludf.DUMMYFUNCTION("""COMPUTED_VALUE"""),"A")</f>
        <v>A</v>
      </c>
      <c r="G436" s="6">
        <f>IFERROR(__xludf.DUMMYFUNCTION("""COMPUTED_VALUE"""),1.0)</f>
        <v>1</v>
      </c>
      <c r="H436" s="6" t="str">
        <f>IFERROR(__xludf.DUMMYFUNCTION("""COMPUTED_VALUE"""),"INE123F01029")</f>
        <v>INE123F01029</v>
      </c>
      <c r="I436" s="6" t="str">
        <f>IFERROR(__xludf.DUMMYFUNCTION("""COMPUTED_VALUE"""),"Equity")</f>
        <v>Equity</v>
      </c>
      <c r="J436" s="6" t="str">
        <f>IFERROR(__xludf.DUMMYFUNCTION("""COMPUTED_VALUE"""),"Services")</f>
        <v>Services</v>
      </c>
      <c r="K436" s="6" t="str">
        <f>IFERROR(__xludf.DUMMYFUNCTION("""COMPUTED_VALUE"""),"Services")</f>
        <v>Services</v>
      </c>
      <c r="L436" s="6" t="str">
        <f>IFERROR(__xludf.DUMMYFUNCTION("""COMPUTED_VALUE"""),"Commercial Services &amp; Supplies")</f>
        <v>Commercial Services &amp; Supplies</v>
      </c>
      <c r="M436" s="6" t="str">
        <f>IFERROR(__xludf.DUMMYFUNCTION("""COMPUTED_VALUE"""),"Trading &amp; Distributors")</f>
        <v>Trading &amp; Distributors</v>
      </c>
      <c r="N436" s="5">
        <f>IFERROR(__xludf.DUMMYFUNCTION("""COMPUTED_VALUE"""),12898.7125287)</f>
        <v>12898.71253</v>
      </c>
      <c r="O436" s="6">
        <f t="shared" si="4"/>
        <v>27</v>
      </c>
      <c r="P436" s="6">
        <f t="shared" ref="P436:Q436" si="874">COUNTIFS(L:L,L436)</f>
        <v>11</v>
      </c>
      <c r="Q436" s="24">
        <f t="shared" si="874"/>
        <v>3</v>
      </c>
      <c r="R436" s="6" t="str">
        <f t="shared" si="6"/>
        <v>Services</v>
      </c>
      <c r="S436" s="6" t="str">
        <f t="shared" si="7"/>
        <v>Services</v>
      </c>
      <c r="T436" s="6">
        <f>IFERROR(__xludf.DUMMYFUNCTION("COUNTA(UNIQUE(query($A$2:$P$800,""select L where K='""&amp; K436&amp;""'"")))"),3.0)</f>
        <v>3</v>
      </c>
      <c r="U436" s="23">
        <f t="shared" si="8"/>
        <v>0.1666666667</v>
      </c>
      <c r="V436" s="23">
        <f t="shared" ref="V436:W436" si="875">P436/O436</f>
        <v>0.4074074074</v>
      </c>
      <c r="W436" s="23">
        <f t="shared" si="875"/>
        <v>0.2727272727</v>
      </c>
    </row>
    <row r="437">
      <c r="A437" s="6">
        <f>IFERROR(__xludf.DUMMYFUNCTION("""COMPUTED_VALUE"""),543238.0)</f>
        <v>543238</v>
      </c>
      <c r="B437" s="6" t="str">
        <f>IFERROR(__xludf.DUMMYFUNCTION("""COMPUTED_VALUE"""),"UTI Asset Management Company Limited")</f>
        <v>UTI Asset Management Company Limited</v>
      </c>
      <c r="C437" s="6" t="str">
        <f>IFERROR(__xludf.DUMMYFUNCTION("""COMPUTED_VALUE"""),"UTIAMC")</f>
        <v>UTIAMC</v>
      </c>
      <c r="D437" s="6" t="str">
        <f>IFERROR(__xludf.DUMMYFUNCTION("""COMPUTED_VALUE"""),"UTI Asset Management Company Ltd")</f>
        <v>UTI Asset Management Company Ltd</v>
      </c>
      <c r="E437" s="6" t="str">
        <f>IFERROR(__xludf.DUMMYFUNCTION("""COMPUTED_VALUE"""),"Active")</f>
        <v>Active</v>
      </c>
      <c r="F437" s="6" t="str">
        <f>IFERROR(__xludf.DUMMYFUNCTION("""COMPUTED_VALUE"""),"A")</f>
        <v>A</v>
      </c>
      <c r="G437" s="6">
        <f>IFERROR(__xludf.DUMMYFUNCTION("""COMPUTED_VALUE"""),10.0)</f>
        <v>10</v>
      </c>
      <c r="H437" s="6" t="str">
        <f>IFERROR(__xludf.DUMMYFUNCTION("""COMPUTED_VALUE"""),"INE094J01016")</f>
        <v>INE094J01016</v>
      </c>
      <c r="I437" s="6" t="str">
        <f>IFERROR(__xludf.DUMMYFUNCTION("""COMPUTED_VALUE"""),"Equity")</f>
        <v>Equity</v>
      </c>
      <c r="J437" s="6" t="str">
        <f>IFERROR(__xludf.DUMMYFUNCTION("""COMPUTED_VALUE"""),"Financial Services")</f>
        <v>Financial Services</v>
      </c>
      <c r="K437" s="6" t="str">
        <f>IFERROR(__xludf.DUMMYFUNCTION("""COMPUTED_VALUE"""),"Financial Services")</f>
        <v>Financial Services</v>
      </c>
      <c r="L437" s="6" t="str">
        <f>IFERROR(__xludf.DUMMYFUNCTION("""COMPUTED_VALUE"""),"Capital Markets")</f>
        <v>Capital Markets</v>
      </c>
      <c r="M437" s="6" t="str">
        <f>IFERROR(__xludf.DUMMYFUNCTION("""COMPUTED_VALUE"""),"Asset Management Company")</f>
        <v>Asset Management Company</v>
      </c>
      <c r="N437" s="5">
        <f>IFERROR(__xludf.DUMMYFUNCTION("""COMPUTED_VALUE"""),12885.80964)</f>
        <v>12885.80964</v>
      </c>
      <c r="O437" s="6">
        <f t="shared" si="4"/>
        <v>123</v>
      </c>
      <c r="P437" s="6">
        <f t="shared" ref="P437:Q437" si="876">COUNTIFS(L:L,L437)</f>
        <v>19</v>
      </c>
      <c r="Q437" s="24">
        <f t="shared" si="876"/>
        <v>4</v>
      </c>
      <c r="R437" s="6" t="str">
        <f t="shared" si="6"/>
        <v>Capital Markets</v>
      </c>
      <c r="S437" s="6" t="str">
        <f t="shared" si="7"/>
        <v>Capital Markets</v>
      </c>
      <c r="T437" s="6">
        <f>IFERROR(__xludf.DUMMYFUNCTION("COUNTA(UNIQUE(query($A$2:$P$800,""select L where K='""&amp; K437&amp;""'"")))"),5.0)</f>
        <v>5</v>
      </c>
      <c r="U437" s="23">
        <f t="shared" si="8"/>
        <v>0.06097560976</v>
      </c>
      <c r="V437" s="23">
        <f t="shared" ref="V437:W437" si="877">P437/O437</f>
        <v>0.1544715447</v>
      </c>
      <c r="W437" s="23">
        <f t="shared" si="877"/>
        <v>0.2105263158</v>
      </c>
    </row>
    <row r="438">
      <c r="A438" s="6">
        <f>IFERROR(__xludf.DUMMYFUNCTION("""COMPUTED_VALUE"""),532790.0)</f>
        <v>532790</v>
      </c>
      <c r="B438" s="6" t="str">
        <f>IFERROR(__xludf.DUMMYFUNCTION("""COMPUTED_VALUE"""),"TANLA PLATFORMS LIMITED")</f>
        <v>TANLA PLATFORMS LIMITED</v>
      </c>
      <c r="C438" s="6" t="str">
        <f>IFERROR(__xludf.DUMMYFUNCTION("""COMPUTED_VALUE"""),"TANLA")</f>
        <v>TANLA</v>
      </c>
      <c r="D438" s="6" t="str">
        <f>IFERROR(__xludf.DUMMYFUNCTION("""COMPUTED_VALUE"""),"Tanla Platforms Ltd")</f>
        <v>Tanla Platforms Ltd</v>
      </c>
      <c r="E438" s="6" t="str">
        <f>IFERROR(__xludf.DUMMYFUNCTION("""COMPUTED_VALUE"""),"Active")</f>
        <v>Active</v>
      </c>
      <c r="F438" s="6" t="str">
        <f>IFERROR(__xludf.DUMMYFUNCTION("""COMPUTED_VALUE"""),"A")</f>
        <v>A</v>
      </c>
      <c r="G438" s="6">
        <f>IFERROR(__xludf.DUMMYFUNCTION("""COMPUTED_VALUE"""),1.0)</f>
        <v>1</v>
      </c>
      <c r="H438" s="6" t="str">
        <f>IFERROR(__xludf.DUMMYFUNCTION("""COMPUTED_VALUE"""),"INE483C01032")</f>
        <v>INE483C01032</v>
      </c>
      <c r="I438" s="6" t="str">
        <f>IFERROR(__xludf.DUMMYFUNCTION("""COMPUTED_VALUE"""),"Equity")</f>
        <v>Equity</v>
      </c>
      <c r="J438" s="6" t="str">
        <f>IFERROR(__xludf.DUMMYFUNCTION("""COMPUTED_VALUE"""),"Information Technology")</f>
        <v>Information Technology</v>
      </c>
      <c r="K438" s="6" t="str">
        <f>IFERROR(__xludf.DUMMYFUNCTION("""COMPUTED_VALUE"""),"Information Technology")</f>
        <v>Information Technology</v>
      </c>
      <c r="L438" s="6" t="str">
        <f>IFERROR(__xludf.DUMMYFUNCTION("""COMPUTED_VALUE"""),"IT - Software")</f>
        <v>IT - Software</v>
      </c>
      <c r="M438" s="6" t="str">
        <f>IFERROR(__xludf.DUMMYFUNCTION("""COMPUTED_VALUE"""),"Software Products")</f>
        <v>Software Products</v>
      </c>
      <c r="N438" s="5">
        <f>IFERROR(__xludf.DUMMYFUNCTION("""COMPUTED_VALUE"""),12747.54348)</f>
        <v>12747.54348</v>
      </c>
      <c r="O438" s="6">
        <f t="shared" si="4"/>
        <v>36</v>
      </c>
      <c r="P438" s="6">
        <f t="shared" ref="P438:Q438" si="878">COUNTIFS(L:L,L438)</f>
        <v>27</v>
      </c>
      <c r="Q438" s="24">
        <f t="shared" si="878"/>
        <v>5</v>
      </c>
      <c r="R438" s="6" t="str">
        <f t="shared" si="6"/>
        <v>Information Technology</v>
      </c>
      <c r="S438" s="6" t="str">
        <f t="shared" si="7"/>
        <v>Information Technology</v>
      </c>
      <c r="T438" s="6">
        <f>IFERROR(__xludf.DUMMYFUNCTION("COUNTA(UNIQUE(query($A$2:$P$800,""select L where K='""&amp; K438&amp;""'"")))"),3.0)</f>
        <v>3</v>
      </c>
      <c r="U438" s="23">
        <f t="shared" si="8"/>
        <v>0.125</v>
      </c>
      <c r="V438" s="23">
        <f t="shared" ref="V438:W438" si="879">P438/O438</f>
        <v>0.75</v>
      </c>
      <c r="W438" s="23">
        <f t="shared" si="879"/>
        <v>0.1851851852</v>
      </c>
    </row>
    <row r="439">
      <c r="A439" s="6">
        <f>IFERROR(__xludf.DUMMYFUNCTION("""COMPUTED_VALUE"""),544045.0)</f>
        <v>544045</v>
      </c>
      <c r="B439" s="6" t="str">
        <f>IFERROR(__xludf.DUMMYFUNCTION("""COMPUTED_VALUE"""),"DOMS Industries Limited")</f>
        <v>DOMS Industries Limited</v>
      </c>
      <c r="C439" s="6" t="str">
        <f>IFERROR(__xludf.DUMMYFUNCTION("""COMPUTED_VALUE"""),"DOMS")</f>
        <v>DOMS</v>
      </c>
      <c r="D439" s="6" t="str">
        <f>IFERROR(__xludf.DUMMYFUNCTION("""COMPUTED_VALUE"""),"DOMS Industries Ltd")</f>
        <v>DOMS Industries Ltd</v>
      </c>
      <c r="E439" s="6" t="str">
        <f>IFERROR(__xludf.DUMMYFUNCTION("""COMPUTED_VALUE"""),"Active")</f>
        <v>Active</v>
      </c>
      <c r="F439" s="6" t="str">
        <f>IFERROR(__xludf.DUMMYFUNCTION("""COMPUTED_VALUE"""),"B")</f>
        <v>B</v>
      </c>
      <c r="G439" s="6">
        <f>IFERROR(__xludf.DUMMYFUNCTION("""COMPUTED_VALUE"""),10.0)</f>
        <v>10</v>
      </c>
      <c r="H439" s="6" t="str">
        <f>IFERROR(__xludf.DUMMYFUNCTION("""COMPUTED_VALUE"""),"INE321T01012")</f>
        <v>INE321T01012</v>
      </c>
      <c r="I439" s="6" t="str">
        <f>IFERROR(__xludf.DUMMYFUNCTION("""COMPUTED_VALUE"""),"Equity")</f>
        <v>Equity</v>
      </c>
      <c r="J439" s="6" t="str">
        <f>IFERROR(__xludf.DUMMYFUNCTION("""COMPUTED_VALUE"""),"Fast Moving Consumer Goods")</f>
        <v>Fast Moving Consumer Goods</v>
      </c>
      <c r="K439" s="6" t="str">
        <f>IFERROR(__xludf.DUMMYFUNCTION("""COMPUTED_VALUE"""),"Fast Moving Consumer Goods")</f>
        <v>Fast Moving Consumer Goods</v>
      </c>
      <c r="L439" s="6" t="str">
        <f>IFERROR(__xludf.DUMMYFUNCTION("""COMPUTED_VALUE"""),"Household Products")</f>
        <v>Household Products</v>
      </c>
      <c r="M439" s="6" t="str">
        <f>IFERROR(__xludf.DUMMYFUNCTION("""COMPUTED_VALUE"""),"Stationary")</f>
        <v>Stationary</v>
      </c>
      <c r="N439" s="5">
        <f>IFERROR(__xludf.DUMMYFUNCTION("""COMPUTED_VALUE"""),12693.4945203)</f>
        <v>12693.49452</v>
      </c>
      <c r="O439" s="6">
        <f t="shared" si="4"/>
        <v>44</v>
      </c>
      <c r="P439" s="6">
        <f t="shared" ref="P439:Q439" si="880">COUNTIFS(L:L,L439)</f>
        <v>2</v>
      </c>
      <c r="Q439" s="24">
        <f t="shared" si="880"/>
        <v>1</v>
      </c>
      <c r="R439" s="6" t="str">
        <f t="shared" si="6"/>
        <v>Fast Moving Consumer Goods</v>
      </c>
      <c r="S439" s="6" t="str">
        <f t="shared" si="7"/>
        <v>Fast Moving Consumer Goods</v>
      </c>
      <c r="T439" s="6">
        <f>IFERROR(__xludf.DUMMYFUNCTION("COUNTA(UNIQUE(query($A$2:$P$800,""select L where K='""&amp; K439&amp;""'"")))"),7.0)</f>
        <v>7</v>
      </c>
      <c r="U439" s="23">
        <f t="shared" si="8"/>
        <v>0.2386363636</v>
      </c>
      <c r="V439" s="23">
        <f t="shared" ref="V439:W439" si="881">P439/O439</f>
        <v>0.04545454545</v>
      </c>
      <c r="W439" s="23">
        <f t="shared" si="881"/>
        <v>0.5</v>
      </c>
    </row>
    <row r="440">
      <c r="A440" s="6">
        <f>IFERROR(__xludf.DUMMYFUNCTION("""COMPUTED_VALUE"""),532210.0)</f>
        <v>532210</v>
      </c>
      <c r="B440" s="6" t="str">
        <f>IFERROR(__xludf.DUMMYFUNCTION("""COMPUTED_VALUE"""),"City Union Bank Ltd")</f>
        <v>City Union Bank Ltd</v>
      </c>
      <c r="C440" s="6" t="str">
        <f>IFERROR(__xludf.DUMMYFUNCTION("""COMPUTED_VALUE"""),"CUB")</f>
        <v>CUB</v>
      </c>
      <c r="D440" s="6" t="str">
        <f>IFERROR(__xludf.DUMMYFUNCTION("""COMPUTED_VALUE"""),"CITY UNION BANK LTD.")</f>
        <v>CITY UNION BANK LTD.</v>
      </c>
      <c r="E440" s="6" t="str">
        <f>IFERROR(__xludf.DUMMYFUNCTION("""COMPUTED_VALUE"""),"Active")</f>
        <v>Active</v>
      </c>
      <c r="F440" s="6" t="str">
        <f>IFERROR(__xludf.DUMMYFUNCTION("""COMPUTED_VALUE"""),"A")</f>
        <v>A</v>
      </c>
      <c r="G440" s="6">
        <f>IFERROR(__xludf.DUMMYFUNCTION("""COMPUTED_VALUE"""),1.0)</f>
        <v>1</v>
      </c>
      <c r="H440" s="6" t="str">
        <f>IFERROR(__xludf.DUMMYFUNCTION("""COMPUTED_VALUE"""),"INE491A01021")</f>
        <v>INE491A01021</v>
      </c>
      <c r="I440" s="6" t="str">
        <f>IFERROR(__xludf.DUMMYFUNCTION("""COMPUTED_VALUE"""),"Equity")</f>
        <v>Equity</v>
      </c>
      <c r="J440" s="6" t="str">
        <f>IFERROR(__xludf.DUMMYFUNCTION("""COMPUTED_VALUE"""),"Financial Services")</f>
        <v>Financial Services</v>
      </c>
      <c r="K440" s="6" t="str">
        <f>IFERROR(__xludf.DUMMYFUNCTION("""COMPUTED_VALUE"""),"Financial Services")</f>
        <v>Financial Services</v>
      </c>
      <c r="L440" s="6" t="str">
        <f>IFERROR(__xludf.DUMMYFUNCTION("""COMPUTED_VALUE"""),"Banks")</f>
        <v>Banks</v>
      </c>
      <c r="M440" s="6" t="str">
        <f>IFERROR(__xludf.DUMMYFUNCTION("""COMPUTED_VALUE"""),"Private Sector Bank")</f>
        <v>Private Sector Bank</v>
      </c>
      <c r="N440" s="5">
        <f>IFERROR(__xludf.DUMMYFUNCTION("""COMPUTED_VALUE"""),12681.4165348)</f>
        <v>12681.41653</v>
      </c>
      <c r="O440" s="6">
        <f t="shared" si="4"/>
        <v>123</v>
      </c>
      <c r="P440" s="6">
        <f t="shared" ref="P440:Q440" si="882">COUNTIFS(L:L,L440)</f>
        <v>35</v>
      </c>
      <c r="Q440" s="24">
        <f t="shared" si="882"/>
        <v>23</v>
      </c>
      <c r="R440" s="6" t="str">
        <f t="shared" si="6"/>
        <v>Banks</v>
      </c>
      <c r="S440" s="6" t="str">
        <f t="shared" si="7"/>
        <v>Banks</v>
      </c>
      <c r="T440" s="6">
        <f>IFERROR(__xludf.DUMMYFUNCTION("COUNTA(UNIQUE(query($A$2:$P$800,""select L where K='""&amp; K440&amp;""'"")))"),5.0)</f>
        <v>5</v>
      </c>
      <c r="U440" s="23">
        <f t="shared" si="8"/>
        <v>0.06097560976</v>
      </c>
      <c r="V440" s="23">
        <f t="shared" ref="V440:W440" si="883">P440/O440</f>
        <v>0.2845528455</v>
      </c>
      <c r="W440" s="23">
        <f t="shared" si="883"/>
        <v>0.6571428571</v>
      </c>
    </row>
    <row r="441">
      <c r="A441" s="6">
        <f>IFERROR(__xludf.DUMMYFUNCTION("""COMPUTED_VALUE"""),539150.0)</f>
        <v>539150</v>
      </c>
      <c r="B441" s="6" t="str">
        <f>IFERROR(__xludf.DUMMYFUNCTION("""COMPUTED_VALUE"""),"PNC Infratech Limited")</f>
        <v>PNC Infratech Limited</v>
      </c>
      <c r="C441" s="6" t="str">
        <f>IFERROR(__xludf.DUMMYFUNCTION("""COMPUTED_VALUE"""),"PNCINFRA")</f>
        <v>PNCINFRA</v>
      </c>
      <c r="D441" s="6" t="str">
        <f>IFERROR(__xludf.DUMMYFUNCTION("""COMPUTED_VALUE"""),"PNC Infratech Ltd")</f>
        <v>PNC Infratech Ltd</v>
      </c>
      <c r="E441" s="6" t="str">
        <f>IFERROR(__xludf.DUMMYFUNCTION("""COMPUTED_VALUE"""),"Active")</f>
        <v>Active</v>
      </c>
      <c r="F441" s="6" t="str">
        <f>IFERROR(__xludf.DUMMYFUNCTION("""COMPUTED_VALUE"""),"A")</f>
        <v>A</v>
      </c>
      <c r="G441" s="6">
        <f>IFERROR(__xludf.DUMMYFUNCTION("""COMPUTED_VALUE"""),2.0)</f>
        <v>2</v>
      </c>
      <c r="H441" s="6" t="str">
        <f>IFERROR(__xludf.DUMMYFUNCTION("""COMPUTED_VALUE"""),"INE195J01029")</f>
        <v>INE195J01029</v>
      </c>
      <c r="I441" s="6" t="str">
        <f>IFERROR(__xludf.DUMMYFUNCTION("""COMPUTED_VALUE"""),"Equity")</f>
        <v>Equity</v>
      </c>
      <c r="J441" s="6" t="str">
        <f>IFERROR(__xludf.DUMMYFUNCTION("""COMPUTED_VALUE"""),"Industrials")</f>
        <v>Industrials</v>
      </c>
      <c r="K441" s="6" t="str">
        <f>IFERROR(__xludf.DUMMYFUNCTION("""COMPUTED_VALUE"""),"Construction")</f>
        <v>Construction</v>
      </c>
      <c r="L441" s="6" t="str">
        <f>IFERROR(__xludf.DUMMYFUNCTION("""COMPUTED_VALUE"""),"Construction")</f>
        <v>Construction</v>
      </c>
      <c r="M441" s="6" t="str">
        <f>IFERROR(__xludf.DUMMYFUNCTION("""COMPUTED_VALUE"""),"Civil Construction")</f>
        <v>Civil Construction</v>
      </c>
      <c r="N441" s="5">
        <f>IFERROR(__xludf.DUMMYFUNCTION("""COMPUTED_VALUE"""),12591.84291)</f>
        <v>12591.84291</v>
      </c>
      <c r="O441" s="6">
        <f t="shared" si="4"/>
        <v>27</v>
      </c>
      <c r="P441" s="6">
        <f t="shared" ref="P441:Q441" si="884">COUNTIFS(L:L,L441)</f>
        <v>27</v>
      </c>
      <c r="Q441" s="24">
        <f t="shared" si="884"/>
        <v>27</v>
      </c>
      <c r="R441" s="6" t="str">
        <f t="shared" si="6"/>
        <v>Construction</v>
      </c>
      <c r="S441" s="6" t="str">
        <f t="shared" si="7"/>
        <v>Construction</v>
      </c>
      <c r="T441" s="6">
        <f>IFERROR(__xludf.DUMMYFUNCTION("COUNTA(UNIQUE(query($A$2:$P$800,""select L where K='""&amp; K441&amp;""'"")))"),1.0)</f>
        <v>1</v>
      </c>
      <c r="U441" s="23">
        <f t="shared" si="8"/>
        <v>0.05555555556</v>
      </c>
      <c r="V441" s="23">
        <f t="shared" ref="V441:W441" si="885">P441/O441</f>
        <v>1</v>
      </c>
      <c r="W441" s="23">
        <f t="shared" si="885"/>
        <v>1</v>
      </c>
    </row>
    <row r="442">
      <c r="A442" s="6">
        <f>IFERROR(__xludf.DUMMYFUNCTION("""COMPUTED_VALUE"""),543720.0)</f>
        <v>543720</v>
      </c>
      <c r="B442" s="6" t="str">
        <f>IFERROR(__xludf.DUMMYFUNCTION("""COMPUTED_VALUE"""),"KFin Technologies Limited")</f>
        <v>KFin Technologies Limited</v>
      </c>
      <c r="C442" s="6" t="str">
        <f>IFERROR(__xludf.DUMMYFUNCTION("""COMPUTED_VALUE"""),"KFINTECH")</f>
        <v>KFINTECH</v>
      </c>
      <c r="D442" s="6" t="str">
        <f>IFERROR(__xludf.DUMMYFUNCTION("""COMPUTED_VALUE"""),"KFin Technologies Ltd")</f>
        <v>KFin Technologies Ltd</v>
      </c>
      <c r="E442" s="6" t="str">
        <f>IFERROR(__xludf.DUMMYFUNCTION("""COMPUTED_VALUE"""),"Active")</f>
        <v>Active</v>
      </c>
      <c r="F442" s="6" t="str">
        <f>IFERROR(__xludf.DUMMYFUNCTION("""COMPUTED_VALUE"""),"A")</f>
        <v>A</v>
      </c>
      <c r="G442" s="6">
        <f>IFERROR(__xludf.DUMMYFUNCTION("""COMPUTED_VALUE"""),10.0)</f>
        <v>10</v>
      </c>
      <c r="H442" s="6" t="str">
        <f>IFERROR(__xludf.DUMMYFUNCTION("""COMPUTED_VALUE"""),"INE138Y01010")</f>
        <v>INE138Y01010</v>
      </c>
      <c r="I442" s="6" t="str">
        <f>IFERROR(__xludf.DUMMYFUNCTION("""COMPUTED_VALUE"""),"Equity")</f>
        <v>Equity</v>
      </c>
      <c r="J442" s="6" t="str">
        <f>IFERROR(__xludf.DUMMYFUNCTION("""COMPUTED_VALUE"""),"Financial Services")</f>
        <v>Financial Services</v>
      </c>
      <c r="K442" s="6" t="str">
        <f>IFERROR(__xludf.DUMMYFUNCTION("""COMPUTED_VALUE"""),"Financial Services")</f>
        <v>Financial Services</v>
      </c>
      <c r="L442" s="6" t="str">
        <f>IFERROR(__xludf.DUMMYFUNCTION("""COMPUTED_VALUE"""),"Capital Markets")</f>
        <v>Capital Markets</v>
      </c>
      <c r="M442" s="6" t="str">
        <f>IFERROR(__xludf.DUMMYFUNCTION("""COMPUTED_VALUE"""),"Depositories, Clearing Houses and Other Intermediaries")</f>
        <v>Depositories, Clearing Houses and Other Intermediaries</v>
      </c>
      <c r="N442" s="5">
        <f>IFERROR(__xludf.DUMMYFUNCTION("""COMPUTED_VALUE"""),12561.8749794)</f>
        <v>12561.87498</v>
      </c>
      <c r="O442" s="6">
        <f t="shared" si="4"/>
        <v>123</v>
      </c>
      <c r="P442" s="6">
        <f t="shared" ref="P442:Q442" si="886">COUNTIFS(L:L,L442)</f>
        <v>19</v>
      </c>
      <c r="Q442" s="24">
        <f t="shared" si="886"/>
        <v>3</v>
      </c>
      <c r="R442" s="6" t="str">
        <f t="shared" si="6"/>
        <v>Capital Markets</v>
      </c>
      <c r="S442" s="6" t="str">
        <f t="shared" si="7"/>
        <v>Capital Markets</v>
      </c>
      <c r="T442" s="6">
        <f>IFERROR(__xludf.DUMMYFUNCTION("COUNTA(UNIQUE(query($A$2:$P$800,""select L where K='""&amp; K442&amp;""'"")))"),5.0)</f>
        <v>5</v>
      </c>
      <c r="U442" s="23">
        <f t="shared" si="8"/>
        <v>0.06097560976</v>
      </c>
      <c r="V442" s="23">
        <f t="shared" ref="V442:W442" si="887">P442/O442</f>
        <v>0.1544715447</v>
      </c>
      <c r="W442" s="23">
        <f t="shared" si="887"/>
        <v>0.1578947368</v>
      </c>
    </row>
    <row r="443">
      <c r="A443" s="6">
        <f>IFERROR(__xludf.DUMMYFUNCTION("""COMPUTED_VALUE"""),543334.0)</f>
        <v>543334</v>
      </c>
      <c r="B443" s="6" t="str">
        <f>IFERROR(__xludf.DUMMYFUNCTION("""COMPUTED_VALUE"""),"Nuvoco Vistas Corporation Limited")</f>
        <v>Nuvoco Vistas Corporation Limited</v>
      </c>
      <c r="C443" s="6" t="str">
        <f>IFERROR(__xludf.DUMMYFUNCTION("""COMPUTED_VALUE"""),"NUVOCO")</f>
        <v>NUVOCO</v>
      </c>
      <c r="D443" s="6" t="str">
        <f>IFERROR(__xludf.DUMMYFUNCTION("""COMPUTED_VALUE"""),"Nuvoco Vistas Corporation Ltd")</f>
        <v>Nuvoco Vistas Corporation Ltd</v>
      </c>
      <c r="E443" s="6" t="str">
        <f>IFERROR(__xludf.DUMMYFUNCTION("""COMPUTED_VALUE"""),"Active")</f>
        <v>Active</v>
      </c>
      <c r="F443" s="6" t="str">
        <f>IFERROR(__xludf.DUMMYFUNCTION("""COMPUTED_VALUE"""),"A")</f>
        <v>A</v>
      </c>
      <c r="G443" s="6">
        <f>IFERROR(__xludf.DUMMYFUNCTION("""COMPUTED_VALUE"""),10.0)</f>
        <v>10</v>
      </c>
      <c r="H443" s="6" t="str">
        <f>IFERROR(__xludf.DUMMYFUNCTION("""COMPUTED_VALUE"""),"INE118D01016")</f>
        <v>INE118D01016</v>
      </c>
      <c r="I443" s="6" t="str">
        <f>IFERROR(__xludf.DUMMYFUNCTION("""COMPUTED_VALUE"""),"Equity")</f>
        <v>Equity</v>
      </c>
      <c r="J443" s="6" t="str">
        <f>IFERROR(__xludf.DUMMYFUNCTION("""COMPUTED_VALUE"""),"Commodities")</f>
        <v>Commodities</v>
      </c>
      <c r="K443" s="6" t="str">
        <f>IFERROR(__xludf.DUMMYFUNCTION("""COMPUTED_VALUE"""),"Construction Materials")</f>
        <v>Construction Materials</v>
      </c>
      <c r="L443" s="6" t="str">
        <f>IFERROR(__xludf.DUMMYFUNCTION("""COMPUTED_VALUE"""),"Cement &amp; Cement Products")</f>
        <v>Cement &amp; Cement Products</v>
      </c>
      <c r="M443" s="6" t="str">
        <f>IFERROR(__xludf.DUMMYFUNCTION("""COMPUTED_VALUE"""),"Cement &amp; Cement Products")</f>
        <v>Cement &amp; Cement Products</v>
      </c>
      <c r="N443" s="5">
        <f>IFERROR(__xludf.DUMMYFUNCTION("""COMPUTED_VALUE"""),12549.4559204)</f>
        <v>12549.45592</v>
      </c>
      <c r="O443" s="6">
        <f t="shared" si="4"/>
        <v>17</v>
      </c>
      <c r="P443" s="6">
        <f t="shared" ref="P443:Q443" si="888">COUNTIFS(L:L,L443)</f>
        <v>17</v>
      </c>
      <c r="Q443" s="24">
        <f t="shared" si="888"/>
        <v>17</v>
      </c>
      <c r="R443" s="6" t="str">
        <f t="shared" si="6"/>
        <v>Construction Materials</v>
      </c>
      <c r="S443" s="6" t="str">
        <f t="shared" si="7"/>
        <v>Construction Materials</v>
      </c>
      <c r="T443" s="6">
        <f>IFERROR(__xludf.DUMMYFUNCTION("COUNTA(UNIQUE(query($A$2:$P$800,""select L where K='""&amp; K443&amp;""'"")))"),1.0)</f>
        <v>1</v>
      </c>
      <c r="U443" s="23">
        <f t="shared" si="8"/>
        <v>0.08823529412</v>
      </c>
      <c r="V443" s="23">
        <f t="shared" ref="V443:W443" si="889">P443/O443</f>
        <v>1</v>
      </c>
      <c r="W443" s="23">
        <f t="shared" si="889"/>
        <v>1</v>
      </c>
    </row>
    <row r="444">
      <c r="A444" s="6">
        <f>IFERROR(__xludf.DUMMYFUNCTION("""COMPUTED_VALUE"""),544046.0)</f>
        <v>544046</v>
      </c>
      <c r="B444" s="6" t="str">
        <f>IFERROR(__xludf.DUMMYFUNCTION("""COMPUTED_VALUE"""),"INOX India Limited")</f>
        <v>INOX India Limited</v>
      </c>
      <c r="C444" s="6" t="str">
        <f>IFERROR(__xludf.DUMMYFUNCTION("""COMPUTED_VALUE"""),"INOXINDIA")</f>
        <v>INOXINDIA</v>
      </c>
      <c r="D444" s="6" t="str">
        <f>IFERROR(__xludf.DUMMYFUNCTION("""COMPUTED_VALUE"""),"INOX India Ltd")</f>
        <v>INOX India Ltd</v>
      </c>
      <c r="E444" s="6" t="str">
        <f>IFERROR(__xludf.DUMMYFUNCTION("""COMPUTED_VALUE"""),"Active")</f>
        <v>Active</v>
      </c>
      <c r="F444" s="6" t="str">
        <f>IFERROR(__xludf.DUMMYFUNCTION("""COMPUTED_VALUE"""),"B")</f>
        <v>B</v>
      </c>
      <c r="G444" s="6">
        <f>IFERROR(__xludf.DUMMYFUNCTION("""COMPUTED_VALUE"""),2.0)</f>
        <v>2</v>
      </c>
      <c r="H444" s="6" t="str">
        <f>IFERROR(__xludf.DUMMYFUNCTION("""COMPUTED_VALUE"""),"INE616N01034")</f>
        <v>INE616N01034</v>
      </c>
      <c r="I444" s="6" t="str">
        <f>IFERROR(__xludf.DUMMYFUNCTION("""COMPUTED_VALUE"""),"Equity")</f>
        <v>Equity</v>
      </c>
      <c r="J444" s="6" t="str">
        <f>IFERROR(__xludf.DUMMYFUNCTION("""COMPUTED_VALUE"""),"Industrials")</f>
        <v>Industrials</v>
      </c>
      <c r="K444" s="6" t="str">
        <f>IFERROR(__xludf.DUMMYFUNCTION("""COMPUTED_VALUE"""),"Capital Goods")</f>
        <v>Capital Goods</v>
      </c>
      <c r="L444" s="6" t="str">
        <f>IFERROR(__xludf.DUMMYFUNCTION("""COMPUTED_VALUE"""),"Industrial Products")</f>
        <v>Industrial Products</v>
      </c>
      <c r="M444" s="6" t="str">
        <f>IFERROR(__xludf.DUMMYFUNCTION("""COMPUTED_VALUE"""),"Other Industrial Products")</f>
        <v>Other Industrial Products</v>
      </c>
      <c r="N444" s="5">
        <f>IFERROR(__xludf.DUMMYFUNCTION("""COMPUTED_VALUE"""),12547.1713614)</f>
        <v>12547.17136</v>
      </c>
      <c r="O444" s="6">
        <f t="shared" si="4"/>
        <v>110</v>
      </c>
      <c r="P444" s="6">
        <f t="shared" ref="P444:Q444" si="890">COUNTIFS(L:L,L444)</f>
        <v>51</v>
      </c>
      <c r="Q444" s="24">
        <f t="shared" si="890"/>
        <v>5</v>
      </c>
      <c r="R444" s="6" t="str">
        <f t="shared" si="6"/>
        <v>Industrial Products</v>
      </c>
      <c r="S444" s="6" t="str">
        <f t="shared" si="7"/>
        <v>Industrial Products</v>
      </c>
      <c r="T444" s="6">
        <f>IFERROR(__xludf.DUMMYFUNCTION("COUNTA(UNIQUE(query($A$2:$P$800,""select L where K='""&amp; K444&amp;""'"")))"),5.0)</f>
        <v>5</v>
      </c>
      <c r="U444" s="23">
        <f t="shared" si="8"/>
        <v>0.06818181818</v>
      </c>
      <c r="V444" s="23">
        <f t="shared" ref="V444:W444" si="891">P444/O444</f>
        <v>0.4636363636</v>
      </c>
      <c r="W444" s="23">
        <f t="shared" si="891"/>
        <v>0.09803921569</v>
      </c>
    </row>
    <row r="445">
      <c r="A445" s="6">
        <f>IFERROR(__xludf.DUMMYFUNCTION("""COMPUTED_VALUE"""),532209.0)</f>
        <v>532209</v>
      </c>
      <c r="B445" s="6" t="str">
        <f>IFERROR(__xludf.DUMMYFUNCTION("""COMPUTED_VALUE"""),"Jammu and Kashmir Bank Ltd.")</f>
        <v>Jammu and Kashmir Bank Ltd.</v>
      </c>
      <c r="C445" s="6" t="str">
        <f>IFERROR(__xludf.DUMMYFUNCTION("""COMPUTED_VALUE"""),"J&amp;KBANK")</f>
        <v>J&amp;KBANK</v>
      </c>
      <c r="D445" s="6" t="str">
        <f>IFERROR(__xludf.DUMMYFUNCTION("""COMPUTED_VALUE"""),"JAMMU &amp; KASHMIR BANK LTD.")</f>
        <v>JAMMU &amp; KASHMIR BANK LTD.</v>
      </c>
      <c r="E445" s="6" t="str">
        <f>IFERROR(__xludf.DUMMYFUNCTION("""COMPUTED_VALUE"""),"Active")</f>
        <v>Active</v>
      </c>
      <c r="F445" s="6" t="str">
        <f>IFERROR(__xludf.DUMMYFUNCTION("""COMPUTED_VALUE"""),"A")</f>
        <v>A</v>
      </c>
      <c r="G445" s="6">
        <f>IFERROR(__xludf.DUMMYFUNCTION("""COMPUTED_VALUE"""),1.0)</f>
        <v>1</v>
      </c>
      <c r="H445" s="6" t="str">
        <f>IFERROR(__xludf.DUMMYFUNCTION("""COMPUTED_VALUE"""),"INE168A01041")</f>
        <v>INE168A01041</v>
      </c>
      <c r="I445" s="6" t="str">
        <f>IFERROR(__xludf.DUMMYFUNCTION("""COMPUTED_VALUE"""),"Equity")</f>
        <v>Equity</v>
      </c>
      <c r="J445" s="6" t="str">
        <f>IFERROR(__xludf.DUMMYFUNCTION("""COMPUTED_VALUE"""),"Financial Services")</f>
        <v>Financial Services</v>
      </c>
      <c r="K445" s="6" t="str">
        <f>IFERROR(__xludf.DUMMYFUNCTION("""COMPUTED_VALUE"""),"Financial Services")</f>
        <v>Financial Services</v>
      </c>
      <c r="L445" s="6" t="str">
        <f>IFERROR(__xludf.DUMMYFUNCTION("""COMPUTED_VALUE"""),"Banks")</f>
        <v>Banks</v>
      </c>
      <c r="M445" s="6" t="str">
        <f>IFERROR(__xludf.DUMMYFUNCTION("""COMPUTED_VALUE"""),"Private Sector Bank")</f>
        <v>Private Sector Bank</v>
      </c>
      <c r="N445" s="5">
        <f>IFERROR(__xludf.DUMMYFUNCTION("""COMPUTED_VALUE"""),12546.9833678)</f>
        <v>12546.98337</v>
      </c>
      <c r="O445" s="6">
        <f t="shared" si="4"/>
        <v>123</v>
      </c>
      <c r="P445" s="6">
        <f t="shared" ref="P445:Q445" si="892">COUNTIFS(L:L,L445)</f>
        <v>35</v>
      </c>
      <c r="Q445" s="24">
        <f t="shared" si="892"/>
        <v>23</v>
      </c>
      <c r="R445" s="6" t="str">
        <f t="shared" si="6"/>
        <v>Banks</v>
      </c>
      <c r="S445" s="6" t="str">
        <f t="shared" si="7"/>
        <v>Banks</v>
      </c>
      <c r="T445" s="6">
        <f>IFERROR(__xludf.DUMMYFUNCTION("COUNTA(UNIQUE(query($A$2:$P$800,""select L where K='""&amp; K445&amp;""'"")))"),5.0)</f>
        <v>5</v>
      </c>
      <c r="U445" s="23">
        <f t="shared" si="8"/>
        <v>0.06097560976</v>
      </c>
      <c r="V445" s="23">
        <f t="shared" ref="V445:W445" si="893">P445/O445</f>
        <v>0.2845528455</v>
      </c>
      <c r="W445" s="23">
        <f t="shared" si="893"/>
        <v>0.6571428571</v>
      </c>
    </row>
    <row r="446">
      <c r="A446" s="6">
        <f>IFERROR(__xludf.DUMMYFUNCTION("""COMPUTED_VALUE"""),532891.0)</f>
        <v>532891</v>
      </c>
      <c r="B446" s="6" t="str">
        <f>IFERROR(__xludf.DUMMYFUNCTION("""COMPUTED_VALUE"""),"Puravankara Limited")</f>
        <v>Puravankara Limited</v>
      </c>
      <c r="C446" s="6" t="str">
        <f>IFERROR(__xludf.DUMMYFUNCTION("""COMPUTED_VALUE"""),"PURVA")</f>
        <v>PURVA</v>
      </c>
      <c r="D446" s="6" t="str">
        <f>IFERROR(__xludf.DUMMYFUNCTION("""COMPUTED_VALUE"""),"Puravankara Ltd")</f>
        <v>Puravankara Ltd</v>
      </c>
      <c r="E446" s="6" t="str">
        <f>IFERROR(__xludf.DUMMYFUNCTION("""COMPUTED_VALUE"""),"Active")</f>
        <v>Active</v>
      </c>
      <c r="F446" s="6" t="str">
        <f>IFERROR(__xludf.DUMMYFUNCTION("""COMPUTED_VALUE"""),"T")</f>
        <v>T</v>
      </c>
      <c r="G446" s="6">
        <f>IFERROR(__xludf.DUMMYFUNCTION("""COMPUTED_VALUE"""),5.0)</f>
        <v>5</v>
      </c>
      <c r="H446" s="6" t="str">
        <f>IFERROR(__xludf.DUMMYFUNCTION("""COMPUTED_VALUE"""),"INE323I01011")</f>
        <v>INE323I01011</v>
      </c>
      <c r="I446" s="6" t="str">
        <f>IFERROR(__xludf.DUMMYFUNCTION("""COMPUTED_VALUE"""),"Equity")</f>
        <v>Equity</v>
      </c>
      <c r="J446" s="6" t="str">
        <f>IFERROR(__xludf.DUMMYFUNCTION("""COMPUTED_VALUE"""),"Consumer Discretionary")</f>
        <v>Consumer Discretionary</v>
      </c>
      <c r="K446" s="6" t="str">
        <f>IFERROR(__xludf.DUMMYFUNCTION("""COMPUTED_VALUE"""),"Realty")</f>
        <v>Realty</v>
      </c>
      <c r="L446" s="6" t="str">
        <f>IFERROR(__xludf.DUMMYFUNCTION("""COMPUTED_VALUE"""),"Realty")</f>
        <v>Realty</v>
      </c>
      <c r="M446" s="6" t="str">
        <f>IFERROR(__xludf.DUMMYFUNCTION("""COMPUTED_VALUE"""),"Residential, Commercial Projects")</f>
        <v>Residential, Commercial Projects</v>
      </c>
      <c r="N446" s="5">
        <f>IFERROR(__xludf.DUMMYFUNCTION("""COMPUTED_VALUE"""),12535.59075)</f>
        <v>12535.59075</v>
      </c>
      <c r="O446" s="6">
        <f t="shared" si="4"/>
        <v>20</v>
      </c>
      <c r="P446" s="6">
        <f t="shared" ref="P446:Q446" si="894">COUNTIFS(L:L,L446)</f>
        <v>20</v>
      </c>
      <c r="Q446" s="24">
        <f t="shared" si="894"/>
        <v>20</v>
      </c>
      <c r="R446" s="6" t="str">
        <f t="shared" si="6"/>
        <v>Realty</v>
      </c>
      <c r="S446" s="6" t="str">
        <f t="shared" si="7"/>
        <v>Realty</v>
      </c>
      <c r="T446" s="6">
        <f>IFERROR(__xludf.DUMMYFUNCTION("COUNTA(UNIQUE(query($A$2:$P$800,""select L where K='""&amp; K446&amp;""'"")))"),1.0)</f>
        <v>1</v>
      </c>
      <c r="U446" s="23">
        <f t="shared" si="8"/>
        <v>0.075</v>
      </c>
      <c r="V446" s="23">
        <f t="shared" ref="V446:W446" si="895">P446/O446</f>
        <v>1</v>
      </c>
      <c r="W446" s="23">
        <f t="shared" si="895"/>
        <v>1</v>
      </c>
    </row>
    <row r="447">
      <c r="A447" s="6">
        <f>IFERROR(__xludf.DUMMYFUNCTION("""COMPUTED_VALUE"""),500335.0)</f>
        <v>500335</v>
      </c>
      <c r="B447" s="6" t="str">
        <f>IFERROR(__xludf.DUMMYFUNCTION("""COMPUTED_VALUE"""),"Birla Corporation Ltd.")</f>
        <v>Birla Corporation Ltd.</v>
      </c>
      <c r="C447" s="6" t="str">
        <f>IFERROR(__xludf.DUMMYFUNCTION("""COMPUTED_VALUE"""),"BIRLACORPN")</f>
        <v>BIRLACORPN</v>
      </c>
      <c r="D447" s="6" t="str">
        <f>IFERROR(__xludf.DUMMYFUNCTION("""COMPUTED_VALUE"""),"BIRLA CORPORATION LTD.")</f>
        <v>BIRLA CORPORATION LTD.</v>
      </c>
      <c r="E447" s="6" t="str">
        <f>IFERROR(__xludf.DUMMYFUNCTION("""COMPUTED_VALUE"""),"Active")</f>
        <v>Active</v>
      </c>
      <c r="F447" s="6" t="str">
        <f>IFERROR(__xludf.DUMMYFUNCTION("""COMPUTED_VALUE"""),"A")</f>
        <v>A</v>
      </c>
      <c r="G447" s="6">
        <f>IFERROR(__xludf.DUMMYFUNCTION("""COMPUTED_VALUE"""),10.0)</f>
        <v>10</v>
      </c>
      <c r="H447" s="6" t="str">
        <f>IFERROR(__xludf.DUMMYFUNCTION("""COMPUTED_VALUE"""),"INE340A01012")</f>
        <v>INE340A01012</v>
      </c>
      <c r="I447" s="6" t="str">
        <f>IFERROR(__xludf.DUMMYFUNCTION("""COMPUTED_VALUE"""),"Equity")</f>
        <v>Equity</v>
      </c>
      <c r="J447" s="6" t="str">
        <f>IFERROR(__xludf.DUMMYFUNCTION("""COMPUTED_VALUE"""),"Commodities")</f>
        <v>Commodities</v>
      </c>
      <c r="K447" s="6" t="str">
        <f>IFERROR(__xludf.DUMMYFUNCTION("""COMPUTED_VALUE"""),"Construction Materials")</f>
        <v>Construction Materials</v>
      </c>
      <c r="L447" s="6" t="str">
        <f>IFERROR(__xludf.DUMMYFUNCTION("""COMPUTED_VALUE"""),"Cement &amp; Cement Products")</f>
        <v>Cement &amp; Cement Products</v>
      </c>
      <c r="M447" s="6" t="str">
        <f>IFERROR(__xludf.DUMMYFUNCTION("""COMPUTED_VALUE"""),"Cement &amp; Cement Products")</f>
        <v>Cement &amp; Cement Products</v>
      </c>
      <c r="N447" s="5">
        <f>IFERROR(__xludf.DUMMYFUNCTION("""COMPUTED_VALUE"""),12436.363016)</f>
        <v>12436.36302</v>
      </c>
      <c r="O447" s="6">
        <f t="shared" si="4"/>
        <v>17</v>
      </c>
      <c r="P447" s="6">
        <f t="shared" ref="P447:Q447" si="896">COUNTIFS(L:L,L447)</f>
        <v>17</v>
      </c>
      <c r="Q447" s="24">
        <f t="shared" si="896"/>
        <v>17</v>
      </c>
      <c r="R447" s="6" t="str">
        <f t="shared" si="6"/>
        <v>Construction Materials</v>
      </c>
      <c r="S447" s="6" t="str">
        <f t="shared" si="7"/>
        <v>Construction Materials</v>
      </c>
      <c r="T447" s="6">
        <f>IFERROR(__xludf.DUMMYFUNCTION("COUNTA(UNIQUE(query($A$2:$P$800,""select L where K='""&amp; K447&amp;""'"")))"),1.0)</f>
        <v>1</v>
      </c>
      <c r="U447" s="23">
        <f t="shared" si="8"/>
        <v>0.08823529412</v>
      </c>
      <c r="V447" s="23">
        <f t="shared" ref="V447:W447" si="897">P447/O447</f>
        <v>1</v>
      </c>
      <c r="W447" s="23">
        <f t="shared" si="897"/>
        <v>1</v>
      </c>
    </row>
    <row r="448">
      <c r="A448" s="6">
        <f>IFERROR(__xludf.DUMMYFUNCTION("""COMPUTED_VALUE"""),543425.0)</f>
        <v>543425</v>
      </c>
      <c r="B448" s="6" t="str">
        <f>IFERROR(__xludf.DUMMYFUNCTION("""COMPUTED_VALUE"""),"C.E. Info Systems Limited")</f>
        <v>C.E. Info Systems Limited</v>
      </c>
      <c r="C448" s="6" t="str">
        <f>IFERROR(__xludf.DUMMYFUNCTION("""COMPUTED_VALUE"""),"MAPMYINDIA")</f>
        <v>MAPMYINDIA</v>
      </c>
      <c r="D448" s="6" t="str">
        <f>IFERROR(__xludf.DUMMYFUNCTION("""COMPUTED_VALUE"""),"C.E. Info Systems Ltd")</f>
        <v>C.E. Info Systems Ltd</v>
      </c>
      <c r="E448" s="6" t="str">
        <f>IFERROR(__xludf.DUMMYFUNCTION("""COMPUTED_VALUE"""),"Active")</f>
        <v>Active</v>
      </c>
      <c r="F448" s="6" t="str">
        <f>IFERROR(__xludf.DUMMYFUNCTION("""COMPUTED_VALUE"""),"A")</f>
        <v>A</v>
      </c>
      <c r="G448" s="6">
        <f>IFERROR(__xludf.DUMMYFUNCTION("""COMPUTED_VALUE"""),2.0)</f>
        <v>2</v>
      </c>
      <c r="H448" s="6" t="str">
        <f>IFERROR(__xludf.DUMMYFUNCTION("""COMPUTED_VALUE"""),"INE0BV301023")</f>
        <v>INE0BV301023</v>
      </c>
      <c r="I448" s="6" t="str">
        <f>IFERROR(__xludf.DUMMYFUNCTION("""COMPUTED_VALUE"""),"Equity")</f>
        <v>Equity</v>
      </c>
      <c r="J448" s="6" t="str">
        <f>IFERROR(__xludf.DUMMYFUNCTION("""COMPUTED_VALUE"""),"Information Technology")</f>
        <v>Information Technology</v>
      </c>
      <c r="K448" s="6" t="str">
        <f>IFERROR(__xludf.DUMMYFUNCTION("""COMPUTED_VALUE"""),"Information Technology")</f>
        <v>Information Technology</v>
      </c>
      <c r="L448" s="6" t="str">
        <f>IFERROR(__xludf.DUMMYFUNCTION("""COMPUTED_VALUE"""),"IT - Software")</f>
        <v>IT - Software</v>
      </c>
      <c r="M448" s="6" t="str">
        <f>IFERROR(__xludf.DUMMYFUNCTION("""COMPUTED_VALUE"""),"Software Products")</f>
        <v>Software Products</v>
      </c>
      <c r="N448" s="5">
        <f>IFERROR(__xludf.DUMMYFUNCTION("""COMPUTED_VALUE"""),12376.9009182)</f>
        <v>12376.90092</v>
      </c>
      <c r="O448" s="6">
        <f t="shared" si="4"/>
        <v>36</v>
      </c>
      <c r="P448" s="6">
        <f t="shared" ref="P448:Q448" si="898">COUNTIFS(L:L,L448)</f>
        <v>27</v>
      </c>
      <c r="Q448" s="24">
        <f t="shared" si="898"/>
        <v>5</v>
      </c>
      <c r="R448" s="6" t="str">
        <f t="shared" si="6"/>
        <v>Information Technology</v>
      </c>
      <c r="S448" s="6" t="str">
        <f t="shared" si="7"/>
        <v>Information Technology</v>
      </c>
      <c r="T448" s="6">
        <f>IFERROR(__xludf.DUMMYFUNCTION("COUNTA(UNIQUE(query($A$2:$P$800,""select L where K='""&amp; K448&amp;""'"")))"),3.0)</f>
        <v>3</v>
      </c>
      <c r="U448" s="23">
        <f t="shared" si="8"/>
        <v>0.125</v>
      </c>
      <c r="V448" s="23">
        <f t="shared" ref="V448:W448" si="899">P448/O448</f>
        <v>0.75</v>
      </c>
      <c r="W448" s="23">
        <f t="shared" si="899"/>
        <v>0.1851851852</v>
      </c>
    </row>
    <row r="449">
      <c r="A449" s="6">
        <f>IFERROR(__xludf.DUMMYFUNCTION("""COMPUTED_VALUE"""),500031.0)</f>
        <v>500031</v>
      </c>
      <c r="B449" s="6" t="str">
        <f>IFERROR(__xludf.DUMMYFUNCTION("""COMPUTED_VALUE"""),"Bajaj Electricals Ltd.")</f>
        <v>Bajaj Electricals Ltd.</v>
      </c>
      <c r="C449" s="6" t="str">
        <f>IFERROR(__xludf.DUMMYFUNCTION("""COMPUTED_VALUE"""),"BAJAJELEC")</f>
        <v>BAJAJELEC</v>
      </c>
      <c r="D449" s="6" t="str">
        <f>IFERROR(__xludf.DUMMYFUNCTION("""COMPUTED_VALUE"""),"BAJAJ ELECTRICALS LTD.-$")</f>
        <v>BAJAJ ELECTRICALS LTD.-$</v>
      </c>
      <c r="E449" s="6" t="str">
        <f>IFERROR(__xludf.DUMMYFUNCTION("""COMPUTED_VALUE"""),"Active")</f>
        <v>Active</v>
      </c>
      <c r="F449" s="6" t="str">
        <f>IFERROR(__xludf.DUMMYFUNCTION("""COMPUTED_VALUE"""),"A")</f>
        <v>A</v>
      </c>
      <c r="G449" s="6">
        <f>IFERROR(__xludf.DUMMYFUNCTION("""COMPUTED_VALUE"""),2.0)</f>
        <v>2</v>
      </c>
      <c r="H449" s="6" t="str">
        <f>IFERROR(__xludf.DUMMYFUNCTION("""COMPUTED_VALUE"""),"INE193E01025")</f>
        <v>INE193E01025</v>
      </c>
      <c r="I449" s="6" t="str">
        <f>IFERROR(__xludf.DUMMYFUNCTION("""COMPUTED_VALUE"""),"Equity")</f>
        <v>Equity</v>
      </c>
      <c r="J449" s="6" t="str">
        <f>IFERROR(__xludf.DUMMYFUNCTION("""COMPUTED_VALUE"""),"Consumer Discretionary")</f>
        <v>Consumer Discretionary</v>
      </c>
      <c r="K449" s="6" t="str">
        <f>IFERROR(__xludf.DUMMYFUNCTION("""COMPUTED_VALUE"""),"Consumer Durables")</f>
        <v>Consumer Durables</v>
      </c>
      <c r="L449" s="6" t="str">
        <f>IFERROR(__xludf.DUMMYFUNCTION("""COMPUTED_VALUE"""),"Consumer Durables")</f>
        <v>Consumer Durables</v>
      </c>
      <c r="M449" s="6" t="str">
        <f>IFERROR(__xludf.DUMMYFUNCTION("""COMPUTED_VALUE"""),"Household Appliances")</f>
        <v>Household Appliances</v>
      </c>
      <c r="N449" s="5">
        <f>IFERROR(__xludf.DUMMYFUNCTION("""COMPUTED_VALUE"""),12345.7018792)</f>
        <v>12345.70188</v>
      </c>
      <c r="O449" s="6">
        <f t="shared" si="4"/>
        <v>42</v>
      </c>
      <c r="P449" s="6">
        <f t="shared" ref="P449:Q449" si="900">COUNTIFS(L:L,L449)</f>
        <v>42</v>
      </c>
      <c r="Q449" s="24">
        <f t="shared" si="900"/>
        <v>13</v>
      </c>
      <c r="R449" s="6" t="str">
        <f t="shared" si="6"/>
        <v>Consumer Durables</v>
      </c>
      <c r="S449" s="6" t="str">
        <f t="shared" si="7"/>
        <v>Consumer Durables</v>
      </c>
      <c r="T449" s="6">
        <f>IFERROR(__xludf.DUMMYFUNCTION("COUNTA(UNIQUE(query($A$2:$P$800,""select L where K='""&amp; K449&amp;""'"")))"),1.0)</f>
        <v>1</v>
      </c>
      <c r="U449" s="23">
        <f t="shared" si="8"/>
        <v>0.03571428571</v>
      </c>
      <c r="V449" s="23">
        <f t="shared" ref="V449:W449" si="901">P449/O449</f>
        <v>1</v>
      </c>
      <c r="W449" s="23">
        <f t="shared" si="901"/>
        <v>0.3095238095</v>
      </c>
    </row>
    <row r="450">
      <c r="A450" s="6">
        <f>IFERROR(__xludf.DUMMYFUNCTION("""COMPUTED_VALUE"""),532181.0)</f>
        <v>532181</v>
      </c>
      <c r="B450" s="6" t="str">
        <f>IFERROR(__xludf.DUMMYFUNCTION("""COMPUTED_VALUE"""),"Gujarat Mineral Development Corpora")</f>
        <v>Gujarat Mineral Development Corpora</v>
      </c>
      <c r="C450" s="6" t="str">
        <f>IFERROR(__xludf.DUMMYFUNCTION("""COMPUTED_VALUE"""),"GMDCLTD")</f>
        <v>GMDCLTD</v>
      </c>
      <c r="D450" s="6" t="str">
        <f>IFERROR(__xludf.DUMMYFUNCTION("""COMPUTED_VALUE"""),"GUJARAT MINERAL DEVELOPMENT CORPORATION LTD.")</f>
        <v>GUJARAT MINERAL DEVELOPMENT CORPORATION LTD.</v>
      </c>
      <c r="E450" s="6" t="str">
        <f>IFERROR(__xludf.DUMMYFUNCTION("""COMPUTED_VALUE"""),"Active")</f>
        <v>Active</v>
      </c>
      <c r="F450" s="6" t="str">
        <f>IFERROR(__xludf.DUMMYFUNCTION("""COMPUTED_VALUE"""),"A")</f>
        <v>A</v>
      </c>
      <c r="G450" s="6">
        <f>IFERROR(__xludf.DUMMYFUNCTION("""COMPUTED_VALUE"""),2.0)</f>
        <v>2</v>
      </c>
      <c r="H450" s="6" t="str">
        <f>IFERROR(__xludf.DUMMYFUNCTION("""COMPUTED_VALUE"""),"INE131A01031")</f>
        <v>INE131A01031</v>
      </c>
      <c r="I450" s="6" t="str">
        <f>IFERROR(__xludf.DUMMYFUNCTION("""COMPUTED_VALUE"""),"Equity")</f>
        <v>Equity</v>
      </c>
      <c r="J450" s="6" t="str">
        <f>IFERROR(__xludf.DUMMYFUNCTION("""COMPUTED_VALUE"""),"Commodities")</f>
        <v>Commodities</v>
      </c>
      <c r="K450" s="6" t="str">
        <f>IFERROR(__xludf.DUMMYFUNCTION("""COMPUTED_VALUE"""),"Metals &amp; Mining")</f>
        <v>Metals &amp; Mining</v>
      </c>
      <c r="L450" s="6" t="str">
        <f>IFERROR(__xludf.DUMMYFUNCTION("""COMPUTED_VALUE"""),"Minerals &amp; Mining")</f>
        <v>Minerals &amp; Mining</v>
      </c>
      <c r="M450" s="6" t="str">
        <f>IFERROR(__xludf.DUMMYFUNCTION("""COMPUTED_VALUE"""),"Industrial Minerals")</f>
        <v>Industrial Minerals</v>
      </c>
      <c r="N450" s="5">
        <f>IFERROR(__xludf.DUMMYFUNCTION("""COMPUTED_VALUE"""),12342.3183)</f>
        <v>12342.3183</v>
      </c>
      <c r="O450" s="6">
        <f t="shared" si="4"/>
        <v>20</v>
      </c>
      <c r="P450" s="6">
        <f t="shared" ref="P450:Q450" si="902">COUNTIFS(L:L,L450)</f>
        <v>4</v>
      </c>
      <c r="Q450" s="24">
        <f t="shared" si="902"/>
        <v>4</v>
      </c>
      <c r="R450" s="6" t="str">
        <f t="shared" si="6"/>
        <v>Metals &amp; Mining</v>
      </c>
      <c r="S450" s="6" t="str">
        <f t="shared" si="7"/>
        <v>Metals &amp; Mining</v>
      </c>
      <c r="T450" s="6">
        <f>IFERROR(__xludf.DUMMYFUNCTION("COUNTA(UNIQUE(query($A$2:$P$800,""select L where K='""&amp; K450&amp;""'"")))"),5.0)</f>
        <v>5</v>
      </c>
      <c r="U450" s="23">
        <f t="shared" si="8"/>
        <v>0.375</v>
      </c>
      <c r="V450" s="23">
        <f t="shared" ref="V450:W450" si="903">P450/O450</f>
        <v>0.2</v>
      </c>
      <c r="W450" s="23">
        <f t="shared" si="903"/>
        <v>1</v>
      </c>
    </row>
    <row r="451">
      <c r="A451" s="6">
        <f>IFERROR(__xludf.DUMMYFUNCTION("""COMPUTED_VALUE"""),532482.0)</f>
        <v>532482</v>
      </c>
      <c r="B451" s="6" t="str">
        <f>IFERROR(__xludf.DUMMYFUNCTION("""COMPUTED_VALUE"""),"Granules India Ltd.")</f>
        <v>Granules India Ltd.</v>
      </c>
      <c r="C451" s="6" t="str">
        <f>IFERROR(__xludf.DUMMYFUNCTION("""COMPUTED_VALUE"""),"GRANULES")</f>
        <v>GRANULES</v>
      </c>
      <c r="D451" s="6" t="str">
        <f>IFERROR(__xludf.DUMMYFUNCTION("""COMPUTED_VALUE"""),"GRANULES INDIA LTD.-$")</f>
        <v>GRANULES INDIA LTD.-$</v>
      </c>
      <c r="E451" s="6" t="str">
        <f>IFERROR(__xludf.DUMMYFUNCTION("""COMPUTED_VALUE"""),"Active")</f>
        <v>Active</v>
      </c>
      <c r="F451" s="6" t="str">
        <f>IFERROR(__xludf.DUMMYFUNCTION("""COMPUTED_VALUE"""),"A")</f>
        <v>A</v>
      </c>
      <c r="G451" s="6">
        <f>IFERROR(__xludf.DUMMYFUNCTION("""COMPUTED_VALUE"""),1.0)</f>
        <v>1</v>
      </c>
      <c r="H451" s="6" t="str">
        <f>IFERROR(__xludf.DUMMYFUNCTION("""COMPUTED_VALUE"""),"INE101D01020")</f>
        <v>INE101D01020</v>
      </c>
      <c r="I451" s="6" t="str">
        <f>IFERROR(__xludf.DUMMYFUNCTION("""COMPUTED_VALUE"""),"Equity")</f>
        <v>Equity</v>
      </c>
      <c r="J451" s="6" t="str">
        <f>IFERROR(__xludf.DUMMYFUNCTION("""COMPUTED_VALUE"""),"Healthcare")</f>
        <v>Healthcare</v>
      </c>
      <c r="K451" s="6" t="str">
        <f>IFERROR(__xludf.DUMMYFUNCTION("""COMPUTED_VALUE"""),"Healthcare")</f>
        <v>Healthcare</v>
      </c>
      <c r="L451" s="6" t="str">
        <f>IFERROR(__xludf.DUMMYFUNCTION("""COMPUTED_VALUE"""),"Pharmaceuticals &amp; Biotechnology")</f>
        <v>Pharmaceuticals &amp; Biotechnology</v>
      </c>
      <c r="M451" s="6" t="str">
        <f>IFERROR(__xludf.DUMMYFUNCTION("""COMPUTED_VALUE"""),"Pharmaceuticals")</f>
        <v>Pharmaceuticals</v>
      </c>
      <c r="N451" s="5">
        <f>IFERROR(__xludf.DUMMYFUNCTION("""COMPUTED_VALUE"""),12132.2685337)</f>
        <v>12132.26853</v>
      </c>
      <c r="O451" s="6">
        <f t="shared" si="4"/>
        <v>62</v>
      </c>
      <c r="P451" s="6">
        <f t="shared" ref="P451:Q451" si="904">COUNTIFS(L:L,L451)</f>
        <v>45</v>
      </c>
      <c r="Q451" s="24">
        <f t="shared" si="904"/>
        <v>45</v>
      </c>
      <c r="R451" s="6" t="str">
        <f t="shared" si="6"/>
        <v>Healthcare</v>
      </c>
      <c r="S451" s="6" t="str">
        <f t="shared" si="7"/>
        <v>Healthcare</v>
      </c>
      <c r="T451" s="6">
        <f>IFERROR(__xludf.DUMMYFUNCTION("COUNTA(UNIQUE(query($A$2:$P$800,""select L where K='""&amp; K451&amp;""'"")))"),3.0)</f>
        <v>3</v>
      </c>
      <c r="U451" s="23">
        <f t="shared" si="8"/>
        <v>0.07258064516</v>
      </c>
      <c r="V451" s="23">
        <f t="shared" ref="V451:W451" si="905">P451/O451</f>
        <v>0.7258064516</v>
      </c>
      <c r="W451" s="23">
        <f t="shared" si="905"/>
        <v>1</v>
      </c>
    </row>
    <row r="452">
      <c r="A452" s="6">
        <f>IFERROR(__xludf.DUMMYFUNCTION("""COMPUTED_VALUE"""),500033.0)</f>
        <v>500033</v>
      </c>
      <c r="B452" s="6" t="str">
        <f>IFERROR(__xludf.DUMMYFUNCTION("""COMPUTED_VALUE"""),"Force Motors Limited")</f>
        <v>Force Motors Limited</v>
      </c>
      <c r="C452" s="6" t="str">
        <f>IFERROR(__xludf.DUMMYFUNCTION("""COMPUTED_VALUE"""),"FORCEMOT")</f>
        <v>FORCEMOT</v>
      </c>
      <c r="D452" s="6" t="str">
        <f>IFERROR(__xludf.DUMMYFUNCTION("""COMPUTED_VALUE"""),"FORCE MOTORS LTD.-$")</f>
        <v>FORCE MOTORS LTD.-$</v>
      </c>
      <c r="E452" s="6" t="str">
        <f>IFERROR(__xludf.DUMMYFUNCTION("""COMPUTED_VALUE"""),"Active")</f>
        <v>Active</v>
      </c>
      <c r="F452" s="6" t="str">
        <f>IFERROR(__xludf.DUMMYFUNCTION("""COMPUTED_VALUE"""),"A")</f>
        <v>A</v>
      </c>
      <c r="G452" s="6">
        <f>IFERROR(__xludf.DUMMYFUNCTION("""COMPUTED_VALUE"""),10.0)</f>
        <v>10</v>
      </c>
      <c r="H452" s="6" t="str">
        <f>IFERROR(__xludf.DUMMYFUNCTION("""COMPUTED_VALUE"""),"INE451A01017")</f>
        <v>INE451A01017</v>
      </c>
      <c r="I452" s="6" t="str">
        <f>IFERROR(__xludf.DUMMYFUNCTION("""COMPUTED_VALUE"""),"Equity")</f>
        <v>Equity</v>
      </c>
      <c r="J452" s="6" t="str">
        <f>IFERROR(__xludf.DUMMYFUNCTION("""COMPUTED_VALUE"""),"Consumer Discretionary")</f>
        <v>Consumer Discretionary</v>
      </c>
      <c r="K452" s="6" t="str">
        <f>IFERROR(__xludf.DUMMYFUNCTION("""COMPUTED_VALUE"""),"Automobile and Auto Components")</f>
        <v>Automobile and Auto Components</v>
      </c>
      <c r="L452" s="6" t="str">
        <f>IFERROR(__xludf.DUMMYFUNCTION("""COMPUTED_VALUE"""),"Automobiles")</f>
        <v>Automobiles</v>
      </c>
      <c r="M452" s="6" t="str">
        <f>IFERROR(__xludf.DUMMYFUNCTION("""COMPUTED_VALUE"""),"Passenger Cars &amp; Utility Vehicles")</f>
        <v>Passenger Cars &amp; Utility Vehicles</v>
      </c>
      <c r="N452" s="5">
        <f>IFERROR(__xludf.DUMMYFUNCTION("""COMPUTED_VALUE"""),12127.8567955)</f>
        <v>12127.8568</v>
      </c>
      <c r="O452" s="6">
        <f t="shared" si="4"/>
        <v>47</v>
      </c>
      <c r="P452" s="6">
        <f t="shared" ref="P452:Q452" si="906">COUNTIFS(L:L,L452)</f>
        <v>10</v>
      </c>
      <c r="Q452" s="24">
        <f t="shared" si="906"/>
        <v>6</v>
      </c>
      <c r="R452" s="6" t="str">
        <f t="shared" si="6"/>
        <v>Automobile and Auto Components</v>
      </c>
      <c r="S452" s="6" t="str">
        <f t="shared" si="7"/>
        <v>Automobile and Auto Components</v>
      </c>
      <c r="T452" s="6">
        <f>IFERROR(__xludf.DUMMYFUNCTION("COUNTA(UNIQUE(query($A$2:$P$800,""select L where K='""&amp; K452&amp;""'"")))"),2.0)</f>
        <v>2</v>
      </c>
      <c r="U452" s="23">
        <f t="shared" si="8"/>
        <v>0.06382978723</v>
      </c>
      <c r="V452" s="23">
        <f t="shared" ref="V452:W452" si="907">P452/O452</f>
        <v>0.2127659574</v>
      </c>
      <c r="W452" s="23">
        <f t="shared" si="907"/>
        <v>0.6</v>
      </c>
    </row>
    <row r="453">
      <c r="A453" s="6">
        <f>IFERROR(__xludf.DUMMYFUNCTION("""COMPUTED_VALUE"""),543227.0)</f>
        <v>543227</v>
      </c>
      <c r="B453" s="6" t="str">
        <f>IFERROR(__xludf.DUMMYFUNCTION("""COMPUTED_VALUE"""),"Happiest Minds Technologies Limited")</f>
        <v>Happiest Minds Technologies Limited</v>
      </c>
      <c r="C453" s="6" t="str">
        <f>IFERROR(__xludf.DUMMYFUNCTION("""COMPUTED_VALUE"""),"HAPPSTMNDS")</f>
        <v>HAPPSTMNDS</v>
      </c>
      <c r="D453" s="6" t="str">
        <f>IFERROR(__xludf.DUMMYFUNCTION("""COMPUTED_VALUE"""),"Happiest Minds Technologies Ltd")</f>
        <v>Happiest Minds Technologies Ltd</v>
      </c>
      <c r="E453" s="6" t="str">
        <f>IFERROR(__xludf.DUMMYFUNCTION("""COMPUTED_VALUE"""),"Active")</f>
        <v>Active</v>
      </c>
      <c r="F453" s="6" t="str">
        <f>IFERROR(__xludf.DUMMYFUNCTION("""COMPUTED_VALUE"""),"A")</f>
        <v>A</v>
      </c>
      <c r="G453" s="6">
        <f>IFERROR(__xludf.DUMMYFUNCTION("""COMPUTED_VALUE"""),2.0)</f>
        <v>2</v>
      </c>
      <c r="H453" s="6" t="str">
        <f>IFERROR(__xludf.DUMMYFUNCTION("""COMPUTED_VALUE"""),"INE419U01012")</f>
        <v>INE419U01012</v>
      </c>
      <c r="I453" s="6" t="str">
        <f>IFERROR(__xludf.DUMMYFUNCTION("""COMPUTED_VALUE"""),"Equity")</f>
        <v>Equity</v>
      </c>
      <c r="J453" s="6" t="str">
        <f>IFERROR(__xludf.DUMMYFUNCTION("""COMPUTED_VALUE"""),"Information Technology")</f>
        <v>Information Technology</v>
      </c>
      <c r="K453" s="6" t="str">
        <f>IFERROR(__xludf.DUMMYFUNCTION("""COMPUTED_VALUE"""),"Information Technology")</f>
        <v>Information Technology</v>
      </c>
      <c r="L453" s="6" t="str">
        <f>IFERROR(__xludf.DUMMYFUNCTION("""COMPUTED_VALUE"""),"IT - Software")</f>
        <v>IT - Software</v>
      </c>
      <c r="M453" s="6" t="str">
        <f>IFERROR(__xludf.DUMMYFUNCTION("""COMPUTED_VALUE"""),"Computers - Software &amp; Consulting")</f>
        <v>Computers - Software &amp; Consulting</v>
      </c>
      <c r="N453" s="5">
        <f>IFERROR(__xludf.DUMMYFUNCTION("""COMPUTED_VALUE"""),12120.99166)</f>
        <v>12120.99166</v>
      </c>
      <c r="O453" s="6">
        <f t="shared" si="4"/>
        <v>36</v>
      </c>
      <c r="P453" s="6">
        <f t="shared" ref="P453:Q453" si="908">COUNTIFS(L:L,L453)</f>
        <v>27</v>
      </c>
      <c r="Q453" s="24">
        <f t="shared" si="908"/>
        <v>22</v>
      </c>
      <c r="R453" s="6" t="str">
        <f t="shared" si="6"/>
        <v>Information Technology</v>
      </c>
      <c r="S453" s="6" t="str">
        <f t="shared" si="7"/>
        <v>Information Technology</v>
      </c>
      <c r="T453" s="6">
        <f>IFERROR(__xludf.DUMMYFUNCTION("COUNTA(UNIQUE(query($A$2:$P$800,""select L where K='""&amp; K453&amp;""'"")))"),3.0)</f>
        <v>3</v>
      </c>
      <c r="U453" s="23">
        <f t="shared" si="8"/>
        <v>0.125</v>
      </c>
      <c r="V453" s="23">
        <f t="shared" ref="V453:W453" si="909">P453/O453</f>
        <v>0.75</v>
      </c>
      <c r="W453" s="23">
        <f t="shared" si="909"/>
        <v>0.8148148148</v>
      </c>
    </row>
    <row r="454">
      <c r="A454" s="6">
        <f>IFERROR(__xludf.DUMMYFUNCTION("""COMPUTED_VALUE"""),523598.0)</f>
        <v>523598</v>
      </c>
      <c r="B454" s="6" t="str">
        <f>IFERROR(__xludf.DUMMYFUNCTION("""COMPUTED_VALUE"""),"Shipping Corporation Of India Ltd")</f>
        <v>Shipping Corporation Of India Ltd</v>
      </c>
      <c r="C454" s="6" t="str">
        <f>IFERROR(__xludf.DUMMYFUNCTION("""COMPUTED_VALUE"""),"SCI")</f>
        <v>SCI</v>
      </c>
      <c r="D454" s="6" t="str">
        <f>IFERROR(__xludf.DUMMYFUNCTION("""COMPUTED_VALUE"""),"SHIPPING CORPORATION OF INDIA LTD.")</f>
        <v>SHIPPING CORPORATION OF INDIA LTD.</v>
      </c>
      <c r="E454" s="6" t="str">
        <f>IFERROR(__xludf.DUMMYFUNCTION("""COMPUTED_VALUE"""),"Active")</f>
        <v>Active</v>
      </c>
      <c r="F454" s="6" t="str">
        <f>IFERROR(__xludf.DUMMYFUNCTION("""COMPUTED_VALUE"""),"A")</f>
        <v>A</v>
      </c>
      <c r="G454" s="6">
        <f>IFERROR(__xludf.DUMMYFUNCTION("""COMPUTED_VALUE"""),10.0)</f>
        <v>10</v>
      </c>
      <c r="H454" s="6" t="str">
        <f>IFERROR(__xludf.DUMMYFUNCTION("""COMPUTED_VALUE"""),"INE109A01011")</f>
        <v>INE109A01011</v>
      </c>
      <c r="I454" s="6" t="str">
        <f>IFERROR(__xludf.DUMMYFUNCTION("""COMPUTED_VALUE"""),"Equity")</f>
        <v>Equity</v>
      </c>
      <c r="J454" s="6" t="str">
        <f>IFERROR(__xludf.DUMMYFUNCTION("""COMPUTED_VALUE"""),"Services")</f>
        <v>Services</v>
      </c>
      <c r="K454" s="6" t="str">
        <f>IFERROR(__xludf.DUMMYFUNCTION("""COMPUTED_VALUE"""),"Services")</f>
        <v>Services</v>
      </c>
      <c r="L454" s="6" t="str">
        <f>IFERROR(__xludf.DUMMYFUNCTION("""COMPUTED_VALUE"""),"Transport Services")</f>
        <v>Transport Services</v>
      </c>
      <c r="M454" s="6" t="str">
        <f>IFERROR(__xludf.DUMMYFUNCTION("""COMPUTED_VALUE"""),"Shipping")</f>
        <v>Shipping</v>
      </c>
      <c r="N454" s="5">
        <f>IFERROR(__xludf.DUMMYFUNCTION("""COMPUTED_VALUE"""),12032.4150426)</f>
        <v>12032.41504</v>
      </c>
      <c r="O454" s="6">
        <f t="shared" si="4"/>
        <v>27</v>
      </c>
      <c r="P454" s="6">
        <f t="shared" ref="P454:Q454" si="910">COUNTIFS(L:L,L454)</f>
        <v>12</v>
      </c>
      <c r="Q454" s="24">
        <f t="shared" si="910"/>
        <v>2</v>
      </c>
      <c r="R454" s="6" t="str">
        <f t="shared" si="6"/>
        <v>Services</v>
      </c>
      <c r="S454" s="6" t="str">
        <f t="shared" si="7"/>
        <v>Services</v>
      </c>
      <c r="T454" s="6">
        <f>IFERROR(__xludf.DUMMYFUNCTION("COUNTA(UNIQUE(query($A$2:$P$800,""select L where K='""&amp; K454&amp;""'"")))"),3.0)</f>
        <v>3</v>
      </c>
      <c r="U454" s="23">
        <f t="shared" si="8"/>
        <v>0.1666666667</v>
      </c>
      <c r="V454" s="23">
        <f t="shared" ref="V454:W454" si="911">P454/O454</f>
        <v>0.4444444444</v>
      </c>
      <c r="W454" s="23">
        <f t="shared" si="911"/>
        <v>0.1666666667</v>
      </c>
    </row>
    <row r="455">
      <c r="A455" s="6">
        <f>IFERROR(__xludf.DUMMYFUNCTION("""COMPUTED_VALUE"""),543534.0)</f>
        <v>543534</v>
      </c>
      <c r="B455" s="6" t="str">
        <f>IFERROR(__xludf.DUMMYFUNCTION("""COMPUTED_VALUE"""),"Aether Industries Limited")</f>
        <v>Aether Industries Limited</v>
      </c>
      <c r="C455" s="6" t="str">
        <f>IFERROR(__xludf.DUMMYFUNCTION("""COMPUTED_VALUE"""),"AETHER")</f>
        <v>AETHER</v>
      </c>
      <c r="D455" s="6" t="str">
        <f>IFERROR(__xludf.DUMMYFUNCTION("""COMPUTED_VALUE"""),"Aether Industries Ltd")</f>
        <v>Aether Industries Ltd</v>
      </c>
      <c r="E455" s="6" t="str">
        <f>IFERROR(__xludf.DUMMYFUNCTION("""COMPUTED_VALUE"""),"Active")</f>
        <v>Active</v>
      </c>
      <c r="F455" s="6" t="str">
        <f>IFERROR(__xludf.DUMMYFUNCTION("""COMPUTED_VALUE"""),"A")</f>
        <v>A</v>
      </c>
      <c r="G455" s="6">
        <f>IFERROR(__xludf.DUMMYFUNCTION("""COMPUTED_VALUE"""),10.0)</f>
        <v>10</v>
      </c>
      <c r="H455" s="6" t="str">
        <f>IFERROR(__xludf.DUMMYFUNCTION("""COMPUTED_VALUE"""),"INE0BWX01014")</f>
        <v>INE0BWX01014</v>
      </c>
      <c r="I455" s="6" t="str">
        <f>IFERROR(__xludf.DUMMYFUNCTION("""COMPUTED_VALUE"""),"Equity")</f>
        <v>Equity</v>
      </c>
      <c r="J455" s="6" t="str">
        <f>IFERROR(__xludf.DUMMYFUNCTION("""COMPUTED_VALUE"""),"Commodities")</f>
        <v>Commodities</v>
      </c>
      <c r="K455" s="6" t="str">
        <f>IFERROR(__xludf.DUMMYFUNCTION("""COMPUTED_VALUE"""),"Chemicals")</f>
        <v>Chemicals</v>
      </c>
      <c r="L455" s="6" t="str">
        <f>IFERROR(__xludf.DUMMYFUNCTION("""COMPUTED_VALUE"""),"Chemicals &amp; Petrochemicals")</f>
        <v>Chemicals &amp; Petrochemicals</v>
      </c>
      <c r="M455" s="6" t="str">
        <f>IFERROR(__xludf.DUMMYFUNCTION("""COMPUTED_VALUE"""),"Specialty Chemicals")</f>
        <v>Specialty Chemicals</v>
      </c>
      <c r="N455" s="5">
        <f>IFERROR(__xludf.DUMMYFUNCTION("""COMPUTED_VALUE"""),12012.096733)</f>
        <v>12012.09673</v>
      </c>
      <c r="O455" s="6">
        <f t="shared" si="4"/>
        <v>52</v>
      </c>
      <c r="P455" s="6">
        <f t="shared" ref="P455:Q455" si="912">COUNTIFS(L:L,L455)</f>
        <v>37</v>
      </c>
      <c r="Q455" s="24">
        <f t="shared" si="912"/>
        <v>25</v>
      </c>
      <c r="R455" s="6" t="str">
        <f t="shared" si="6"/>
        <v>Chemicals</v>
      </c>
      <c r="S455" s="6" t="str">
        <f t="shared" si="7"/>
        <v>Chemicals</v>
      </c>
      <c r="T455" s="6">
        <f>IFERROR(__xludf.DUMMYFUNCTION("COUNTA(UNIQUE(query($A$2:$P$800,""select L where K='""&amp; K455&amp;""'"")))"),2.0)</f>
        <v>2</v>
      </c>
      <c r="U455" s="23">
        <f t="shared" si="8"/>
        <v>0.05769230769</v>
      </c>
      <c r="V455" s="23">
        <f t="shared" ref="V455:W455" si="913">P455/O455</f>
        <v>0.7115384615</v>
      </c>
      <c r="W455" s="23">
        <f t="shared" si="913"/>
        <v>0.6756756757</v>
      </c>
    </row>
    <row r="456">
      <c r="A456" s="6">
        <f>IFERROR(__xludf.DUMMYFUNCTION("""COMPUTED_VALUE"""),531335.0)</f>
        <v>531335</v>
      </c>
      <c r="B456" s="6" t="str">
        <f>IFERROR(__xludf.DUMMYFUNCTION("""COMPUTED_VALUE"""),"Zydus Wellness Limited")</f>
        <v>Zydus Wellness Limited</v>
      </c>
      <c r="C456" s="6" t="str">
        <f>IFERROR(__xludf.DUMMYFUNCTION("""COMPUTED_VALUE"""),"ZYDUSWELL")</f>
        <v>ZYDUSWELL</v>
      </c>
      <c r="D456" s="6" t="str">
        <f>IFERROR(__xludf.DUMMYFUNCTION("""COMPUTED_VALUE"""),"ZYDUS WELLNESS LTD.-$")</f>
        <v>ZYDUS WELLNESS LTD.-$</v>
      </c>
      <c r="E456" s="6" t="str">
        <f>IFERROR(__xludf.DUMMYFUNCTION("""COMPUTED_VALUE"""),"Active")</f>
        <v>Active</v>
      </c>
      <c r="F456" s="6" t="str">
        <f>IFERROR(__xludf.DUMMYFUNCTION("""COMPUTED_VALUE"""),"A")</f>
        <v>A</v>
      </c>
      <c r="G456" s="6">
        <f>IFERROR(__xludf.DUMMYFUNCTION("""COMPUTED_VALUE"""),10.0)</f>
        <v>10</v>
      </c>
      <c r="H456" s="6" t="str">
        <f>IFERROR(__xludf.DUMMYFUNCTION("""COMPUTED_VALUE"""),"INE768C01010")</f>
        <v>INE768C01010</v>
      </c>
      <c r="I456" s="6" t="str">
        <f>IFERROR(__xludf.DUMMYFUNCTION("""COMPUTED_VALUE"""),"Equity")</f>
        <v>Equity</v>
      </c>
      <c r="J456" s="6" t="str">
        <f>IFERROR(__xludf.DUMMYFUNCTION("""COMPUTED_VALUE"""),"Fast Moving Consumer Goods")</f>
        <v>Fast Moving Consumer Goods</v>
      </c>
      <c r="K456" s="6" t="str">
        <f>IFERROR(__xludf.DUMMYFUNCTION("""COMPUTED_VALUE"""),"Fast Moving Consumer Goods")</f>
        <v>Fast Moving Consumer Goods</v>
      </c>
      <c r="L456" s="6" t="str">
        <f>IFERROR(__xludf.DUMMYFUNCTION("""COMPUTED_VALUE"""),"Food Products")</f>
        <v>Food Products</v>
      </c>
      <c r="M456" s="6" t="str">
        <f>IFERROR(__xludf.DUMMYFUNCTION("""COMPUTED_VALUE"""),"Packaged Foods")</f>
        <v>Packaged Foods</v>
      </c>
      <c r="N456" s="5">
        <f>IFERROR(__xludf.DUMMYFUNCTION("""COMPUTED_VALUE"""),11994.4307484)</f>
        <v>11994.43075</v>
      </c>
      <c r="O456" s="6">
        <f t="shared" si="4"/>
        <v>44</v>
      </c>
      <c r="P456" s="6">
        <f t="shared" ref="P456:Q456" si="914">COUNTIFS(L:L,L456)</f>
        <v>11</v>
      </c>
      <c r="Q456" s="24">
        <f t="shared" si="914"/>
        <v>6</v>
      </c>
      <c r="R456" s="6" t="str">
        <f t="shared" si="6"/>
        <v>Fast Moving Consumer Goods</v>
      </c>
      <c r="S456" s="6" t="str">
        <f t="shared" si="7"/>
        <v>Fast Moving Consumer Goods</v>
      </c>
      <c r="T456" s="6">
        <f>IFERROR(__xludf.DUMMYFUNCTION("COUNTA(UNIQUE(query($A$2:$P$800,""select L where K='""&amp; K456&amp;""'"")))"),7.0)</f>
        <v>7</v>
      </c>
      <c r="U456" s="23">
        <f t="shared" si="8"/>
        <v>0.2386363636</v>
      </c>
      <c r="V456" s="23">
        <f t="shared" ref="V456:W456" si="915">P456/O456</f>
        <v>0.25</v>
      </c>
      <c r="W456" s="23">
        <f t="shared" si="915"/>
        <v>0.5454545455</v>
      </c>
    </row>
    <row r="457">
      <c r="A457" s="6">
        <f>IFERROR(__xludf.DUMMYFUNCTION("""COMPUTED_VALUE"""),532443.0)</f>
        <v>532443</v>
      </c>
      <c r="B457" s="6" t="str">
        <f>IFERROR(__xludf.DUMMYFUNCTION("""COMPUTED_VALUE"""),"Cera Sanitaryware Ltd.")</f>
        <v>Cera Sanitaryware Ltd.</v>
      </c>
      <c r="C457" s="6" t="str">
        <f>IFERROR(__xludf.DUMMYFUNCTION("""COMPUTED_VALUE"""),"CERA")</f>
        <v>CERA</v>
      </c>
      <c r="D457" s="6" t="str">
        <f>IFERROR(__xludf.DUMMYFUNCTION("""COMPUTED_VALUE"""),"CERA SANITARYWARE LTD.")</f>
        <v>CERA SANITARYWARE LTD.</v>
      </c>
      <c r="E457" s="6" t="str">
        <f>IFERROR(__xludf.DUMMYFUNCTION("""COMPUTED_VALUE"""),"Active")</f>
        <v>Active</v>
      </c>
      <c r="F457" s="6" t="str">
        <f>IFERROR(__xludf.DUMMYFUNCTION("""COMPUTED_VALUE"""),"A")</f>
        <v>A</v>
      </c>
      <c r="G457" s="6">
        <f>IFERROR(__xludf.DUMMYFUNCTION("""COMPUTED_VALUE"""),5.0)</f>
        <v>5</v>
      </c>
      <c r="H457" s="6" t="str">
        <f>IFERROR(__xludf.DUMMYFUNCTION("""COMPUTED_VALUE"""),"INE739E01017")</f>
        <v>INE739E01017</v>
      </c>
      <c r="I457" s="6" t="str">
        <f>IFERROR(__xludf.DUMMYFUNCTION("""COMPUTED_VALUE"""),"Equity")</f>
        <v>Equity</v>
      </c>
      <c r="J457" s="6" t="str">
        <f>IFERROR(__xludf.DUMMYFUNCTION("""COMPUTED_VALUE"""),"Consumer Discretionary")</f>
        <v>Consumer Discretionary</v>
      </c>
      <c r="K457" s="6" t="str">
        <f>IFERROR(__xludf.DUMMYFUNCTION("""COMPUTED_VALUE"""),"Consumer Durables")</f>
        <v>Consumer Durables</v>
      </c>
      <c r="L457" s="6" t="str">
        <f>IFERROR(__xludf.DUMMYFUNCTION("""COMPUTED_VALUE"""),"Consumer Durables")</f>
        <v>Consumer Durables</v>
      </c>
      <c r="M457" s="6" t="str">
        <f>IFERROR(__xludf.DUMMYFUNCTION("""COMPUTED_VALUE"""),"Sanitary Ware")</f>
        <v>Sanitary Ware</v>
      </c>
      <c r="N457" s="5">
        <f>IFERROR(__xludf.DUMMYFUNCTION("""COMPUTED_VALUE"""),11796.9912463)</f>
        <v>11796.99125</v>
      </c>
      <c r="O457" s="6">
        <f t="shared" si="4"/>
        <v>42</v>
      </c>
      <c r="P457" s="6">
        <f t="shared" ref="P457:Q457" si="916">COUNTIFS(L:L,L457)</f>
        <v>42</v>
      </c>
      <c r="Q457" s="24">
        <f t="shared" si="916"/>
        <v>1</v>
      </c>
      <c r="R457" s="6" t="str">
        <f t="shared" si="6"/>
        <v>Consumer Durables</v>
      </c>
      <c r="S457" s="6" t="str">
        <f t="shared" si="7"/>
        <v>Consumer Durables</v>
      </c>
      <c r="T457" s="6">
        <f>IFERROR(__xludf.DUMMYFUNCTION("COUNTA(UNIQUE(query($A$2:$P$800,""select L where K='""&amp; K457&amp;""'"")))"),1.0)</f>
        <v>1</v>
      </c>
      <c r="U457" s="23">
        <f t="shared" si="8"/>
        <v>0.03571428571</v>
      </c>
      <c r="V457" s="23">
        <f t="shared" ref="V457:W457" si="917">P457/O457</f>
        <v>1</v>
      </c>
      <c r="W457" s="23">
        <f t="shared" si="917"/>
        <v>0.02380952381</v>
      </c>
    </row>
    <row r="458">
      <c r="A458" s="6">
        <f>IFERROR(__xludf.DUMMYFUNCTION("""COMPUTED_VALUE"""),511196.0)</f>
        <v>511196</v>
      </c>
      <c r="B458" s="6" t="str">
        <f>IFERROR(__xludf.DUMMYFUNCTION("""COMPUTED_VALUE"""),"Can Fin Homes Ltd.")</f>
        <v>Can Fin Homes Ltd.</v>
      </c>
      <c r="C458" s="6" t="str">
        <f>IFERROR(__xludf.DUMMYFUNCTION("""COMPUTED_VALUE"""),"CANFINHOME")</f>
        <v>CANFINHOME</v>
      </c>
      <c r="D458" s="6" t="str">
        <f>IFERROR(__xludf.DUMMYFUNCTION("""COMPUTED_VALUE"""),"CAN FIN HOMES LTD.")</f>
        <v>CAN FIN HOMES LTD.</v>
      </c>
      <c r="E458" s="6" t="str">
        <f>IFERROR(__xludf.DUMMYFUNCTION("""COMPUTED_VALUE"""),"Active")</f>
        <v>Active</v>
      </c>
      <c r="F458" s="6" t="str">
        <f>IFERROR(__xludf.DUMMYFUNCTION("""COMPUTED_VALUE"""),"A")</f>
        <v>A</v>
      </c>
      <c r="G458" s="6">
        <f>IFERROR(__xludf.DUMMYFUNCTION("""COMPUTED_VALUE"""),2.0)</f>
        <v>2</v>
      </c>
      <c r="H458" s="6" t="str">
        <f>IFERROR(__xludf.DUMMYFUNCTION("""COMPUTED_VALUE"""),"INE477A01020")</f>
        <v>INE477A01020</v>
      </c>
      <c r="I458" s="6" t="str">
        <f>IFERROR(__xludf.DUMMYFUNCTION("""COMPUTED_VALUE"""),"Equity")</f>
        <v>Equity</v>
      </c>
      <c r="J458" s="6" t="str">
        <f>IFERROR(__xludf.DUMMYFUNCTION("""COMPUTED_VALUE"""),"Financial Services")</f>
        <v>Financial Services</v>
      </c>
      <c r="K458" s="6" t="str">
        <f>IFERROR(__xludf.DUMMYFUNCTION("""COMPUTED_VALUE"""),"Financial Services")</f>
        <v>Financial Services</v>
      </c>
      <c r="L458" s="6" t="str">
        <f>IFERROR(__xludf.DUMMYFUNCTION("""COMPUTED_VALUE"""),"Finance")</f>
        <v>Finance</v>
      </c>
      <c r="M458" s="6" t="str">
        <f>IFERROR(__xludf.DUMMYFUNCTION("""COMPUTED_VALUE"""),"Housing Finance Company")</f>
        <v>Housing Finance Company</v>
      </c>
      <c r="N458" s="5">
        <f>IFERROR(__xludf.DUMMYFUNCTION("""COMPUTED_VALUE"""),11789.0482853)</f>
        <v>11789.04829</v>
      </c>
      <c r="O458" s="6">
        <f t="shared" si="4"/>
        <v>123</v>
      </c>
      <c r="P458" s="6">
        <f t="shared" ref="P458:Q458" si="918">COUNTIFS(L:L,L458)</f>
        <v>56</v>
      </c>
      <c r="Q458" s="24">
        <f t="shared" si="918"/>
        <v>9</v>
      </c>
      <c r="R458" s="6" t="str">
        <f t="shared" si="6"/>
        <v>Finance</v>
      </c>
      <c r="S458" s="6" t="str">
        <f t="shared" si="7"/>
        <v>Finance</v>
      </c>
      <c r="T458" s="6">
        <f>IFERROR(__xludf.DUMMYFUNCTION("COUNTA(UNIQUE(query($A$2:$P$800,""select L where K='""&amp; K458&amp;""'"")))"),5.0)</f>
        <v>5</v>
      </c>
      <c r="U458" s="23">
        <f t="shared" si="8"/>
        <v>0.06097560976</v>
      </c>
      <c r="V458" s="23">
        <f t="shared" ref="V458:W458" si="919">P458/O458</f>
        <v>0.4552845528</v>
      </c>
      <c r="W458" s="23">
        <f t="shared" si="919"/>
        <v>0.1607142857</v>
      </c>
    </row>
    <row r="459">
      <c r="A459" s="6">
        <f>IFERROR(__xludf.DUMMYFUNCTION("""COMPUTED_VALUE"""),517146.0)</f>
        <v>517146</v>
      </c>
      <c r="B459" s="6" t="str">
        <f>IFERROR(__xludf.DUMMYFUNCTION("""COMPUTED_VALUE"""),"Usha Martin Ltd.")</f>
        <v>Usha Martin Ltd.</v>
      </c>
      <c r="C459" s="6" t="str">
        <f>IFERROR(__xludf.DUMMYFUNCTION("""COMPUTED_VALUE"""),"USHAMART")</f>
        <v>USHAMART</v>
      </c>
      <c r="D459" s="6" t="str">
        <f>IFERROR(__xludf.DUMMYFUNCTION("""COMPUTED_VALUE"""),"USHA MARTIN LTD.")</f>
        <v>USHA MARTIN LTD.</v>
      </c>
      <c r="E459" s="6" t="str">
        <f>IFERROR(__xludf.DUMMYFUNCTION("""COMPUTED_VALUE"""),"Active")</f>
        <v>Active</v>
      </c>
      <c r="F459" s="6" t="str">
        <f>IFERROR(__xludf.DUMMYFUNCTION("""COMPUTED_VALUE"""),"A")</f>
        <v>A</v>
      </c>
      <c r="G459" s="6">
        <f>IFERROR(__xludf.DUMMYFUNCTION("""COMPUTED_VALUE"""),1.0)</f>
        <v>1</v>
      </c>
      <c r="H459" s="6" t="str">
        <f>IFERROR(__xludf.DUMMYFUNCTION("""COMPUTED_VALUE"""),"INE228A01035")</f>
        <v>INE228A01035</v>
      </c>
      <c r="I459" s="6" t="str">
        <f>IFERROR(__xludf.DUMMYFUNCTION("""COMPUTED_VALUE"""),"Equity")</f>
        <v>Equity</v>
      </c>
      <c r="J459" s="6" t="str">
        <f>IFERROR(__xludf.DUMMYFUNCTION("""COMPUTED_VALUE"""),"Industrials")</f>
        <v>Industrials</v>
      </c>
      <c r="K459" s="6" t="str">
        <f>IFERROR(__xludf.DUMMYFUNCTION("""COMPUTED_VALUE"""),"Capital Goods")</f>
        <v>Capital Goods</v>
      </c>
      <c r="L459" s="6" t="str">
        <f>IFERROR(__xludf.DUMMYFUNCTION("""COMPUTED_VALUE"""),"Industrial Products")</f>
        <v>Industrial Products</v>
      </c>
      <c r="M459" s="6" t="str">
        <f>IFERROR(__xludf.DUMMYFUNCTION("""COMPUTED_VALUE"""),"Iron &amp; Steel Products")</f>
        <v>Iron &amp; Steel Products</v>
      </c>
      <c r="N459" s="5">
        <f>IFERROR(__xludf.DUMMYFUNCTION("""COMPUTED_VALUE"""),11779.7470613)</f>
        <v>11779.74706</v>
      </c>
      <c r="O459" s="6">
        <f t="shared" si="4"/>
        <v>110</v>
      </c>
      <c r="P459" s="6">
        <f t="shared" ref="P459:Q459" si="920">COUNTIFS(L:L,L459)</f>
        <v>51</v>
      </c>
      <c r="Q459" s="24">
        <f t="shared" si="920"/>
        <v>13</v>
      </c>
      <c r="R459" s="6" t="str">
        <f t="shared" si="6"/>
        <v>Industrial Products</v>
      </c>
      <c r="S459" s="6" t="str">
        <f t="shared" si="7"/>
        <v>Industrial Products</v>
      </c>
      <c r="T459" s="6">
        <f>IFERROR(__xludf.DUMMYFUNCTION("COUNTA(UNIQUE(query($A$2:$P$800,""select L where K='""&amp; K459&amp;""'"")))"),5.0)</f>
        <v>5</v>
      </c>
      <c r="U459" s="23">
        <f t="shared" si="8"/>
        <v>0.06818181818</v>
      </c>
      <c r="V459" s="23">
        <f t="shared" ref="V459:W459" si="921">P459/O459</f>
        <v>0.4636363636</v>
      </c>
      <c r="W459" s="23">
        <f t="shared" si="921"/>
        <v>0.2549019608</v>
      </c>
    </row>
    <row r="460">
      <c r="A460" s="6">
        <f>IFERROR(__xludf.DUMMYFUNCTION("""COMPUTED_VALUE"""),532927.0)</f>
        <v>532927</v>
      </c>
      <c r="B460" s="6" t="str">
        <f>IFERROR(__xludf.DUMMYFUNCTION("""COMPUTED_VALUE"""),"eClerx Services Limited")</f>
        <v>eClerx Services Limited</v>
      </c>
      <c r="C460" s="6" t="str">
        <f>IFERROR(__xludf.DUMMYFUNCTION("""COMPUTED_VALUE"""),"ECLERX")</f>
        <v>ECLERX</v>
      </c>
      <c r="D460" s="6" t="str">
        <f>IFERROR(__xludf.DUMMYFUNCTION("""COMPUTED_VALUE"""),"ECLERX SERVICES LTD.")</f>
        <v>ECLERX SERVICES LTD.</v>
      </c>
      <c r="E460" s="6" t="str">
        <f>IFERROR(__xludf.DUMMYFUNCTION("""COMPUTED_VALUE"""),"Active")</f>
        <v>Active</v>
      </c>
      <c r="F460" s="6" t="str">
        <f>IFERROR(__xludf.DUMMYFUNCTION("""COMPUTED_VALUE"""),"A")</f>
        <v>A</v>
      </c>
      <c r="G460" s="6">
        <f>IFERROR(__xludf.DUMMYFUNCTION("""COMPUTED_VALUE"""),10.0)</f>
        <v>10</v>
      </c>
      <c r="H460" s="6" t="str">
        <f>IFERROR(__xludf.DUMMYFUNCTION("""COMPUTED_VALUE"""),"INE738I01010")</f>
        <v>INE738I01010</v>
      </c>
      <c r="I460" s="6" t="str">
        <f>IFERROR(__xludf.DUMMYFUNCTION("""COMPUTED_VALUE"""),"Equity")</f>
        <v>Equity</v>
      </c>
      <c r="J460" s="6" t="str">
        <f>IFERROR(__xludf.DUMMYFUNCTION("""COMPUTED_VALUE"""),"Services")</f>
        <v>Services</v>
      </c>
      <c r="K460" s="6" t="str">
        <f>IFERROR(__xludf.DUMMYFUNCTION("""COMPUTED_VALUE"""),"Services")</f>
        <v>Services</v>
      </c>
      <c r="L460" s="6" t="str">
        <f>IFERROR(__xludf.DUMMYFUNCTION("""COMPUTED_VALUE"""),"Commercial Services &amp; Supplies")</f>
        <v>Commercial Services &amp; Supplies</v>
      </c>
      <c r="M460" s="6" t="str">
        <f>IFERROR(__xludf.DUMMYFUNCTION("""COMPUTED_VALUE"""),"Business Process Outsourcing (BPO)/ Knowledge Process Outsourcing (KPO)")</f>
        <v>Business Process Outsourcing (BPO)/ Knowledge Process Outsourcing (KPO)</v>
      </c>
      <c r="N460" s="5">
        <f>IFERROR(__xludf.DUMMYFUNCTION("""COMPUTED_VALUE"""),11727.9002222)</f>
        <v>11727.90022</v>
      </c>
      <c r="O460" s="6">
        <f t="shared" si="4"/>
        <v>27</v>
      </c>
      <c r="P460" s="6">
        <f t="shared" ref="P460:Q460" si="922">COUNTIFS(L:L,L460)</f>
        <v>11</v>
      </c>
      <c r="Q460" s="24">
        <f t="shared" si="922"/>
        <v>2</v>
      </c>
      <c r="R460" s="6" t="str">
        <f t="shared" si="6"/>
        <v>Services</v>
      </c>
      <c r="S460" s="6" t="str">
        <f t="shared" si="7"/>
        <v>Services</v>
      </c>
      <c r="T460" s="6">
        <f>IFERROR(__xludf.DUMMYFUNCTION("COUNTA(UNIQUE(query($A$2:$P$800,""select L where K='""&amp; K460&amp;""'"")))"),3.0)</f>
        <v>3</v>
      </c>
      <c r="U460" s="23">
        <f t="shared" si="8"/>
        <v>0.1666666667</v>
      </c>
      <c r="V460" s="23">
        <f t="shared" ref="V460:W460" si="923">P460/O460</f>
        <v>0.4074074074</v>
      </c>
      <c r="W460" s="23">
        <f t="shared" si="923"/>
        <v>0.1818181818</v>
      </c>
    </row>
    <row r="461">
      <c r="A461" s="6">
        <f>IFERROR(__xludf.DUMMYFUNCTION("""COMPUTED_VALUE"""),544057.0)</f>
        <v>544057</v>
      </c>
      <c r="B461" s="6" t="str">
        <f>IFERROR(__xludf.DUMMYFUNCTION("""COMPUTED_VALUE"""),"Happy Forgings Limited")</f>
        <v>Happy Forgings Limited</v>
      </c>
      <c r="C461" s="6" t="str">
        <f>IFERROR(__xludf.DUMMYFUNCTION("""COMPUTED_VALUE"""),"HAPPYFORGE")</f>
        <v>HAPPYFORGE</v>
      </c>
      <c r="D461" s="6" t="str">
        <f>IFERROR(__xludf.DUMMYFUNCTION("""COMPUTED_VALUE"""),"Happy Forgings Ltd")</f>
        <v>Happy Forgings Ltd</v>
      </c>
      <c r="E461" s="6" t="str">
        <f>IFERROR(__xludf.DUMMYFUNCTION("""COMPUTED_VALUE"""),"Active")</f>
        <v>Active</v>
      </c>
      <c r="F461" s="6" t="str">
        <f>IFERROR(__xludf.DUMMYFUNCTION("""COMPUTED_VALUE"""),"B")</f>
        <v>B</v>
      </c>
      <c r="G461" s="6">
        <f>IFERROR(__xludf.DUMMYFUNCTION("""COMPUTED_VALUE"""),2.0)</f>
        <v>2</v>
      </c>
      <c r="H461" s="6" t="str">
        <f>IFERROR(__xludf.DUMMYFUNCTION("""COMPUTED_VALUE"""),"INE330T01021")</f>
        <v>INE330T01021</v>
      </c>
      <c r="I461" s="6" t="str">
        <f>IFERROR(__xludf.DUMMYFUNCTION("""COMPUTED_VALUE"""),"Equity")</f>
        <v>Equity</v>
      </c>
      <c r="J461" s="6" t="str">
        <f>IFERROR(__xludf.DUMMYFUNCTION("""COMPUTED_VALUE"""),"Industrials")</f>
        <v>Industrials</v>
      </c>
      <c r="K461" s="6" t="str">
        <f>IFERROR(__xludf.DUMMYFUNCTION("""COMPUTED_VALUE"""),"Capital Goods")</f>
        <v>Capital Goods</v>
      </c>
      <c r="L461" s="6" t="str">
        <f>IFERROR(__xludf.DUMMYFUNCTION("""COMPUTED_VALUE"""),"Industrial Products")</f>
        <v>Industrial Products</v>
      </c>
      <c r="M461" s="6" t="str">
        <f>IFERROR(__xludf.DUMMYFUNCTION("""COMPUTED_VALUE"""),"Castings &amp; Forgings")</f>
        <v>Castings &amp; Forgings</v>
      </c>
      <c r="N461" s="5">
        <f>IFERROR(__xludf.DUMMYFUNCTION("""COMPUTED_VALUE"""),11718.9739317)</f>
        <v>11718.97393</v>
      </c>
      <c r="O461" s="6">
        <f t="shared" si="4"/>
        <v>110</v>
      </c>
      <c r="P461" s="6">
        <f t="shared" ref="P461:Q461" si="924">COUNTIFS(L:L,L461)</f>
        <v>51</v>
      </c>
      <c r="Q461" s="24">
        <f t="shared" si="924"/>
        <v>2</v>
      </c>
      <c r="R461" s="6" t="str">
        <f t="shared" si="6"/>
        <v>Industrial Products</v>
      </c>
      <c r="S461" s="6" t="str">
        <f t="shared" si="7"/>
        <v>Industrial Products</v>
      </c>
      <c r="T461" s="6">
        <f>IFERROR(__xludf.DUMMYFUNCTION("COUNTA(UNIQUE(query($A$2:$P$800,""select L where K='""&amp; K461&amp;""'"")))"),5.0)</f>
        <v>5</v>
      </c>
      <c r="U461" s="23">
        <f t="shared" si="8"/>
        <v>0.06818181818</v>
      </c>
      <c r="V461" s="23">
        <f t="shared" ref="V461:W461" si="925">P461/O461</f>
        <v>0.4636363636</v>
      </c>
      <c r="W461" s="23">
        <f t="shared" si="925"/>
        <v>0.03921568627</v>
      </c>
    </row>
    <row r="462">
      <c r="A462" s="6">
        <f>IFERROR(__xludf.DUMMYFUNCTION("""COMPUTED_VALUE"""),530019.0)</f>
        <v>530019</v>
      </c>
      <c r="B462" s="6" t="str">
        <f>IFERROR(__xludf.DUMMYFUNCTION("""COMPUTED_VALUE"""),"JUBILANT PHARMOVA LIMITED")</f>
        <v>JUBILANT PHARMOVA LIMITED</v>
      </c>
      <c r="C462" s="6" t="str">
        <f>IFERROR(__xludf.DUMMYFUNCTION("""COMPUTED_VALUE"""),"JUBLPHARMA")</f>
        <v>JUBLPHARMA</v>
      </c>
      <c r="D462" s="6" t="str">
        <f>IFERROR(__xludf.DUMMYFUNCTION("""COMPUTED_VALUE"""),"Jubilant Pharmova Ltd")</f>
        <v>Jubilant Pharmova Ltd</v>
      </c>
      <c r="E462" s="6" t="str">
        <f>IFERROR(__xludf.DUMMYFUNCTION("""COMPUTED_VALUE"""),"Active")</f>
        <v>Active</v>
      </c>
      <c r="F462" s="6" t="str">
        <f>IFERROR(__xludf.DUMMYFUNCTION("""COMPUTED_VALUE"""),"A")</f>
        <v>A</v>
      </c>
      <c r="G462" s="6">
        <f>IFERROR(__xludf.DUMMYFUNCTION("""COMPUTED_VALUE"""),1.0)</f>
        <v>1</v>
      </c>
      <c r="H462" s="6" t="str">
        <f>IFERROR(__xludf.DUMMYFUNCTION("""COMPUTED_VALUE"""),"INE700A01033")</f>
        <v>INE700A01033</v>
      </c>
      <c r="I462" s="6" t="str">
        <f>IFERROR(__xludf.DUMMYFUNCTION("""COMPUTED_VALUE"""),"Equity")</f>
        <v>Equity</v>
      </c>
      <c r="J462" s="6" t="str">
        <f>IFERROR(__xludf.DUMMYFUNCTION("""COMPUTED_VALUE"""),"Healthcare")</f>
        <v>Healthcare</v>
      </c>
      <c r="K462" s="6" t="str">
        <f>IFERROR(__xludf.DUMMYFUNCTION("""COMPUTED_VALUE"""),"Healthcare")</f>
        <v>Healthcare</v>
      </c>
      <c r="L462" s="6" t="str">
        <f>IFERROR(__xludf.DUMMYFUNCTION("""COMPUTED_VALUE"""),"Pharmaceuticals &amp; Biotechnology")</f>
        <v>Pharmaceuticals &amp; Biotechnology</v>
      </c>
      <c r="M462" s="6" t="str">
        <f>IFERROR(__xludf.DUMMYFUNCTION("""COMPUTED_VALUE"""),"Pharmaceuticals")</f>
        <v>Pharmaceuticals</v>
      </c>
      <c r="N462" s="5">
        <f>IFERROR(__xludf.DUMMYFUNCTION("""COMPUTED_VALUE"""),11676.4084)</f>
        <v>11676.4084</v>
      </c>
      <c r="O462" s="6">
        <f t="shared" si="4"/>
        <v>62</v>
      </c>
      <c r="P462" s="6">
        <f t="shared" ref="P462:Q462" si="926">COUNTIFS(L:L,L462)</f>
        <v>45</v>
      </c>
      <c r="Q462" s="24">
        <f t="shared" si="926"/>
        <v>45</v>
      </c>
      <c r="R462" s="6" t="str">
        <f t="shared" si="6"/>
        <v>Healthcare</v>
      </c>
      <c r="S462" s="6" t="str">
        <f t="shared" si="7"/>
        <v>Healthcare</v>
      </c>
      <c r="T462" s="6">
        <f>IFERROR(__xludf.DUMMYFUNCTION("COUNTA(UNIQUE(query($A$2:$P$800,""select L where K='""&amp; K462&amp;""'"")))"),3.0)</f>
        <v>3</v>
      </c>
      <c r="U462" s="23">
        <f t="shared" si="8"/>
        <v>0.07258064516</v>
      </c>
      <c r="V462" s="23">
        <f t="shared" ref="V462:W462" si="927">P462/O462</f>
        <v>0.7258064516</v>
      </c>
      <c r="W462" s="23">
        <f t="shared" si="927"/>
        <v>1</v>
      </c>
    </row>
    <row r="463">
      <c r="A463" s="6">
        <f>IFERROR(__xludf.DUMMYFUNCTION("""COMPUTED_VALUE"""),534597.0)</f>
        <v>534597</v>
      </c>
      <c r="B463" s="6" t="str">
        <f>IFERROR(__xludf.DUMMYFUNCTION("""COMPUTED_VALUE"""),"RATTANINDIA ENTERPRISES LIMITED")</f>
        <v>RATTANINDIA ENTERPRISES LIMITED</v>
      </c>
      <c r="C463" s="6" t="str">
        <f>IFERROR(__xludf.DUMMYFUNCTION("""COMPUTED_VALUE"""),"RTNINDIA")</f>
        <v>RTNINDIA</v>
      </c>
      <c r="D463" s="6" t="str">
        <f>IFERROR(__xludf.DUMMYFUNCTION("""COMPUTED_VALUE"""),"Rattanindia Enterprises Ltd")</f>
        <v>Rattanindia Enterprises Ltd</v>
      </c>
      <c r="E463" s="6" t="str">
        <f>IFERROR(__xludf.DUMMYFUNCTION("""COMPUTED_VALUE"""),"Active")</f>
        <v>Active</v>
      </c>
      <c r="F463" s="6" t="str">
        <f>IFERROR(__xludf.DUMMYFUNCTION("""COMPUTED_VALUE"""),"A")</f>
        <v>A</v>
      </c>
      <c r="G463" s="6">
        <f>IFERROR(__xludf.DUMMYFUNCTION("""COMPUTED_VALUE"""),2.0)</f>
        <v>2</v>
      </c>
      <c r="H463" s="6" t="str">
        <f>IFERROR(__xludf.DUMMYFUNCTION("""COMPUTED_VALUE"""),"INE834M01019")</f>
        <v>INE834M01019</v>
      </c>
      <c r="I463" s="6" t="str">
        <f>IFERROR(__xludf.DUMMYFUNCTION("""COMPUTED_VALUE"""),"Equity")</f>
        <v>Equity</v>
      </c>
      <c r="J463" s="6" t="str">
        <f>IFERROR(__xludf.DUMMYFUNCTION("""COMPUTED_VALUE"""),"Consumer Discretionary")</f>
        <v>Consumer Discretionary</v>
      </c>
      <c r="K463" s="6" t="str">
        <f>IFERROR(__xludf.DUMMYFUNCTION("""COMPUTED_VALUE"""),"Consumer Services")</f>
        <v>Consumer Services</v>
      </c>
      <c r="L463" s="6" t="str">
        <f>IFERROR(__xludf.DUMMYFUNCTION("""COMPUTED_VALUE"""),"Retailing")</f>
        <v>Retailing</v>
      </c>
      <c r="M463" s="6" t="str">
        <f>IFERROR(__xludf.DUMMYFUNCTION("""COMPUTED_VALUE"""),"E-Retail/ E-Commerce")</f>
        <v>E-Retail/ E-Commerce</v>
      </c>
      <c r="N463" s="5">
        <f>IFERROR(__xludf.DUMMYFUNCTION("""COMPUTED_VALUE"""),11630.6282012)</f>
        <v>11630.6282</v>
      </c>
      <c r="O463" s="6">
        <f t="shared" si="4"/>
        <v>37</v>
      </c>
      <c r="P463" s="6">
        <f t="shared" ref="P463:Q463" si="928">COUNTIFS(L:L,L463)</f>
        <v>18</v>
      </c>
      <c r="Q463" s="24">
        <f t="shared" si="928"/>
        <v>3</v>
      </c>
      <c r="R463" s="6" t="str">
        <f t="shared" si="6"/>
        <v>Retailing</v>
      </c>
      <c r="S463" s="6" t="str">
        <f t="shared" si="7"/>
        <v>Retailing</v>
      </c>
      <c r="T463" s="6">
        <f>IFERROR(__xludf.DUMMYFUNCTION("COUNTA(UNIQUE(query($A$2:$P$800,""select L where K='""&amp; K463&amp;""'"")))"),3.0)</f>
        <v>3</v>
      </c>
      <c r="U463" s="23">
        <f t="shared" si="8"/>
        <v>0.1216216216</v>
      </c>
      <c r="V463" s="23">
        <f t="shared" ref="V463:W463" si="929">P463/O463</f>
        <v>0.4864864865</v>
      </c>
      <c r="W463" s="23">
        <f t="shared" si="929"/>
        <v>0.1666666667</v>
      </c>
    </row>
    <row r="464">
      <c r="A464" s="6">
        <f>IFERROR(__xludf.DUMMYFUNCTION("""COMPUTED_VALUE"""),541019.0)</f>
        <v>541019</v>
      </c>
      <c r="B464" s="6" t="str">
        <f>IFERROR(__xludf.DUMMYFUNCTION("""COMPUTED_VALUE"""),"H.G. Infra Engineering Limited")</f>
        <v>H.G. Infra Engineering Limited</v>
      </c>
      <c r="C464" s="6" t="str">
        <f>IFERROR(__xludf.DUMMYFUNCTION("""COMPUTED_VALUE"""),"HGINFRA")</f>
        <v>HGINFRA</v>
      </c>
      <c r="D464" s="6" t="str">
        <f>IFERROR(__xludf.DUMMYFUNCTION("""COMPUTED_VALUE"""),"H.G. Infra Engineering Ltd")</f>
        <v>H.G. Infra Engineering Ltd</v>
      </c>
      <c r="E464" s="6" t="str">
        <f>IFERROR(__xludf.DUMMYFUNCTION("""COMPUTED_VALUE"""),"Active")</f>
        <v>Active</v>
      </c>
      <c r="F464" s="6" t="str">
        <f>IFERROR(__xludf.DUMMYFUNCTION("""COMPUTED_VALUE"""),"A")</f>
        <v>A</v>
      </c>
      <c r="G464" s="6">
        <f>IFERROR(__xludf.DUMMYFUNCTION("""COMPUTED_VALUE"""),10.0)</f>
        <v>10</v>
      </c>
      <c r="H464" s="6" t="str">
        <f>IFERROR(__xludf.DUMMYFUNCTION("""COMPUTED_VALUE"""),"INE926X01010")</f>
        <v>INE926X01010</v>
      </c>
      <c r="I464" s="6" t="str">
        <f>IFERROR(__xludf.DUMMYFUNCTION("""COMPUTED_VALUE"""),"Equity")</f>
        <v>Equity</v>
      </c>
      <c r="J464" s="6" t="str">
        <f>IFERROR(__xludf.DUMMYFUNCTION("""COMPUTED_VALUE"""),"Industrials")</f>
        <v>Industrials</v>
      </c>
      <c r="K464" s="6" t="str">
        <f>IFERROR(__xludf.DUMMYFUNCTION("""COMPUTED_VALUE"""),"Construction")</f>
        <v>Construction</v>
      </c>
      <c r="L464" s="6" t="str">
        <f>IFERROR(__xludf.DUMMYFUNCTION("""COMPUTED_VALUE"""),"Construction")</f>
        <v>Construction</v>
      </c>
      <c r="M464" s="6" t="str">
        <f>IFERROR(__xludf.DUMMYFUNCTION("""COMPUTED_VALUE"""),"Civil Construction")</f>
        <v>Civil Construction</v>
      </c>
      <c r="N464" s="5">
        <f>IFERROR(__xludf.DUMMYFUNCTION("""COMPUTED_VALUE"""),11575.1296927)</f>
        <v>11575.12969</v>
      </c>
      <c r="O464" s="6">
        <f t="shared" si="4"/>
        <v>27</v>
      </c>
      <c r="P464" s="6">
        <f t="shared" ref="P464:Q464" si="930">COUNTIFS(L:L,L464)</f>
        <v>27</v>
      </c>
      <c r="Q464" s="24">
        <f t="shared" si="930"/>
        <v>27</v>
      </c>
      <c r="R464" s="6" t="str">
        <f t="shared" si="6"/>
        <v>Construction</v>
      </c>
      <c r="S464" s="6" t="str">
        <f t="shared" si="7"/>
        <v>Construction</v>
      </c>
      <c r="T464" s="6">
        <f>IFERROR(__xludf.DUMMYFUNCTION("COUNTA(UNIQUE(query($A$2:$P$800,""select L where K='""&amp; K464&amp;""'"")))"),1.0)</f>
        <v>1</v>
      </c>
      <c r="U464" s="23">
        <f t="shared" si="8"/>
        <v>0.05555555556</v>
      </c>
      <c r="V464" s="23">
        <f t="shared" ref="V464:W464" si="931">P464/O464</f>
        <v>1</v>
      </c>
      <c r="W464" s="23">
        <f t="shared" si="931"/>
        <v>1</v>
      </c>
    </row>
    <row r="465">
      <c r="A465" s="6">
        <f>IFERROR(__xludf.DUMMYFUNCTION("""COMPUTED_VALUE"""),532939.0)</f>
        <v>532939</v>
      </c>
      <c r="B465" s="6" t="str">
        <f>IFERROR(__xludf.DUMMYFUNCTION("""COMPUTED_VALUE"""),"Reliance Power Limited")</f>
        <v>Reliance Power Limited</v>
      </c>
      <c r="C465" s="6" t="str">
        <f>IFERROR(__xludf.DUMMYFUNCTION("""COMPUTED_VALUE"""),"RPOWER")</f>
        <v>RPOWER</v>
      </c>
      <c r="D465" s="6" t="str">
        <f>IFERROR(__xludf.DUMMYFUNCTION("""COMPUTED_VALUE"""),"RELIANCE POWER LTD.")</f>
        <v>RELIANCE POWER LTD.</v>
      </c>
      <c r="E465" s="6" t="str">
        <f>IFERROR(__xludf.DUMMYFUNCTION("""COMPUTED_VALUE"""),"Active")</f>
        <v>Active</v>
      </c>
      <c r="F465" s="6" t="str">
        <f>IFERROR(__xludf.DUMMYFUNCTION("""COMPUTED_VALUE"""),"A")</f>
        <v>A</v>
      </c>
      <c r="G465" s="6">
        <f>IFERROR(__xludf.DUMMYFUNCTION("""COMPUTED_VALUE"""),10.0)</f>
        <v>10</v>
      </c>
      <c r="H465" s="6" t="str">
        <f>IFERROR(__xludf.DUMMYFUNCTION("""COMPUTED_VALUE"""),"INE614G01033")</f>
        <v>INE614G01033</v>
      </c>
      <c r="I465" s="6" t="str">
        <f>IFERROR(__xludf.DUMMYFUNCTION("""COMPUTED_VALUE"""),"Equity")</f>
        <v>Equity</v>
      </c>
      <c r="J465" s="6" t="str">
        <f>IFERROR(__xludf.DUMMYFUNCTION("""COMPUTED_VALUE"""),"Utilities")</f>
        <v>Utilities</v>
      </c>
      <c r="K465" s="6" t="str">
        <f>IFERROR(__xludf.DUMMYFUNCTION("""COMPUTED_VALUE"""),"Power")</f>
        <v>Power</v>
      </c>
      <c r="L465" s="6" t="str">
        <f>IFERROR(__xludf.DUMMYFUNCTION("""COMPUTED_VALUE"""),"Power")</f>
        <v>Power</v>
      </c>
      <c r="M465" s="6" t="str">
        <f>IFERROR(__xludf.DUMMYFUNCTION("""COMPUTED_VALUE"""),"Power Generation")</f>
        <v>Power Generation</v>
      </c>
      <c r="N465" s="5">
        <f>IFERROR(__xludf.DUMMYFUNCTION("""COMPUTED_VALUE"""),11500.7977103)</f>
        <v>11500.79771</v>
      </c>
      <c r="O465" s="6">
        <f t="shared" si="4"/>
        <v>22</v>
      </c>
      <c r="P465" s="6">
        <f t="shared" ref="P465:Q465" si="932">COUNTIFS(L:L,L465)</f>
        <v>22</v>
      </c>
      <c r="Q465" s="24">
        <f t="shared" si="932"/>
        <v>13</v>
      </c>
      <c r="R465" s="6" t="str">
        <f t="shared" si="6"/>
        <v>Power</v>
      </c>
      <c r="S465" s="6" t="str">
        <f t="shared" si="7"/>
        <v>Power</v>
      </c>
      <c r="T465" s="6">
        <f>IFERROR(__xludf.DUMMYFUNCTION("COUNTA(UNIQUE(query($A$2:$P$800,""select L where K='""&amp; K465&amp;""'"")))"),1.0)</f>
        <v>1</v>
      </c>
      <c r="U465" s="23">
        <f t="shared" si="8"/>
        <v>0.06818181818</v>
      </c>
      <c r="V465" s="23">
        <f t="shared" ref="V465:W465" si="933">P465/O465</f>
        <v>1</v>
      </c>
      <c r="W465" s="23">
        <f t="shared" si="933"/>
        <v>0.5909090909</v>
      </c>
    </row>
    <row r="466">
      <c r="A466" s="6">
        <f>IFERROR(__xludf.DUMMYFUNCTION("""COMPUTED_VALUE"""),500413.0)</f>
        <v>500413</v>
      </c>
      <c r="B466" s="6" t="str">
        <f>IFERROR(__xludf.DUMMYFUNCTION("""COMPUTED_VALUE"""),"Thomas Cook (India) Ltd.")</f>
        <v>Thomas Cook (India) Ltd.</v>
      </c>
      <c r="C466" s="6" t="str">
        <f>IFERROR(__xludf.DUMMYFUNCTION("""COMPUTED_VALUE"""),"THOMASCOOK")</f>
        <v>THOMASCOOK</v>
      </c>
      <c r="D466" s="6" t="str">
        <f>IFERROR(__xludf.DUMMYFUNCTION("""COMPUTED_VALUE"""),"THOMAS COOK (INDIA) LTD.")</f>
        <v>THOMAS COOK (INDIA) LTD.</v>
      </c>
      <c r="E466" s="6" t="str">
        <f>IFERROR(__xludf.DUMMYFUNCTION("""COMPUTED_VALUE"""),"Active")</f>
        <v>Active</v>
      </c>
      <c r="F466" s="6" t="str">
        <f>IFERROR(__xludf.DUMMYFUNCTION("""COMPUTED_VALUE"""),"B")</f>
        <v>B</v>
      </c>
      <c r="G466" s="6">
        <f>IFERROR(__xludf.DUMMYFUNCTION("""COMPUTED_VALUE"""),1.0)</f>
        <v>1</v>
      </c>
      <c r="H466" s="6" t="str">
        <f>IFERROR(__xludf.DUMMYFUNCTION("""COMPUTED_VALUE"""),"INE332A01027")</f>
        <v>INE332A01027</v>
      </c>
      <c r="I466" s="6" t="str">
        <f>IFERROR(__xludf.DUMMYFUNCTION("""COMPUTED_VALUE"""),"Equity")</f>
        <v>Equity</v>
      </c>
      <c r="J466" s="6" t="str">
        <f>IFERROR(__xludf.DUMMYFUNCTION("""COMPUTED_VALUE"""),"Consumer Discretionary")</f>
        <v>Consumer Discretionary</v>
      </c>
      <c r="K466" s="6" t="str">
        <f>IFERROR(__xludf.DUMMYFUNCTION("""COMPUTED_VALUE"""),"Consumer Services")</f>
        <v>Consumer Services</v>
      </c>
      <c r="L466" s="6" t="str">
        <f>IFERROR(__xludf.DUMMYFUNCTION("""COMPUTED_VALUE"""),"Leisure Services")</f>
        <v>Leisure Services</v>
      </c>
      <c r="M466" s="6" t="str">
        <f>IFERROR(__xludf.DUMMYFUNCTION("""COMPUTED_VALUE"""),"Tour, Travel Related Services")</f>
        <v>Tour, Travel Related Services</v>
      </c>
      <c r="N466" s="5">
        <f>IFERROR(__xludf.DUMMYFUNCTION("""COMPUTED_VALUE"""),11483.4526253)</f>
        <v>11483.45263</v>
      </c>
      <c r="O466" s="6">
        <f t="shared" si="4"/>
        <v>37</v>
      </c>
      <c r="P466" s="6">
        <f t="shared" ref="P466:Q466" si="934">COUNTIFS(L:L,L466)</f>
        <v>18</v>
      </c>
      <c r="Q466" s="24">
        <f t="shared" si="934"/>
        <v>5</v>
      </c>
      <c r="R466" s="6" t="str">
        <f t="shared" si="6"/>
        <v>Leisure Services</v>
      </c>
      <c r="S466" s="6" t="str">
        <f t="shared" si="7"/>
        <v>Leisure Services</v>
      </c>
      <c r="T466" s="6">
        <f>IFERROR(__xludf.DUMMYFUNCTION("COUNTA(UNIQUE(query($A$2:$P$800,""select L where K='""&amp; K466&amp;""'"")))"),3.0)</f>
        <v>3</v>
      </c>
      <c r="U466" s="23">
        <f t="shared" si="8"/>
        <v>0.1216216216</v>
      </c>
      <c r="V466" s="23">
        <f t="shared" ref="V466:W466" si="935">P466/O466</f>
        <v>0.4864864865</v>
      </c>
      <c r="W466" s="23">
        <f t="shared" si="935"/>
        <v>0.2777777778</v>
      </c>
    </row>
    <row r="467">
      <c r="A467" s="6">
        <f>IFERROR(__xludf.DUMMYFUNCTION("""COMPUTED_VALUE"""),532928.0)</f>
        <v>532928</v>
      </c>
      <c r="B467" s="6" t="str">
        <f>IFERROR(__xludf.DUMMYFUNCTION("""COMPUTED_VALUE"""),"Transformers and Rectifiers (India) Limited")</f>
        <v>Transformers and Rectifiers (India) Limited</v>
      </c>
      <c r="C467" s="6" t="str">
        <f>IFERROR(__xludf.DUMMYFUNCTION("""COMPUTED_VALUE"""),"TRIL")</f>
        <v>TRIL</v>
      </c>
      <c r="D467" s="6" t="str">
        <f>IFERROR(__xludf.DUMMYFUNCTION("""COMPUTED_VALUE"""),"TRANSFORMERS AND RECTIFIERS (INDIA) LTD.")</f>
        <v>TRANSFORMERS AND RECTIFIERS (INDIA) LTD.</v>
      </c>
      <c r="E467" s="6" t="str">
        <f>IFERROR(__xludf.DUMMYFUNCTION("""COMPUTED_VALUE"""),"Active")</f>
        <v>Active</v>
      </c>
      <c r="F467" s="6" t="str">
        <f>IFERROR(__xludf.DUMMYFUNCTION("""COMPUTED_VALUE"""),"T")</f>
        <v>T</v>
      </c>
      <c r="G467" s="6">
        <f>IFERROR(__xludf.DUMMYFUNCTION("""COMPUTED_VALUE"""),1.0)</f>
        <v>1</v>
      </c>
      <c r="H467" s="6" t="str">
        <f>IFERROR(__xludf.DUMMYFUNCTION("""COMPUTED_VALUE"""),"INE763I01026")</f>
        <v>INE763I01026</v>
      </c>
      <c r="I467" s="6" t="str">
        <f>IFERROR(__xludf.DUMMYFUNCTION("""COMPUTED_VALUE"""),"Equity")</f>
        <v>Equity</v>
      </c>
      <c r="J467" s="6" t="str">
        <f>IFERROR(__xludf.DUMMYFUNCTION("""COMPUTED_VALUE"""),"Industrials")</f>
        <v>Industrials</v>
      </c>
      <c r="K467" s="6" t="str">
        <f>IFERROR(__xludf.DUMMYFUNCTION("""COMPUTED_VALUE"""),"Capital Goods")</f>
        <v>Capital Goods</v>
      </c>
      <c r="L467" s="6" t="str">
        <f>IFERROR(__xludf.DUMMYFUNCTION("""COMPUTED_VALUE"""),"Electrical Equipment")</f>
        <v>Electrical Equipment</v>
      </c>
      <c r="M467" s="6" t="str">
        <f>IFERROR(__xludf.DUMMYFUNCTION("""COMPUTED_VALUE"""),"Heavy Electrical Equipment")</f>
        <v>Heavy Electrical Equipment</v>
      </c>
      <c r="N467" s="5">
        <f>IFERROR(__xludf.DUMMYFUNCTION("""COMPUTED_VALUE"""),11479.15802)</f>
        <v>11479.15802</v>
      </c>
      <c r="O467" s="6">
        <f t="shared" si="4"/>
        <v>110</v>
      </c>
      <c r="P467" s="6">
        <f t="shared" ref="P467:Q467" si="936">COUNTIFS(L:L,L467)</f>
        <v>22</v>
      </c>
      <c r="Q467" s="24">
        <f t="shared" si="936"/>
        <v>17</v>
      </c>
      <c r="R467" s="6" t="str">
        <f t="shared" si="6"/>
        <v>Electrical Equipment</v>
      </c>
      <c r="S467" s="6" t="str">
        <f t="shared" si="7"/>
        <v>Electrical Equipment</v>
      </c>
      <c r="T467" s="6">
        <f>IFERROR(__xludf.DUMMYFUNCTION("COUNTA(UNIQUE(query($A$2:$P$800,""select L where K='""&amp; K467&amp;""'"")))"),5.0)</f>
        <v>5</v>
      </c>
      <c r="U467" s="23">
        <f t="shared" si="8"/>
        <v>0.06818181818</v>
      </c>
      <c r="V467" s="23">
        <f t="shared" ref="V467:W467" si="937">P467/O467</f>
        <v>0.2</v>
      </c>
      <c r="W467" s="23">
        <f t="shared" si="937"/>
        <v>0.7727272727</v>
      </c>
    </row>
    <row r="468">
      <c r="A468" s="6">
        <f>IFERROR(__xludf.DUMMYFUNCTION("""COMPUTED_VALUE"""),543322.0)</f>
        <v>543322</v>
      </c>
      <c r="B468" s="6" t="str">
        <f>IFERROR(__xludf.DUMMYFUNCTION("""COMPUTED_VALUE"""),"Glenmark Life Sciences Limited")</f>
        <v>Glenmark Life Sciences Limited</v>
      </c>
      <c r="C468" s="6" t="str">
        <f>IFERROR(__xludf.DUMMYFUNCTION("""COMPUTED_VALUE"""),"GLS")</f>
        <v>GLS</v>
      </c>
      <c r="D468" s="6" t="str">
        <f>IFERROR(__xludf.DUMMYFUNCTION("""COMPUTED_VALUE"""),"Glenmark Life Sciences Ltd")</f>
        <v>Glenmark Life Sciences Ltd</v>
      </c>
      <c r="E468" s="6" t="str">
        <f>IFERROR(__xludf.DUMMYFUNCTION("""COMPUTED_VALUE"""),"Active")</f>
        <v>Active</v>
      </c>
      <c r="F468" s="6" t="str">
        <f>IFERROR(__xludf.DUMMYFUNCTION("""COMPUTED_VALUE"""),"A")</f>
        <v>A</v>
      </c>
      <c r="G468" s="6">
        <f>IFERROR(__xludf.DUMMYFUNCTION("""COMPUTED_VALUE"""),2.0)</f>
        <v>2</v>
      </c>
      <c r="H468" s="6" t="str">
        <f>IFERROR(__xludf.DUMMYFUNCTION("""COMPUTED_VALUE"""),"INE03Q201024")</f>
        <v>INE03Q201024</v>
      </c>
      <c r="I468" s="6" t="str">
        <f>IFERROR(__xludf.DUMMYFUNCTION("""COMPUTED_VALUE"""),"Equity")</f>
        <v>Equity</v>
      </c>
      <c r="J468" s="6" t="str">
        <f>IFERROR(__xludf.DUMMYFUNCTION("""COMPUTED_VALUE"""),"Healthcare")</f>
        <v>Healthcare</v>
      </c>
      <c r="K468" s="6" t="str">
        <f>IFERROR(__xludf.DUMMYFUNCTION("""COMPUTED_VALUE"""),"Healthcare")</f>
        <v>Healthcare</v>
      </c>
      <c r="L468" s="6" t="str">
        <f>IFERROR(__xludf.DUMMYFUNCTION("""COMPUTED_VALUE"""),"Pharmaceuticals &amp; Biotechnology")</f>
        <v>Pharmaceuticals &amp; Biotechnology</v>
      </c>
      <c r="M468" s="6" t="str">
        <f>IFERROR(__xludf.DUMMYFUNCTION("""COMPUTED_VALUE"""),"Pharmaceuticals")</f>
        <v>Pharmaceuticals</v>
      </c>
      <c r="N468" s="5">
        <f>IFERROR(__xludf.DUMMYFUNCTION("""COMPUTED_VALUE"""),11474.9686955)</f>
        <v>11474.9687</v>
      </c>
      <c r="O468" s="6">
        <f t="shared" si="4"/>
        <v>62</v>
      </c>
      <c r="P468" s="6">
        <f t="shared" ref="P468:Q468" si="938">COUNTIFS(L:L,L468)</f>
        <v>45</v>
      </c>
      <c r="Q468" s="24">
        <f t="shared" si="938"/>
        <v>45</v>
      </c>
      <c r="R468" s="6" t="str">
        <f t="shared" si="6"/>
        <v>Healthcare</v>
      </c>
      <c r="S468" s="6" t="str">
        <f t="shared" si="7"/>
        <v>Healthcare</v>
      </c>
      <c r="T468" s="6">
        <f>IFERROR(__xludf.DUMMYFUNCTION("COUNTA(UNIQUE(query($A$2:$P$800,""select L where K='""&amp; K468&amp;""'"")))"),3.0)</f>
        <v>3</v>
      </c>
      <c r="U468" s="23">
        <f t="shared" si="8"/>
        <v>0.07258064516</v>
      </c>
      <c r="V468" s="23">
        <f t="shared" ref="V468:W468" si="939">P468/O468</f>
        <v>0.7258064516</v>
      </c>
      <c r="W468" s="23">
        <f t="shared" si="939"/>
        <v>1</v>
      </c>
    </row>
    <row r="469">
      <c r="A469" s="6">
        <f>IFERROR(__xludf.DUMMYFUNCTION("""COMPUTED_VALUE"""),541233.0)</f>
        <v>541233</v>
      </c>
      <c r="B469" s="6" t="str">
        <f>IFERROR(__xludf.DUMMYFUNCTION("""COMPUTED_VALUE"""),"Lemon Tree Hotels Limited")</f>
        <v>Lemon Tree Hotels Limited</v>
      </c>
      <c r="C469" s="6" t="str">
        <f>IFERROR(__xludf.DUMMYFUNCTION("""COMPUTED_VALUE"""),"LEMONTREE")</f>
        <v>LEMONTREE</v>
      </c>
      <c r="D469" s="6" t="str">
        <f>IFERROR(__xludf.DUMMYFUNCTION("""COMPUTED_VALUE"""),"Lemon Tree Hotels Ltd")</f>
        <v>Lemon Tree Hotels Ltd</v>
      </c>
      <c r="E469" s="6" t="str">
        <f>IFERROR(__xludf.DUMMYFUNCTION("""COMPUTED_VALUE"""),"Active")</f>
        <v>Active</v>
      </c>
      <c r="F469" s="6" t="str">
        <f>IFERROR(__xludf.DUMMYFUNCTION("""COMPUTED_VALUE"""),"A")</f>
        <v>A</v>
      </c>
      <c r="G469" s="6">
        <f>IFERROR(__xludf.DUMMYFUNCTION("""COMPUTED_VALUE"""),10.0)</f>
        <v>10</v>
      </c>
      <c r="H469" s="6" t="str">
        <f>IFERROR(__xludf.DUMMYFUNCTION("""COMPUTED_VALUE"""),"INE970X01018")</f>
        <v>INE970X01018</v>
      </c>
      <c r="I469" s="6" t="str">
        <f>IFERROR(__xludf.DUMMYFUNCTION("""COMPUTED_VALUE"""),"Equity")</f>
        <v>Equity</v>
      </c>
      <c r="J469" s="6" t="str">
        <f>IFERROR(__xludf.DUMMYFUNCTION("""COMPUTED_VALUE"""),"Consumer Discretionary")</f>
        <v>Consumer Discretionary</v>
      </c>
      <c r="K469" s="6" t="str">
        <f>IFERROR(__xludf.DUMMYFUNCTION("""COMPUTED_VALUE"""),"Consumer Services")</f>
        <v>Consumer Services</v>
      </c>
      <c r="L469" s="6" t="str">
        <f>IFERROR(__xludf.DUMMYFUNCTION("""COMPUTED_VALUE"""),"Leisure Services")</f>
        <v>Leisure Services</v>
      </c>
      <c r="M469" s="6" t="str">
        <f>IFERROR(__xludf.DUMMYFUNCTION("""COMPUTED_VALUE"""),"Hotels &amp; Resorts")</f>
        <v>Hotels &amp; Resorts</v>
      </c>
      <c r="N469" s="5">
        <f>IFERROR(__xludf.DUMMYFUNCTION("""COMPUTED_VALUE"""),11458.4789571)</f>
        <v>11458.47896</v>
      </c>
      <c r="O469" s="6">
        <f t="shared" si="4"/>
        <v>37</v>
      </c>
      <c r="P469" s="6">
        <f t="shared" ref="P469:Q469" si="940">COUNTIFS(L:L,L469)</f>
        <v>18</v>
      </c>
      <c r="Q469" s="24">
        <f t="shared" si="940"/>
        <v>7</v>
      </c>
      <c r="R469" s="6" t="str">
        <f t="shared" si="6"/>
        <v>Leisure Services</v>
      </c>
      <c r="S469" s="6" t="str">
        <f t="shared" si="7"/>
        <v>Leisure Services</v>
      </c>
      <c r="T469" s="6">
        <f>IFERROR(__xludf.DUMMYFUNCTION("COUNTA(UNIQUE(query($A$2:$P$800,""select L where K='""&amp; K469&amp;""'"")))"),3.0)</f>
        <v>3</v>
      </c>
      <c r="U469" s="23">
        <f t="shared" si="8"/>
        <v>0.1216216216</v>
      </c>
      <c r="V469" s="23">
        <f t="shared" ref="V469:W469" si="941">P469/O469</f>
        <v>0.4864864865</v>
      </c>
      <c r="W469" s="23">
        <f t="shared" si="941"/>
        <v>0.3888888889</v>
      </c>
    </row>
    <row r="470">
      <c r="A470" s="6">
        <f>IFERROR(__xludf.DUMMYFUNCTION("""COMPUTED_VALUE"""),530007.0)</f>
        <v>530007</v>
      </c>
      <c r="B470" s="6" t="str">
        <f>IFERROR(__xludf.DUMMYFUNCTION("""COMPUTED_VALUE"""),"JK Tyre &amp; Industries Ltd.")</f>
        <v>JK Tyre &amp; Industries Ltd.</v>
      </c>
      <c r="C470" s="6" t="str">
        <f>IFERROR(__xludf.DUMMYFUNCTION("""COMPUTED_VALUE"""),"JKTYRE")</f>
        <v>JKTYRE</v>
      </c>
      <c r="D470" s="6" t="str">
        <f>IFERROR(__xludf.DUMMYFUNCTION("""COMPUTED_VALUE"""),"JK TYRE &amp; INDUSTRIES LTD.")</f>
        <v>JK TYRE &amp; INDUSTRIES LTD.</v>
      </c>
      <c r="E470" s="6" t="str">
        <f>IFERROR(__xludf.DUMMYFUNCTION("""COMPUTED_VALUE"""),"Active")</f>
        <v>Active</v>
      </c>
      <c r="F470" s="6" t="str">
        <f>IFERROR(__xludf.DUMMYFUNCTION("""COMPUTED_VALUE"""),"A")</f>
        <v>A</v>
      </c>
      <c r="G470" s="6">
        <f>IFERROR(__xludf.DUMMYFUNCTION("""COMPUTED_VALUE"""),2.0)</f>
        <v>2</v>
      </c>
      <c r="H470" s="6" t="str">
        <f>IFERROR(__xludf.DUMMYFUNCTION("""COMPUTED_VALUE"""),"INE573A01042")</f>
        <v>INE573A01042</v>
      </c>
      <c r="I470" s="6" t="str">
        <f>IFERROR(__xludf.DUMMYFUNCTION("""COMPUTED_VALUE"""),"Equity")</f>
        <v>Equity</v>
      </c>
      <c r="J470" s="6" t="str">
        <f>IFERROR(__xludf.DUMMYFUNCTION("""COMPUTED_VALUE"""),"Consumer Discretionary")</f>
        <v>Consumer Discretionary</v>
      </c>
      <c r="K470" s="6" t="str">
        <f>IFERROR(__xludf.DUMMYFUNCTION("""COMPUTED_VALUE"""),"Automobile and Auto Components")</f>
        <v>Automobile and Auto Components</v>
      </c>
      <c r="L470" s="6" t="str">
        <f>IFERROR(__xludf.DUMMYFUNCTION("""COMPUTED_VALUE"""),"Auto Components")</f>
        <v>Auto Components</v>
      </c>
      <c r="M470" s="6" t="str">
        <f>IFERROR(__xludf.DUMMYFUNCTION("""COMPUTED_VALUE"""),"Tyres &amp; Rubber Products")</f>
        <v>Tyres &amp; Rubber Products</v>
      </c>
      <c r="N470" s="5">
        <f>IFERROR(__xludf.DUMMYFUNCTION("""COMPUTED_VALUE"""),11388.0750924)</f>
        <v>11388.07509</v>
      </c>
      <c r="O470" s="6">
        <f t="shared" si="4"/>
        <v>47</v>
      </c>
      <c r="P470" s="6">
        <f t="shared" ref="P470:Q470" si="942">COUNTIFS(L:L,L470)</f>
        <v>37</v>
      </c>
      <c r="Q470" s="24">
        <f t="shared" si="942"/>
        <v>5</v>
      </c>
      <c r="R470" s="6" t="str">
        <f t="shared" si="6"/>
        <v>Automobile and Auto Components</v>
      </c>
      <c r="S470" s="6" t="str">
        <f t="shared" si="7"/>
        <v>Automobile and Auto Components</v>
      </c>
      <c r="T470" s="6">
        <f>IFERROR(__xludf.DUMMYFUNCTION("COUNTA(UNIQUE(query($A$2:$P$800,""select L where K='""&amp; K470&amp;""'"")))"),2.0)</f>
        <v>2</v>
      </c>
      <c r="U470" s="23">
        <f t="shared" si="8"/>
        <v>0.06382978723</v>
      </c>
      <c r="V470" s="23">
        <f t="shared" ref="V470:W470" si="943">P470/O470</f>
        <v>0.7872340426</v>
      </c>
      <c r="W470" s="23">
        <f t="shared" si="943"/>
        <v>0.1351351351</v>
      </c>
    </row>
    <row r="471">
      <c r="A471" s="6">
        <f>IFERROR(__xludf.DUMMYFUNCTION("""COMPUTED_VALUE"""),538962.0)</f>
        <v>538962</v>
      </c>
      <c r="B471" s="6" t="str">
        <f>IFERROR(__xludf.DUMMYFUNCTION("""COMPUTED_VALUE"""),"Minda Corporation Limited")</f>
        <v>Minda Corporation Limited</v>
      </c>
      <c r="C471" s="6" t="str">
        <f>IFERROR(__xludf.DUMMYFUNCTION("""COMPUTED_VALUE"""),"MINDACORP")</f>
        <v>MINDACORP</v>
      </c>
      <c r="D471" s="6" t="str">
        <f>IFERROR(__xludf.DUMMYFUNCTION("""COMPUTED_VALUE"""),"Minda Corporation Ltd")</f>
        <v>Minda Corporation Ltd</v>
      </c>
      <c r="E471" s="6" t="str">
        <f>IFERROR(__xludf.DUMMYFUNCTION("""COMPUTED_VALUE"""),"Active")</f>
        <v>Active</v>
      </c>
      <c r="F471" s="6" t="str">
        <f>IFERROR(__xludf.DUMMYFUNCTION("""COMPUTED_VALUE"""),"A")</f>
        <v>A</v>
      </c>
      <c r="G471" s="6">
        <f>IFERROR(__xludf.DUMMYFUNCTION("""COMPUTED_VALUE"""),2.0)</f>
        <v>2</v>
      </c>
      <c r="H471" s="6" t="str">
        <f>IFERROR(__xludf.DUMMYFUNCTION("""COMPUTED_VALUE"""),"INE842C01021")</f>
        <v>INE842C01021</v>
      </c>
      <c r="I471" s="6" t="str">
        <f>IFERROR(__xludf.DUMMYFUNCTION("""COMPUTED_VALUE"""),"Equity")</f>
        <v>Equity</v>
      </c>
      <c r="J471" s="6" t="str">
        <f>IFERROR(__xludf.DUMMYFUNCTION("""COMPUTED_VALUE"""),"Consumer Discretionary")</f>
        <v>Consumer Discretionary</v>
      </c>
      <c r="K471" s="6" t="str">
        <f>IFERROR(__xludf.DUMMYFUNCTION("""COMPUTED_VALUE"""),"Automobile and Auto Components")</f>
        <v>Automobile and Auto Components</v>
      </c>
      <c r="L471" s="6" t="str">
        <f>IFERROR(__xludf.DUMMYFUNCTION("""COMPUTED_VALUE"""),"Auto Components")</f>
        <v>Auto Components</v>
      </c>
      <c r="M471" s="6" t="str">
        <f>IFERROR(__xludf.DUMMYFUNCTION("""COMPUTED_VALUE"""),"Auto Components &amp; Equipments")</f>
        <v>Auto Components &amp; Equipments</v>
      </c>
      <c r="N471" s="5">
        <f>IFERROR(__xludf.DUMMYFUNCTION("""COMPUTED_VALUE"""),11271.6615424)</f>
        <v>11271.66154</v>
      </c>
      <c r="O471" s="6">
        <f t="shared" si="4"/>
        <v>47</v>
      </c>
      <c r="P471" s="6">
        <f t="shared" ref="P471:Q471" si="944">COUNTIFS(L:L,L471)</f>
        <v>37</v>
      </c>
      <c r="Q471" s="24">
        <f t="shared" si="944"/>
        <v>32</v>
      </c>
      <c r="R471" s="6" t="str">
        <f t="shared" si="6"/>
        <v>Automobile and Auto Components</v>
      </c>
      <c r="S471" s="6" t="str">
        <f t="shared" si="7"/>
        <v>Automobile and Auto Components</v>
      </c>
      <c r="T471" s="6">
        <f>IFERROR(__xludf.DUMMYFUNCTION("COUNTA(UNIQUE(query($A$2:$P$800,""select L where K='""&amp; K471&amp;""'"")))"),2.0)</f>
        <v>2</v>
      </c>
      <c r="U471" s="23">
        <f t="shared" si="8"/>
        <v>0.06382978723</v>
      </c>
      <c r="V471" s="23">
        <f t="shared" ref="V471:W471" si="945">P471/O471</f>
        <v>0.7872340426</v>
      </c>
      <c r="W471" s="23">
        <f t="shared" si="945"/>
        <v>0.8648648649</v>
      </c>
    </row>
    <row r="472">
      <c r="A472" s="6">
        <f>IFERROR(__xludf.DUMMYFUNCTION("""COMPUTED_VALUE"""),543228.0)</f>
        <v>543228</v>
      </c>
      <c r="B472" s="6" t="str">
        <f>IFERROR(__xludf.DUMMYFUNCTION("""COMPUTED_VALUE"""),"Route Mobile Limited")</f>
        <v>Route Mobile Limited</v>
      </c>
      <c r="C472" s="6" t="str">
        <f>IFERROR(__xludf.DUMMYFUNCTION("""COMPUTED_VALUE"""),"ROUTE")</f>
        <v>ROUTE</v>
      </c>
      <c r="D472" s="6" t="str">
        <f>IFERROR(__xludf.DUMMYFUNCTION("""COMPUTED_VALUE"""),"Route Mobile Ltd")</f>
        <v>Route Mobile Ltd</v>
      </c>
      <c r="E472" s="6" t="str">
        <f>IFERROR(__xludf.DUMMYFUNCTION("""COMPUTED_VALUE"""),"Active")</f>
        <v>Active</v>
      </c>
      <c r="F472" s="6" t="str">
        <f>IFERROR(__xludf.DUMMYFUNCTION("""COMPUTED_VALUE"""),"A")</f>
        <v>A</v>
      </c>
      <c r="G472" s="6">
        <f>IFERROR(__xludf.DUMMYFUNCTION("""COMPUTED_VALUE"""),10.0)</f>
        <v>10</v>
      </c>
      <c r="H472" s="6" t="str">
        <f>IFERROR(__xludf.DUMMYFUNCTION("""COMPUTED_VALUE"""),"INE450U01017")</f>
        <v>INE450U01017</v>
      </c>
      <c r="I472" s="6" t="str">
        <f>IFERROR(__xludf.DUMMYFUNCTION("""COMPUTED_VALUE"""),"Equity")</f>
        <v>Equity</v>
      </c>
      <c r="J472" s="6" t="str">
        <f>IFERROR(__xludf.DUMMYFUNCTION("""COMPUTED_VALUE"""),"Telecommunication")</f>
        <v>Telecommunication</v>
      </c>
      <c r="K472" s="6" t="str">
        <f>IFERROR(__xludf.DUMMYFUNCTION("""COMPUTED_VALUE"""),"Telecommunication")</f>
        <v>Telecommunication</v>
      </c>
      <c r="L472" s="6" t="str">
        <f>IFERROR(__xludf.DUMMYFUNCTION("""COMPUTED_VALUE"""),"Telecom - Services")</f>
        <v>Telecom - Services</v>
      </c>
      <c r="M472" s="6" t="str">
        <f>IFERROR(__xludf.DUMMYFUNCTION("""COMPUTED_VALUE"""),"Other Telecom Services")</f>
        <v>Other Telecom Services</v>
      </c>
      <c r="N472" s="5">
        <f>IFERROR(__xludf.DUMMYFUNCTION("""COMPUTED_VALUE"""),11241.826413)</f>
        <v>11241.82641</v>
      </c>
      <c r="O472" s="6">
        <f t="shared" si="4"/>
        <v>14</v>
      </c>
      <c r="P472" s="6">
        <f t="shared" ref="P472:Q472" si="946">COUNTIFS(L:L,L472)</f>
        <v>11</v>
      </c>
      <c r="Q472" s="24">
        <f t="shared" si="946"/>
        <v>2</v>
      </c>
      <c r="R472" s="6" t="str">
        <f t="shared" si="6"/>
        <v>Telecommunication</v>
      </c>
      <c r="S472" s="6" t="str">
        <f t="shared" si="7"/>
        <v>Telecommunication</v>
      </c>
      <c r="T472" s="6">
        <f>IFERROR(__xludf.DUMMYFUNCTION("COUNTA(UNIQUE(query($A$2:$P$800,""select L where K='""&amp; K472&amp;""'"")))"),2.0)</f>
        <v>2</v>
      </c>
      <c r="U472" s="23">
        <f t="shared" si="8"/>
        <v>0.2142857143</v>
      </c>
      <c r="V472" s="23">
        <f t="shared" ref="V472:W472" si="947">P472/O472</f>
        <v>0.7857142857</v>
      </c>
      <c r="W472" s="23">
        <f t="shared" si="947"/>
        <v>0.1818181818</v>
      </c>
    </row>
    <row r="473">
      <c r="A473" s="6">
        <f>IFERROR(__xludf.DUMMYFUNCTION("""COMPUTED_VALUE"""),524742.0)</f>
        <v>524742</v>
      </c>
      <c r="B473" s="6" t="str">
        <f>IFERROR(__xludf.DUMMYFUNCTION("""COMPUTED_VALUE"""),"Caplin Point Laboratories Ltd.")</f>
        <v>Caplin Point Laboratories Ltd.</v>
      </c>
      <c r="C473" s="6" t="str">
        <f>IFERROR(__xludf.DUMMYFUNCTION("""COMPUTED_VALUE"""),"CAPLIPOINT")</f>
        <v>CAPLIPOINT</v>
      </c>
      <c r="D473" s="6" t="str">
        <f>IFERROR(__xludf.DUMMYFUNCTION("""COMPUTED_VALUE"""),"CAPLIN POINT LABORATORIES LTD.")</f>
        <v>CAPLIN POINT LABORATORIES LTD.</v>
      </c>
      <c r="E473" s="6" t="str">
        <f>IFERROR(__xludf.DUMMYFUNCTION("""COMPUTED_VALUE"""),"Active")</f>
        <v>Active</v>
      </c>
      <c r="F473" s="6" t="str">
        <f>IFERROR(__xludf.DUMMYFUNCTION("""COMPUTED_VALUE"""),"A")</f>
        <v>A</v>
      </c>
      <c r="G473" s="6">
        <f>IFERROR(__xludf.DUMMYFUNCTION("""COMPUTED_VALUE"""),2.0)</f>
        <v>2</v>
      </c>
      <c r="H473" s="6" t="str">
        <f>IFERROR(__xludf.DUMMYFUNCTION("""COMPUTED_VALUE"""),"INE475E01026")</f>
        <v>INE475E01026</v>
      </c>
      <c r="I473" s="6" t="str">
        <f>IFERROR(__xludf.DUMMYFUNCTION("""COMPUTED_VALUE"""),"Equity")</f>
        <v>Equity</v>
      </c>
      <c r="J473" s="6" t="str">
        <f>IFERROR(__xludf.DUMMYFUNCTION("""COMPUTED_VALUE"""),"Healthcare")</f>
        <v>Healthcare</v>
      </c>
      <c r="K473" s="6" t="str">
        <f>IFERROR(__xludf.DUMMYFUNCTION("""COMPUTED_VALUE"""),"Healthcare")</f>
        <v>Healthcare</v>
      </c>
      <c r="L473" s="6" t="str">
        <f>IFERROR(__xludf.DUMMYFUNCTION("""COMPUTED_VALUE"""),"Pharmaceuticals &amp; Biotechnology")</f>
        <v>Pharmaceuticals &amp; Biotechnology</v>
      </c>
      <c r="M473" s="6" t="str">
        <f>IFERROR(__xludf.DUMMYFUNCTION("""COMPUTED_VALUE"""),"Pharmaceuticals")</f>
        <v>Pharmaceuticals</v>
      </c>
      <c r="N473" s="5">
        <f>IFERROR(__xludf.DUMMYFUNCTION("""COMPUTED_VALUE"""),11185.571678)</f>
        <v>11185.57168</v>
      </c>
      <c r="O473" s="6">
        <f t="shared" si="4"/>
        <v>62</v>
      </c>
      <c r="P473" s="6">
        <f t="shared" ref="P473:Q473" si="948">COUNTIFS(L:L,L473)</f>
        <v>45</v>
      </c>
      <c r="Q473" s="24">
        <f t="shared" si="948"/>
        <v>45</v>
      </c>
      <c r="R473" s="6" t="str">
        <f t="shared" si="6"/>
        <v>Healthcare</v>
      </c>
      <c r="S473" s="6" t="str">
        <f t="shared" si="7"/>
        <v>Healthcare</v>
      </c>
      <c r="T473" s="6">
        <f>IFERROR(__xludf.DUMMYFUNCTION("COUNTA(UNIQUE(query($A$2:$P$800,""select L where K='""&amp; K473&amp;""'"")))"),3.0)</f>
        <v>3</v>
      </c>
      <c r="U473" s="23">
        <f t="shared" si="8"/>
        <v>0.07258064516</v>
      </c>
      <c r="V473" s="23">
        <f t="shared" ref="V473:W473" si="949">P473/O473</f>
        <v>0.7258064516</v>
      </c>
      <c r="W473" s="23">
        <f t="shared" si="949"/>
        <v>1</v>
      </c>
    </row>
    <row r="474">
      <c r="A474" s="6">
        <f>IFERROR(__xludf.DUMMYFUNCTION("""COMPUTED_VALUE"""),544061.0)</f>
        <v>544061</v>
      </c>
      <c r="B474" s="6" t="str">
        <f>IFERROR(__xludf.DUMMYFUNCTION("""COMPUTED_VALUE"""),"Azad Engineering Limited")</f>
        <v>Azad Engineering Limited</v>
      </c>
      <c r="C474" s="6" t="str">
        <f>IFERROR(__xludf.DUMMYFUNCTION("""COMPUTED_VALUE"""),"AZAD")</f>
        <v>AZAD</v>
      </c>
      <c r="D474" s="6" t="str">
        <f>IFERROR(__xludf.DUMMYFUNCTION("""COMPUTED_VALUE"""),"Azad Engineering Ltd")</f>
        <v>Azad Engineering Ltd</v>
      </c>
      <c r="E474" s="6" t="str">
        <f>IFERROR(__xludf.DUMMYFUNCTION("""COMPUTED_VALUE"""),"Active")</f>
        <v>Active</v>
      </c>
      <c r="F474" s="6" t="str">
        <f>IFERROR(__xludf.DUMMYFUNCTION("""COMPUTED_VALUE"""),"B")</f>
        <v>B</v>
      </c>
      <c r="G474" s="6">
        <f>IFERROR(__xludf.DUMMYFUNCTION("""COMPUTED_VALUE"""),2.0)</f>
        <v>2</v>
      </c>
      <c r="H474" s="6" t="str">
        <f>IFERROR(__xludf.DUMMYFUNCTION("""COMPUTED_VALUE"""),"INE02IJ01035")</f>
        <v>INE02IJ01035</v>
      </c>
      <c r="I474" s="6" t="str">
        <f>IFERROR(__xludf.DUMMYFUNCTION("""COMPUTED_VALUE"""),"Equity")</f>
        <v>Equity</v>
      </c>
      <c r="J474" s="6" t="str">
        <f>IFERROR(__xludf.DUMMYFUNCTION("""COMPUTED_VALUE"""),"Industrials")</f>
        <v>Industrials</v>
      </c>
      <c r="K474" s="6" t="str">
        <f>IFERROR(__xludf.DUMMYFUNCTION("""COMPUTED_VALUE"""),"Capital Goods")</f>
        <v>Capital Goods</v>
      </c>
      <c r="L474" s="6" t="str">
        <f>IFERROR(__xludf.DUMMYFUNCTION("""COMPUTED_VALUE"""),"Electrical Equipment")</f>
        <v>Electrical Equipment</v>
      </c>
      <c r="M474" s="6" t="str">
        <f>IFERROR(__xludf.DUMMYFUNCTION("""COMPUTED_VALUE"""),"Heavy Electrical Equipment")</f>
        <v>Heavy Electrical Equipment</v>
      </c>
      <c r="N474" s="5">
        <f>IFERROR(__xludf.DUMMYFUNCTION("""COMPUTED_VALUE"""),11171.9380366)</f>
        <v>11171.93804</v>
      </c>
      <c r="O474" s="6">
        <f t="shared" si="4"/>
        <v>110</v>
      </c>
      <c r="P474" s="6">
        <f t="shared" ref="P474:Q474" si="950">COUNTIFS(L:L,L474)</f>
        <v>22</v>
      </c>
      <c r="Q474" s="24">
        <f t="shared" si="950"/>
        <v>17</v>
      </c>
      <c r="R474" s="6" t="str">
        <f t="shared" si="6"/>
        <v>Electrical Equipment</v>
      </c>
      <c r="S474" s="6" t="str">
        <f t="shared" si="7"/>
        <v>Electrical Equipment</v>
      </c>
      <c r="T474" s="6">
        <f>IFERROR(__xludf.DUMMYFUNCTION("COUNTA(UNIQUE(query($A$2:$P$800,""select L where K='""&amp; K474&amp;""'"")))"),5.0)</f>
        <v>5</v>
      </c>
      <c r="U474" s="23">
        <f t="shared" si="8"/>
        <v>0.06818181818</v>
      </c>
      <c r="V474" s="23">
        <f t="shared" ref="V474:W474" si="951">P474/O474</f>
        <v>0.2</v>
      </c>
      <c r="W474" s="23">
        <f t="shared" si="951"/>
        <v>0.7727272727</v>
      </c>
    </row>
    <row r="475">
      <c r="A475" s="6">
        <f>IFERROR(__xludf.DUMMYFUNCTION("""COMPUTED_VALUE"""),532757.0)</f>
        <v>532757</v>
      </c>
      <c r="B475" s="6" t="str">
        <f>IFERROR(__xludf.DUMMYFUNCTION("""COMPUTED_VALUE"""),"VOLTAMP TRANSFORMERS LIMITED")</f>
        <v>VOLTAMP TRANSFORMERS LIMITED</v>
      </c>
      <c r="C475" s="6" t="str">
        <f>IFERROR(__xludf.DUMMYFUNCTION("""COMPUTED_VALUE"""),"VOLTAMP")</f>
        <v>VOLTAMP</v>
      </c>
      <c r="D475" s="6" t="str">
        <f>IFERROR(__xludf.DUMMYFUNCTION("""COMPUTED_VALUE"""),"VOLTAMP TRANSFORMERS LTD.")</f>
        <v>VOLTAMP TRANSFORMERS LTD.</v>
      </c>
      <c r="E475" s="6" t="str">
        <f>IFERROR(__xludf.DUMMYFUNCTION("""COMPUTED_VALUE"""),"Active")</f>
        <v>Active</v>
      </c>
      <c r="F475" s="6" t="str">
        <f>IFERROR(__xludf.DUMMYFUNCTION("""COMPUTED_VALUE"""),"A")</f>
        <v>A</v>
      </c>
      <c r="G475" s="6">
        <f>IFERROR(__xludf.DUMMYFUNCTION("""COMPUTED_VALUE"""),10.0)</f>
        <v>10</v>
      </c>
      <c r="H475" s="6" t="str">
        <f>IFERROR(__xludf.DUMMYFUNCTION("""COMPUTED_VALUE"""),"INE540H01012")</f>
        <v>INE540H01012</v>
      </c>
      <c r="I475" s="6" t="str">
        <f>IFERROR(__xludf.DUMMYFUNCTION("""COMPUTED_VALUE"""),"Equity")</f>
        <v>Equity</v>
      </c>
      <c r="J475" s="6" t="str">
        <f>IFERROR(__xludf.DUMMYFUNCTION("""COMPUTED_VALUE"""),"Industrials")</f>
        <v>Industrials</v>
      </c>
      <c r="K475" s="6" t="str">
        <f>IFERROR(__xludf.DUMMYFUNCTION("""COMPUTED_VALUE"""),"Capital Goods")</f>
        <v>Capital Goods</v>
      </c>
      <c r="L475" s="6" t="str">
        <f>IFERROR(__xludf.DUMMYFUNCTION("""COMPUTED_VALUE"""),"Electrical Equipment")</f>
        <v>Electrical Equipment</v>
      </c>
      <c r="M475" s="6" t="str">
        <f>IFERROR(__xludf.DUMMYFUNCTION("""COMPUTED_VALUE"""),"Heavy Electrical Equipment")</f>
        <v>Heavy Electrical Equipment</v>
      </c>
      <c r="N475" s="5">
        <f>IFERROR(__xludf.DUMMYFUNCTION("""COMPUTED_VALUE"""),11148.993289)</f>
        <v>11148.99329</v>
      </c>
      <c r="O475" s="6">
        <f t="shared" si="4"/>
        <v>110</v>
      </c>
      <c r="P475" s="6">
        <f t="shared" ref="P475:Q475" si="952">COUNTIFS(L:L,L475)</f>
        <v>22</v>
      </c>
      <c r="Q475" s="24">
        <f t="shared" si="952"/>
        <v>17</v>
      </c>
      <c r="R475" s="6" t="str">
        <f t="shared" si="6"/>
        <v>Electrical Equipment</v>
      </c>
      <c r="S475" s="6" t="str">
        <f t="shared" si="7"/>
        <v>Electrical Equipment</v>
      </c>
      <c r="T475" s="6">
        <f>IFERROR(__xludf.DUMMYFUNCTION("COUNTA(UNIQUE(query($A$2:$P$800,""select L where K='""&amp; K475&amp;""'"")))"),5.0)</f>
        <v>5</v>
      </c>
      <c r="U475" s="23">
        <f t="shared" si="8"/>
        <v>0.06818181818</v>
      </c>
      <c r="V475" s="23">
        <f t="shared" ref="V475:W475" si="953">P475/O475</f>
        <v>0.2</v>
      </c>
      <c r="W475" s="23">
        <f t="shared" si="953"/>
        <v>0.7727272727</v>
      </c>
    </row>
    <row r="476">
      <c r="A476" s="6">
        <f>IFERROR(__xludf.DUMMYFUNCTION("""COMPUTED_VALUE"""),509488.0)</f>
        <v>509488</v>
      </c>
      <c r="B476" s="6" t="str">
        <f>IFERROR(__xludf.DUMMYFUNCTION("""COMPUTED_VALUE"""),"Graphite India Ltd.")</f>
        <v>Graphite India Ltd.</v>
      </c>
      <c r="C476" s="6" t="str">
        <f>IFERROR(__xludf.DUMMYFUNCTION("""COMPUTED_VALUE"""),"GRAPHITE")</f>
        <v>GRAPHITE</v>
      </c>
      <c r="D476" s="6" t="str">
        <f>IFERROR(__xludf.DUMMYFUNCTION("""COMPUTED_VALUE"""),"GRAPHITE INDIA LTD.")</f>
        <v>GRAPHITE INDIA LTD.</v>
      </c>
      <c r="E476" s="6" t="str">
        <f>IFERROR(__xludf.DUMMYFUNCTION("""COMPUTED_VALUE"""),"Active")</f>
        <v>Active</v>
      </c>
      <c r="F476" s="6" t="str">
        <f>IFERROR(__xludf.DUMMYFUNCTION("""COMPUTED_VALUE"""),"A")</f>
        <v>A</v>
      </c>
      <c r="G476" s="6">
        <f>IFERROR(__xludf.DUMMYFUNCTION("""COMPUTED_VALUE"""),2.0)</f>
        <v>2</v>
      </c>
      <c r="H476" s="6" t="str">
        <f>IFERROR(__xludf.DUMMYFUNCTION("""COMPUTED_VALUE"""),"INE371A01025")</f>
        <v>INE371A01025</v>
      </c>
      <c r="I476" s="6" t="str">
        <f>IFERROR(__xludf.DUMMYFUNCTION("""COMPUTED_VALUE"""),"Equity")</f>
        <v>Equity</v>
      </c>
      <c r="J476" s="6" t="str">
        <f>IFERROR(__xludf.DUMMYFUNCTION("""COMPUTED_VALUE"""),"Industrials")</f>
        <v>Industrials</v>
      </c>
      <c r="K476" s="6" t="str">
        <f>IFERROR(__xludf.DUMMYFUNCTION("""COMPUTED_VALUE"""),"Capital Goods")</f>
        <v>Capital Goods</v>
      </c>
      <c r="L476" s="6" t="str">
        <f>IFERROR(__xludf.DUMMYFUNCTION("""COMPUTED_VALUE"""),"Industrial Products")</f>
        <v>Industrial Products</v>
      </c>
      <c r="M476" s="6" t="str">
        <f>IFERROR(__xludf.DUMMYFUNCTION("""COMPUTED_VALUE"""),"Electrodes &amp; Refractories")</f>
        <v>Electrodes &amp; Refractories</v>
      </c>
      <c r="N476" s="5">
        <f>IFERROR(__xludf.DUMMYFUNCTION("""COMPUTED_VALUE"""),11044.9149124)</f>
        <v>11044.91491</v>
      </c>
      <c r="O476" s="6">
        <f t="shared" si="4"/>
        <v>110</v>
      </c>
      <c r="P476" s="6">
        <f t="shared" ref="P476:Q476" si="954">COUNTIFS(L:L,L476)</f>
        <v>51</v>
      </c>
      <c r="Q476" s="24">
        <f t="shared" si="954"/>
        <v>4</v>
      </c>
      <c r="R476" s="6" t="str">
        <f t="shared" si="6"/>
        <v>Industrial Products</v>
      </c>
      <c r="S476" s="6" t="str">
        <f t="shared" si="7"/>
        <v>Industrial Products</v>
      </c>
      <c r="T476" s="6">
        <f>IFERROR(__xludf.DUMMYFUNCTION("COUNTA(UNIQUE(query($A$2:$P$800,""select L where K='""&amp; K476&amp;""'"")))"),5.0)</f>
        <v>5</v>
      </c>
      <c r="U476" s="23">
        <f t="shared" si="8"/>
        <v>0.06818181818</v>
      </c>
      <c r="V476" s="23">
        <f t="shared" ref="V476:W476" si="955">P476/O476</f>
        <v>0.4636363636</v>
      </c>
      <c r="W476" s="23">
        <f t="shared" si="955"/>
        <v>0.07843137255</v>
      </c>
    </row>
    <row r="477">
      <c r="A477" s="6">
        <f>IFERROR(__xludf.DUMMYFUNCTION("""COMPUTED_VALUE"""),517506.0)</f>
        <v>517506</v>
      </c>
      <c r="B477" s="6" t="str">
        <f>IFERROR(__xludf.DUMMYFUNCTION("""COMPUTED_VALUE"""),"TTK Prestige Ltd.")</f>
        <v>TTK Prestige Ltd.</v>
      </c>
      <c r="C477" s="6" t="str">
        <f>IFERROR(__xludf.DUMMYFUNCTION("""COMPUTED_VALUE"""),"TTKPRESTIG")</f>
        <v>TTKPRESTIG</v>
      </c>
      <c r="D477" s="6" t="str">
        <f>IFERROR(__xludf.DUMMYFUNCTION("""COMPUTED_VALUE"""),"TTK PRESTIGE LTD.")</f>
        <v>TTK PRESTIGE LTD.</v>
      </c>
      <c r="E477" s="6" t="str">
        <f>IFERROR(__xludf.DUMMYFUNCTION("""COMPUTED_VALUE"""),"Active")</f>
        <v>Active</v>
      </c>
      <c r="F477" s="6" t="str">
        <f>IFERROR(__xludf.DUMMYFUNCTION("""COMPUTED_VALUE"""),"A")</f>
        <v>A</v>
      </c>
      <c r="G477" s="6">
        <f>IFERROR(__xludf.DUMMYFUNCTION("""COMPUTED_VALUE"""),1.0)</f>
        <v>1</v>
      </c>
      <c r="H477" s="6" t="str">
        <f>IFERROR(__xludf.DUMMYFUNCTION("""COMPUTED_VALUE"""),"INE690A01028")</f>
        <v>INE690A01028</v>
      </c>
      <c r="I477" s="6" t="str">
        <f>IFERROR(__xludf.DUMMYFUNCTION("""COMPUTED_VALUE"""),"Equity")</f>
        <v>Equity</v>
      </c>
      <c r="J477" s="6" t="str">
        <f>IFERROR(__xludf.DUMMYFUNCTION("""COMPUTED_VALUE"""),"Consumer Discretionary")</f>
        <v>Consumer Discretionary</v>
      </c>
      <c r="K477" s="6" t="str">
        <f>IFERROR(__xludf.DUMMYFUNCTION("""COMPUTED_VALUE"""),"Consumer Durables")</f>
        <v>Consumer Durables</v>
      </c>
      <c r="L477" s="6" t="str">
        <f>IFERROR(__xludf.DUMMYFUNCTION("""COMPUTED_VALUE"""),"Consumer Durables")</f>
        <v>Consumer Durables</v>
      </c>
      <c r="M477" s="6" t="str">
        <f>IFERROR(__xludf.DUMMYFUNCTION("""COMPUTED_VALUE"""),"Household Appliances")</f>
        <v>Household Appliances</v>
      </c>
      <c r="N477" s="5">
        <f>IFERROR(__xludf.DUMMYFUNCTION("""COMPUTED_VALUE"""),10988.7418321)</f>
        <v>10988.74183</v>
      </c>
      <c r="O477" s="6">
        <f t="shared" si="4"/>
        <v>42</v>
      </c>
      <c r="P477" s="6">
        <f t="shared" ref="P477:Q477" si="956">COUNTIFS(L:L,L477)</f>
        <v>42</v>
      </c>
      <c r="Q477" s="24">
        <f t="shared" si="956"/>
        <v>13</v>
      </c>
      <c r="R477" s="6" t="str">
        <f t="shared" si="6"/>
        <v>Consumer Durables</v>
      </c>
      <c r="S477" s="6" t="str">
        <f t="shared" si="7"/>
        <v>Consumer Durables</v>
      </c>
      <c r="T477" s="6">
        <f>IFERROR(__xludf.DUMMYFUNCTION("COUNTA(UNIQUE(query($A$2:$P$800,""select L where K='""&amp; K477&amp;""'"")))"),1.0)</f>
        <v>1</v>
      </c>
      <c r="U477" s="23">
        <f t="shared" si="8"/>
        <v>0.03571428571</v>
      </c>
      <c r="V477" s="23">
        <f t="shared" ref="V477:W477" si="957">P477/O477</f>
        <v>1</v>
      </c>
      <c r="W477" s="23">
        <f t="shared" si="957"/>
        <v>0.3095238095</v>
      </c>
    </row>
    <row r="478">
      <c r="A478" s="6">
        <f>IFERROR(__xludf.DUMMYFUNCTION("""COMPUTED_VALUE"""),543413.0)</f>
        <v>543413</v>
      </c>
      <c r="B478" s="6" t="str">
        <f>IFERROR(__xludf.DUMMYFUNCTION("""COMPUTED_VALUE"""),"Tega Industries Limited")</f>
        <v>Tega Industries Limited</v>
      </c>
      <c r="C478" s="6" t="str">
        <f>IFERROR(__xludf.DUMMYFUNCTION("""COMPUTED_VALUE"""),"TEGA")</f>
        <v>TEGA</v>
      </c>
      <c r="D478" s="6" t="str">
        <f>IFERROR(__xludf.DUMMYFUNCTION("""COMPUTED_VALUE"""),"Tega Industries Ltd")</f>
        <v>Tega Industries Ltd</v>
      </c>
      <c r="E478" s="6" t="str">
        <f>IFERROR(__xludf.DUMMYFUNCTION("""COMPUTED_VALUE"""),"Active")</f>
        <v>Active</v>
      </c>
      <c r="F478" s="6" t="str">
        <f>IFERROR(__xludf.DUMMYFUNCTION("""COMPUTED_VALUE"""),"A")</f>
        <v>A</v>
      </c>
      <c r="G478" s="6">
        <f>IFERROR(__xludf.DUMMYFUNCTION("""COMPUTED_VALUE"""),10.0)</f>
        <v>10</v>
      </c>
      <c r="H478" s="6" t="str">
        <f>IFERROR(__xludf.DUMMYFUNCTION("""COMPUTED_VALUE"""),"INE011K01018")</f>
        <v>INE011K01018</v>
      </c>
      <c r="I478" s="6" t="str">
        <f>IFERROR(__xludf.DUMMYFUNCTION("""COMPUTED_VALUE"""),"Equity")</f>
        <v>Equity</v>
      </c>
      <c r="J478" s="6" t="str">
        <f>IFERROR(__xludf.DUMMYFUNCTION("""COMPUTED_VALUE"""),"Industrials")</f>
        <v>Industrials</v>
      </c>
      <c r="K478" s="6" t="str">
        <f>IFERROR(__xludf.DUMMYFUNCTION("""COMPUTED_VALUE"""),"Capital Goods")</f>
        <v>Capital Goods</v>
      </c>
      <c r="L478" s="6" t="str">
        <f>IFERROR(__xludf.DUMMYFUNCTION("""COMPUTED_VALUE"""),"Industrial Manufacturing")</f>
        <v>Industrial Manufacturing</v>
      </c>
      <c r="M478" s="6" t="str">
        <f>IFERROR(__xludf.DUMMYFUNCTION("""COMPUTED_VALUE"""),"Industrial Products")</f>
        <v>Industrial Products</v>
      </c>
      <c r="N478" s="5">
        <f>IFERROR(__xludf.DUMMYFUNCTION("""COMPUTED_VALUE"""),10969.5613652)</f>
        <v>10969.56137</v>
      </c>
      <c r="O478" s="6">
        <f t="shared" si="4"/>
        <v>110</v>
      </c>
      <c r="P478" s="6">
        <f t="shared" ref="P478:Q478" si="958">COUNTIFS(L:L,L478)</f>
        <v>21</v>
      </c>
      <c r="Q478" s="24">
        <f t="shared" si="958"/>
        <v>17</v>
      </c>
      <c r="R478" s="6" t="str">
        <f t="shared" si="6"/>
        <v>Industrial Manufacturing</v>
      </c>
      <c r="S478" s="6" t="str">
        <f t="shared" si="7"/>
        <v>Industrial Manufacturing</v>
      </c>
      <c r="T478" s="6">
        <f>IFERROR(__xludf.DUMMYFUNCTION("COUNTA(UNIQUE(query($A$2:$P$800,""select L where K='""&amp; K478&amp;""'"")))"),5.0)</f>
        <v>5</v>
      </c>
      <c r="U478" s="23">
        <f t="shared" si="8"/>
        <v>0.06818181818</v>
      </c>
      <c r="V478" s="23">
        <f t="shared" ref="V478:W478" si="959">P478/O478</f>
        <v>0.1909090909</v>
      </c>
      <c r="W478" s="23">
        <f t="shared" si="959"/>
        <v>0.8095238095</v>
      </c>
    </row>
    <row r="479">
      <c r="A479" s="6">
        <f>IFERROR(__xludf.DUMMYFUNCTION("""COMPUTED_VALUE"""),532300.0)</f>
        <v>532300</v>
      </c>
      <c r="B479" s="6" t="str">
        <f>IFERROR(__xludf.DUMMYFUNCTION("""COMPUTED_VALUE"""),"Wockhardt Ltd")</f>
        <v>Wockhardt Ltd</v>
      </c>
      <c r="C479" s="6" t="str">
        <f>IFERROR(__xludf.DUMMYFUNCTION("""COMPUTED_VALUE"""),"WOCKPHARMA")</f>
        <v>WOCKPHARMA</v>
      </c>
      <c r="D479" s="6" t="str">
        <f>IFERROR(__xludf.DUMMYFUNCTION("""COMPUTED_VALUE"""),"WOCKHARDT LTD.")</f>
        <v>WOCKHARDT LTD.</v>
      </c>
      <c r="E479" s="6" t="str">
        <f>IFERROR(__xludf.DUMMYFUNCTION("""COMPUTED_VALUE"""),"Active")</f>
        <v>Active</v>
      </c>
      <c r="F479" s="6" t="str">
        <f>IFERROR(__xludf.DUMMYFUNCTION("""COMPUTED_VALUE"""),"A")</f>
        <v>A</v>
      </c>
      <c r="G479" s="6">
        <f>IFERROR(__xludf.DUMMYFUNCTION("""COMPUTED_VALUE"""),5.0)</f>
        <v>5</v>
      </c>
      <c r="H479" s="6" t="str">
        <f>IFERROR(__xludf.DUMMYFUNCTION("""COMPUTED_VALUE"""),"INE049B01025")</f>
        <v>INE049B01025</v>
      </c>
      <c r="I479" s="6" t="str">
        <f>IFERROR(__xludf.DUMMYFUNCTION("""COMPUTED_VALUE"""),"Equity")</f>
        <v>Equity</v>
      </c>
      <c r="J479" s="6" t="str">
        <f>IFERROR(__xludf.DUMMYFUNCTION("""COMPUTED_VALUE"""),"Healthcare")</f>
        <v>Healthcare</v>
      </c>
      <c r="K479" s="6" t="str">
        <f>IFERROR(__xludf.DUMMYFUNCTION("""COMPUTED_VALUE"""),"Healthcare")</f>
        <v>Healthcare</v>
      </c>
      <c r="L479" s="6" t="str">
        <f>IFERROR(__xludf.DUMMYFUNCTION("""COMPUTED_VALUE"""),"Pharmaceuticals &amp; Biotechnology")</f>
        <v>Pharmaceuticals &amp; Biotechnology</v>
      </c>
      <c r="M479" s="6" t="str">
        <f>IFERROR(__xludf.DUMMYFUNCTION("""COMPUTED_VALUE"""),"Pharmaceuticals")</f>
        <v>Pharmaceuticals</v>
      </c>
      <c r="N479" s="5">
        <f>IFERROR(__xludf.DUMMYFUNCTION("""COMPUTED_VALUE"""),10961.40087)</f>
        <v>10961.40087</v>
      </c>
      <c r="O479" s="6">
        <f t="shared" si="4"/>
        <v>62</v>
      </c>
      <c r="P479" s="6">
        <f t="shared" ref="P479:Q479" si="960">COUNTIFS(L:L,L479)</f>
        <v>45</v>
      </c>
      <c r="Q479" s="24">
        <f t="shared" si="960"/>
        <v>45</v>
      </c>
      <c r="R479" s="6" t="str">
        <f t="shared" si="6"/>
        <v>Healthcare</v>
      </c>
      <c r="S479" s="6" t="str">
        <f t="shared" si="7"/>
        <v>Healthcare</v>
      </c>
      <c r="T479" s="6">
        <f>IFERROR(__xludf.DUMMYFUNCTION("COUNTA(UNIQUE(query($A$2:$P$800,""select L where K='""&amp; K479&amp;""'"")))"),3.0)</f>
        <v>3</v>
      </c>
      <c r="U479" s="23">
        <f t="shared" si="8"/>
        <v>0.07258064516</v>
      </c>
      <c r="V479" s="23">
        <f t="shared" ref="V479:W479" si="961">P479/O479</f>
        <v>0.7258064516</v>
      </c>
      <c r="W479" s="23">
        <f t="shared" si="961"/>
        <v>1</v>
      </c>
    </row>
    <row r="480">
      <c r="A480" s="6">
        <f>IFERROR(__xludf.DUMMYFUNCTION("""COMPUTED_VALUE"""),500878.0)</f>
        <v>500878</v>
      </c>
      <c r="B480" s="6" t="str">
        <f>IFERROR(__xludf.DUMMYFUNCTION("""COMPUTED_VALUE"""),"Ceat Ltd.")</f>
        <v>Ceat Ltd.</v>
      </c>
      <c r="C480" s="6" t="str">
        <f>IFERROR(__xludf.DUMMYFUNCTION("""COMPUTED_VALUE"""),"CEATLTD")</f>
        <v>CEATLTD</v>
      </c>
      <c r="D480" s="6" t="str">
        <f>IFERROR(__xludf.DUMMYFUNCTION("""COMPUTED_VALUE"""),"CEAT LTD.")</f>
        <v>CEAT LTD.</v>
      </c>
      <c r="E480" s="6" t="str">
        <f>IFERROR(__xludf.DUMMYFUNCTION("""COMPUTED_VALUE"""),"Active")</f>
        <v>Active</v>
      </c>
      <c r="F480" s="6" t="str">
        <f>IFERROR(__xludf.DUMMYFUNCTION("""COMPUTED_VALUE"""),"A")</f>
        <v>A</v>
      </c>
      <c r="G480" s="6">
        <f>IFERROR(__xludf.DUMMYFUNCTION("""COMPUTED_VALUE"""),10.0)</f>
        <v>10</v>
      </c>
      <c r="H480" s="6" t="str">
        <f>IFERROR(__xludf.DUMMYFUNCTION("""COMPUTED_VALUE"""),"INE482A01020")</f>
        <v>INE482A01020</v>
      </c>
      <c r="I480" s="6" t="str">
        <f>IFERROR(__xludf.DUMMYFUNCTION("""COMPUTED_VALUE"""),"Equity")</f>
        <v>Equity</v>
      </c>
      <c r="J480" s="6" t="str">
        <f>IFERROR(__xludf.DUMMYFUNCTION("""COMPUTED_VALUE"""),"Consumer Discretionary")</f>
        <v>Consumer Discretionary</v>
      </c>
      <c r="K480" s="6" t="str">
        <f>IFERROR(__xludf.DUMMYFUNCTION("""COMPUTED_VALUE"""),"Automobile and Auto Components")</f>
        <v>Automobile and Auto Components</v>
      </c>
      <c r="L480" s="6" t="str">
        <f>IFERROR(__xludf.DUMMYFUNCTION("""COMPUTED_VALUE"""),"Auto Components")</f>
        <v>Auto Components</v>
      </c>
      <c r="M480" s="6" t="str">
        <f>IFERROR(__xludf.DUMMYFUNCTION("""COMPUTED_VALUE"""),"Tyres &amp; Rubber Products")</f>
        <v>Tyres &amp; Rubber Products</v>
      </c>
      <c r="N480" s="5">
        <f>IFERROR(__xludf.DUMMYFUNCTION("""COMPUTED_VALUE"""),10954.1800178)</f>
        <v>10954.18002</v>
      </c>
      <c r="O480" s="6">
        <f t="shared" si="4"/>
        <v>47</v>
      </c>
      <c r="P480" s="6">
        <f t="shared" ref="P480:Q480" si="962">COUNTIFS(L:L,L480)</f>
        <v>37</v>
      </c>
      <c r="Q480" s="24">
        <f t="shared" si="962"/>
        <v>5</v>
      </c>
      <c r="R480" s="6" t="str">
        <f t="shared" si="6"/>
        <v>Automobile and Auto Components</v>
      </c>
      <c r="S480" s="6" t="str">
        <f t="shared" si="7"/>
        <v>Automobile and Auto Components</v>
      </c>
      <c r="T480" s="6">
        <f>IFERROR(__xludf.DUMMYFUNCTION("COUNTA(UNIQUE(query($A$2:$P$800,""select L where K='""&amp; K480&amp;""'"")))"),2.0)</f>
        <v>2</v>
      </c>
      <c r="U480" s="23">
        <f t="shared" si="8"/>
        <v>0.06382978723</v>
      </c>
      <c r="V480" s="23">
        <f t="shared" ref="V480:W480" si="963">P480/O480</f>
        <v>0.7872340426</v>
      </c>
      <c r="W480" s="23">
        <f t="shared" si="963"/>
        <v>0.1351351351</v>
      </c>
    </row>
    <row r="481">
      <c r="A481" s="6">
        <f>IFERROR(__xludf.DUMMYFUNCTION("""COMPUTED_VALUE"""),542323.0)</f>
        <v>542323</v>
      </c>
      <c r="B481" s="6" t="str">
        <f>IFERROR(__xludf.DUMMYFUNCTION("""COMPUTED_VALUE"""),"KPI Green Energy Limited")</f>
        <v>KPI Green Energy Limited</v>
      </c>
      <c r="C481" s="6" t="str">
        <f>IFERROR(__xludf.DUMMYFUNCTION("""COMPUTED_VALUE"""),"KPIGREEN")</f>
        <v>KPIGREEN</v>
      </c>
      <c r="D481" s="6" t="str">
        <f>IFERROR(__xludf.DUMMYFUNCTION("""COMPUTED_VALUE"""),"KPI Green Energy Ltd")</f>
        <v>KPI Green Energy Ltd</v>
      </c>
      <c r="E481" s="6" t="str">
        <f>IFERROR(__xludf.DUMMYFUNCTION("""COMPUTED_VALUE"""),"Active")</f>
        <v>Active</v>
      </c>
      <c r="F481" s="6" t="str">
        <f>IFERROR(__xludf.DUMMYFUNCTION("""COMPUTED_VALUE"""),"A")</f>
        <v>A</v>
      </c>
      <c r="G481" s="6">
        <f>IFERROR(__xludf.DUMMYFUNCTION("""COMPUTED_VALUE"""),10.0)</f>
        <v>10</v>
      </c>
      <c r="H481" s="6" t="str">
        <f>IFERROR(__xludf.DUMMYFUNCTION("""COMPUTED_VALUE"""),"INE542W01017")</f>
        <v>INE542W01017</v>
      </c>
      <c r="I481" s="6" t="str">
        <f>IFERROR(__xludf.DUMMYFUNCTION("""COMPUTED_VALUE"""),"Equity")</f>
        <v>Equity</v>
      </c>
      <c r="J481" s="6" t="str">
        <f>IFERROR(__xludf.DUMMYFUNCTION("""COMPUTED_VALUE"""),"Utilities")</f>
        <v>Utilities</v>
      </c>
      <c r="K481" s="6" t="str">
        <f>IFERROR(__xludf.DUMMYFUNCTION("""COMPUTED_VALUE"""),"Power")</f>
        <v>Power</v>
      </c>
      <c r="L481" s="6" t="str">
        <f>IFERROR(__xludf.DUMMYFUNCTION("""COMPUTED_VALUE"""),"Power")</f>
        <v>Power</v>
      </c>
      <c r="M481" s="6" t="str">
        <f>IFERROR(__xludf.DUMMYFUNCTION("""COMPUTED_VALUE"""),"Power Generation")</f>
        <v>Power Generation</v>
      </c>
      <c r="N481" s="5">
        <f>IFERROR(__xludf.DUMMYFUNCTION("""COMPUTED_VALUE"""),10924.04959)</f>
        <v>10924.04959</v>
      </c>
      <c r="O481" s="6">
        <f t="shared" si="4"/>
        <v>22</v>
      </c>
      <c r="P481" s="6">
        <f t="shared" ref="P481:Q481" si="964">COUNTIFS(L:L,L481)</f>
        <v>22</v>
      </c>
      <c r="Q481" s="24">
        <f t="shared" si="964"/>
        <v>13</v>
      </c>
      <c r="R481" s="6" t="str">
        <f t="shared" si="6"/>
        <v>Power</v>
      </c>
      <c r="S481" s="6" t="str">
        <f t="shared" si="7"/>
        <v>Power</v>
      </c>
      <c r="T481" s="6">
        <f>IFERROR(__xludf.DUMMYFUNCTION("COUNTA(UNIQUE(query($A$2:$P$800,""select L where K='""&amp; K481&amp;""'"")))"),1.0)</f>
        <v>1</v>
      </c>
      <c r="U481" s="23">
        <f t="shared" si="8"/>
        <v>0.06818181818</v>
      </c>
      <c r="V481" s="23">
        <f t="shared" ref="V481:W481" si="965">P481/O481</f>
        <v>1</v>
      </c>
      <c r="W481" s="23">
        <f t="shared" si="965"/>
        <v>0.5909090909</v>
      </c>
    </row>
    <row r="482">
      <c r="A482" s="6">
        <f>IFERROR(__xludf.DUMMYFUNCTION("""COMPUTED_VALUE"""),524230.0)</f>
        <v>524230</v>
      </c>
      <c r="B482" s="6" t="str">
        <f>IFERROR(__xludf.DUMMYFUNCTION("""COMPUTED_VALUE"""),"Rashtriya Chemicals &amp; Fertilizers Limited")</f>
        <v>Rashtriya Chemicals &amp; Fertilizers Limited</v>
      </c>
      <c r="C482" s="6" t="str">
        <f>IFERROR(__xludf.DUMMYFUNCTION("""COMPUTED_VALUE"""),"RCF")</f>
        <v>RCF</v>
      </c>
      <c r="D482" s="6" t="str">
        <f>IFERROR(__xludf.DUMMYFUNCTION("""COMPUTED_VALUE"""),"RASHTRIYA CHEMICALS &amp; FERTILIZERS LTD.")</f>
        <v>RASHTRIYA CHEMICALS &amp; FERTILIZERS LTD.</v>
      </c>
      <c r="E482" s="6" t="str">
        <f>IFERROR(__xludf.DUMMYFUNCTION("""COMPUTED_VALUE"""),"Active")</f>
        <v>Active</v>
      </c>
      <c r="F482" s="6" t="str">
        <f>IFERROR(__xludf.DUMMYFUNCTION("""COMPUTED_VALUE"""),"A")</f>
        <v>A</v>
      </c>
      <c r="G482" s="6">
        <f>IFERROR(__xludf.DUMMYFUNCTION("""COMPUTED_VALUE"""),10.0)</f>
        <v>10</v>
      </c>
      <c r="H482" s="6" t="str">
        <f>IFERROR(__xludf.DUMMYFUNCTION("""COMPUTED_VALUE"""),"INE027A01015")</f>
        <v>INE027A01015</v>
      </c>
      <c r="I482" s="6" t="str">
        <f>IFERROR(__xludf.DUMMYFUNCTION("""COMPUTED_VALUE"""),"Equity")</f>
        <v>Equity</v>
      </c>
      <c r="J482" s="6" t="str">
        <f>IFERROR(__xludf.DUMMYFUNCTION("""COMPUTED_VALUE"""),"Commodities")</f>
        <v>Commodities</v>
      </c>
      <c r="K482" s="6" t="str">
        <f>IFERROR(__xludf.DUMMYFUNCTION("""COMPUTED_VALUE"""),"Chemicals")</f>
        <v>Chemicals</v>
      </c>
      <c r="L482" s="6" t="str">
        <f>IFERROR(__xludf.DUMMYFUNCTION("""COMPUTED_VALUE"""),"Fertilizers &amp; Agrochemicals")</f>
        <v>Fertilizers &amp; Agrochemicals</v>
      </c>
      <c r="M482" s="6" t="str">
        <f>IFERROR(__xludf.DUMMYFUNCTION("""COMPUTED_VALUE"""),"Fertilizers")</f>
        <v>Fertilizers</v>
      </c>
      <c r="N482" s="5">
        <f>IFERROR(__xludf.DUMMYFUNCTION("""COMPUTED_VALUE"""),10912.3369288)</f>
        <v>10912.33693</v>
      </c>
      <c r="O482" s="6">
        <f t="shared" si="4"/>
        <v>52</v>
      </c>
      <c r="P482" s="6">
        <f t="shared" ref="P482:Q482" si="966">COUNTIFS(L:L,L482)</f>
        <v>15</v>
      </c>
      <c r="Q482" s="24">
        <f t="shared" si="966"/>
        <v>8</v>
      </c>
      <c r="R482" s="6" t="str">
        <f t="shared" si="6"/>
        <v>Fertilizers &amp; Agrochemicals</v>
      </c>
      <c r="S482" s="6" t="str">
        <f t="shared" si="7"/>
        <v>Fertilizers &amp; Agrochemicals</v>
      </c>
      <c r="T482" s="6">
        <f>IFERROR(__xludf.DUMMYFUNCTION("COUNTA(UNIQUE(query($A$2:$P$800,""select L where K='""&amp; K482&amp;""'"")))"),2.0)</f>
        <v>2</v>
      </c>
      <c r="U482" s="23">
        <f t="shared" si="8"/>
        <v>0.05769230769</v>
      </c>
      <c r="V482" s="23">
        <f t="shared" ref="V482:W482" si="967">P482/O482</f>
        <v>0.2884615385</v>
      </c>
      <c r="W482" s="23">
        <f t="shared" si="967"/>
        <v>0.5333333333</v>
      </c>
    </row>
    <row r="483">
      <c r="A483" s="6">
        <f>IFERROR(__xludf.DUMMYFUNCTION("""COMPUTED_VALUE"""),506767.0)</f>
        <v>506767</v>
      </c>
      <c r="B483" s="6" t="str">
        <f>IFERROR(__xludf.DUMMYFUNCTION("""COMPUTED_VALUE"""),"Alkyl Amines Chemicals Ltd.")</f>
        <v>Alkyl Amines Chemicals Ltd.</v>
      </c>
      <c r="C483" s="6" t="str">
        <f>IFERROR(__xludf.DUMMYFUNCTION("""COMPUTED_VALUE"""),"ALKYLAMINE")</f>
        <v>ALKYLAMINE</v>
      </c>
      <c r="D483" s="6" t="str">
        <f>IFERROR(__xludf.DUMMYFUNCTION("""COMPUTED_VALUE"""),"ALKYL AMINES CHEMICALS LTD.-$")</f>
        <v>ALKYL AMINES CHEMICALS LTD.-$</v>
      </c>
      <c r="E483" s="6" t="str">
        <f>IFERROR(__xludf.DUMMYFUNCTION("""COMPUTED_VALUE"""),"Active")</f>
        <v>Active</v>
      </c>
      <c r="F483" s="6" t="str">
        <f>IFERROR(__xludf.DUMMYFUNCTION("""COMPUTED_VALUE"""),"A")</f>
        <v>A</v>
      </c>
      <c r="G483" s="6">
        <f>IFERROR(__xludf.DUMMYFUNCTION("""COMPUTED_VALUE"""),2.0)</f>
        <v>2</v>
      </c>
      <c r="H483" s="6" t="str">
        <f>IFERROR(__xludf.DUMMYFUNCTION("""COMPUTED_VALUE"""),"INE150B01039")</f>
        <v>INE150B01039</v>
      </c>
      <c r="I483" s="6" t="str">
        <f>IFERROR(__xludf.DUMMYFUNCTION("""COMPUTED_VALUE"""),"Equity")</f>
        <v>Equity</v>
      </c>
      <c r="J483" s="6" t="str">
        <f>IFERROR(__xludf.DUMMYFUNCTION("""COMPUTED_VALUE"""),"Commodities")</f>
        <v>Commodities</v>
      </c>
      <c r="K483" s="6" t="str">
        <f>IFERROR(__xludf.DUMMYFUNCTION("""COMPUTED_VALUE"""),"Chemicals")</f>
        <v>Chemicals</v>
      </c>
      <c r="L483" s="6" t="str">
        <f>IFERROR(__xludf.DUMMYFUNCTION("""COMPUTED_VALUE"""),"Chemicals &amp; Petrochemicals")</f>
        <v>Chemicals &amp; Petrochemicals</v>
      </c>
      <c r="M483" s="6" t="str">
        <f>IFERROR(__xludf.DUMMYFUNCTION("""COMPUTED_VALUE"""),"Specialty Chemicals")</f>
        <v>Specialty Chemicals</v>
      </c>
      <c r="N483" s="5">
        <f>IFERROR(__xludf.DUMMYFUNCTION("""COMPUTED_VALUE"""),10847.0977069)</f>
        <v>10847.09771</v>
      </c>
      <c r="O483" s="6">
        <f t="shared" si="4"/>
        <v>52</v>
      </c>
      <c r="P483" s="6">
        <f t="shared" ref="P483:Q483" si="968">COUNTIFS(L:L,L483)</f>
        <v>37</v>
      </c>
      <c r="Q483" s="24">
        <f t="shared" si="968"/>
        <v>25</v>
      </c>
      <c r="R483" s="6" t="str">
        <f t="shared" si="6"/>
        <v>Chemicals</v>
      </c>
      <c r="S483" s="6" t="str">
        <f t="shared" si="7"/>
        <v>Chemicals</v>
      </c>
      <c r="T483" s="6">
        <f>IFERROR(__xludf.DUMMYFUNCTION("COUNTA(UNIQUE(query($A$2:$P$800,""select L where K='""&amp; K483&amp;""'"")))"),2.0)</f>
        <v>2</v>
      </c>
      <c r="U483" s="23">
        <f t="shared" si="8"/>
        <v>0.05769230769</v>
      </c>
      <c r="V483" s="23">
        <f t="shared" ref="V483:W483" si="969">P483/O483</f>
        <v>0.7115384615</v>
      </c>
      <c r="W483" s="23">
        <f t="shared" si="969"/>
        <v>0.6756756757</v>
      </c>
    </row>
    <row r="484">
      <c r="A484" s="6">
        <f>IFERROR(__xludf.DUMMYFUNCTION("""COMPUTED_VALUE"""),533286.0)</f>
        <v>533286</v>
      </c>
      <c r="B484" s="6" t="str">
        <f>IFERROR(__xludf.DUMMYFUNCTION("""COMPUTED_VALUE"""),"MOIL Limited")</f>
        <v>MOIL Limited</v>
      </c>
      <c r="C484" s="6" t="str">
        <f>IFERROR(__xludf.DUMMYFUNCTION("""COMPUTED_VALUE"""),"MOIL")</f>
        <v>MOIL</v>
      </c>
      <c r="D484" s="6" t="str">
        <f>IFERROR(__xludf.DUMMYFUNCTION("""COMPUTED_VALUE"""),"MOIL LTD.")</f>
        <v>MOIL LTD.</v>
      </c>
      <c r="E484" s="6" t="str">
        <f>IFERROR(__xludf.DUMMYFUNCTION("""COMPUTED_VALUE"""),"Active")</f>
        <v>Active</v>
      </c>
      <c r="F484" s="6" t="str">
        <f>IFERROR(__xludf.DUMMYFUNCTION("""COMPUTED_VALUE"""),"A")</f>
        <v>A</v>
      </c>
      <c r="G484" s="6">
        <f>IFERROR(__xludf.DUMMYFUNCTION("""COMPUTED_VALUE"""),10.0)</f>
        <v>10</v>
      </c>
      <c r="H484" s="6" t="str">
        <f>IFERROR(__xludf.DUMMYFUNCTION("""COMPUTED_VALUE"""),"INE490G01020")</f>
        <v>INE490G01020</v>
      </c>
      <c r="I484" s="6" t="str">
        <f>IFERROR(__xludf.DUMMYFUNCTION("""COMPUTED_VALUE"""),"Equity")</f>
        <v>Equity</v>
      </c>
      <c r="J484" s="6" t="str">
        <f>IFERROR(__xludf.DUMMYFUNCTION("""COMPUTED_VALUE"""),"Commodities")</f>
        <v>Commodities</v>
      </c>
      <c r="K484" s="6" t="str">
        <f>IFERROR(__xludf.DUMMYFUNCTION("""COMPUTED_VALUE"""),"Metals &amp; Mining")</f>
        <v>Metals &amp; Mining</v>
      </c>
      <c r="L484" s="6" t="str">
        <f>IFERROR(__xludf.DUMMYFUNCTION("""COMPUTED_VALUE"""),"Minerals &amp; Mining")</f>
        <v>Minerals &amp; Mining</v>
      </c>
      <c r="M484" s="6" t="str">
        <f>IFERROR(__xludf.DUMMYFUNCTION("""COMPUTED_VALUE"""),"Industrial Minerals")</f>
        <v>Industrial Minerals</v>
      </c>
      <c r="N484" s="5">
        <f>IFERROR(__xludf.DUMMYFUNCTION("""COMPUTED_VALUE"""),10842.89895)</f>
        <v>10842.89895</v>
      </c>
      <c r="O484" s="6">
        <f t="shared" si="4"/>
        <v>20</v>
      </c>
      <c r="P484" s="6">
        <f t="shared" ref="P484:Q484" si="970">COUNTIFS(L:L,L484)</f>
        <v>4</v>
      </c>
      <c r="Q484" s="24">
        <f t="shared" si="970"/>
        <v>4</v>
      </c>
      <c r="R484" s="6" t="str">
        <f t="shared" si="6"/>
        <v>Metals &amp; Mining</v>
      </c>
      <c r="S484" s="6" t="str">
        <f t="shared" si="7"/>
        <v>Metals &amp; Mining</v>
      </c>
      <c r="T484" s="6">
        <f>IFERROR(__xludf.DUMMYFUNCTION("COUNTA(UNIQUE(query($A$2:$P$800,""select L where K='""&amp; K484&amp;""'"")))"),5.0)</f>
        <v>5</v>
      </c>
      <c r="U484" s="23">
        <f t="shared" si="8"/>
        <v>0.375</v>
      </c>
      <c r="V484" s="23">
        <f t="shared" ref="V484:W484" si="971">P484/O484</f>
        <v>0.2</v>
      </c>
      <c r="W484" s="23">
        <f t="shared" si="971"/>
        <v>1</v>
      </c>
    </row>
    <row r="485">
      <c r="A485" s="6">
        <f>IFERROR(__xludf.DUMMYFUNCTION("""COMPUTED_VALUE"""),543243.0)</f>
        <v>543243</v>
      </c>
      <c r="B485" s="6" t="str">
        <f>IFERROR(__xludf.DUMMYFUNCTION("""COMPUTED_VALUE"""),"Equitas Small Finance Bank Limited")</f>
        <v>Equitas Small Finance Bank Limited</v>
      </c>
      <c r="C485" s="6" t="str">
        <f>IFERROR(__xludf.DUMMYFUNCTION("""COMPUTED_VALUE"""),"EQUITASBNK")</f>
        <v>EQUITASBNK</v>
      </c>
      <c r="D485" s="6" t="str">
        <f>IFERROR(__xludf.DUMMYFUNCTION("""COMPUTED_VALUE"""),"Equitas Small Finance Bank Ltd")</f>
        <v>Equitas Small Finance Bank Ltd</v>
      </c>
      <c r="E485" s="6" t="str">
        <f>IFERROR(__xludf.DUMMYFUNCTION("""COMPUTED_VALUE"""),"Active")</f>
        <v>Active</v>
      </c>
      <c r="F485" s="6" t="str">
        <f>IFERROR(__xludf.DUMMYFUNCTION("""COMPUTED_VALUE"""),"A")</f>
        <v>A</v>
      </c>
      <c r="G485" s="6">
        <f>IFERROR(__xludf.DUMMYFUNCTION("""COMPUTED_VALUE"""),10.0)</f>
        <v>10</v>
      </c>
      <c r="H485" s="6" t="str">
        <f>IFERROR(__xludf.DUMMYFUNCTION("""COMPUTED_VALUE"""),"INE063P01018")</f>
        <v>INE063P01018</v>
      </c>
      <c r="I485" s="6" t="str">
        <f>IFERROR(__xludf.DUMMYFUNCTION("""COMPUTED_VALUE"""),"Equity")</f>
        <v>Equity</v>
      </c>
      <c r="J485" s="6" t="str">
        <f>IFERROR(__xludf.DUMMYFUNCTION("""COMPUTED_VALUE"""),"Financial Services")</f>
        <v>Financial Services</v>
      </c>
      <c r="K485" s="6" t="str">
        <f>IFERROR(__xludf.DUMMYFUNCTION("""COMPUTED_VALUE"""),"Financial Services")</f>
        <v>Financial Services</v>
      </c>
      <c r="L485" s="6" t="str">
        <f>IFERROR(__xludf.DUMMYFUNCTION("""COMPUTED_VALUE"""),"Banks")</f>
        <v>Banks</v>
      </c>
      <c r="M485" s="6" t="str">
        <f>IFERROR(__xludf.DUMMYFUNCTION("""COMPUTED_VALUE"""),"Private Sector Bank")</f>
        <v>Private Sector Bank</v>
      </c>
      <c r="N485" s="5">
        <f>IFERROR(__xludf.DUMMYFUNCTION("""COMPUTED_VALUE"""),10830.6261)</f>
        <v>10830.6261</v>
      </c>
      <c r="O485" s="6">
        <f t="shared" si="4"/>
        <v>123</v>
      </c>
      <c r="P485" s="6">
        <f t="shared" ref="P485:Q485" si="972">COUNTIFS(L:L,L485)</f>
        <v>35</v>
      </c>
      <c r="Q485" s="24">
        <f t="shared" si="972"/>
        <v>23</v>
      </c>
      <c r="R485" s="6" t="str">
        <f t="shared" si="6"/>
        <v>Banks</v>
      </c>
      <c r="S485" s="6" t="str">
        <f t="shared" si="7"/>
        <v>Banks</v>
      </c>
      <c r="T485" s="6">
        <f>IFERROR(__xludf.DUMMYFUNCTION("COUNTA(UNIQUE(query($A$2:$P$800,""select L where K='""&amp; K485&amp;""'"")))"),5.0)</f>
        <v>5</v>
      </c>
      <c r="U485" s="23">
        <f t="shared" si="8"/>
        <v>0.06097560976</v>
      </c>
      <c r="V485" s="23">
        <f t="shared" ref="V485:W485" si="973">P485/O485</f>
        <v>0.2845528455</v>
      </c>
      <c r="W485" s="23">
        <f t="shared" si="973"/>
        <v>0.6571428571</v>
      </c>
    </row>
    <row r="486">
      <c r="A486" s="6">
        <f>IFERROR(__xludf.DUMMYFUNCTION("""COMPUTED_VALUE"""),513023.0)</f>
        <v>513023</v>
      </c>
      <c r="B486" s="6" t="str">
        <f>IFERROR(__xludf.DUMMYFUNCTION("""COMPUTED_VALUE"""),"NAVA LIMITED")</f>
        <v>NAVA LIMITED</v>
      </c>
      <c r="C486" s="6" t="str">
        <f>IFERROR(__xludf.DUMMYFUNCTION("""COMPUTED_VALUE"""),"NAVA")</f>
        <v>NAVA</v>
      </c>
      <c r="D486" s="6" t="str">
        <f>IFERROR(__xludf.DUMMYFUNCTION("""COMPUTED_VALUE"""),"Nava Ltd")</f>
        <v>Nava Ltd</v>
      </c>
      <c r="E486" s="6" t="str">
        <f>IFERROR(__xludf.DUMMYFUNCTION("""COMPUTED_VALUE"""),"Active")</f>
        <v>Active</v>
      </c>
      <c r="F486" s="6" t="str">
        <f>IFERROR(__xludf.DUMMYFUNCTION("""COMPUTED_VALUE"""),"A")</f>
        <v>A</v>
      </c>
      <c r="G486" s="6">
        <f>IFERROR(__xludf.DUMMYFUNCTION("""COMPUTED_VALUE"""),2.0)</f>
        <v>2</v>
      </c>
      <c r="H486" s="6" t="str">
        <f>IFERROR(__xludf.DUMMYFUNCTION("""COMPUTED_VALUE"""),"INE725A01022")</f>
        <v>INE725A01022</v>
      </c>
      <c r="I486" s="6" t="str">
        <f>IFERROR(__xludf.DUMMYFUNCTION("""COMPUTED_VALUE"""),"Equity")</f>
        <v>Equity</v>
      </c>
      <c r="J486" s="6" t="str">
        <f>IFERROR(__xludf.DUMMYFUNCTION("""COMPUTED_VALUE"""),"Utilities")</f>
        <v>Utilities</v>
      </c>
      <c r="K486" s="6" t="str">
        <f>IFERROR(__xludf.DUMMYFUNCTION("""COMPUTED_VALUE"""),"Power")</f>
        <v>Power</v>
      </c>
      <c r="L486" s="6" t="str">
        <f>IFERROR(__xludf.DUMMYFUNCTION("""COMPUTED_VALUE"""),"Power")</f>
        <v>Power</v>
      </c>
      <c r="M486" s="6" t="str">
        <f>IFERROR(__xludf.DUMMYFUNCTION("""COMPUTED_VALUE"""),"Power Generation")</f>
        <v>Power Generation</v>
      </c>
      <c r="N486" s="5">
        <f>IFERROR(__xludf.DUMMYFUNCTION("""COMPUTED_VALUE"""),10796.5424322)</f>
        <v>10796.54243</v>
      </c>
      <c r="O486" s="6">
        <f t="shared" si="4"/>
        <v>22</v>
      </c>
      <c r="P486" s="6">
        <f t="shared" ref="P486:Q486" si="974">COUNTIFS(L:L,L486)</f>
        <v>22</v>
      </c>
      <c r="Q486" s="24">
        <f t="shared" si="974"/>
        <v>13</v>
      </c>
      <c r="R486" s="6" t="str">
        <f t="shared" si="6"/>
        <v>Power</v>
      </c>
      <c r="S486" s="6" t="str">
        <f t="shared" si="7"/>
        <v>Power</v>
      </c>
      <c r="T486" s="6">
        <f>IFERROR(__xludf.DUMMYFUNCTION("COUNTA(UNIQUE(query($A$2:$P$800,""select L where K='""&amp; K486&amp;""'"")))"),1.0)</f>
        <v>1</v>
      </c>
      <c r="U486" s="23">
        <f t="shared" si="8"/>
        <v>0.06818181818</v>
      </c>
      <c r="V486" s="23">
        <f t="shared" ref="V486:W486" si="975">P486/O486</f>
        <v>1</v>
      </c>
      <c r="W486" s="23">
        <f t="shared" si="975"/>
        <v>0.5909090909</v>
      </c>
    </row>
    <row r="487">
      <c r="A487" s="6">
        <f>IFERROR(__xludf.DUMMYFUNCTION("""COMPUTED_VALUE"""),533248.0)</f>
        <v>533248</v>
      </c>
      <c r="B487" s="6" t="str">
        <f>IFERROR(__xludf.DUMMYFUNCTION("""COMPUTED_VALUE"""),"Gujarat Pipavav Port Limited")</f>
        <v>Gujarat Pipavav Port Limited</v>
      </c>
      <c r="C487" s="6" t="str">
        <f>IFERROR(__xludf.DUMMYFUNCTION("""COMPUTED_VALUE"""),"GPPL")</f>
        <v>GPPL</v>
      </c>
      <c r="D487" s="6" t="str">
        <f>IFERROR(__xludf.DUMMYFUNCTION("""COMPUTED_VALUE"""),"GUJARAT PIPAVAV PORT LTD.")</f>
        <v>GUJARAT PIPAVAV PORT LTD.</v>
      </c>
      <c r="E487" s="6" t="str">
        <f>IFERROR(__xludf.DUMMYFUNCTION("""COMPUTED_VALUE"""),"Active")</f>
        <v>Active</v>
      </c>
      <c r="F487" s="6" t="str">
        <f>IFERROR(__xludf.DUMMYFUNCTION("""COMPUTED_VALUE"""),"A")</f>
        <v>A</v>
      </c>
      <c r="G487" s="6">
        <f>IFERROR(__xludf.DUMMYFUNCTION("""COMPUTED_VALUE"""),10.0)</f>
        <v>10</v>
      </c>
      <c r="H487" s="6" t="str">
        <f>IFERROR(__xludf.DUMMYFUNCTION("""COMPUTED_VALUE"""),"INE517F01014")</f>
        <v>INE517F01014</v>
      </c>
      <c r="I487" s="6" t="str">
        <f>IFERROR(__xludf.DUMMYFUNCTION("""COMPUTED_VALUE"""),"Equity")</f>
        <v>Equity</v>
      </c>
      <c r="J487" s="6" t="str">
        <f>IFERROR(__xludf.DUMMYFUNCTION("""COMPUTED_VALUE"""),"Services")</f>
        <v>Services</v>
      </c>
      <c r="K487" s="6" t="str">
        <f>IFERROR(__xludf.DUMMYFUNCTION("""COMPUTED_VALUE"""),"Services")</f>
        <v>Services</v>
      </c>
      <c r="L487" s="6" t="str">
        <f>IFERROR(__xludf.DUMMYFUNCTION("""COMPUTED_VALUE"""),"Transport Infrastructure")</f>
        <v>Transport Infrastructure</v>
      </c>
      <c r="M487" s="6" t="str">
        <f>IFERROR(__xludf.DUMMYFUNCTION("""COMPUTED_VALUE"""),"Port &amp; Port services")</f>
        <v>Port &amp; Port services</v>
      </c>
      <c r="N487" s="5">
        <f>IFERROR(__xludf.DUMMYFUNCTION("""COMPUTED_VALUE"""),10754.5284289)</f>
        <v>10754.52843</v>
      </c>
      <c r="O487" s="6">
        <f t="shared" si="4"/>
        <v>27</v>
      </c>
      <c r="P487" s="6">
        <f t="shared" ref="P487:Q487" si="976">COUNTIFS(L:L,L487)</f>
        <v>4</v>
      </c>
      <c r="Q487" s="24">
        <f t="shared" si="976"/>
        <v>3</v>
      </c>
      <c r="R487" s="6" t="str">
        <f t="shared" si="6"/>
        <v>Services</v>
      </c>
      <c r="S487" s="6" t="str">
        <f t="shared" si="7"/>
        <v>Services</v>
      </c>
      <c r="T487" s="6">
        <f>IFERROR(__xludf.DUMMYFUNCTION("COUNTA(UNIQUE(query($A$2:$P$800,""select L where K='""&amp; K487&amp;""'"")))"),3.0)</f>
        <v>3</v>
      </c>
      <c r="U487" s="23">
        <f t="shared" si="8"/>
        <v>0.1666666667</v>
      </c>
      <c r="V487" s="23">
        <f t="shared" ref="V487:W487" si="977">P487/O487</f>
        <v>0.1481481481</v>
      </c>
      <c r="W487" s="23">
        <f t="shared" si="977"/>
        <v>0.75</v>
      </c>
    </row>
    <row r="488">
      <c r="A488" s="6">
        <f>IFERROR(__xludf.DUMMYFUNCTION("""COMPUTED_VALUE"""),543957.0)</f>
        <v>543957</v>
      </c>
      <c r="B488" s="6" t="str">
        <f>IFERROR(__xludf.DUMMYFUNCTION("""COMPUTED_VALUE"""),"REDTAPE Limited")</f>
        <v>REDTAPE Limited</v>
      </c>
      <c r="C488" s="6" t="str">
        <f>IFERROR(__xludf.DUMMYFUNCTION("""COMPUTED_VALUE"""),"REDTAPE")</f>
        <v>REDTAPE</v>
      </c>
      <c r="D488" s="6" t="str">
        <f>IFERROR(__xludf.DUMMYFUNCTION("""COMPUTED_VALUE"""),"Redtape Ltd")</f>
        <v>Redtape Ltd</v>
      </c>
      <c r="E488" s="6" t="str">
        <f>IFERROR(__xludf.DUMMYFUNCTION("""COMPUTED_VALUE"""),"Active")</f>
        <v>Active</v>
      </c>
      <c r="F488" s="6" t="str">
        <f>IFERROR(__xludf.DUMMYFUNCTION("""COMPUTED_VALUE"""),"B")</f>
        <v>B</v>
      </c>
      <c r="G488" s="6">
        <f>IFERROR(__xludf.DUMMYFUNCTION("""COMPUTED_VALUE"""),2.0)</f>
        <v>2</v>
      </c>
      <c r="H488" s="6" t="str">
        <f>IFERROR(__xludf.DUMMYFUNCTION("""COMPUTED_VALUE"""),"INE0LXT01019")</f>
        <v>INE0LXT01019</v>
      </c>
      <c r="I488" s="6" t="str">
        <f>IFERROR(__xludf.DUMMYFUNCTION("""COMPUTED_VALUE"""),"Equity")</f>
        <v>Equity</v>
      </c>
      <c r="J488" s="6" t="str">
        <f>IFERROR(__xludf.DUMMYFUNCTION("""COMPUTED_VALUE"""),"Consumer Discretionary")</f>
        <v>Consumer Discretionary</v>
      </c>
      <c r="K488" s="6" t="str">
        <f>IFERROR(__xludf.DUMMYFUNCTION("""COMPUTED_VALUE"""),"Consumer Durables")</f>
        <v>Consumer Durables</v>
      </c>
      <c r="L488" s="6" t="str">
        <f>IFERROR(__xludf.DUMMYFUNCTION("""COMPUTED_VALUE"""),"Consumer Durables")</f>
        <v>Consumer Durables</v>
      </c>
      <c r="M488" s="6" t="str">
        <f>IFERROR(__xludf.DUMMYFUNCTION("""COMPUTED_VALUE"""),"Footwear")</f>
        <v>Footwear</v>
      </c>
      <c r="N488" s="5">
        <f>IFERROR(__xludf.DUMMYFUNCTION("""COMPUTED_VALUE"""),10633.2892883)</f>
        <v>10633.28929</v>
      </c>
      <c r="O488" s="6">
        <f t="shared" si="4"/>
        <v>42</v>
      </c>
      <c r="P488" s="6">
        <f t="shared" ref="P488:Q488" si="978">COUNTIFS(L:L,L488)</f>
        <v>42</v>
      </c>
      <c r="Q488" s="24">
        <f t="shared" si="978"/>
        <v>5</v>
      </c>
      <c r="R488" s="6" t="str">
        <f t="shared" si="6"/>
        <v>Consumer Durables</v>
      </c>
      <c r="S488" s="6" t="str">
        <f t="shared" si="7"/>
        <v>Consumer Durables</v>
      </c>
      <c r="T488" s="6">
        <f>IFERROR(__xludf.DUMMYFUNCTION("COUNTA(UNIQUE(query($A$2:$P$800,""select L where K='""&amp; K488&amp;""'"")))"),1.0)</f>
        <v>1</v>
      </c>
      <c r="U488" s="23">
        <f t="shared" si="8"/>
        <v>0.03571428571</v>
      </c>
      <c r="V488" s="23">
        <f t="shared" ref="V488:W488" si="979">P488/O488</f>
        <v>1</v>
      </c>
      <c r="W488" s="23">
        <f t="shared" si="979"/>
        <v>0.119047619</v>
      </c>
    </row>
    <row r="489">
      <c r="A489" s="6">
        <f>IFERROR(__xludf.DUMMYFUNCTION("""COMPUTED_VALUE"""),500128.0)</f>
        <v>500128</v>
      </c>
      <c r="B489" s="6" t="str">
        <f>IFERROR(__xludf.DUMMYFUNCTION("""COMPUTED_VALUE"""),"Electrosteel Castings Ltd.")</f>
        <v>Electrosteel Castings Ltd.</v>
      </c>
      <c r="C489" s="6" t="str">
        <f>IFERROR(__xludf.DUMMYFUNCTION("""COMPUTED_VALUE"""),"ELECTCAST")</f>
        <v>ELECTCAST</v>
      </c>
      <c r="D489" s="6" t="str">
        <f>IFERROR(__xludf.DUMMYFUNCTION("""COMPUTED_VALUE"""),"ELECTROSTEEL CASTINGS LTD.")</f>
        <v>ELECTROSTEEL CASTINGS LTD.</v>
      </c>
      <c r="E489" s="6" t="str">
        <f>IFERROR(__xludf.DUMMYFUNCTION("""COMPUTED_VALUE"""),"Active")</f>
        <v>Active</v>
      </c>
      <c r="F489" s="6" t="str">
        <f>IFERROR(__xludf.DUMMYFUNCTION("""COMPUTED_VALUE"""),"A")</f>
        <v>A</v>
      </c>
      <c r="G489" s="6">
        <f>IFERROR(__xludf.DUMMYFUNCTION("""COMPUTED_VALUE"""),1.0)</f>
        <v>1</v>
      </c>
      <c r="H489" s="6" t="str">
        <f>IFERROR(__xludf.DUMMYFUNCTION("""COMPUTED_VALUE"""),"INE086A01029")</f>
        <v>INE086A01029</v>
      </c>
      <c r="I489" s="6" t="str">
        <f>IFERROR(__xludf.DUMMYFUNCTION("""COMPUTED_VALUE"""),"Equity")</f>
        <v>Equity</v>
      </c>
      <c r="J489" s="6" t="str">
        <f>IFERROR(__xludf.DUMMYFUNCTION("""COMPUTED_VALUE"""),"Industrials")</f>
        <v>Industrials</v>
      </c>
      <c r="K489" s="6" t="str">
        <f>IFERROR(__xludf.DUMMYFUNCTION("""COMPUTED_VALUE"""),"Capital Goods")</f>
        <v>Capital Goods</v>
      </c>
      <c r="L489" s="6" t="str">
        <f>IFERROR(__xludf.DUMMYFUNCTION("""COMPUTED_VALUE"""),"Industrial Products")</f>
        <v>Industrial Products</v>
      </c>
      <c r="M489" s="6" t="str">
        <f>IFERROR(__xludf.DUMMYFUNCTION("""COMPUTED_VALUE"""),"Iron &amp; Steel Products")</f>
        <v>Iron &amp; Steel Products</v>
      </c>
      <c r="N489" s="5">
        <f>IFERROR(__xludf.DUMMYFUNCTION("""COMPUTED_VALUE"""),10628.5162201)</f>
        <v>10628.51622</v>
      </c>
      <c r="O489" s="6">
        <f t="shared" si="4"/>
        <v>110</v>
      </c>
      <c r="P489" s="6">
        <f t="shared" ref="P489:Q489" si="980">COUNTIFS(L:L,L489)</f>
        <v>51</v>
      </c>
      <c r="Q489" s="24">
        <f t="shared" si="980"/>
        <v>13</v>
      </c>
      <c r="R489" s="6" t="str">
        <f t="shared" si="6"/>
        <v>Industrial Products</v>
      </c>
      <c r="S489" s="6" t="str">
        <f t="shared" si="7"/>
        <v>Industrial Products</v>
      </c>
      <c r="T489" s="6">
        <f>IFERROR(__xludf.DUMMYFUNCTION("COUNTA(UNIQUE(query($A$2:$P$800,""select L where K='""&amp; K489&amp;""'"")))"),5.0)</f>
        <v>5</v>
      </c>
      <c r="U489" s="23">
        <f t="shared" si="8"/>
        <v>0.06818181818</v>
      </c>
      <c r="V489" s="23">
        <f t="shared" ref="V489:W489" si="981">P489/O489</f>
        <v>0.4636363636</v>
      </c>
      <c r="W489" s="23">
        <f t="shared" si="981"/>
        <v>0.2549019608</v>
      </c>
    </row>
    <row r="490">
      <c r="A490" s="6">
        <f>IFERROR(__xludf.DUMMYFUNCTION("""COMPUTED_VALUE"""),532163.0)</f>
        <v>532163</v>
      </c>
      <c r="B490" s="6" t="str">
        <f>IFERROR(__xludf.DUMMYFUNCTION("""COMPUTED_VALUE"""),"Saregama India Ltd.")</f>
        <v>Saregama India Ltd.</v>
      </c>
      <c r="C490" s="6" t="str">
        <f>IFERROR(__xludf.DUMMYFUNCTION("""COMPUTED_VALUE"""),"SAREGAMA")</f>
        <v>SAREGAMA</v>
      </c>
      <c r="D490" s="6" t="str">
        <f>IFERROR(__xludf.DUMMYFUNCTION("""COMPUTED_VALUE"""),"SAREGAMA INDIA LTD.")</f>
        <v>SAREGAMA INDIA LTD.</v>
      </c>
      <c r="E490" s="6" t="str">
        <f>IFERROR(__xludf.DUMMYFUNCTION("""COMPUTED_VALUE"""),"Active")</f>
        <v>Active</v>
      </c>
      <c r="F490" s="6" t="str">
        <f>IFERROR(__xludf.DUMMYFUNCTION("""COMPUTED_VALUE"""),"A")</f>
        <v>A</v>
      </c>
      <c r="G490" s="6">
        <f>IFERROR(__xludf.DUMMYFUNCTION("""COMPUTED_VALUE"""),1.0)</f>
        <v>1</v>
      </c>
      <c r="H490" s="6" t="str">
        <f>IFERROR(__xludf.DUMMYFUNCTION("""COMPUTED_VALUE"""),"INE979A01025")</f>
        <v>INE979A01025</v>
      </c>
      <c r="I490" s="6" t="str">
        <f>IFERROR(__xludf.DUMMYFUNCTION("""COMPUTED_VALUE"""),"Equity")</f>
        <v>Equity</v>
      </c>
      <c r="J490" s="6" t="str">
        <f>IFERROR(__xludf.DUMMYFUNCTION("""COMPUTED_VALUE"""),"Consumer Discretionary")</f>
        <v>Consumer Discretionary</v>
      </c>
      <c r="K490" s="6" t="str">
        <f>IFERROR(__xludf.DUMMYFUNCTION("""COMPUTED_VALUE"""),"Media, Entertainment &amp; Publication")</f>
        <v>Media, Entertainment &amp; Publication</v>
      </c>
      <c r="L490" s="6" t="str">
        <f>IFERROR(__xludf.DUMMYFUNCTION("""COMPUTED_VALUE"""),"Entertainment")</f>
        <v>Entertainment</v>
      </c>
      <c r="M490" s="6" t="str">
        <f>IFERROR(__xludf.DUMMYFUNCTION("""COMPUTED_VALUE"""),"Media &amp; Entertainment")</f>
        <v>Media &amp; Entertainment</v>
      </c>
      <c r="N490" s="5">
        <f>IFERROR(__xludf.DUMMYFUNCTION("""COMPUTED_VALUE"""),10572.7907142)</f>
        <v>10572.79071</v>
      </c>
      <c r="O490" s="6">
        <f t="shared" si="4"/>
        <v>9</v>
      </c>
      <c r="P490" s="6">
        <f t="shared" ref="P490:Q490" si="982">COUNTIFS(L:L,L490)</f>
        <v>8</v>
      </c>
      <c r="Q490" s="24">
        <f t="shared" si="982"/>
        <v>3</v>
      </c>
      <c r="R490" s="6" t="str">
        <f t="shared" si="6"/>
        <v>Media, Entertainment &amp; Publication</v>
      </c>
      <c r="S490" s="6" t="str">
        <f t="shared" si="7"/>
        <v>Media, Entertainment &amp; Publication</v>
      </c>
      <c r="T490" s="6">
        <f>IFERROR(__xludf.DUMMYFUNCTION("COUNTA(UNIQUE(query($A$2:$P$800,""select L where K='""&amp; K490&amp;""'"")))"),2.0)</f>
        <v>2</v>
      </c>
      <c r="U490" s="23">
        <f t="shared" si="8"/>
        <v>0.3333333333</v>
      </c>
      <c r="V490" s="23">
        <f t="shared" ref="V490:W490" si="983">P490/O490</f>
        <v>0.8888888889</v>
      </c>
      <c r="W490" s="23">
        <f t="shared" si="983"/>
        <v>0.375</v>
      </c>
    </row>
    <row r="491">
      <c r="A491" s="6">
        <f>IFERROR(__xludf.DUMMYFUNCTION("""COMPUTED_VALUE"""),532670.0)</f>
        <v>532670</v>
      </c>
      <c r="B491" s="6" t="str">
        <f>IFERROR(__xludf.DUMMYFUNCTION("""COMPUTED_VALUE"""),"Shree Renuka Sugars Ltd.")</f>
        <v>Shree Renuka Sugars Ltd.</v>
      </c>
      <c r="C491" s="6" t="str">
        <f>IFERROR(__xludf.DUMMYFUNCTION("""COMPUTED_VALUE"""),"RENUKA")</f>
        <v>RENUKA</v>
      </c>
      <c r="D491" s="6" t="str">
        <f>IFERROR(__xludf.DUMMYFUNCTION("""COMPUTED_VALUE"""),"SHREE RENUKA SUGARS LTD.")</f>
        <v>SHREE RENUKA SUGARS LTD.</v>
      </c>
      <c r="E491" s="6" t="str">
        <f>IFERROR(__xludf.DUMMYFUNCTION("""COMPUTED_VALUE"""),"Active")</f>
        <v>Active</v>
      </c>
      <c r="F491" s="6" t="str">
        <f>IFERROR(__xludf.DUMMYFUNCTION("""COMPUTED_VALUE"""),"A")</f>
        <v>A</v>
      </c>
      <c r="G491" s="6">
        <f>IFERROR(__xludf.DUMMYFUNCTION("""COMPUTED_VALUE"""),1.0)</f>
        <v>1</v>
      </c>
      <c r="H491" s="6" t="str">
        <f>IFERROR(__xludf.DUMMYFUNCTION("""COMPUTED_VALUE"""),"INE087H01022")</f>
        <v>INE087H01022</v>
      </c>
      <c r="I491" s="6" t="str">
        <f>IFERROR(__xludf.DUMMYFUNCTION("""COMPUTED_VALUE"""),"Equity")</f>
        <v>Equity</v>
      </c>
      <c r="J491" s="6" t="str">
        <f>IFERROR(__xludf.DUMMYFUNCTION("""COMPUTED_VALUE"""),"Fast Moving Consumer Goods")</f>
        <v>Fast Moving Consumer Goods</v>
      </c>
      <c r="K491" s="6" t="str">
        <f>IFERROR(__xludf.DUMMYFUNCTION("""COMPUTED_VALUE"""),"Fast Moving Consumer Goods")</f>
        <v>Fast Moving Consumer Goods</v>
      </c>
      <c r="L491" s="6" t="str">
        <f>IFERROR(__xludf.DUMMYFUNCTION("""COMPUTED_VALUE"""),"Agricultural Food &amp; other Products")</f>
        <v>Agricultural Food &amp; other Products</v>
      </c>
      <c r="M491" s="6" t="str">
        <f>IFERROR(__xludf.DUMMYFUNCTION("""COMPUTED_VALUE"""),"Sugar")</f>
        <v>Sugar</v>
      </c>
      <c r="N491" s="5">
        <f>IFERROR(__xludf.DUMMYFUNCTION("""COMPUTED_VALUE"""),10550.7345542)</f>
        <v>10550.73455</v>
      </c>
      <c r="O491" s="6">
        <f t="shared" si="4"/>
        <v>44</v>
      </c>
      <c r="P491" s="6">
        <f t="shared" ref="P491:Q491" si="984">COUNTIFS(L:L,L491)</f>
        <v>14</v>
      </c>
      <c r="Q491" s="24">
        <f t="shared" si="984"/>
        <v>5</v>
      </c>
      <c r="R491" s="6" t="str">
        <f t="shared" si="6"/>
        <v>Fast Moving Consumer Goods</v>
      </c>
      <c r="S491" s="6" t="str">
        <f t="shared" si="7"/>
        <v>Fast Moving Consumer Goods</v>
      </c>
      <c r="T491" s="6">
        <f>IFERROR(__xludf.DUMMYFUNCTION("COUNTA(UNIQUE(query($A$2:$P$800,""select L where K='""&amp; K491&amp;""'"")))"),7.0)</f>
        <v>7</v>
      </c>
      <c r="U491" s="23">
        <f t="shared" si="8"/>
        <v>0.2386363636</v>
      </c>
      <c r="V491" s="23">
        <f t="shared" ref="V491:W491" si="985">P491/O491</f>
        <v>0.3181818182</v>
      </c>
      <c r="W491" s="23">
        <f t="shared" si="985"/>
        <v>0.3571428571</v>
      </c>
    </row>
    <row r="492">
      <c r="A492" s="6">
        <f>IFERROR(__xludf.DUMMYFUNCTION("""COMPUTED_VALUE"""),532162.0)</f>
        <v>532162</v>
      </c>
      <c r="B492" s="6" t="str">
        <f>IFERROR(__xludf.DUMMYFUNCTION("""COMPUTED_VALUE"""),"JK Paper Ltd.")</f>
        <v>JK Paper Ltd.</v>
      </c>
      <c r="C492" s="6" t="str">
        <f>IFERROR(__xludf.DUMMYFUNCTION("""COMPUTED_VALUE"""),"JKPAPER")</f>
        <v>JKPAPER</v>
      </c>
      <c r="D492" s="6" t="str">
        <f>IFERROR(__xludf.DUMMYFUNCTION("""COMPUTED_VALUE"""),"JK PAPER LTD.")</f>
        <v>JK PAPER LTD.</v>
      </c>
      <c r="E492" s="6" t="str">
        <f>IFERROR(__xludf.DUMMYFUNCTION("""COMPUTED_VALUE"""),"Active")</f>
        <v>Active</v>
      </c>
      <c r="F492" s="6" t="str">
        <f>IFERROR(__xludf.DUMMYFUNCTION("""COMPUTED_VALUE"""),"A")</f>
        <v>A</v>
      </c>
      <c r="G492" s="6">
        <f>IFERROR(__xludf.DUMMYFUNCTION("""COMPUTED_VALUE"""),10.0)</f>
        <v>10</v>
      </c>
      <c r="H492" s="6" t="str">
        <f>IFERROR(__xludf.DUMMYFUNCTION("""COMPUTED_VALUE"""),"INE789E01012")</f>
        <v>INE789E01012</v>
      </c>
      <c r="I492" s="6" t="str">
        <f>IFERROR(__xludf.DUMMYFUNCTION("""COMPUTED_VALUE"""),"Equity")</f>
        <v>Equity</v>
      </c>
      <c r="J492" s="6" t="str">
        <f>IFERROR(__xludf.DUMMYFUNCTION("""COMPUTED_VALUE"""),"Commodities")</f>
        <v>Commodities</v>
      </c>
      <c r="K492" s="6" t="str">
        <f>IFERROR(__xludf.DUMMYFUNCTION("""COMPUTED_VALUE"""),"Forest Materials")</f>
        <v>Forest Materials</v>
      </c>
      <c r="L492" s="6" t="str">
        <f>IFERROR(__xludf.DUMMYFUNCTION("""COMPUTED_VALUE"""),"Paper, Forest &amp; Jute Products")</f>
        <v>Paper, Forest &amp; Jute Products</v>
      </c>
      <c r="M492" s="6" t="str">
        <f>IFERROR(__xludf.DUMMYFUNCTION("""COMPUTED_VALUE"""),"Paper &amp; Paper Products")</f>
        <v>Paper &amp; Paper Products</v>
      </c>
      <c r="N492" s="5">
        <f>IFERROR(__xludf.DUMMYFUNCTION("""COMPUTED_VALUE"""),10463.4165447)</f>
        <v>10463.41654</v>
      </c>
      <c r="O492" s="6">
        <f t="shared" si="4"/>
        <v>3</v>
      </c>
      <c r="P492" s="6">
        <f t="shared" ref="P492:Q492" si="986">COUNTIFS(L:L,L492)</f>
        <v>3</v>
      </c>
      <c r="Q492" s="24">
        <f t="shared" si="986"/>
        <v>3</v>
      </c>
      <c r="R492" s="6" t="str">
        <f t="shared" si="6"/>
        <v>Forest Materials</v>
      </c>
      <c r="S492" s="6" t="str">
        <f t="shared" si="7"/>
        <v>Misc.</v>
      </c>
      <c r="T492" s="6">
        <f>IFERROR(__xludf.DUMMYFUNCTION("COUNTA(UNIQUE(query($A$2:$P$800,""select L where K='""&amp; K492&amp;""'"")))"),1.0)</f>
        <v>1</v>
      </c>
      <c r="U492" s="23">
        <f t="shared" si="8"/>
        <v>0.5</v>
      </c>
      <c r="V492" s="23">
        <f t="shared" ref="V492:W492" si="987">P492/O492</f>
        <v>1</v>
      </c>
      <c r="W492" s="23">
        <f t="shared" si="987"/>
        <v>1</v>
      </c>
    </row>
    <row r="493">
      <c r="A493" s="6">
        <f>IFERROR(__xludf.DUMMYFUNCTION("""COMPUTED_VALUE"""),500670.0)</f>
        <v>500670</v>
      </c>
      <c r="B493" s="6" t="str">
        <f>IFERROR(__xludf.DUMMYFUNCTION("""COMPUTED_VALUE"""),"Gujarat Narmada Valley Fert.Co.Ltd")</f>
        <v>Gujarat Narmada Valley Fert.Co.Ltd</v>
      </c>
      <c r="C493" s="6" t="str">
        <f>IFERROR(__xludf.DUMMYFUNCTION("""COMPUTED_VALUE"""),"GNFC")</f>
        <v>GNFC</v>
      </c>
      <c r="D493" s="6" t="str">
        <f>IFERROR(__xludf.DUMMYFUNCTION("""COMPUTED_VALUE"""),"GUJARAT NARMADA VALLEY FERTILIZERS &amp; CHEMICALS LTD.")</f>
        <v>GUJARAT NARMADA VALLEY FERTILIZERS &amp; CHEMICALS LTD.</v>
      </c>
      <c r="E493" s="6" t="str">
        <f>IFERROR(__xludf.DUMMYFUNCTION("""COMPUTED_VALUE"""),"Active")</f>
        <v>Active</v>
      </c>
      <c r="F493" s="6" t="str">
        <f>IFERROR(__xludf.DUMMYFUNCTION("""COMPUTED_VALUE"""),"A")</f>
        <v>A</v>
      </c>
      <c r="G493" s="6">
        <f>IFERROR(__xludf.DUMMYFUNCTION("""COMPUTED_VALUE"""),10.0)</f>
        <v>10</v>
      </c>
      <c r="H493" s="6" t="str">
        <f>IFERROR(__xludf.DUMMYFUNCTION("""COMPUTED_VALUE"""),"INE113A01013")</f>
        <v>INE113A01013</v>
      </c>
      <c r="I493" s="6" t="str">
        <f>IFERROR(__xludf.DUMMYFUNCTION("""COMPUTED_VALUE"""),"Equity")</f>
        <v>Equity</v>
      </c>
      <c r="J493" s="6" t="str">
        <f>IFERROR(__xludf.DUMMYFUNCTION("""COMPUTED_VALUE"""),"Commodities")</f>
        <v>Commodities</v>
      </c>
      <c r="K493" s="6" t="str">
        <f>IFERROR(__xludf.DUMMYFUNCTION("""COMPUTED_VALUE"""),"Chemicals")</f>
        <v>Chemicals</v>
      </c>
      <c r="L493" s="6" t="str">
        <f>IFERROR(__xludf.DUMMYFUNCTION("""COMPUTED_VALUE"""),"Chemicals &amp; Petrochemicals")</f>
        <v>Chemicals &amp; Petrochemicals</v>
      </c>
      <c r="M493" s="6" t="str">
        <f>IFERROR(__xludf.DUMMYFUNCTION("""COMPUTED_VALUE"""),"Commodity Chemicals")</f>
        <v>Commodity Chemicals</v>
      </c>
      <c r="N493" s="5">
        <f>IFERROR(__xludf.DUMMYFUNCTION("""COMPUTED_VALUE"""),10422.8353914)</f>
        <v>10422.83539</v>
      </c>
      <c r="O493" s="6">
        <f t="shared" si="4"/>
        <v>52</v>
      </c>
      <c r="P493" s="6">
        <f t="shared" ref="P493:Q493" si="988">COUNTIFS(L:L,L493)</f>
        <v>37</v>
      </c>
      <c r="Q493" s="24">
        <f t="shared" si="988"/>
        <v>6</v>
      </c>
      <c r="R493" s="6" t="str">
        <f t="shared" si="6"/>
        <v>Chemicals</v>
      </c>
      <c r="S493" s="6" t="str">
        <f t="shared" si="7"/>
        <v>Chemicals</v>
      </c>
      <c r="T493" s="6">
        <f>IFERROR(__xludf.DUMMYFUNCTION("COUNTA(UNIQUE(query($A$2:$P$800,""select L where K='""&amp; K493&amp;""'"")))"),2.0)</f>
        <v>2</v>
      </c>
      <c r="U493" s="23">
        <f t="shared" si="8"/>
        <v>0.05769230769</v>
      </c>
      <c r="V493" s="23">
        <f t="shared" ref="V493:W493" si="989">P493/O493</f>
        <v>0.7115384615</v>
      </c>
      <c r="W493" s="23">
        <f t="shared" si="989"/>
        <v>0.1621621622</v>
      </c>
    </row>
    <row r="494">
      <c r="A494" s="6">
        <f>IFERROR(__xludf.DUMMYFUNCTION("""COMPUTED_VALUE"""),500266.0)</f>
        <v>500266</v>
      </c>
      <c r="B494" s="6" t="str">
        <f>IFERROR(__xludf.DUMMYFUNCTION("""COMPUTED_VALUE"""),"Maharashtra Scooters Ltd.")</f>
        <v>Maharashtra Scooters Ltd.</v>
      </c>
      <c r="C494" s="6" t="str">
        <f>IFERROR(__xludf.DUMMYFUNCTION("""COMPUTED_VALUE"""),"MAHSCOOTER")</f>
        <v>MAHSCOOTER</v>
      </c>
      <c r="D494" s="6" t="str">
        <f>IFERROR(__xludf.DUMMYFUNCTION("""COMPUTED_VALUE"""),"MAHARASHTRA SCOOTERS LTD.")</f>
        <v>MAHARASHTRA SCOOTERS LTD.</v>
      </c>
      <c r="E494" s="6" t="str">
        <f>IFERROR(__xludf.DUMMYFUNCTION("""COMPUTED_VALUE"""),"Active")</f>
        <v>Active</v>
      </c>
      <c r="F494" s="6" t="str">
        <f>IFERROR(__xludf.DUMMYFUNCTION("""COMPUTED_VALUE"""),"A")</f>
        <v>A</v>
      </c>
      <c r="G494" s="6">
        <f>IFERROR(__xludf.DUMMYFUNCTION("""COMPUTED_VALUE"""),10.0)</f>
        <v>10</v>
      </c>
      <c r="H494" s="6" t="str">
        <f>IFERROR(__xludf.DUMMYFUNCTION("""COMPUTED_VALUE"""),"INE288A01013")</f>
        <v>INE288A01013</v>
      </c>
      <c r="I494" s="6" t="str">
        <f>IFERROR(__xludf.DUMMYFUNCTION("""COMPUTED_VALUE"""),"Equity")</f>
        <v>Equity</v>
      </c>
      <c r="J494" s="6" t="str">
        <f>IFERROR(__xludf.DUMMYFUNCTION("""COMPUTED_VALUE"""),"Financial Services")</f>
        <v>Financial Services</v>
      </c>
      <c r="K494" s="6" t="str">
        <f>IFERROR(__xludf.DUMMYFUNCTION("""COMPUTED_VALUE"""),"Financial Services")</f>
        <v>Financial Services</v>
      </c>
      <c r="L494" s="6" t="str">
        <f>IFERROR(__xludf.DUMMYFUNCTION("""COMPUTED_VALUE"""),"Finance")</f>
        <v>Finance</v>
      </c>
      <c r="M494" s="6" t="str">
        <f>IFERROR(__xludf.DUMMYFUNCTION("""COMPUTED_VALUE"""),"Investment Company")</f>
        <v>Investment Company</v>
      </c>
      <c r="N494" s="5">
        <f>IFERROR(__xludf.DUMMYFUNCTION("""COMPUTED_VALUE"""),10392.86427)</f>
        <v>10392.86427</v>
      </c>
      <c r="O494" s="6">
        <f t="shared" si="4"/>
        <v>123</v>
      </c>
      <c r="P494" s="6">
        <f t="shared" ref="P494:Q494" si="990">COUNTIFS(L:L,L494)</f>
        <v>56</v>
      </c>
      <c r="Q494" s="24">
        <f t="shared" si="990"/>
        <v>8</v>
      </c>
      <c r="R494" s="6" t="str">
        <f t="shared" si="6"/>
        <v>Finance</v>
      </c>
      <c r="S494" s="6" t="str">
        <f t="shared" si="7"/>
        <v>Finance</v>
      </c>
      <c r="T494" s="6">
        <f>IFERROR(__xludf.DUMMYFUNCTION("COUNTA(UNIQUE(query($A$2:$P$800,""select L where K='""&amp; K494&amp;""'"")))"),5.0)</f>
        <v>5</v>
      </c>
      <c r="U494" s="23">
        <f t="shared" si="8"/>
        <v>0.06097560976</v>
      </c>
      <c r="V494" s="23">
        <f t="shared" ref="V494:W494" si="991">P494/O494</f>
        <v>0.4552845528</v>
      </c>
      <c r="W494" s="23">
        <f t="shared" si="991"/>
        <v>0.1428571429</v>
      </c>
    </row>
    <row r="495">
      <c r="A495" s="6">
        <f>IFERROR(__xludf.DUMMYFUNCTION("""COMPUTED_VALUE"""),530343.0)</f>
        <v>530343</v>
      </c>
      <c r="B495" s="6" t="str">
        <f>IFERROR(__xludf.DUMMYFUNCTION("""COMPUTED_VALUE"""),"Genus Power Infrastructures Ltd")</f>
        <v>Genus Power Infrastructures Ltd</v>
      </c>
      <c r="C495" s="6" t="str">
        <f>IFERROR(__xludf.DUMMYFUNCTION("""COMPUTED_VALUE"""),"GENUSPOWER")</f>
        <v>GENUSPOWER</v>
      </c>
      <c r="D495" s="6" t="str">
        <f>IFERROR(__xludf.DUMMYFUNCTION("""COMPUTED_VALUE"""),"GENUS POWER INFRASTRUCTURES LTD.-$")</f>
        <v>GENUS POWER INFRASTRUCTURES LTD.-$</v>
      </c>
      <c r="E495" s="6" t="str">
        <f>IFERROR(__xludf.DUMMYFUNCTION("""COMPUTED_VALUE"""),"Active")</f>
        <v>Active</v>
      </c>
      <c r="F495" s="6" t="str">
        <f>IFERROR(__xludf.DUMMYFUNCTION("""COMPUTED_VALUE"""),"A")</f>
        <v>A</v>
      </c>
      <c r="G495" s="6">
        <f>IFERROR(__xludf.DUMMYFUNCTION("""COMPUTED_VALUE"""),1.0)</f>
        <v>1</v>
      </c>
      <c r="H495" s="6" t="str">
        <f>IFERROR(__xludf.DUMMYFUNCTION("""COMPUTED_VALUE"""),"INE955D01029")</f>
        <v>INE955D01029</v>
      </c>
      <c r="I495" s="6" t="str">
        <f>IFERROR(__xludf.DUMMYFUNCTION("""COMPUTED_VALUE"""),"Equity")</f>
        <v>Equity</v>
      </c>
      <c r="J495" s="6" t="str">
        <f>IFERROR(__xludf.DUMMYFUNCTION("""COMPUTED_VALUE"""),"Industrials")</f>
        <v>Industrials</v>
      </c>
      <c r="K495" s="6" t="str">
        <f>IFERROR(__xludf.DUMMYFUNCTION("""COMPUTED_VALUE"""),"Capital Goods")</f>
        <v>Capital Goods</v>
      </c>
      <c r="L495" s="6" t="str">
        <f>IFERROR(__xludf.DUMMYFUNCTION("""COMPUTED_VALUE"""),"Electrical Equipment")</f>
        <v>Electrical Equipment</v>
      </c>
      <c r="M495" s="6" t="str">
        <f>IFERROR(__xludf.DUMMYFUNCTION("""COMPUTED_VALUE"""),"Other Electrical Equipment")</f>
        <v>Other Electrical Equipment</v>
      </c>
      <c r="N495" s="5">
        <f>IFERROR(__xludf.DUMMYFUNCTION("""COMPUTED_VALUE"""),10382.3554546)</f>
        <v>10382.35545</v>
      </c>
      <c r="O495" s="6">
        <f t="shared" si="4"/>
        <v>110</v>
      </c>
      <c r="P495" s="6">
        <f t="shared" ref="P495:Q495" si="992">COUNTIFS(L:L,L495)</f>
        <v>22</v>
      </c>
      <c r="Q495" s="24">
        <f t="shared" si="992"/>
        <v>5</v>
      </c>
      <c r="R495" s="6" t="str">
        <f t="shared" si="6"/>
        <v>Electrical Equipment</v>
      </c>
      <c r="S495" s="6" t="str">
        <f t="shared" si="7"/>
        <v>Electrical Equipment</v>
      </c>
      <c r="T495" s="6">
        <f>IFERROR(__xludf.DUMMYFUNCTION("COUNTA(UNIQUE(query($A$2:$P$800,""select L where K='""&amp; K495&amp;""'"")))"),5.0)</f>
        <v>5</v>
      </c>
      <c r="U495" s="23">
        <f t="shared" si="8"/>
        <v>0.06818181818</v>
      </c>
      <c r="V495" s="23">
        <f t="shared" ref="V495:W495" si="993">P495/O495</f>
        <v>0.2</v>
      </c>
      <c r="W495" s="23">
        <f t="shared" si="993"/>
        <v>0.2272727273</v>
      </c>
    </row>
    <row r="496">
      <c r="A496" s="6">
        <f>IFERROR(__xludf.DUMMYFUNCTION("""COMPUTED_VALUE"""),500380.0)</f>
        <v>500380</v>
      </c>
      <c r="B496" s="6" t="str">
        <f>IFERROR(__xludf.DUMMYFUNCTION("""COMPUTED_VALUE"""),"JK Lakshmi Cement Limited")</f>
        <v>JK Lakshmi Cement Limited</v>
      </c>
      <c r="C496" s="6" t="str">
        <f>IFERROR(__xludf.DUMMYFUNCTION("""COMPUTED_VALUE"""),"JKLAKSHMI")</f>
        <v>JKLAKSHMI</v>
      </c>
      <c r="D496" s="6" t="str">
        <f>IFERROR(__xludf.DUMMYFUNCTION("""COMPUTED_VALUE"""),"JK LAKSHMI CEMENT LTD.")</f>
        <v>JK LAKSHMI CEMENT LTD.</v>
      </c>
      <c r="E496" s="6" t="str">
        <f>IFERROR(__xludf.DUMMYFUNCTION("""COMPUTED_VALUE"""),"Active")</f>
        <v>Active</v>
      </c>
      <c r="F496" s="6" t="str">
        <f>IFERROR(__xludf.DUMMYFUNCTION("""COMPUTED_VALUE"""),"A")</f>
        <v>A</v>
      </c>
      <c r="G496" s="6">
        <f>IFERROR(__xludf.DUMMYFUNCTION("""COMPUTED_VALUE"""),5.0)</f>
        <v>5</v>
      </c>
      <c r="H496" s="6" t="str">
        <f>IFERROR(__xludf.DUMMYFUNCTION("""COMPUTED_VALUE"""),"INE786A01032")</f>
        <v>INE786A01032</v>
      </c>
      <c r="I496" s="6" t="str">
        <f>IFERROR(__xludf.DUMMYFUNCTION("""COMPUTED_VALUE"""),"Equity")</f>
        <v>Equity</v>
      </c>
      <c r="J496" s="6" t="str">
        <f>IFERROR(__xludf.DUMMYFUNCTION("""COMPUTED_VALUE"""),"Commodities")</f>
        <v>Commodities</v>
      </c>
      <c r="K496" s="6" t="str">
        <f>IFERROR(__xludf.DUMMYFUNCTION("""COMPUTED_VALUE"""),"Construction Materials")</f>
        <v>Construction Materials</v>
      </c>
      <c r="L496" s="6" t="str">
        <f>IFERROR(__xludf.DUMMYFUNCTION("""COMPUTED_VALUE"""),"Cement &amp; Cement Products")</f>
        <v>Cement &amp; Cement Products</v>
      </c>
      <c r="M496" s="6" t="str">
        <f>IFERROR(__xludf.DUMMYFUNCTION("""COMPUTED_VALUE"""),"Cement &amp; Cement Products")</f>
        <v>Cement &amp; Cement Products</v>
      </c>
      <c r="N496" s="5">
        <f>IFERROR(__xludf.DUMMYFUNCTION("""COMPUTED_VALUE"""),10326.646741)</f>
        <v>10326.64674</v>
      </c>
      <c r="O496" s="6">
        <f t="shared" si="4"/>
        <v>17</v>
      </c>
      <c r="P496" s="6">
        <f t="shared" ref="P496:Q496" si="994">COUNTIFS(L:L,L496)</f>
        <v>17</v>
      </c>
      <c r="Q496" s="24">
        <f t="shared" si="994"/>
        <v>17</v>
      </c>
      <c r="R496" s="6" t="str">
        <f t="shared" si="6"/>
        <v>Construction Materials</v>
      </c>
      <c r="S496" s="6" t="str">
        <f t="shared" si="7"/>
        <v>Construction Materials</v>
      </c>
      <c r="T496" s="6">
        <f>IFERROR(__xludf.DUMMYFUNCTION("COUNTA(UNIQUE(query($A$2:$P$800,""select L where K='""&amp; K496&amp;""'"")))"),1.0)</f>
        <v>1</v>
      </c>
      <c r="U496" s="23">
        <f t="shared" si="8"/>
        <v>0.08823529412</v>
      </c>
      <c r="V496" s="23">
        <f t="shared" ref="V496:W496" si="995">P496/O496</f>
        <v>1</v>
      </c>
      <c r="W496" s="23">
        <f t="shared" si="995"/>
        <v>1</v>
      </c>
    </row>
    <row r="497">
      <c r="A497" s="6">
        <f>IFERROR(__xludf.DUMMYFUNCTION("""COMPUTED_VALUE"""),543398.0)</f>
        <v>543398</v>
      </c>
      <c r="B497" s="6" t="str">
        <f>IFERROR(__xludf.DUMMYFUNCTION("""COMPUTED_VALUE"""),"Latent View Analytics Limited")</f>
        <v>Latent View Analytics Limited</v>
      </c>
      <c r="C497" s="6" t="str">
        <f>IFERROR(__xludf.DUMMYFUNCTION("""COMPUTED_VALUE"""),"LATENTVIEW")</f>
        <v>LATENTVIEW</v>
      </c>
      <c r="D497" s="6" t="str">
        <f>IFERROR(__xludf.DUMMYFUNCTION("""COMPUTED_VALUE"""),"Latent View Analytics Ltd")</f>
        <v>Latent View Analytics Ltd</v>
      </c>
      <c r="E497" s="6" t="str">
        <f>IFERROR(__xludf.DUMMYFUNCTION("""COMPUTED_VALUE"""),"Active")</f>
        <v>Active</v>
      </c>
      <c r="F497" s="6" t="str">
        <f>IFERROR(__xludf.DUMMYFUNCTION("""COMPUTED_VALUE"""),"T")</f>
        <v>T</v>
      </c>
      <c r="G497" s="6">
        <f>IFERROR(__xludf.DUMMYFUNCTION("""COMPUTED_VALUE"""),1.0)</f>
        <v>1</v>
      </c>
      <c r="H497" s="6" t="str">
        <f>IFERROR(__xludf.DUMMYFUNCTION("""COMPUTED_VALUE"""),"INE0I7C01011")</f>
        <v>INE0I7C01011</v>
      </c>
      <c r="I497" s="6" t="str">
        <f>IFERROR(__xludf.DUMMYFUNCTION("""COMPUTED_VALUE"""),"Equity")</f>
        <v>Equity</v>
      </c>
      <c r="J497" s="6" t="str">
        <f>IFERROR(__xludf.DUMMYFUNCTION("""COMPUTED_VALUE"""),"Information Technology")</f>
        <v>Information Technology</v>
      </c>
      <c r="K497" s="6" t="str">
        <f>IFERROR(__xludf.DUMMYFUNCTION("""COMPUTED_VALUE"""),"Information Technology")</f>
        <v>Information Technology</v>
      </c>
      <c r="L497" s="6" t="str">
        <f>IFERROR(__xludf.DUMMYFUNCTION("""COMPUTED_VALUE"""),"IT - Software")</f>
        <v>IT - Software</v>
      </c>
      <c r="M497" s="6" t="str">
        <f>IFERROR(__xludf.DUMMYFUNCTION("""COMPUTED_VALUE"""),"Computers - Software &amp; Consulting")</f>
        <v>Computers - Software &amp; Consulting</v>
      </c>
      <c r="N497" s="5">
        <f>IFERROR(__xludf.DUMMYFUNCTION("""COMPUTED_VALUE"""),10311.41163)</f>
        <v>10311.41163</v>
      </c>
      <c r="O497" s="6">
        <f t="shared" si="4"/>
        <v>36</v>
      </c>
      <c r="P497" s="6">
        <f t="shared" ref="P497:Q497" si="996">COUNTIFS(L:L,L497)</f>
        <v>27</v>
      </c>
      <c r="Q497" s="24">
        <f t="shared" si="996"/>
        <v>22</v>
      </c>
      <c r="R497" s="6" t="str">
        <f t="shared" si="6"/>
        <v>Information Technology</v>
      </c>
      <c r="S497" s="6" t="str">
        <f t="shared" si="7"/>
        <v>Information Technology</v>
      </c>
      <c r="T497" s="6">
        <f>IFERROR(__xludf.DUMMYFUNCTION("COUNTA(UNIQUE(query($A$2:$P$800,""select L where K='""&amp; K497&amp;""'"")))"),3.0)</f>
        <v>3</v>
      </c>
      <c r="U497" s="23">
        <f t="shared" si="8"/>
        <v>0.125</v>
      </c>
      <c r="V497" s="23">
        <f t="shared" ref="V497:W497" si="997">P497/O497</f>
        <v>0.75</v>
      </c>
      <c r="W497" s="23">
        <f t="shared" si="997"/>
        <v>0.8148148148</v>
      </c>
    </row>
    <row r="498">
      <c r="A498" s="6">
        <f>IFERROR(__xludf.DUMMYFUNCTION("""COMPUTED_VALUE"""),533339.0)</f>
        <v>533339</v>
      </c>
      <c r="B498" s="6" t="str">
        <f>IFERROR(__xludf.DUMMYFUNCTION("""COMPUTED_VALUE"""),"Zen Technologies Ltd.")</f>
        <v>Zen Technologies Ltd.</v>
      </c>
      <c r="C498" s="6" t="str">
        <f>IFERROR(__xludf.DUMMYFUNCTION("""COMPUTED_VALUE"""),"ZENTEC")</f>
        <v>ZENTEC</v>
      </c>
      <c r="D498" s="6" t="str">
        <f>IFERROR(__xludf.DUMMYFUNCTION("""COMPUTED_VALUE"""),"ZEN TECHNOLOGIES LTD.")</f>
        <v>ZEN TECHNOLOGIES LTD.</v>
      </c>
      <c r="E498" s="6" t="str">
        <f>IFERROR(__xludf.DUMMYFUNCTION("""COMPUTED_VALUE"""),"Active")</f>
        <v>Active</v>
      </c>
      <c r="F498" s="6" t="str">
        <f>IFERROR(__xludf.DUMMYFUNCTION("""COMPUTED_VALUE"""),"A")</f>
        <v>A</v>
      </c>
      <c r="G498" s="6">
        <f>IFERROR(__xludf.DUMMYFUNCTION("""COMPUTED_VALUE"""),1.0)</f>
        <v>1</v>
      </c>
      <c r="H498" s="6" t="str">
        <f>IFERROR(__xludf.DUMMYFUNCTION("""COMPUTED_VALUE"""),"INE251B01027")</f>
        <v>INE251B01027</v>
      </c>
      <c r="I498" s="6" t="str">
        <f>IFERROR(__xludf.DUMMYFUNCTION("""COMPUTED_VALUE"""),"Equity")</f>
        <v>Equity</v>
      </c>
      <c r="J498" s="6" t="str">
        <f>IFERROR(__xludf.DUMMYFUNCTION("""COMPUTED_VALUE"""),"Industrials")</f>
        <v>Industrials</v>
      </c>
      <c r="K498" s="6" t="str">
        <f>IFERROR(__xludf.DUMMYFUNCTION("""COMPUTED_VALUE"""),"Capital Goods")</f>
        <v>Capital Goods</v>
      </c>
      <c r="L498" s="6" t="str">
        <f>IFERROR(__xludf.DUMMYFUNCTION("""COMPUTED_VALUE"""),"Aerospace &amp; Defense")</f>
        <v>Aerospace &amp; Defense</v>
      </c>
      <c r="M498" s="6" t="str">
        <f>IFERROR(__xludf.DUMMYFUNCTION("""COMPUTED_VALUE"""),"Aerospace &amp; Defense")</f>
        <v>Aerospace &amp; Defense</v>
      </c>
      <c r="N498" s="5">
        <f>IFERROR(__xludf.DUMMYFUNCTION("""COMPUTED_VALUE"""),10277.06525)</f>
        <v>10277.06525</v>
      </c>
      <c r="O498" s="6">
        <f t="shared" si="4"/>
        <v>110</v>
      </c>
      <c r="P498" s="6">
        <f t="shared" ref="P498:Q498" si="998">COUNTIFS(L:L,L498)</f>
        <v>11</v>
      </c>
      <c r="Q498" s="24">
        <f t="shared" si="998"/>
        <v>11</v>
      </c>
      <c r="R498" s="6" t="str">
        <f t="shared" si="6"/>
        <v>Capital Goods</v>
      </c>
      <c r="S498" s="6" t="str">
        <f t="shared" si="7"/>
        <v>Capital Goods</v>
      </c>
      <c r="T498" s="6">
        <f>IFERROR(__xludf.DUMMYFUNCTION("COUNTA(UNIQUE(query($A$2:$P$800,""select L where K='""&amp; K498&amp;""'"")))"),5.0)</f>
        <v>5</v>
      </c>
      <c r="U498" s="23">
        <f t="shared" si="8"/>
        <v>0.06818181818</v>
      </c>
      <c r="V498" s="23">
        <f t="shared" ref="V498:W498" si="999">P498/O498</f>
        <v>0.1</v>
      </c>
      <c r="W498" s="23">
        <f t="shared" si="999"/>
        <v>1</v>
      </c>
    </row>
    <row r="499">
      <c r="A499" s="6">
        <f>IFERROR(__xludf.DUMMYFUNCTION("""COMPUTED_VALUE"""),533160.0)</f>
        <v>533160</v>
      </c>
      <c r="B499" s="6" t="str">
        <f>IFERROR(__xludf.DUMMYFUNCTION("""COMPUTED_VALUE"""),"VALOR ESTATE LIMITED")</f>
        <v>VALOR ESTATE LIMITED</v>
      </c>
      <c r="C499" s="6" t="str">
        <f>IFERROR(__xludf.DUMMYFUNCTION("""COMPUTED_VALUE"""),"DBREALTY")</f>
        <v>DBREALTY</v>
      </c>
      <c r="D499" s="6" t="str">
        <f>IFERROR(__xludf.DUMMYFUNCTION("""COMPUTED_VALUE"""),"Valor Estate Ltd")</f>
        <v>Valor Estate Ltd</v>
      </c>
      <c r="E499" s="6" t="str">
        <f>IFERROR(__xludf.DUMMYFUNCTION("""COMPUTED_VALUE"""),"Active")</f>
        <v>Active</v>
      </c>
      <c r="F499" s="6" t="str">
        <f>IFERROR(__xludf.DUMMYFUNCTION("""COMPUTED_VALUE"""),"A")</f>
        <v>A</v>
      </c>
      <c r="G499" s="6">
        <f>IFERROR(__xludf.DUMMYFUNCTION("""COMPUTED_VALUE"""),10.0)</f>
        <v>10</v>
      </c>
      <c r="H499" s="6" t="str">
        <f>IFERROR(__xludf.DUMMYFUNCTION("""COMPUTED_VALUE"""),"INE879I01012")</f>
        <v>INE879I01012</v>
      </c>
      <c r="I499" s="6" t="str">
        <f>IFERROR(__xludf.DUMMYFUNCTION("""COMPUTED_VALUE"""),"Equity")</f>
        <v>Equity</v>
      </c>
      <c r="J499" s="6" t="str">
        <f>IFERROR(__xludf.DUMMYFUNCTION("""COMPUTED_VALUE"""),"Consumer Discretionary")</f>
        <v>Consumer Discretionary</v>
      </c>
      <c r="K499" s="6" t="str">
        <f>IFERROR(__xludf.DUMMYFUNCTION("""COMPUTED_VALUE"""),"Realty")</f>
        <v>Realty</v>
      </c>
      <c r="L499" s="6" t="str">
        <f>IFERROR(__xludf.DUMMYFUNCTION("""COMPUTED_VALUE"""),"Realty")</f>
        <v>Realty</v>
      </c>
      <c r="M499" s="6" t="str">
        <f>IFERROR(__xludf.DUMMYFUNCTION("""COMPUTED_VALUE"""),"Residential, Commercial Projects")</f>
        <v>Residential, Commercial Projects</v>
      </c>
      <c r="N499" s="5">
        <f>IFERROR(__xludf.DUMMYFUNCTION("""COMPUTED_VALUE"""),10257.9119)</f>
        <v>10257.9119</v>
      </c>
      <c r="O499" s="6">
        <f t="shared" si="4"/>
        <v>20</v>
      </c>
      <c r="P499" s="6">
        <f t="shared" ref="P499:Q499" si="1000">COUNTIFS(L:L,L499)</f>
        <v>20</v>
      </c>
      <c r="Q499" s="24">
        <f t="shared" si="1000"/>
        <v>20</v>
      </c>
      <c r="R499" s="6" t="str">
        <f t="shared" si="6"/>
        <v>Realty</v>
      </c>
      <c r="S499" s="6" t="str">
        <f t="shared" si="7"/>
        <v>Realty</v>
      </c>
      <c r="T499" s="6">
        <f>IFERROR(__xludf.DUMMYFUNCTION("COUNTA(UNIQUE(query($A$2:$P$800,""select L where K='""&amp; K499&amp;""'"")))"),1.0)</f>
        <v>1</v>
      </c>
      <c r="U499" s="23">
        <f t="shared" si="8"/>
        <v>0.075</v>
      </c>
      <c r="V499" s="23">
        <f t="shared" ref="V499:W499" si="1001">P499/O499</f>
        <v>1</v>
      </c>
      <c r="W499" s="23">
        <f t="shared" si="1001"/>
        <v>1</v>
      </c>
    </row>
    <row r="500">
      <c r="A500" s="6">
        <f>IFERROR(__xludf.DUMMYFUNCTION("""COMPUTED_VALUE"""),523025.0)</f>
        <v>523025</v>
      </c>
      <c r="B500" s="6" t="str">
        <f>IFERROR(__xludf.DUMMYFUNCTION("""COMPUTED_VALUE"""),"Safari Industries (India) Ltd.")</f>
        <v>Safari Industries (India) Ltd.</v>
      </c>
      <c r="C500" s="6" t="str">
        <f>IFERROR(__xludf.DUMMYFUNCTION("""COMPUTED_VALUE"""),"SAFARI")</f>
        <v>SAFARI</v>
      </c>
      <c r="D500" s="6" t="str">
        <f>IFERROR(__xludf.DUMMYFUNCTION("""COMPUTED_VALUE"""),"SAFARI INDUSTRIES (INDIA) LTD.")</f>
        <v>SAFARI INDUSTRIES (INDIA) LTD.</v>
      </c>
      <c r="E500" s="6" t="str">
        <f>IFERROR(__xludf.DUMMYFUNCTION("""COMPUTED_VALUE"""),"Active")</f>
        <v>Active</v>
      </c>
      <c r="F500" s="6" t="str">
        <f>IFERROR(__xludf.DUMMYFUNCTION("""COMPUTED_VALUE"""),"A")</f>
        <v>A</v>
      </c>
      <c r="G500" s="6">
        <f>IFERROR(__xludf.DUMMYFUNCTION("""COMPUTED_VALUE"""),2.0)</f>
        <v>2</v>
      </c>
      <c r="H500" s="6" t="str">
        <f>IFERROR(__xludf.DUMMYFUNCTION("""COMPUTED_VALUE"""),"INE429E01023")</f>
        <v>INE429E01023</v>
      </c>
      <c r="I500" s="6" t="str">
        <f>IFERROR(__xludf.DUMMYFUNCTION("""COMPUTED_VALUE"""),"Equity")</f>
        <v>Equity</v>
      </c>
      <c r="J500" s="6" t="str">
        <f>IFERROR(__xludf.DUMMYFUNCTION("""COMPUTED_VALUE"""),"Consumer Discretionary")</f>
        <v>Consumer Discretionary</v>
      </c>
      <c r="K500" s="6" t="str">
        <f>IFERROR(__xludf.DUMMYFUNCTION("""COMPUTED_VALUE"""),"Consumer Durables")</f>
        <v>Consumer Durables</v>
      </c>
      <c r="L500" s="6" t="str">
        <f>IFERROR(__xludf.DUMMYFUNCTION("""COMPUTED_VALUE"""),"Consumer Durables")</f>
        <v>Consumer Durables</v>
      </c>
      <c r="M500" s="6" t="str">
        <f>IFERROR(__xludf.DUMMYFUNCTION("""COMPUTED_VALUE"""),"Plastic Products - Consumer")</f>
        <v>Plastic Products - Consumer</v>
      </c>
      <c r="N500" s="5">
        <f>IFERROR(__xludf.DUMMYFUNCTION("""COMPUTED_VALUE"""),10201.4987062)</f>
        <v>10201.49871</v>
      </c>
      <c r="O500" s="6">
        <f t="shared" si="4"/>
        <v>42</v>
      </c>
      <c r="P500" s="6">
        <f t="shared" ref="P500:Q500" si="1002">COUNTIFS(L:L,L500)</f>
        <v>42</v>
      </c>
      <c r="Q500" s="24">
        <f t="shared" si="1002"/>
        <v>2</v>
      </c>
      <c r="R500" s="6" t="str">
        <f t="shared" si="6"/>
        <v>Consumer Durables</v>
      </c>
      <c r="S500" s="6" t="str">
        <f t="shared" si="7"/>
        <v>Consumer Durables</v>
      </c>
      <c r="T500" s="6">
        <f>IFERROR(__xludf.DUMMYFUNCTION("COUNTA(UNIQUE(query($A$2:$P$800,""select L where K='""&amp; K500&amp;""'"")))"),1.0)</f>
        <v>1</v>
      </c>
      <c r="U500" s="23">
        <f t="shared" si="8"/>
        <v>0.03571428571</v>
      </c>
      <c r="V500" s="23">
        <f t="shared" ref="V500:W500" si="1003">P500/O500</f>
        <v>1</v>
      </c>
      <c r="W500" s="23">
        <f t="shared" si="1003"/>
        <v>0.04761904762</v>
      </c>
    </row>
    <row r="501">
      <c r="A501" s="6">
        <f>IFERROR(__xludf.DUMMYFUNCTION("""COMPUTED_VALUE"""),540203.0)</f>
        <v>540203</v>
      </c>
      <c r="B501" s="6" t="str">
        <f>IFERROR(__xludf.DUMMYFUNCTION("""COMPUTED_VALUE"""),"Sheela Foam Limited")</f>
        <v>Sheela Foam Limited</v>
      </c>
      <c r="C501" s="6" t="str">
        <f>IFERROR(__xludf.DUMMYFUNCTION("""COMPUTED_VALUE"""),"SFL")</f>
        <v>SFL</v>
      </c>
      <c r="D501" s="6" t="str">
        <f>IFERROR(__xludf.DUMMYFUNCTION("""COMPUTED_VALUE"""),"Sheela Foam Ltd")</f>
        <v>Sheela Foam Ltd</v>
      </c>
      <c r="E501" s="6" t="str">
        <f>IFERROR(__xludf.DUMMYFUNCTION("""COMPUTED_VALUE"""),"Active")</f>
        <v>Active</v>
      </c>
      <c r="F501" s="6" t="str">
        <f>IFERROR(__xludf.DUMMYFUNCTION("""COMPUTED_VALUE"""),"A")</f>
        <v>A</v>
      </c>
      <c r="G501" s="6">
        <f>IFERROR(__xludf.DUMMYFUNCTION("""COMPUTED_VALUE"""),5.0)</f>
        <v>5</v>
      </c>
      <c r="H501" s="6" t="str">
        <f>IFERROR(__xludf.DUMMYFUNCTION("""COMPUTED_VALUE"""),"INE916U01025")</f>
        <v>INE916U01025</v>
      </c>
      <c r="I501" s="6" t="str">
        <f>IFERROR(__xludf.DUMMYFUNCTION("""COMPUTED_VALUE"""),"Equity")</f>
        <v>Equity</v>
      </c>
      <c r="J501" s="6" t="str">
        <f>IFERROR(__xludf.DUMMYFUNCTION("""COMPUTED_VALUE"""),"Consumer Discretionary")</f>
        <v>Consumer Discretionary</v>
      </c>
      <c r="K501" s="6" t="str">
        <f>IFERROR(__xludf.DUMMYFUNCTION("""COMPUTED_VALUE"""),"Consumer Durables")</f>
        <v>Consumer Durables</v>
      </c>
      <c r="L501" s="6" t="str">
        <f>IFERROR(__xludf.DUMMYFUNCTION("""COMPUTED_VALUE"""),"Consumer Durables")</f>
        <v>Consumer Durables</v>
      </c>
      <c r="M501" s="6" t="str">
        <f>IFERROR(__xludf.DUMMYFUNCTION("""COMPUTED_VALUE"""),"Furniture, Home Furnishing")</f>
        <v>Furniture, Home Furnishing</v>
      </c>
      <c r="N501" s="5">
        <f>IFERROR(__xludf.DUMMYFUNCTION("""COMPUTED_VALUE"""),10194.4063006)</f>
        <v>10194.4063</v>
      </c>
      <c r="O501" s="6">
        <f t="shared" si="4"/>
        <v>42</v>
      </c>
      <c r="P501" s="6">
        <f t="shared" ref="P501:Q501" si="1004">COUNTIFS(L:L,L501)</f>
        <v>42</v>
      </c>
      <c r="Q501" s="24">
        <f t="shared" si="1004"/>
        <v>2</v>
      </c>
      <c r="R501" s="6" t="str">
        <f t="shared" si="6"/>
        <v>Consumer Durables</v>
      </c>
      <c r="S501" s="6" t="str">
        <f t="shared" si="7"/>
        <v>Consumer Durables</v>
      </c>
      <c r="T501" s="6">
        <f>IFERROR(__xludf.DUMMYFUNCTION("COUNTA(UNIQUE(query($A$2:$P$800,""select L where K='""&amp; K501&amp;""'"")))"),1.0)</f>
        <v>1</v>
      </c>
      <c r="U501" s="23">
        <f t="shared" si="8"/>
        <v>0.03571428571</v>
      </c>
      <c r="V501" s="23">
        <f t="shared" ref="V501:W501" si="1005">P501/O501</f>
        <v>1</v>
      </c>
      <c r="W501" s="23">
        <f t="shared" si="1005"/>
        <v>0.04761904762</v>
      </c>
    </row>
    <row r="502">
      <c r="A502" s="6">
        <f>IFERROR(__xludf.DUMMYFUNCTION("""COMPUTED_VALUE"""),532942.0)</f>
        <v>532942</v>
      </c>
      <c r="B502" s="6" t="str">
        <f>IFERROR(__xludf.DUMMYFUNCTION("""COMPUTED_VALUE"""),"KNR Constructions Limited")</f>
        <v>KNR Constructions Limited</v>
      </c>
      <c r="C502" s="6" t="str">
        <f>IFERROR(__xludf.DUMMYFUNCTION("""COMPUTED_VALUE"""),"KNRCON")</f>
        <v>KNRCON</v>
      </c>
      <c r="D502" s="6" t="str">
        <f>IFERROR(__xludf.DUMMYFUNCTION("""COMPUTED_VALUE"""),"KNR CONSTRUCTIONS LTD.")</f>
        <v>KNR CONSTRUCTIONS LTD.</v>
      </c>
      <c r="E502" s="6" t="str">
        <f>IFERROR(__xludf.DUMMYFUNCTION("""COMPUTED_VALUE"""),"Active")</f>
        <v>Active</v>
      </c>
      <c r="F502" s="6" t="str">
        <f>IFERROR(__xludf.DUMMYFUNCTION("""COMPUTED_VALUE"""),"A")</f>
        <v>A</v>
      </c>
      <c r="G502" s="6">
        <f>IFERROR(__xludf.DUMMYFUNCTION("""COMPUTED_VALUE"""),2.0)</f>
        <v>2</v>
      </c>
      <c r="H502" s="6" t="str">
        <f>IFERROR(__xludf.DUMMYFUNCTION("""COMPUTED_VALUE"""),"INE634I01029")</f>
        <v>INE634I01029</v>
      </c>
      <c r="I502" s="6" t="str">
        <f>IFERROR(__xludf.DUMMYFUNCTION("""COMPUTED_VALUE"""),"Equity")</f>
        <v>Equity</v>
      </c>
      <c r="J502" s="6" t="str">
        <f>IFERROR(__xludf.DUMMYFUNCTION("""COMPUTED_VALUE"""),"Industrials")</f>
        <v>Industrials</v>
      </c>
      <c r="K502" s="6" t="str">
        <f>IFERROR(__xludf.DUMMYFUNCTION("""COMPUTED_VALUE"""),"Construction")</f>
        <v>Construction</v>
      </c>
      <c r="L502" s="6" t="str">
        <f>IFERROR(__xludf.DUMMYFUNCTION("""COMPUTED_VALUE"""),"Construction")</f>
        <v>Construction</v>
      </c>
      <c r="M502" s="6" t="str">
        <f>IFERROR(__xludf.DUMMYFUNCTION("""COMPUTED_VALUE"""),"Civil Construction")</f>
        <v>Civil Construction</v>
      </c>
      <c r="N502" s="5">
        <f>IFERROR(__xludf.DUMMYFUNCTION("""COMPUTED_VALUE"""),10186.7730141)</f>
        <v>10186.77301</v>
      </c>
      <c r="O502" s="6">
        <f t="shared" si="4"/>
        <v>27</v>
      </c>
      <c r="P502" s="6">
        <f t="shared" ref="P502:Q502" si="1006">COUNTIFS(L:L,L502)</f>
        <v>27</v>
      </c>
      <c r="Q502" s="24">
        <f t="shared" si="1006"/>
        <v>27</v>
      </c>
      <c r="R502" s="6" t="str">
        <f t="shared" si="6"/>
        <v>Construction</v>
      </c>
      <c r="S502" s="6" t="str">
        <f t="shared" si="7"/>
        <v>Construction</v>
      </c>
      <c r="T502" s="6">
        <f>IFERROR(__xludf.DUMMYFUNCTION("COUNTA(UNIQUE(query($A$2:$P$800,""select L where K='""&amp; K502&amp;""'"")))"),1.0)</f>
        <v>1</v>
      </c>
      <c r="U502" s="23">
        <f t="shared" si="8"/>
        <v>0.05555555556</v>
      </c>
      <c r="V502" s="23">
        <f t="shared" ref="V502:W502" si="1007">P502/O502</f>
        <v>1</v>
      </c>
      <c r="W502" s="23">
        <f t="shared" si="1007"/>
        <v>1</v>
      </c>
    </row>
    <row r="503">
      <c r="A503" s="6">
        <f>IFERROR(__xludf.DUMMYFUNCTION("""COMPUTED_VALUE"""),500245.0)</f>
        <v>500245</v>
      </c>
      <c r="B503" s="6" t="str">
        <f>IFERROR(__xludf.DUMMYFUNCTION("""COMPUTED_VALUE"""),"Kirloskar Ferrous Industries Ltd.")</f>
        <v>Kirloskar Ferrous Industries Ltd.</v>
      </c>
      <c r="C503" s="6" t="str">
        <f>IFERROR(__xludf.DUMMYFUNCTION("""COMPUTED_VALUE"""),"KIRLFER")</f>
        <v>KIRLFER</v>
      </c>
      <c r="D503" s="6" t="str">
        <f>IFERROR(__xludf.DUMMYFUNCTION("""COMPUTED_VALUE"""),"KIRLOSKAR FERROUS INDUSTRIES LTD.")</f>
        <v>KIRLOSKAR FERROUS INDUSTRIES LTD.</v>
      </c>
      <c r="E503" s="6" t="str">
        <f>IFERROR(__xludf.DUMMYFUNCTION("""COMPUTED_VALUE"""),"Active")</f>
        <v>Active</v>
      </c>
      <c r="F503" s="6" t="str">
        <f>IFERROR(__xludf.DUMMYFUNCTION("""COMPUTED_VALUE"""),"A")</f>
        <v>A</v>
      </c>
      <c r="G503" s="6">
        <f>IFERROR(__xludf.DUMMYFUNCTION("""COMPUTED_VALUE"""),5.0)</f>
        <v>5</v>
      </c>
      <c r="H503" s="6" t="str">
        <f>IFERROR(__xludf.DUMMYFUNCTION("""COMPUTED_VALUE"""),"INE884B01025")</f>
        <v>INE884B01025</v>
      </c>
      <c r="I503" s="6" t="str">
        <f>IFERROR(__xludf.DUMMYFUNCTION("""COMPUTED_VALUE"""),"Equity")</f>
        <v>Equity</v>
      </c>
      <c r="J503" s="6" t="str">
        <f>IFERROR(__xludf.DUMMYFUNCTION("""COMPUTED_VALUE"""),"Commodities")</f>
        <v>Commodities</v>
      </c>
      <c r="K503" s="6" t="str">
        <f>IFERROR(__xludf.DUMMYFUNCTION("""COMPUTED_VALUE"""),"Metals &amp; Mining")</f>
        <v>Metals &amp; Mining</v>
      </c>
      <c r="L503" s="6" t="str">
        <f>IFERROR(__xludf.DUMMYFUNCTION("""COMPUTED_VALUE"""),"Ferrous Metals")</f>
        <v>Ferrous Metals</v>
      </c>
      <c r="M503" s="6" t="str">
        <f>IFERROR(__xludf.DUMMYFUNCTION("""COMPUTED_VALUE"""),"Pig Iron")</f>
        <v>Pig Iron</v>
      </c>
      <c r="N503" s="5">
        <f>IFERROR(__xludf.DUMMYFUNCTION("""COMPUTED_VALUE"""),10117.3197487)</f>
        <v>10117.31975</v>
      </c>
      <c r="O503" s="6">
        <f t="shared" si="4"/>
        <v>20</v>
      </c>
      <c r="P503" s="6">
        <f t="shared" ref="P503:Q503" si="1008">COUNTIFS(L:L,L503)</f>
        <v>10</v>
      </c>
      <c r="Q503" s="24">
        <f t="shared" si="1008"/>
        <v>1</v>
      </c>
      <c r="R503" s="6" t="str">
        <f t="shared" si="6"/>
        <v>Metals &amp; Mining</v>
      </c>
      <c r="S503" s="6" t="str">
        <f t="shared" si="7"/>
        <v>Metals &amp; Mining</v>
      </c>
      <c r="T503" s="6">
        <f>IFERROR(__xludf.DUMMYFUNCTION("COUNTA(UNIQUE(query($A$2:$P$800,""select L where K='""&amp; K503&amp;""'"")))"),5.0)</f>
        <v>5</v>
      </c>
      <c r="U503" s="23">
        <f t="shared" si="8"/>
        <v>0.375</v>
      </c>
      <c r="V503" s="23">
        <f t="shared" ref="V503:W503" si="1009">P503/O503</f>
        <v>0.5</v>
      </c>
      <c r="W503" s="23">
        <f t="shared" si="1009"/>
        <v>0.1</v>
      </c>
    </row>
    <row r="504">
      <c r="A504" s="6">
        <f>IFERROR(__xludf.DUMMYFUNCTION("""COMPUTED_VALUE"""),520113.0)</f>
        <v>520113</v>
      </c>
      <c r="B504" s="6" t="str">
        <f>IFERROR(__xludf.DUMMYFUNCTION("""COMPUTED_VALUE"""),"Vesuvius India Ltd.")</f>
        <v>Vesuvius India Ltd.</v>
      </c>
      <c r="C504" s="6" t="str">
        <f>IFERROR(__xludf.DUMMYFUNCTION("""COMPUTED_VALUE"""),"VESUVIUS")</f>
        <v>VESUVIUS</v>
      </c>
      <c r="D504" s="6" t="str">
        <f>IFERROR(__xludf.DUMMYFUNCTION("""COMPUTED_VALUE"""),"VESUVIUS INDIA LTD.")</f>
        <v>VESUVIUS INDIA LTD.</v>
      </c>
      <c r="E504" s="6" t="str">
        <f>IFERROR(__xludf.DUMMYFUNCTION("""COMPUTED_VALUE"""),"Active")</f>
        <v>Active</v>
      </c>
      <c r="F504" s="6" t="str">
        <f>IFERROR(__xludf.DUMMYFUNCTION("""COMPUTED_VALUE"""),"A")</f>
        <v>A</v>
      </c>
      <c r="G504" s="6">
        <f>IFERROR(__xludf.DUMMYFUNCTION("""COMPUTED_VALUE"""),10.0)</f>
        <v>10</v>
      </c>
      <c r="H504" s="6" t="str">
        <f>IFERROR(__xludf.DUMMYFUNCTION("""COMPUTED_VALUE"""),"INE386A01015")</f>
        <v>INE386A01015</v>
      </c>
      <c r="I504" s="6" t="str">
        <f>IFERROR(__xludf.DUMMYFUNCTION("""COMPUTED_VALUE"""),"Equity")</f>
        <v>Equity</v>
      </c>
      <c r="J504" s="6" t="str">
        <f>IFERROR(__xludf.DUMMYFUNCTION("""COMPUTED_VALUE"""),"Industrials")</f>
        <v>Industrials</v>
      </c>
      <c r="K504" s="6" t="str">
        <f>IFERROR(__xludf.DUMMYFUNCTION("""COMPUTED_VALUE"""),"Capital Goods")</f>
        <v>Capital Goods</v>
      </c>
      <c r="L504" s="6" t="str">
        <f>IFERROR(__xludf.DUMMYFUNCTION("""COMPUTED_VALUE"""),"Industrial Products")</f>
        <v>Industrial Products</v>
      </c>
      <c r="M504" s="6" t="str">
        <f>IFERROR(__xludf.DUMMYFUNCTION("""COMPUTED_VALUE"""),"Electrodes &amp; Refractories")</f>
        <v>Electrodes &amp; Refractories</v>
      </c>
      <c r="N504" s="5">
        <f>IFERROR(__xludf.DUMMYFUNCTION("""COMPUTED_VALUE"""),10082.6420575)</f>
        <v>10082.64206</v>
      </c>
      <c r="O504" s="6">
        <f t="shared" si="4"/>
        <v>110</v>
      </c>
      <c r="P504" s="6">
        <f t="shared" ref="P504:Q504" si="1010">COUNTIFS(L:L,L504)</f>
        <v>51</v>
      </c>
      <c r="Q504" s="24">
        <f t="shared" si="1010"/>
        <v>4</v>
      </c>
      <c r="R504" s="6" t="str">
        <f t="shared" si="6"/>
        <v>Industrial Products</v>
      </c>
      <c r="S504" s="6" t="str">
        <f t="shared" si="7"/>
        <v>Industrial Products</v>
      </c>
      <c r="T504" s="6">
        <f>IFERROR(__xludf.DUMMYFUNCTION("COUNTA(UNIQUE(query($A$2:$P$800,""select L where K='""&amp; K504&amp;""'"")))"),5.0)</f>
        <v>5</v>
      </c>
      <c r="U504" s="23">
        <f t="shared" si="8"/>
        <v>0.06818181818</v>
      </c>
      <c r="V504" s="23">
        <f t="shared" ref="V504:W504" si="1011">P504/O504</f>
        <v>0.4636363636</v>
      </c>
      <c r="W504" s="23">
        <f t="shared" si="1011"/>
        <v>0.07843137255</v>
      </c>
    </row>
    <row r="505">
      <c r="A505" s="6">
        <f>IFERROR(__xludf.DUMMYFUNCTION("""COMPUTED_VALUE"""),542650.0)</f>
        <v>542650</v>
      </c>
      <c r="B505" s="6" t="str">
        <f>IFERROR(__xludf.DUMMYFUNCTION("""COMPUTED_VALUE"""),"Metropolis Healthcare Limited")</f>
        <v>Metropolis Healthcare Limited</v>
      </c>
      <c r="C505" s="6" t="str">
        <f>IFERROR(__xludf.DUMMYFUNCTION("""COMPUTED_VALUE"""),"METROPOLIS")</f>
        <v>METROPOLIS</v>
      </c>
      <c r="D505" s="6" t="str">
        <f>IFERROR(__xludf.DUMMYFUNCTION("""COMPUTED_VALUE"""),"Metropolis Healthcare Ltd")</f>
        <v>Metropolis Healthcare Ltd</v>
      </c>
      <c r="E505" s="6" t="str">
        <f>IFERROR(__xludf.DUMMYFUNCTION("""COMPUTED_VALUE"""),"Active")</f>
        <v>Active</v>
      </c>
      <c r="F505" s="6" t="str">
        <f>IFERROR(__xludf.DUMMYFUNCTION("""COMPUTED_VALUE"""),"A")</f>
        <v>A</v>
      </c>
      <c r="G505" s="6">
        <f>IFERROR(__xludf.DUMMYFUNCTION("""COMPUTED_VALUE"""),2.0)</f>
        <v>2</v>
      </c>
      <c r="H505" s="6" t="str">
        <f>IFERROR(__xludf.DUMMYFUNCTION("""COMPUTED_VALUE"""),"INE112L01020")</f>
        <v>INE112L01020</v>
      </c>
      <c r="I505" s="6" t="str">
        <f>IFERROR(__xludf.DUMMYFUNCTION("""COMPUTED_VALUE"""),"Equity")</f>
        <v>Equity</v>
      </c>
      <c r="J505" s="6" t="str">
        <f>IFERROR(__xludf.DUMMYFUNCTION("""COMPUTED_VALUE"""),"Healthcare")</f>
        <v>Healthcare</v>
      </c>
      <c r="K505" s="6" t="str">
        <f>IFERROR(__xludf.DUMMYFUNCTION("""COMPUTED_VALUE"""),"Healthcare")</f>
        <v>Healthcare</v>
      </c>
      <c r="L505" s="6" t="str">
        <f>IFERROR(__xludf.DUMMYFUNCTION("""COMPUTED_VALUE"""),"Healthcare Services")</f>
        <v>Healthcare Services</v>
      </c>
      <c r="M505" s="6" t="str">
        <f>IFERROR(__xludf.DUMMYFUNCTION("""COMPUTED_VALUE"""),"Healthcare Service Provider")</f>
        <v>Healthcare Service Provider</v>
      </c>
      <c r="N505" s="5">
        <f>IFERROR(__xludf.DUMMYFUNCTION("""COMPUTED_VALUE"""),10077.0862857)</f>
        <v>10077.08629</v>
      </c>
      <c r="O505" s="6">
        <f t="shared" si="4"/>
        <v>62</v>
      </c>
      <c r="P505" s="6">
        <f t="shared" ref="P505:Q505" si="1012">COUNTIFS(L:L,L505)</f>
        <v>16</v>
      </c>
      <c r="Q505" s="24">
        <f t="shared" si="1012"/>
        <v>3</v>
      </c>
      <c r="R505" s="6" t="str">
        <f t="shared" si="6"/>
        <v>Healthcare Services</v>
      </c>
      <c r="S505" s="6" t="str">
        <f t="shared" si="7"/>
        <v>Healthcare Services</v>
      </c>
      <c r="T505" s="6">
        <f>IFERROR(__xludf.DUMMYFUNCTION("COUNTA(UNIQUE(query($A$2:$P$800,""select L where K='""&amp; K505&amp;""'"")))"),3.0)</f>
        <v>3</v>
      </c>
      <c r="U505" s="23">
        <f t="shared" si="8"/>
        <v>0.07258064516</v>
      </c>
      <c r="V505" s="23">
        <f t="shared" ref="V505:W505" si="1013">P505/O505</f>
        <v>0.2580645161</v>
      </c>
      <c r="W505" s="23">
        <f t="shared" si="1013"/>
        <v>0.1875</v>
      </c>
    </row>
    <row r="506">
      <c r="A506" s="6">
        <f>IFERROR(__xludf.DUMMYFUNCTION("""COMPUTED_VALUE"""),533282.0)</f>
        <v>533282</v>
      </c>
      <c r="B506" s="6" t="str">
        <f>IFERROR(__xludf.DUMMYFUNCTION("""COMPUTED_VALUE"""),"GRAVITA INDIA LIMITED")</f>
        <v>GRAVITA INDIA LIMITED</v>
      </c>
      <c r="C506" s="6" t="str">
        <f>IFERROR(__xludf.DUMMYFUNCTION("""COMPUTED_VALUE"""),"GRAVITA")</f>
        <v>GRAVITA</v>
      </c>
      <c r="D506" s="6" t="str">
        <f>IFERROR(__xludf.DUMMYFUNCTION("""COMPUTED_VALUE"""),"GRAVITA INDIA LTD.")</f>
        <v>GRAVITA INDIA LTD.</v>
      </c>
      <c r="E506" s="6" t="str">
        <f>IFERROR(__xludf.DUMMYFUNCTION("""COMPUTED_VALUE"""),"Active")</f>
        <v>Active</v>
      </c>
      <c r="F506" s="6" t="str">
        <f>IFERROR(__xludf.DUMMYFUNCTION("""COMPUTED_VALUE"""),"A")</f>
        <v>A</v>
      </c>
      <c r="G506" s="6">
        <f>IFERROR(__xludf.DUMMYFUNCTION("""COMPUTED_VALUE"""),2.0)</f>
        <v>2</v>
      </c>
      <c r="H506" s="6" t="str">
        <f>IFERROR(__xludf.DUMMYFUNCTION("""COMPUTED_VALUE"""),"INE024L01027")</f>
        <v>INE024L01027</v>
      </c>
      <c r="I506" s="6" t="str">
        <f>IFERROR(__xludf.DUMMYFUNCTION("""COMPUTED_VALUE"""),"Equity")</f>
        <v>Equity</v>
      </c>
      <c r="J506" s="6" t="str">
        <f>IFERROR(__xludf.DUMMYFUNCTION("""COMPUTED_VALUE"""),"Commodities")</f>
        <v>Commodities</v>
      </c>
      <c r="K506" s="6" t="str">
        <f>IFERROR(__xludf.DUMMYFUNCTION("""COMPUTED_VALUE"""),"Metals &amp; Mining")</f>
        <v>Metals &amp; Mining</v>
      </c>
      <c r="L506" s="6" t="str">
        <f>IFERROR(__xludf.DUMMYFUNCTION("""COMPUTED_VALUE"""),"Minerals &amp; Mining")</f>
        <v>Minerals &amp; Mining</v>
      </c>
      <c r="M506" s="6" t="str">
        <f>IFERROR(__xludf.DUMMYFUNCTION("""COMPUTED_VALUE"""),"Industrial Minerals")</f>
        <v>Industrial Minerals</v>
      </c>
      <c r="N506" s="5">
        <f>IFERROR(__xludf.DUMMYFUNCTION("""COMPUTED_VALUE"""),10029.4767503)</f>
        <v>10029.47675</v>
      </c>
      <c r="O506" s="6">
        <f t="shared" si="4"/>
        <v>20</v>
      </c>
      <c r="P506" s="6">
        <f t="shared" ref="P506:Q506" si="1014">COUNTIFS(L:L,L506)</f>
        <v>4</v>
      </c>
      <c r="Q506" s="24">
        <f t="shared" si="1014"/>
        <v>4</v>
      </c>
      <c r="R506" s="6" t="str">
        <f t="shared" si="6"/>
        <v>Metals &amp; Mining</v>
      </c>
      <c r="S506" s="6" t="str">
        <f t="shared" si="7"/>
        <v>Metals &amp; Mining</v>
      </c>
      <c r="T506" s="6">
        <f>IFERROR(__xludf.DUMMYFUNCTION("COUNTA(UNIQUE(query($A$2:$P$800,""select L where K='""&amp; K506&amp;""'"")))"),5.0)</f>
        <v>5</v>
      </c>
      <c r="U506" s="23">
        <f t="shared" si="8"/>
        <v>0.375</v>
      </c>
      <c r="V506" s="23">
        <f t="shared" ref="V506:W506" si="1015">P506/O506</f>
        <v>0.2</v>
      </c>
      <c r="W506" s="23">
        <f t="shared" si="1015"/>
        <v>1</v>
      </c>
    </row>
    <row r="507">
      <c r="A507" s="6">
        <f>IFERROR(__xludf.DUMMYFUNCTION("""COMPUTED_VALUE"""),543397.0)</f>
        <v>543397</v>
      </c>
      <c r="B507" s="6" t="str">
        <f>IFERROR(__xludf.DUMMYFUNCTION("""COMPUTED_VALUE"""),"Sapphire Foods India Limited")</f>
        <v>Sapphire Foods India Limited</v>
      </c>
      <c r="C507" s="6" t="str">
        <f>IFERROR(__xludf.DUMMYFUNCTION("""COMPUTED_VALUE"""),"SAPPHIRE")</f>
        <v>SAPPHIRE</v>
      </c>
      <c r="D507" s="6" t="str">
        <f>IFERROR(__xludf.DUMMYFUNCTION("""COMPUTED_VALUE"""),"Sapphire Foods India Ltd")</f>
        <v>Sapphire Foods India Ltd</v>
      </c>
      <c r="E507" s="6" t="str">
        <f>IFERROR(__xludf.DUMMYFUNCTION("""COMPUTED_VALUE"""),"Active")</f>
        <v>Active</v>
      </c>
      <c r="F507" s="6" t="str">
        <f>IFERROR(__xludf.DUMMYFUNCTION("""COMPUTED_VALUE"""),"A")</f>
        <v>A</v>
      </c>
      <c r="G507" s="6">
        <f>IFERROR(__xludf.DUMMYFUNCTION("""COMPUTED_VALUE"""),10.0)</f>
        <v>10</v>
      </c>
      <c r="H507" s="6" t="str">
        <f>IFERROR(__xludf.DUMMYFUNCTION("""COMPUTED_VALUE"""),"INE806T01012")</f>
        <v>INE806T01012</v>
      </c>
      <c r="I507" s="6" t="str">
        <f>IFERROR(__xludf.DUMMYFUNCTION("""COMPUTED_VALUE"""),"Equity")</f>
        <v>Equity</v>
      </c>
      <c r="J507" s="6" t="str">
        <f>IFERROR(__xludf.DUMMYFUNCTION("""COMPUTED_VALUE"""),"Consumer Discretionary")</f>
        <v>Consumer Discretionary</v>
      </c>
      <c r="K507" s="6" t="str">
        <f>IFERROR(__xludf.DUMMYFUNCTION("""COMPUTED_VALUE"""),"Consumer Services")</f>
        <v>Consumer Services</v>
      </c>
      <c r="L507" s="6" t="str">
        <f>IFERROR(__xludf.DUMMYFUNCTION("""COMPUTED_VALUE"""),"Leisure Services")</f>
        <v>Leisure Services</v>
      </c>
      <c r="M507" s="6" t="str">
        <f>IFERROR(__xludf.DUMMYFUNCTION("""COMPUTED_VALUE"""),"Restaurants")</f>
        <v>Restaurants</v>
      </c>
      <c r="N507" s="5">
        <f>IFERROR(__xludf.DUMMYFUNCTION("""COMPUTED_VALUE"""),9948.0371518)</f>
        <v>9948.037152</v>
      </c>
      <c r="O507" s="6">
        <f t="shared" si="4"/>
        <v>37</v>
      </c>
      <c r="P507" s="6">
        <f t="shared" ref="P507:Q507" si="1016">COUNTIFS(L:L,L507)</f>
        <v>18</v>
      </c>
      <c r="Q507" s="24">
        <f t="shared" si="1016"/>
        <v>5</v>
      </c>
      <c r="R507" s="6" t="str">
        <f t="shared" si="6"/>
        <v>Leisure Services</v>
      </c>
      <c r="S507" s="6" t="str">
        <f t="shared" si="7"/>
        <v>Leisure Services</v>
      </c>
      <c r="T507" s="6">
        <f>IFERROR(__xludf.DUMMYFUNCTION("COUNTA(UNIQUE(query($A$2:$P$800,""select L where K='""&amp; K507&amp;""'"")))"),3.0)</f>
        <v>3</v>
      </c>
      <c r="U507" s="23">
        <f t="shared" si="8"/>
        <v>0.1216216216</v>
      </c>
      <c r="V507" s="23">
        <f t="shared" ref="V507:W507" si="1017">P507/O507</f>
        <v>0.4864864865</v>
      </c>
      <c r="W507" s="23">
        <f t="shared" si="1017"/>
        <v>0.2777777778</v>
      </c>
    </row>
    <row r="508">
      <c r="A508" s="6">
        <f>IFERROR(__xludf.DUMMYFUNCTION("""COMPUTED_VALUE"""),541578.0)</f>
        <v>541578</v>
      </c>
      <c r="B508" s="6" t="str">
        <f>IFERROR(__xludf.DUMMYFUNCTION("""COMPUTED_VALUE"""),"Varroc Engineering Limited")</f>
        <v>Varroc Engineering Limited</v>
      </c>
      <c r="C508" s="6" t="str">
        <f>IFERROR(__xludf.DUMMYFUNCTION("""COMPUTED_VALUE"""),"VARROC")</f>
        <v>VARROC</v>
      </c>
      <c r="D508" s="6" t="str">
        <f>IFERROR(__xludf.DUMMYFUNCTION("""COMPUTED_VALUE"""),"Varroc Engineering Ltd")</f>
        <v>Varroc Engineering Ltd</v>
      </c>
      <c r="E508" s="6" t="str">
        <f>IFERROR(__xludf.DUMMYFUNCTION("""COMPUTED_VALUE"""),"Active")</f>
        <v>Active</v>
      </c>
      <c r="F508" s="6" t="str">
        <f>IFERROR(__xludf.DUMMYFUNCTION("""COMPUTED_VALUE"""),"A")</f>
        <v>A</v>
      </c>
      <c r="G508" s="6">
        <f>IFERROR(__xludf.DUMMYFUNCTION("""COMPUTED_VALUE"""),1.0)</f>
        <v>1</v>
      </c>
      <c r="H508" s="6" t="str">
        <f>IFERROR(__xludf.DUMMYFUNCTION("""COMPUTED_VALUE"""),"INE665L01035")</f>
        <v>INE665L01035</v>
      </c>
      <c r="I508" s="6" t="str">
        <f>IFERROR(__xludf.DUMMYFUNCTION("""COMPUTED_VALUE"""),"Equity")</f>
        <v>Equity</v>
      </c>
      <c r="J508" s="6" t="str">
        <f>IFERROR(__xludf.DUMMYFUNCTION("""COMPUTED_VALUE"""),"Consumer Discretionary")</f>
        <v>Consumer Discretionary</v>
      </c>
      <c r="K508" s="6" t="str">
        <f>IFERROR(__xludf.DUMMYFUNCTION("""COMPUTED_VALUE"""),"Automobile and Auto Components")</f>
        <v>Automobile and Auto Components</v>
      </c>
      <c r="L508" s="6" t="str">
        <f>IFERROR(__xludf.DUMMYFUNCTION("""COMPUTED_VALUE"""),"Auto Components")</f>
        <v>Auto Components</v>
      </c>
      <c r="M508" s="6" t="str">
        <f>IFERROR(__xludf.DUMMYFUNCTION("""COMPUTED_VALUE"""),"Auto Components &amp; Equipments")</f>
        <v>Auto Components &amp; Equipments</v>
      </c>
      <c r="N508" s="5">
        <f>IFERROR(__xludf.DUMMYFUNCTION("""COMPUTED_VALUE"""),9884.8670181)</f>
        <v>9884.867018</v>
      </c>
      <c r="O508" s="6">
        <f t="shared" si="4"/>
        <v>47</v>
      </c>
      <c r="P508" s="6">
        <f t="shared" ref="P508:Q508" si="1018">COUNTIFS(L:L,L508)</f>
        <v>37</v>
      </c>
      <c r="Q508" s="24">
        <f t="shared" si="1018"/>
        <v>32</v>
      </c>
      <c r="R508" s="6" t="str">
        <f t="shared" si="6"/>
        <v>Automobile and Auto Components</v>
      </c>
      <c r="S508" s="6" t="str">
        <f t="shared" si="7"/>
        <v>Automobile and Auto Components</v>
      </c>
      <c r="T508" s="6">
        <f>IFERROR(__xludf.DUMMYFUNCTION("COUNTA(UNIQUE(query($A$2:$P$800,""select L where K='""&amp; K508&amp;""'"")))"),2.0)</f>
        <v>2</v>
      </c>
      <c r="U508" s="23">
        <f t="shared" si="8"/>
        <v>0.06382978723</v>
      </c>
      <c r="V508" s="23">
        <f t="shared" ref="V508:W508" si="1019">P508/O508</f>
        <v>0.7872340426</v>
      </c>
      <c r="W508" s="23">
        <f t="shared" si="1019"/>
        <v>0.8648648649</v>
      </c>
    </row>
    <row r="509">
      <c r="A509" s="6">
        <f>IFERROR(__xludf.DUMMYFUNCTION("""COMPUTED_VALUE"""),535789.0)</f>
        <v>535789</v>
      </c>
      <c r="B509" s="6" t="str">
        <f>IFERROR(__xludf.DUMMYFUNCTION("""COMPUTED_VALUE"""),"INDIABULLS HOUSING FINANCE LIMITED")</f>
        <v>INDIABULLS HOUSING FINANCE LIMITED</v>
      </c>
      <c r="C509" s="6" t="str">
        <f>IFERROR(__xludf.DUMMYFUNCTION("""COMPUTED_VALUE"""),"IBULHSGFIN")</f>
        <v>IBULHSGFIN</v>
      </c>
      <c r="D509" s="6" t="str">
        <f>IFERROR(__xludf.DUMMYFUNCTION("""COMPUTED_VALUE"""),"Indiabulls Housing Finance Ltd")</f>
        <v>Indiabulls Housing Finance Ltd</v>
      </c>
      <c r="E509" s="6" t="str">
        <f>IFERROR(__xludf.DUMMYFUNCTION("""COMPUTED_VALUE"""),"Active")</f>
        <v>Active</v>
      </c>
      <c r="F509" s="6" t="str">
        <f>IFERROR(__xludf.DUMMYFUNCTION("""COMPUTED_VALUE"""),"A")</f>
        <v>A</v>
      </c>
      <c r="G509" s="6">
        <f>IFERROR(__xludf.DUMMYFUNCTION("""COMPUTED_VALUE"""),2.0)</f>
        <v>2</v>
      </c>
      <c r="H509" s="6" t="str">
        <f>IFERROR(__xludf.DUMMYFUNCTION("""COMPUTED_VALUE"""),"INE148I01020")</f>
        <v>INE148I01020</v>
      </c>
      <c r="I509" s="6" t="str">
        <f>IFERROR(__xludf.DUMMYFUNCTION("""COMPUTED_VALUE"""),"Equity")</f>
        <v>Equity</v>
      </c>
      <c r="J509" s="6" t="str">
        <f>IFERROR(__xludf.DUMMYFUNCTION("""COMPUTED_VALUE"""),"Financial Services")</f>
        <v>Financial Services</v>
      </c>
      <c r="K509" s="6" t="str">
        <f>IFERROR(__xludf.DUMMYFUNCTION("""COMPUTED_VALUE"""),"Financial Services")</f>
        <v>Financial Services</v>
      </c>
      <c r="L509" s="6" t="str">
        <f>IFERROR(__xludf.DUMMYFUNCTION("""COMPUTED_VALUE"""),"Finance")</f>
        <v>Finance</v>
      </c>
      <c r="M509" s="6" t="str">
        <f>IFERROR(__xludf.DUMMYFUNCTION("""COMPUTED_VALUE"""),"Housing Finance Company")</f>
        <v>Housing Finance Company</v>
      </c>
      <c r="N509" s="5">
        <f>IFERROR(__xludf.DUMMYFUNCTION("""COMPUTED_VALUE"""),9836.723187)</f>
        <v>9836.723187</v>
      </c>
      <c r="O509" s="6">
        <f t="shared" si="4"/>
        <v>123</v>
      </c>
      <c r="P509" s="6">
        <f t="shared" ref="P509:Q509" si="1020">COUNTIFS(L:L,L509)</f>
        <v>56</v>
      </c>
      <c r="Q509" s="24">
        <f t="shared" si="1020"/>
        <v>9</v>
      </c>
      <c r="R509" s="6" t="str">
        <f t="shared" si="6"/>
        <v>Finance</v>
      </c>
      <c r="S509" s="6" t="str">
        <f t="shared" si="7"/>
        <v>Finance</v>
      </c>
      <c r="T509" s="6">
        <f>IFERROR(__xludf.DUMMYFUNCTION("COUNTA(UNIQUE(query($A$2:$P$800,""select L where K='""&amp; K509&amp;""'"")))"),5.0)</f>
        <v>5</v>
      </c>
      <c r="U509" s="23">
        <f t="shared" si="8"/>
        <v>0.06097560976</v>
      </c>
      <c r="V509" s="23">
        <f t="shared" ref="V509:W509" si="1021">P509/O509</f>
        <v>0.4552845528</v>
      </c>
      <c r="W509" s="23">
        <f t="shared" si="1021"/>
        <v>0.1607142857</v>
      </c>
    </row>
    <row r="510">
      <c r="A510" s="6">
        <f>IFERROR(__xludf.DUMMYFUNCTION("""COMPUTED_VALUE"""),533095.0)</f>
        <v>533095</v>
      </c>
      <c r="B510" s="6" t="str">
        <f>IFERROR(__xludf.DUMMYFUNCTION("""COMPUTED_VALUE"""),"Bengal &amp; Assam Company Limited")</f>
        <v>Bengal &amp; Assam Company Limited</v>
      </c>
      <c r="C510" s="6" t="str">
        <f>IFERROR(__xludf.DUMMYFUNCTION("""COMPUTED_VALUE"""),"BENGALASM")</f>
        <v>BENGALASM</v>
      </c>
      <c r="D510" s="6" t="str">
        <f>IFERROR(__xludf.DUMMYFUNCTION("""COMPUTED_VALUE"""),"BENGAL &amp; ASSAM COMPANY LTD.")</f>
        <v>BENGAL &amp; ASSAM COMPANY LTD.</v>
      </c>
      <c r="E510" s="6" t="str">
        <f>IFERROR(__xludf.DUMMYFUNCTION("""COMPUTED_VALUE"""),"Active")</f>
        <v>Active</v>
      </c>
      <c r="F510" s="6" t="str">
        <f>IFERROR(__xludf.DUMMYFUNCTION("""COMPUTED_VALUE"""),"B")</f>
        <v>B</v>
      </c>
      <c r="G510" s="6">
        <f>IFERROR(__xludf.DUMMYFUNCTION("""COMPUTED_VALUE"""),10.0)</f>
        <v>10</v>
      </c>
      <c r="H510" s="6" t="str">
        <f>IFERROR(__xludf.DUMMYFUNCTION("""COMPUTED_VALUE"""),"INE083K01017")</f>
        <v>INE083K01017</v>
      </c>
      <c r="I510" s="6" t="str">
        <f>IFERROR(__xludf.DUMMYFUNCTION("""COMPUTED_VALUE"""),"Equity")</f>
        <v>Equity</v>
      </c>
      <c r="J510" s="6" t="str">
        <f>IFERROR(__xludf.DUMMYFUNCTION("""COMPUTED_VALUE"""),"Financial Services")</f>
        <v>Financial Services</v>
      </c>
      <c r="K510" s="6" t="str">
        <f>IFERROR(__xludf.DUMMYFUNCTION("""COMPUTED_VALUE"""),"Financial Services")</f>
        <v>Financial Services</v>
      </c>
      <c r="L510" s="6" t="str">
        <f>IFERROR(__xludf.DUMMYFUNCTION("""COMPUTED_VALUE"""),"Finance")</f>
        <v>Finance</v>
      </c>
      <c r="M510" s="6" t="str">
        <f>IFERROR(__xludf.DUMMYFUNCTION("""COMPUTED_VALUE"""),"Non Banking Financial Company (NBFC)")</f>
        <v>Non Banking Financial Company (NBFC)</v>
      </c>
      <c r="N510" s="5">
        <f>IFERROR(__xludf.DUMMYFUNCTION("""COMPUTED_VALUE"""),9768.9025)</f>
        <v>9768.9025</v>
      </c>
      <c r="O510" s="6">
        <f t="shared" si="4"/>
        <v>123</v>
      </c>
      <c r="P510" s="6">
        <f t="shared" ref="P510:Q510" si="1022">COUNTIFS(L:L,L510)</f>
        <v>56</v>
      </c>
      <c r="Q510" s="24">
        <f t="shared" si="1022"/>
        <v>21</v>
      </c>
      <c r="R510" s="6" t="str">
        <f t="shared" si="6"/>
        <v>Non Banking Financial Company (NBFC)</v>
      </c>
      <c r="S510" s="6" t="str">
        <f t="shared" si="7"/>
        <v>Non Banking Financial Company (NBFC)</v>
      </c>
      <c r="T510" s="6">
        <f>IFERROR(__xludf.DUMMYFUNCTION("COUNTA(UNIQUE(query($A$2:$P$800,""select L where K='""&amp; K510&amp;""'"")))"),5.0)</f>
        <v>5</v>
      </c>
      <c r="U510" s="23">
        <f t="shared" si="8"/>
        <v>0.06097560976</v>
      </c>
      <c r="V510" s="23">
        <f t="shared" ref="V510:W510" si="1023">P510/O510</f>
        <v>0.4552845528</v>
      </c>
      <c r="W510" s="23">
        <f t="shared" si="1023"/>
        <v>0.375</v>
      </c>
    </row>
    <row r="511">
      <c r="A511" s="6">
        <f>IFERROR(__xludf.DUMMYFUNCTION("""COMPUTED_VALUE"""),540935.0)</f>
        <v>540935</v>
      </c>
      <c r="B511" s="6" t="str">
        <f>IFERROR(__xludf.DUMMYFUNCTION("""COMPUTED_VALUE"""),"Galaxy Surfactants Limited")</f>
        <v>Galaxy Surfactants Limited</v>
      </c>
      <c r="C511" s="6" t="str">
        <f>IFERROR(__xludf.DUMMYFUNCTION("""COMPUTED_VALUE"""),"GALAXYSURF")</f>
        <v>GALAXYSURF</v>
      </c>
      <c r="D511" s="6" t="str">
        <f>IFERROR(__xludf.DUMMYFUNCTION("""COMPUTED_VALUE"""),"Galaxy Surfactants Ltd")</f>
        <v>Galaxy Surfactants Ltd</v>
      </c>
      <c r="E511" s="6" t="str">
        <f>IFERROR(__xludf.DUMMYFUNCTION("""COMPUTED_VALUE"""),"Active")</f>
        <v>Active</v>
      </c>
      <c r="F511" s="6" t="str">
        <f>IFERROR(__xludf.DUMMYFUNCTION("""COMPUTED_VALUE"""),"A")</f>
        <v>A</v>
      </c>
      <c r="G511" s="6">
        <f>IFERROR(__xludf.DUMMYFUNCTION("""COMPUTED_VALUE"""),10.0)</f>
        <v>10</v>
      </c>
      <c r="H511" s="6" t="str">
        <f>IFERROR(__xludf.DUMMYFUNCTION("""COMPUTED_VALUE"""),"INE600K01018")</f>
        <v>INE600K01018</v>
      </c>
      <c r="I511" s="6" t="str">
        <f>IFERROR(__xludf.DUMMYFUNCTION("""COMPUTED_VALUE"""),"Equity")</f>
        <v>Equity</v>
      </c>
      <c r="J511" s="6" t="str">
        <f>IFERROR(__xludf.DUMMYFUNCTION("""COMPUTED_VALUE"""),"Commodities")</f>
        <v>Commodities</v>
      </c>
      <c r="K511" s="6" t="str">
        <f>IFERROR(__xludf.DUMMYFUNCTION("""COMPUTED_VALUE"""),"Chemicals")</f>
        <v>Chemicals</v>
      </c>
      <c r="L511" s="6" t="str">
        <f>IFERROR(__xludf.DUMMYFUNCTION("""COMPUTED_VALUE"""),"Chemicals &amp; Petrochemicals")</f>
        <v>Chemicals &amp; Petrochemicals</v>
      </c>
      <c r="M511" s="6" t="str">
        <f>IFERROR(__xludf.DUMMYFUNCTION("""COMPUTED_VALUE"""),"Specialty Chemicals")</f>
        <v>Specialty Chemicals</v>
      </c>
      <c r="N511" s="5">
        <f>IFERROR(__xludf.DUMMYFUNCTION("""COMPUTED_VALUE"""),9710.292766)</f>
        <v>9710.292766</v>
      </c>
      <c r="O511" s="6">
        <f t="shared" si="4"/>
        <v>52</v>
      </c>
      <c r="P511" s="6">
        <f t="shared" ref="P511:Q511" si="1024">COUNTIFS(L:L,L511)</f>
        <v>37</v>
      </c>
      <c r="Q511" s="24">
        <f t="shared" si="1024"/>
        <v>25</v>
      </c>
      <c r="R511" s="6" t="str">
        <f t="shared" si="6"/>
        <v>Chemicals</v>
      </c>
      <c r="S511" s="6" t="str">
        <f t="shared" si="7"/>
        <v>Chemicals</v>
      </c>
      <c r="T511" s="6">
        <f>IFERROR(__xludf.DUMMYFUNCTION("COUNTA(UNIQUE(query($A$2:$P$800,""select L where K='""&amp; K511&amp;""'"")))"),2.0)</f>
        <v>2</v>
      </c>
      <c r="U511" s="23">
        <f t="shared" si="8"/>
        <v>0.05769230769</v>
      </c>
      <c r="V511" s="23">
        <f t="shared" ref="V511:W511" si="1025">P511/O511</f>
        <v>0.7115384615</v>
      </c>
      <c r="W511" s="23">
        <f t="shared" si="1025"/>
        <v>0.6756756757</v>
      </c>
    </row>
    <row r="512">
      <c r="A512" s="6">
        <f>IFERROR(__xludf.DUMMYFUNCTION("""COMPUTED_VALUE"""),500101.0)</f>
        <v>500101</v>
      </c>
      <c r="B512" s="6" t="str">
        <f>IFERROR(__xludf.DUMMYFUNCTION("""COMPUTED_VALUE"""),"Arvind Ltd.")</f>
        <v>Arvind Ltd.</v>
      </c>
      <c r="C512" s="6" t="str">
        <f>IFERROR(__xludf.DUMMYFUNCTION("""COMPUTED_VALUE"""),"ARVIND")</f>
        <v>ARVIND</v>
      </c>
      <c r="D512" s="6" t="str">
        <f>IFERROR(__xludf.DUMMYFUNCTION("""COMPUTED_VALUE"""),"ARVIND LTD.")</f>
        <v>ARVIND LTD.</v>
      </c>
      <c r="E512" s="6" t="str">
        <f>IFERROR(__xludf.DUMMYFUNCTION("""COMPUTED_VALUE"""),"Active")</f>
        <v>Active</v>
      </c>
      <c r="F512" s="6" t="str">
        <f>IFERROR(__xludf.DUMMYFUNCTION("""COMPUTED_VALUE"""),"A")</f>
        <v>A</v>
      </c>
      <c r="G512" s="6">
        <f>IFERROR(__xludf.DUMMYFUNCTION("""COMPUTED_VALUE"""),10.0)</f>
        <v>10</v>
      </c>
      <c r="H512" s="6" t="str">
        <f>IFERROR(__xludf.DUMMYFUNCTION("""COMPUTED_VALUE"""),"INE034A01011")</f>
        <v>INE034A01011</v>
      </c>
      <c r="I512" s="6" t="str">
        <f>IFERROR(__xludf.DUMMYFUNCTION("""COMPUTED_VALUE"""),"Equity")</f>
        <v>Equity</v>
      </c>
      <c r="J512" s="6" t="str">
        <f>IFERROR(__xludf.DUMMYFUNCTION("""COMPUTED_VALUE"""),"Consumer Discretionary")</f>
        <v>Consumer Discretionary</v>
      </c>
      <c r="K512" s="6" t="str">
        <f>IFERROR(__xludf.DUMMYFUNCTION("""COMPUTED_VALUE"""),"Textiles")</f>
        <v>Textiles</v>
      </c>
      <c r="L512" s="6" t="str">
        <f>IFERROR(__xludf.DUMMYFUNCTION("""COMPUTED_VALUE"""),"Textiles &amp; Apparels")</f>
        <v>Textiles &amp; Apparels</v>
      </c>
      <c r="M512" s="6" t="str">
        <f>IFERROR(__xludf.DUMMYFUNCTION("""COMPUTED_VALUE"""),"Garments &amp; Apparels")</f>
        <v>Garments &amp; Apparels</v>
      </c>
      <c r="N512" s="5">
        <f>IFERROR(__xludf.DUMMYFUNCTION("""COMPUTED_VALUE"""),9657.3265518)</f>
        <v>9657.326552</v>
      </c>
      <c r="O512" s="6">
        <f t="shared" si="4"/>
        <v>13</v>
      </c>
      <c r="P512" s="6">
        <f t="shared" ref="P512:Q512" si="1026">COUNTIFS(L:L,L512)</f>
        <v>13</v>
      </c>
      <c r="Q512" s="24">
        <f t="shared" si="1026"/>
        <v>4</v>
      </c>
      <c r="R512" s="6" t="str">
        <f t="shared" si="6"/>
        <v>Textiles</v>
      </c>
      <c r="S512" s="6" t="str">
        <f t="shared" si="7"/>
        <v>Textiles</v>
      </c>
      <c r="T512" s="6">
        <f>IFERROR(__xludf.DUMMYFUNCTION("COUNTA(UNIQUE(query($A$2:$P$800,""select L where K='""&amp; K512&amp;""'"")))"),1.0)</f>
        <v>1</v>
      </c>
      <c r="U512" s="23">
        <f t="shared" si="8"/>
        <v>0.1153846154</v>
      </c>
      <c r="V512" s="23">
        <f t="shared" ref="V512:W512" si="1027">P512/O512</f>
        <v>1</v>
      </c>
      <c r="W512" s="23">
        <f t="shared" si="1027"/>
        <v>0.3076923077</v>
      </c>
    </row>
    <row r="513">
      <c r="A513" s="6">
        <f>IFERROR(__xludf.DUMMYFUNCTION("""COMPUTED_VALUE"""),500690.0)</f>
        <v>500690</v>
      </c>
      <c r="B513" s="6" t="str">
        <f>IFERROR(__xludf.DUMMYFUNCTION("""COMPUTED_VALUE"""),"Gujarat State Fertilizers &amp; Chem.Ltd")</f>
        <v>Gujarat State Fertilizers &amp; Chem.Ltd</v>
      </c>
      <c r="C513" s="6" t="str">
        <f>IFERROR(__xludf.DUMMYFUNCTION("""COMPUTED_VALUE"""),"GSFC")</f>
        <v>GSFC</v>
      </c>
      <c r="D513" s="6" t="str">
        <f>IFERROR(__xludf.DUMMYFUNCTION("""COMPUTED_VALUE"""),"GUJARAT STATE FERTILIZERS &amp; CHEMICALS LTD.")</f>
        <v>GUJARAT STATE FERTILIZERS &amp; CHEMICALS LTD.</v>
      </c>
      <c r="E513" s="6" t="str">
        <f>IFERROR(__xludf.DUMMYFUNCTION("""COMPUTED_VALUE"""),"Active")</f>
        <v>Active</v>
      </c>
      <c r="F513" s="6" t="str">
        <f>IFERROR(__xludf.DUMMYFUNCTION("""COMPUTED_VALUE"""),"A")</f>
        <v>A</v>
      </c>
      <c r="G513" s="6">
        <f>IFERROR(__xludf.DUMMYFUNCTION("""COMPUTED_VALUE"""),2.0)</f>
        <v>2</v>
      </c>
      <c r="H513" s="6" t="str">
        <f>IFERROR(__xludf.DUMMYFUNCTION("""COMPUTED_VALUE"""),"INE026A01025")</f>
        <v>INE026A01025</v>
      </c>
      <c r="I513" s="6" t="str">
        <f>IFERROR(__xludf.DUMMYFUNCTION("""COMPUTED_VALUE"""),"Equity")</f>
        <v>Equity</v>
      </c>
      <c r="J513" s="6" t="str">
        <f>IFERROR(__xludf.DUMMYFUNCTION("""COMPUTED_VALUE"""),"Commodities")</f>
        <v>Commodities</v>
      </c>
      <c r="K513" s="6" t="str">
        <f>IFERROR(__xludf.DUMMYFUNCTION("""COMPUTED_VALUE"""),"Chemicals")</f>
        <v>Chemicals</v>
      </c>
      <c r="L513" s="6" t="str">
        <f>IFERROR(__xludf.DUMMYFUNCTION("""COMPUTED_VALUE"""),"Fertilizers &amp; Agrochemicals")</f>
        <v>Fertilizers &amp; Agrochemicals</v>
      </c>
      <c r="M513" s="6" t="str">
        <f>IFERROR(__xludf.DUMMYFUNCTION("""COMPUTED_VALUE"""),"Fertilizers")</f>
        <v>Fertilizers</v>
      </c>
      <c r="N513" s="5">
        <f>IFERROR(__xludf.DUMMYFUNCTION("""COMPUTED_VALUE"""),9641.7987149)</f>
        <v>9641.798715</v>
      </c>
      <c r="O513" s="6">
        <f t="shared" si="4"/>
        <v>52</v>
      </c>
      <c r="P513" s="6">
        <f t="shared" ref="P513:Q513" si="1028">COUNTIFS(L:L,L513)</f>
        <v>15</v>
      </c>
      <c r="Q513" s="24">
        <f t="shared" si="1028"/>
        <v>8</v>
      </c>
      <c r="R513" s="6" t="str">
        <f t="shared" si="6"/>
        <v>Fertilizers &amp; Agrochemicals</v>
      </c>
      <c r="S513" s="6" t="str">
        <f t="shared" si="7"/>
        <v>Fertilizers &amp; Agrochemicals</v>
      </c>
      <c r="T513" s="6">
        <f>IFERROR(__xludf.DUMMYFUNCTION("COUNTA(UNIQUE(query($A$2:$P$800,""select L where K='""&amp; K513&amp;""'"")))"),2.0)</f>
        <v>2</v>
      </c>
      <c r="U513" s="23">
        <f t="shared" si="8"/>
        <v>0.05769230769</v>
      </c>
      <c r="V513" s="23">
        <f t="shared" ref="V513:W513" si="1029">P513/O513</f>
        <v>0.2884615385</v>
      </c>
      <c r="W513" s="23">
        <f t="shared" si="1029"/>
        <v>0.5333333333</v>
      </c>
    </row>
    <row r="514">
      <c r="A514" s="6">
        <f>IFERROR(__xludf.DUMMYFUNCTION("""COMPUTED_VALUE"""),544129.0)</f>
        <v>544129</v>
      </c>
      <c r="B514" s="6" t="str">
        <f>IFERROR(__xludf.DUMMYFUNCTION("""COMPUTED_VALUE"""),"Juniper Hotels Limited")</f>
        <v>Juniper Hotels Limited</v>
      </c>
      <c r="C514" s="6" t="str">
        <f>IFERROR(__xludf.DUMMYFUNCTION("""COMPUTED_VALUE"""),"JUNIPER")</f>
        <v>JUNIPER</v>
      </c>
      <c r="D514" s="6" t="str">
        <f>IFERROR(__xludf.DUMMYFUNCTION("""COMPUTED_VALUE"""),"Juniper Hotels Ltd")</f>
        <v>Juniper Hotels Ltd</v>
      </c>
      <c r="E514" s="6" t="str">
        <f>IFERROR(__xludf.DUMMYFUNCTION("""COMPUTED_VALUE"""),"Active")</f>
        <v>Active</v>
      </c>
      <c r="F514" s="6" t="str">
        <f>IFERROR(__xludf.DUMMYFUNCTION("""COMPUTED_VALUE"""),"B")</f>
        <v>B</v>
      </c>
      <c r="G514" s="6">
        <f>IFERROR(__xludf.DUMMYFUNCTION("""COMPUTED_VALUE"""),10.0)</f>
        <v>10</v>
      </c>
      <c r="H514" s="6" t="str">
        <f>IFERROR(__xludf.DUMMYFUNCTION("""COMPUTED_VALUE"""),"INE696F01016")</f>
        <v>INE696F01016</v>
      </c>
      <c r="I514" s="6" t="str">
        <f>IFERROR(__xludf.DUMMYFUNCTION("""COMPUTED_VALUE"""),"Equity")</f>
        <v>Equity</v>
      </c>
      <c r="J514" s="6" t="str">
        <f>IFERROR(__xludf.DUMMYFUNCTION("""COMPUTED_VALUE"""),"Consumer Discretionary")</f>
        <v>Consumer Discretionary</v>
      </c>
      <c r="K514" s="6" t="str">
        <f>IFERROR(__xludf.DUMMYFUNCTION("""COMPUTED_VALUE"""),"Consumer Services")</f>
        <v>Consumer Services</v>
      </c>
      <c r="L514" s="6" t="str">
        <f>IFERROR(__xludf.DUMMYFUNCTION("""COMPUTED_VALUE"""),"Leisure Services")</f>
        <v>Leisure Services</v>
      </c>
      <c r="M514" s="6" t="str">
        <f>IFERROR(__xludf.DUMMYFUNCTION("""COMPUTED_VALUE"""),"Hotels &amp; Resorts")</f>
        <v>Hotels &amp; Resorts</v>
      </c>
      <c r="N514" s="5">
        <f>IFERROR(__xludf.DUMMYFUNCTION("""COMPUTED_VALUE"""),9588.6846525)</f>
        <v>9588.684653</v>
      </c>
      <c r="O514" s="6">
        <f t="shared" si="4"/>
        <v>37</v>
      </c>
      <c r="P514" s="6">
        <f t="shared" ref="P514:Q514" si="1030">COUNTIFS(L:L,L514)</f>
        <v>18</v>
      </c>
      <c r="Q514" s="24">
        <f t="shared" si="1030"/>
        <v>7</v>
      </c>
      <c r="R514" s="6" t="str">
        <f t="shared" si="6"/>
        <v>Leisure Services</v>
      </c>
      <c r="S514" s="6" t="str">
        <f t="shared" si="7"/>
        <v>Leisure Services</v>
      </c>
      <c r="T514" s="6">
        <f>IFERROR(__xludf.DUMMYFUNCTION("COUNTA(UNIQUE(query($A$2:$P$800,""select L where K='""&amp; K514&amp;""'"")))"),3.0)</f>
        <v>3</v>
      </c>
      <c r="U514" s="23">
        <f t="shared" si="8"/>
        <v>0.1216216216</v>
      </c>
      <c r="V514" s="23">
        <f t="shared" ref="V514:W514" si="1031">P514/O514</f>
        <v>0.4864864865</v>
      </c>
      <c r="W514" s="23">
        <f t="shared" si="1031"/>
        <v>0.3888888889</v>
      </c>
    </row>
    <row r="515">
      <c r="A515" s="6">
        <f>IFERROR(__xludf.DUMMYFUNCTION("""COMPUTED_VALUE"""),506590.0)</f>
        <v>506590</v>
      </c>
      <c r="B515" s="6" t="str">
        <f>IFERROR(__xludf.DUMMYFUNCTION("""COMPUTED_VALUE"""),"PCBL LIMITED")</f>
        <v>PCBL LIMITED</v>
      </c>
      <c r="C515" s="6" t="str">
        <f>IFERROR(__xludf.DUMMYFUNCTION("""COMPUTED_VALUE"""),"PCBL")</f>
        <v>PCBL</v>
      </c>
      <c r="D515" s="6" t="str">
        <f>IFERROR(__xludf.DUMMYFUNCTION("""COMPUTED_VALUE"""),"PCBL Ltd")</f>
        <v>PCBL Ltd</v>
      </c>
      <c r="E515" s="6" t="str">
        <f>IFERROR(__xludf.DUMMYFUNCTION("""COMPUTED_VALUE"""),"Active")</f>
        <v>Active</v>
      </c>
      <c r="F515" s="6" t="str">
        <f>IFERROR(__xludf.DUMMYFUNCTION("""COMPUTED_VALUE"""),"A")</f>
        <v>A</v>
      </c>
      <c r="G515" s="6">
        <f>IFERROR(__xludf.DUMMYFUNCTION("""COMPUTED_VALUE"""),1.0)</f>
        <v>1</v>
      </c>
      <c r="H515" s="6" t="str">
        <f>IFERROR(__xludf.DUMMYFUNCTION("""COMPUTED_VALUE"""),"INE602A01031")</f>
        <v>INE602A01031</v>
      </c>
      <c r="I515" s="6" t="str">
        <f>IFERROR(__xludf.DUMMYFUNCTION("""COMPUTED_VALUE"""),"Equity")</f>
        <v>Equity</v>
      </c>
      <c r="J515" s="6" t="str">
        <f>IFERROR(__xludf.DUMMYFUNCTION("""COMPUTED_VALUE"""),"Commodities")</f>
        <v>Commodities</v>
      </c>
      <c r="K515" s="6" t="str">
        <f>IFERROR(__xludf.DUMMYFUNCTION("""COMPUTED_VALUE"""),"Chemicals")</f>
        <v>Chemicals</v>
      </c>
      <c r="L515" s="6" t="str">
        <f>IFERROR(__xludf.DUMMYFUNCTION("""COMPUTED_VALUE"""),"Chemicals &amp; Petrochemicals")</f>
        <v>Chemicals &amp; Petrochemicals</v>
      </c>
      <c r="M515" s="6" t="str">
        <f>IFERROR(__xludf.DUMMYFUNCTION("""COMPUTED_VALUE"""),"Carbon Black")</f>
        <v>Carbon Black</v>
      </c>
      <c r="N515" s="5">
        <f>IFERROR(__xludf.DUMMYFUNCTION("""COMPUTED_VALUE"""),9562.010375)</f>
        <v>9562.010375</v>
      </c>
      <c r="O515" s="6">
        <f t="shared" si="4"/>
        <v>52</v>
      </c>
      <c r="P515" s="6">
        <f t="shared" ref="P515:Q515" si="1032">COUNTIFS(L:L,L515)</f>
        <v>37</v>
      </c>
      <c r="Q515" s="24">
        <f t="shared" si="1032"/>
        <v>1</v>
      </c>
      <c r="R515" s="6" t="str">
        <f t="shared" si="6"/>
        <v>Chemicals</v>
      </c>
      <c r="S515" s="6" t="str">
        <f t="shared" si="7"/>
        <v>Chemicals</v>
      </c>
      <c r="T515" s="6">
        <f>IFERROR(__xludf.DUMMYFUNCTION("COUNTA(UNIQUE(query($A$2:$P$800,""select L where K='""&amp; K515&amp;""'"")))"),2.0)</f>
        <v>2</v>
      </c>
      <c r="U515" s="23">
        <f t="shared" si="8"/>
        <v>0.05769230769</v>
      </c>
      <c r="V515" s="23">
        <f t="shared" ref="V515:W515" si="1033">P515/O515</f>
        <v>0.7115384615</v>
      </c>
      <c r="W515" s="23">
        <f t="shared" si="1033"/>
        <v>0.02702702703</v>
      </c>
    </row>
    <row r="516">
      <c r="A516" s="6">
        <f>IFERROR(__xludf.DUMMYFUNCTION("""COMPUTED_VALUE"""),532832.0)</f>
        <v>532832</v>
      </c>
      <c r="B516" s="6" t="str">
        <f>IFERROR(__xludf.DUMMYFUNCTION("""COMPUTED_VALUE"""),"Indiabulls Real Estate Limited")</f>
        <v>Indiabulls Real Estate Limited</v>
      </c>
      <c r="C516" s="6" t="str">
        <f>IFERROR(__xludf.DUMMYFUNCTION("""COMPUTED_VALUE"""),"IBREALEST")</f>
        <v>IBREALEST</v>
      </c>
      <c r="D516" s="6" t="str">
        <f>IFERROR(__xludf.DUMMYFUNCTION("""COMPUTED_VALUE"""),"INDIABULLS REAL ESTATE LTD.")</f>
        <v>INDIABULLS REAL ESTATE LTD.</v>
      </c>
      <c r="E516" s="6" t="str">
        <f>IFERROR(__xludf.DUMMYFUNCTION("""COMPUTED_VALUE"""),"Active")</f>
        <v>Active</v>
      </c>
      <c r="F516" s="6" t="str">
        <f>IFERROR(__xludf.DUMMYFUNCTION("""COMPUTED_VALUE"""),"A")</f>
        <v>A</v>
      </c>
      <c r="G516" s="6">
        <f>IFERROR(__xludf.DUMMYFUNCTION("""COMPUTED_VALUE"""),2.0)</f>
        <v>2</v>
      </c>
      <c r="H516" s="6" t="str">
        <f>IFERROR(__xludf.DUMMYFUNCTION("""COMPUTED_VALUE"""),"INE069I01010")</f>
        <v>INE069I01010</v>
      </c>
      <c r="I516" s="6" t="str">
        <f>IFERROR(__xludf.DUMMYFUNCTION("""COMPUTED_VALUE"""),"Equity")</f>
        <v>Equity</v>
      </c>
      <c r="J516" s="6" t="str">
        <f>IFERROR(__xludf.DUMMYFUNCTION("""COMPUTED_VALUE"""),"Consumer Discretionary")</f>
        <v>Consumer Discretionary</v>
      </c>
      <c r="K516" s="6" t="str">
        <f>IFERROR(__xludf.DUMMYFUNCTION("""COMPUTED_VALUE"""),"Realty")</f>
        <v>Realty</v>
      </c>
      <c r="L516" s="6" t="str">
        <f>IFERROR(__xludf.DUMMYFUNCTION("""COMPUTED_VALUE"""),"Realty")</f>
        <v>Realty</v>
      </c>
      <c r="M516" s="6" t="str">
        <f>IFERROR(__xludf.DUMMYFUNCTION("""COMPUTED_VALUE"""),"Residential, Commercial Projects")</f>
        <v>Residential, Commercial Projects</v>
      </c>
      <c r="N516" s="5">
        <f>IFERROR(__xludf.DUMMYFUNCTION("""COMPUTED_VALUE"""),9488.3048687)</f>
        <v>9488.304869</v>
      </c>
      <c r="O516" s="6">
        <f t="shared" si="4"/>
        <v>20</v>
      </c>
      <c r="P516" s="6">
        <f t="shared" ref="P516:Q516" si="1034">COUNTIFS(L:L,L516)</f>
        <v>20</v>
      </c>
      <c r="Q516" s="24">
        <f t="shared" si="1034"/>
        <v>20</v>
      </c>
      <c r="R516" s="6" t="str">
        <f t="shared" si="6"/>
        <v>Realty</v>
      </c>
      <c r="S516" s="6" t="str">
        <f t="shared" si="7"/>
        <v>Realty</v>
      </c>
      <c r="T516" s="6">
        <f>IFERROR(__xludf.DUMMYFUNCTION("COUNTA(UNIQUE(query($A$2:$P$800,""select L where K='""&amp; K516&amp;""'"")))"),1.0)</f>
        <v>1</v>
      </c>
      <c r="U516" s="23">
        <f t="shared" si="8"/>
        <v>0.075</v>
      </c>
      <c r="V516" s="23">
        <f t="shared" ref="V516:W516" si="1035">P516/O516</f>
        <v>1</v>
      </c>
      <c r="W516" s="23">
        <f t="shared" si="1035"/>
        <v>1</v>
      </c>
    </row>
    <row r="517">
      <c r="A517" s="6">
        <f>IFERROR(__xludf.DUMMYFUNCTION("""COMPUTED_VALUE"""),533033.0)</f>
        <v>533033</v>
      </c>
      <c r="B517" s="6" t="str">
        <f>IFERROR(__xludf.DUMMYFUNCTION("""COMPUTED_VALUE"""),"ISGEC Heavy Engineering Limited")</f>
        <v>ISGEC Heavy Engineering Limited</v>
      </c>
      <c r="C517" s="6" t="str">
        <f>IFERROR(__xludf.DUMMYFUNCTION("""COMPUTED_VALUE"""),"ISGEC")</f>
        <v>ISGEC</v>
      </c>
      <c r="D517" s="6" t="str">
        <f>IFERROR(__xludf.DUMMYFUNCTION("""COMPUTED_VALUE"""),"ISGEC Heavy Engineering Ltd")</f>
        <v>ISGEC Heavy Engineering Ltd</v>
      </c>
      <c r="E517" s="6" t="str">
        <f>IFERROR(__xludf.DUMMYFUNCTION("""COMPUTED_VALUE"""),"Active")</f>
        <v>Active</v>
      </c>
      <c r="F517" s="6" t="str">
        <f>IFERROR(__xludf.DUMMYFUNCTION("""COMPUTED_VALUE"""),"A")</f>
        <v>A</v>
      </c>
      <c r="G517" s="6">
        <f>IFERROR(__xludf.DUMMYFUNCTION("""COMPUTED_VALUE"""),1.0)</f>
        <v>1</v>
      </c>
      <c r="H517" s="6" t="str">
        <f>IFERROR(__xludf.DUMMYFUNCTION("""COMPUTED_VALUE"""),"INE858B01029")</f>
        <v>INE858B01029</v>
      </c>
      <c r="I517" s="6" t="str">
        <f>IFERROR(__xludf.DUMMYFUNCTION("""COMPUTED_VALUE"""),"Equity")</f>
        <v>Equity</v>
      </c>
      <c r="J517" s="6" t="str">
        <f>IFERROR(__xludf.DUMMYFUNCTION("""COMPUTED_VALUE"""),"Industrials")</f>
        <v>Industrials</v>
      </c>
      <c r="K517" s="6" t="str">
        <f>IFERROR(__xludf.DUMMYFUNCTION("""COMPUTED_VALUE"""),"Construction")</f>
        <v>Construction</v>
      </c>
      <c r="L517" s="6" t="str">
        <f>IFERROR(__xludf.DUMMYFUNCTION("""COMPUTED_VALUE"""),"Construction")</f>
        <v>Construction</v>
      </c>
      <c r="M517" s="6" t="str">
        <f>IFERROR(__xludf.DUMMYFUNCTION("""COMPUTED_VALUE"""),"Civil Construction")</f>
        <v>Civil Construction</v>
      </c>
      <c r="N517" s="5">
        <f>IFERROR(__xludf.DUMMYFUNCTION("""COMPUTED_VALUE"""),9455.73048)</f>
        <v>9455.73048</v>
      </c>
      <c r="O517" s="6">
        <f t="shared" si="4"/>
        <v>27</v>
      </c>
      <c r="P517" s="6">
        <f t="shared" ref="P517:Q517" si="1036">COUNTIFS(L:L,L517)</f>
        <v>27</v>
      </c>
      <c r="Q517" s="24">
        <f t="shared" si="1036"/>
        <v>27</v>
      </c>
      <c r="R517" s="6" t="str">
        <f t="shared" si="6"/>
        <v>Construction</v>
      </c>
      <c r="S517" s="6" t="str">
        <f t="shared" si="7"/>
        <v>Construction</v>
      </c>
      <c r="T517" s="6">
        <f>IFERROR(__xludf.DUMMYFUNCTION("COUNTA(UNIQUE(query($A$2:$P$800,""select L where K='""&amp; K517&amp;""'"")))"),1.0)</f>
        <v>1</v>
      </c>
      <c r="U517" s="23">
        <f t="shared" si="8"/>
        <v>0.05555555556</v>
      </c>
      <c r="V517" s="23">
        <f t="shared" ref="V517:W517" si="1037">P517/O517</f>
        <v>1</v>
      </c>
      <c r="W517" s="23">
        <f t="shared" si="1037"/>
        <v>1</v>
      </c>
    </row>
    <row r="518">
      <c r="A518" s="6">
        <f>IFERROR(__xludf.DUMMYFUNCTION("""COMPUTED_VALUE"""),524558.0)</f>
        <v>524558</v>
      </c>
      <c r="B518" s="6" t="str">
        <f>IFERROR(__xludf.DUMMYFUNCTION("""COMPUTED_VALUE"""),"Neuland Laboratories Limited.")</f>
        <v>Neuland Laboratories Limited.</v>
      </c>
      <c r="C518" s="6" t="str">
        <f>IFERROR(__xludf.DUMMYFUNCTION("""COMPUTED_VALUE"""),"NEULANDLAB")</f>
        <v>NEULANDLAB</v>
      </c>
      <c r="D518" s="6" t="str">
        <f>IFERROR(__xludf.DUMMYFUNCTION("""COMPUTED_VALUE"""),"NEULAND LABORATORIES LTD.")</f>
        <v>NEULAND LABORATORIES LTD.</v>
      </c>
      <c r="E518" s="6" t="str">
        <f>IFERROR(__xludf.DUMMYFUNCTION("""COMPUTED_VALUE"""),"Active")</f>
        <v>Active</v>
      </c>
      <c r="F518" s="6" t="str">
        <f>IFERROR(__xludf.DUMMYFUNCTION("""COMPUTED_VALUE"""),"A")</f>
        <v>A</v>
      </c>
      <c r="G518" s="6">
        <f>IFERROR(__xludf.DUMMYFUNCTION("""COMPUTED_VALUE"""),10.0)</f>
        <v>10</v>
      </c>
      <c r="H518" s="6" t="str">
        <f>IFERROR(__xludf.DUMMYFUNCTION("""COMPUTED_VALUE"""),"INE794A01010")</f>
        <v>INE794A01010</v>
      </c>
      <c r="I518" s="6" t="str">
        <f>IFERROR(__xludf.DUMMYFUNCTION("""COMPUTED_VALUE"""),"Equity")</f>
        <v>Equity</v>
      </c>
      <c r="J518" s="6" t="str">
        <f>IFERROR(__xludf.DUMMYFUNCTION("""COMPUTED_VALUE"""),"Healthcare")</f>
        <v>Healthcare</v>
      </c>
      <c r="K518" s="6" t="str">
        <f>IFERROR(__xludf.DUMMYFUNCTION("""COMPUTED_VALUE"""),"Healthcare")</f>
        <v>Healthcare</v>
      </c>
      <c r="L518" s="6" t="str">
        <f>IFERROR(__xludf.DUMMYFUNCTION("""COMPUTED_VALUE"""),"Pharmaceuticals &amp; Biotechnology")</f>
        <v>Pharmaceuticals &amp; Biotechnology</v>
      </c>
      <c r="M518" s="6" t="str">
        <f>IFERROR(__xludf.DUMMYFUNCTION("""COMPUTED_VALUE"""),"Pharmaceuticals")</f>
        <v>Pharmaceuticals</v>
      </c>
      <c r="N518" s="5">
        <f>IFERROR(__xludf.DUMMYFUNCTION("""COMPUTED_VALUE"""),9425.5422)</f>
        <v>9425.5422</v>
      </c>
      <c r="O518" s="6">
        <f t="shared" si="4"/>
        <v>62</v>
      </c>
      <c r="P518" s="6">
        <f t="shared" ref="P518:Q518" si="1038">COUNTIFS(L:L,L518)</f>
        <v>45</v>
      </c>
      <c r="Q518" s="24">
        <f t="shared" si="1038"/>
        <v>45</v>
      </c>
      <c r="R518" s="6" t="str">
        <f t="shared" si="6"/>
        <v>Healthcare</v>
      </c>
      <c r="S518" s="6" t="str">
        <f t="shared" si="7"/>
        <v>Healthcare</v>
      </c>
      <c r="T518" s="6">
        <f>IFERROR(__xludf.DUMMYFUNCTION("COUNTA(UNIQUE(query($A$2:$P$800,""select L where K='""&amp; K518&amp;""'"")))"),3.0)</f>
        <v>3</v>
      </c>
      <c r="U518" s="23">
        <f t="shared" si="8"/>
        <v>0.07258064516</v>
      </c>
      <c r="V518" s="23">
        <f t="shared" ref="V518:W518" si="1039">P518/O518</f>
        <v>0.7258064516</v>
      </c>
      <c r="W518" s="23">
        <f t="shared" si="1039"/>
        <v>1</v>
      </c>
    </row>
    <row r="519">
      <c r="A519" s="6">
        <f>IFERROR(__xludf.DUMMYFUNCTION("""COMPUTED_VALUE"""),533122.0)</f>
        <v>533122</v>
      </c>
      <c r="B519" s="6" t="str">
        <f>IFERROR(__xludf.DUMMYFUNCTION("""COMPUTED_VALUE"""),"RattanIndia Power Limited")</f>
        <v>RattanIndia Power Limited</v>
      </c>
      <c r="C519" s="6" t="str">
        <f>IFERROR(__xludf.DUMMYFUNCTION("""COMPUTED_VALUE"""),"RTNPOWER")</f>
        <v>RTNPOWER</v>
      </c>
      <c r="D519" s="6" t="str">
        <f>IFERROR(__xludf.DUMMYFUNCTION("""COMPUTED_VALUE"""),"RattanIndia Power Limited")</f>
        <v>RattanIndia Power Limited</v>
      </c>
      <c r="E519" s="6" t="str">
        <f>IFERROR(__xludf.DUMMYFUNCTION("""COMPUTED_VALUE"""),"Active")</f>
        <v>Active</v>
      </c>
      <c r="F519" s="6" t="str">
        <f>IFERROR(__xludf.DUMMYFUNCTION("""COMPUTED_VALUE"""),"A")</f>
        <v>A</v>
      </c>
      <c r="G519" s="6">
        <f>IFERROR(__xludf.DUMMYFUNCTION("""COMPUTED_VALUE"""),10.0)</f>
        <v>10</v>
      </c>
      <c r="H519" s="6" t="str">
        <f>IFERROR(__xludf.DUMMYFUNCTION("""COMPUTED_VALUE"""),"INE399K01017")</f>
        <v>INE399K01017</v>
      </c>
      <c r="I519" s="6" t="str">
        <f>IFERROR(__xludf.DUMMYFUNCTION("""COMPUTED_VALUE"""),"Equity")</f>
        <v>Equity</v>
      </c>
      <c r="J519" s="6" t="str">
        <f>IFERROR(__xludf.DUMMYFUNCTION("""COMPUTED_VALUE"""),"Utilities")</f>
        <v>Utilities</v>
      </c>
      <c r="K519" s="6" t="str">
        <f>IFERROR(__xludf.DUMMYFUNCTION("""COMPUTED_VALUE"""),"Power")</f>
        <v>Power</v>
      </c>
      <c r="L519" s="6" t="str">
        <f>IFERROR(__xludf.DUMMYFUNCTION("""COMPUTED_VALUE"""),"Power")</f>
        <v>Power</v>
      </c>
      <c r="M519" s="6" t="str">
        <f>IFERROR(__xludf.DUMMYFUNCTION("""COMPUTED_VALUE"""),"Integrated Power Utilities")</f>
        <v>Integrated Power Utilities</v>
      </c>
      <c r="N519" s="5">
        <f>IFERROR(__xludf.DUMMYFUNCTION("""COMPUTED_VALUE"""),9405.947175)</f>
        <v>9405.947175</v>
      </c>
      <c r="O519" s="6">
        <f t="shared" si="4"/>
        <v>22</v>
      </c>
      <c r="P519" s="6">
        <f t="shared" ref="P519:Q519" si="1040">COUNTIFS(L:L,L519)</f>
        <v>22</v>
      </c>
      <c r="Q519" s="24">
        <f t="shared" si="1040"/>
        <v>6</v>
      </c>
      <c r="R519" s="6" t="str">
        <f t="shared" si="6"/>
        <v>Power</v>
      </c>
      <c r="S519" s="6" t="str">
        <f t="shared" si="7"/>
        <v>Power</v>
      </c>
      <c r="T519" s="6">
        <f>IFERROR(__xludf.DUMMYFUNCTION("COUNTA(UNIQUE(query($A$2:$P$800,""select L where K='""&amp; K519&amp;""'"")))"),1.0)</f>
        <v>1</v>
      </c>
      <c r="U519" s="23">
        <f t="shared" si="8"/>
        <v>0.06818181818</v>
      </c>
      <c r="V519" s="23">
        <f t="shared" ref="V519:W519" si="1041">P519/O519</f>
        <v>1</v>
      </c>
      <c r="W519" s="23">
        <f t="shared" si="1041"/>
        <v>0.2727272727</v>
      </c>
    </row>
    <row r="520">
      <c r="A520" s="6">
        <f>IFERROR(__xludf.DUMMYFUNCTION("""COMPUTED_VALUE"""),500133.0)</f>
        <v>500133</v>
      </c>
      <c r="B520" s="6" t="str">
        <f>IFERROR(__xludf.DUMMYFUNCTION("""COMPUTED_VALUE"""),"Esab India Ltd.")</f>
        <v>Esab India Ltd.</v>
      </c>
      <c r="C520" s="6" t="str">
        <f>IFERROR(__xludf.DUMMYFUNCTION("""COMPUTED_VALUE"""),"ESABINDIA")</f>
        <v>ESABINDIA</v>
      </c>
      <c r="D520" s="6" t="str">
        <f>IFERROR(__xludf.DUMMYFUNCTION("""COMPUTED_VALUE"""),"ESAB INDIA LTD.")</f>
        <v>ESAB INDIA LTD.</v>
      </c>
      <c r="E520" s="6" t="str">
        <f>IFERROR(__xludf.DUMMYFUNCTION("""COMPUTED_VALUE"""),"Active")</f>
        <v>Active</v>
      </c>
      <c r="F520" s="6" t="str">
        <f>IFERROR(__xludf.DUMMYFUNCTION("""COMPUTED_VALUE"""),"A")</f>
        <v>A</v>
      </c>
      <c r="G520" s="6">
        <f>IFERROR(__xludf.DUMMYFUNCTION("""COMPUTED_VALUE"""),10.0)</f>
        <v>10</v>
      </c>
      <c r="H520" s="6" t="str">
        <f>IFERROR(__xludf.DUMMYFUNCTION("""COMPUTED_VALUE"""),"INE284A01012")</f>
        <v>INE284A01012</v>
      </c>
      <c r="I520" s="6" t="str">
        <f>IFERROR(__xludf.DUMMYFUNCTION("""COMPUTED_VALUE"""),"Equity")</f>
        <v>Equity</v>
      </c>
      <c r="J520" s="6" t="str">
        <f>IFERROR(__xludf.DUMMYFUNCTION("""COMPUTED_VALUE"""),"Industrials")</f>
        <v>Industrials</v>
      </c>
      <c r="K520" s="6" t="str">
        <f>IFERROR(__xludf.DUMMYFUNCTION("""COMPUTED_VALUE"""),"Capital Goods")</f>
        <v>Capital Goods</v>
      </c>
      <c r="L520" s="6" t="str">
        <f>IFERROR(__xludf.DUMMYFUNCTION("""COMPUTED_VALUE"""),"Industrial Products")</f>
        <v>Industrial Products</v>
      </c>
      <c r="M520" s="6" t="str">
        <f>IFERROR(__xludf.DUMMYFUNCTION("""COMPUTED_VALUE"""),"Other Industrial Products")</f>
        <v>Other Industrial Products</v>
      </c>
      <c r="N520" s="5">
        <f>IFERROR(__xludf.DUMMYFUNCTION("""COMPUTED_VALUE"""),9318.9517)</f>
        <v>9318.9517</v>
      </c>
      <c r="O520" s="6">
        <f t="shared" si="4"/>
        <v>110</v>
      </c>
      <c r="P520" s="6">
        <f t="shared" ref="P520:Q520" si="1042">COUNTIFS(L:L,L520)</f>
        <v>51</v>
      </c>
      <c r="Q520" s="24">
        <f t="shared" si="1042"/>
        <v>5</v>
      </c>
      <c r="R520" s="6" t="str">
        <f t="shared" si="6"/>
        <v>Industrial Products</v>
      </c>
      <c r="S520" s="6" t="str">
        <f t="shared" si="7"/>
        <v>Industrial Products</v>
      </c>
      <c r="T520" s="6">
        <f>IFERROR(__xludf.DUMMYFUNCTION("COUNTA(UNIQUE(query($A$2:$P$800,""select L where K='""&amp; K520&amp;""'"")))"),5.0)</f>
        <v>5</v>
      </c>
      <c r="U520" s="23">
        <f t="shared" si="8"/>
        <v>0.06818181818</v>
      </c>
      <c r="V520" s="23">
        <f t="shared" ref="V520:W520" si="1043">P520/O520</f>
        <v>0.4636363636</v>
      </c>
      <c r="W520" s="23">
        <f t="shared" si="1043"/>
        <v>0.09803921569</v>
      </c>
    </row>
    <row r="521">
      <c r="A521" s="6">
        <f>IFERROR(__xludf.DUMMYFUNCTION("""COMPUTED_VALUE"""),543482.0)</f>
        <v>543482</v>
      </c>
      <c r="B521" s="6" t="str">
        <f>IFERROR(__xludf.DUMMYFUNCTION("""COMPUTED_VALUE"""),"Eureka Forbes Limited")</f>
        <v>Eureka Forbes Limited</v>
      </c>
      <c r="C521" s="6" t="str">
        <f>IFERROR(__xludf.DUMMYFUNCTION("""COMPUTED_VALUE"""),"EUREKAFORBE")</f>
        <v>EUREKAFORBE</v>
      </c>
      <c r="D521" s="6" t="str">
        <f>IFERROR(__xludf.DUMMYFUNCTION("""COMPUTED_VALUE"""),"Eureka Forbes Ltd")</f>
        <v>Eureka Forbes Ltd</v>
      </c>
      <c r="E521" s="6" t="str">
        <f>IFERROR(__xludf.DUMMYFUNCTION("""COMPUTED_VALUE"""),"Active")</f>
        <v>Active</v>
      </c>
      <c r="F521" s="6" t="str">
        <f>IFERROR(__xludf.DUMMYFUNCTION("""COMPUTED_VALUE"""),"A")</f>
        <v>A</v>
      </c>
      <c r="G521" s="6">
        <f>IFERROR(__xludf.DUMMYFUNCTION("""COMPUTED_VALUE"""),10.0)</f>
        <v>10</v>
      </c>
      <c r="H521" s="6" t="str">
        <f>IFERROR(__xludf.DUMMYFUNCTION("""COMPUTED_VALUE"""),"INE0KCE01017")</f>
        <v>INE0KCE01017</v>
      </c>
      <c r="I521" s="6" t="str">
        <f>IFERROR(__xludf.DUMMYFUNCTION("""COMPUTED_VALUE"""),"Equity")</f>
        <v>Equity</v>
      </c>
      <c r="J521" s="6" t="str">
        <f>IFERROR(__xludf.DUMMYFUNCTION("""COMPUTED_VALUE"""),"Consumer Discretionary")</f>
        <v>Consumer Discretionary</v>
      </c>
      <c r="K521" s="6" t="str">
        <f>IFERROR(__xludf.DUMMYFUNCTION("""COMPUTED_VALUE"""),"Consumer Durables")</f>
        <v>Consumer Durables</v>
      </c>
      <c r="L521" s="6" t="str">
        <f>IFERROR(__xludf.DUMMYFUNCTION("""COMPUTED_VALUE"""),"Consumer Durables")</f>
        <v>Consumer Durables</v>
      </c>
      <c r="M521" s="6" t="str">
        <f>IFERROR(__xludf.DUMMYFUNCTION("""COMPUTED_VALUE"""),"Household Appliances")</f>
        <v>Household Appliances</v>
      </c>
      <c r="N521" s="5">
        <f>IFERROR(__xludf.DUMMYFUNCTION("""COMPUTED_VALUE"""),9259.6231617)</f>
        <v>9259.623162</v>
      </c>
      <c r="O521" s="6">
        <f t="shared" si="4"/>
        <v>42</v>
      </c>
      <c r="P521" s="6">
        <f t="shared" ref="P521:Q521" si="1044">COUNTIFS(L:L,L521)</f>
        <v>42</v>
      </c>
      <c r="Q521" s="24">
        <f t="shared" si="1044"/>
        <v>13</v>
      </c>
      <c r="R521" s="6" t="str">
        <f t="shared" si="6"/>
        <v>Consumer Durables</v>
      </c>
      <c r="S521" s="6" t="str">
        <f t="shared" si="7"/>
        <v>Consumer Durables</v>
      </c>
      <c r="T521" s="6">
        <f>IFERROR(__xludf.DUMMYFUNCTION("COUNTA(UNIQUE(query($A$2:$P$800,""select L where K='""&amp; K521&amp;""'"")))"),1.0)</f>
        <v>1</v>
      </c>
      <c r="U521" s="23">
        <f t="shared" si="8"/>
        <v>0.03571428571</v>
      </c>
      <c r="V521" s="23">
        <f t="shared" ref="V521:W521" si="1045">P521/O521</f>
        <v>1</v>
      </c>
      <c r="W521" s="23">
        <f t="shared" si="1045"/>
        <v>0.3095238095</v>
      </c>
    </row>
    <row r="522">
      <c r="A522" s="6">
        <f>IFERROR(__xludf.DUMMYFUNCTION("""COMPUTED_VALUE"""),500645.0)</f>
        <v>500645</v>
      </c>
      <c r="B522" s="6" t="str">
        <f>IFERROR(__xludf.DUMMYFUNCTION("""COMPUTED_VALUE"""),"Deepak Fertilizers &amp;Petrochemicals")</f>
        <v>Deepak Fertilizers &amp;Petrochemicals</v>
      </c>
      <c r="C522" s="6" t="str">
        <f>IFERROR(__xludf.DUMMYFUNCTION("""COMPUTED_VALUE"""),"DEEPAKFERT")</f>
        <v>DEEPAKFERT</v>
      </c>
      <c r="D522" s="6" t="str">
        <f>IFERROR(__xludf.DUMMYFUNCTION("""COMPUTED_VALUE"""),"DEEPAK FERTILISERS &amp; PETROCHEMICALS CORPORATION LTD.")</f>
        <v>DEEPAK FERTILISERS &amp; PETROCHEMICALS CORPORATION LTD.</v>
      </c>
      <c r="E522" s="6" t="str">
        <f>IFERROR(__xludf.DUMMYFUNCTION("""COMPUTED_VALUE"""),"Active")</f>
        <v>Active</v>
      </c>
      <c r="F522" s="6" t="str">
        <f>IFERROR(__xludf.DUMMYFUNCTION("""COMPUTED_VALUE"""),"A")</f>
        <v>A</v>
      </c>
      <c r="G522" s="6">
        <f>IFERROR(__xludf.DUMMYFUNCTION("""COMPUTED_VALUE"""),10.0)</f>
        <v>10</v>
      </c>
      <c r="H522" s="6" t="str">
        <f>IFERROR(__xludf.DUMMYFUNCTION("""COMPUTED_VALUE"""),"INE501A01019")</f>
        <v>INE501A01019</v>
      </c>
      <c r="I522" s="6" t="str">
        <f>IFERROR(__xludf.DUMMYFUNCTION("""COMPUTED_VALUE"""),"Equity")</f>
        <v>Equity</v>
      </c>
      <c r="J522" s="6" t="str">
        <f>IFERROR(__xludf.DUMMYFUNCTION("""COMPUTED_VALUE"""),"Commodities")</f>
        <v>Commodities</v>
      </c>
      <c r="K522" s="6" t="str">
        <f>IFERROR(__xludf.DUMMYFUNCTION("""COMPUTED_VALUE"""),"Chemicals")</f>
        <v>Chemicals</v>
      </c>
      <c r="L522" s="6" t="str">
        <f>IFERROR(__xludf.DUMMYFUNCTION("""COMPUTED_VALUE"""),"Chemicals &amp; Petrochemicals")</f>
        <v>Chemicals &amp; Petrochemicals</v>
      </c>
      <c r="M522" s="6" t="str">
        <f>IFERROR(__xludf.DUMMYFUNCTION("""COMPUTED_VALUE"""),"Commodity Chemicals")</f>
        <v>Commodity Chemicals</v>
      </c>
      <c r="N522" s="5">
        <f>IFERROR(__xludf.DUMMYFUNCTION("""COMPUTED_VALUE"""),9250.273796)</f>
        <v>9250.273796</v>
      </c>
      <c r="O522" s="6">
        <f t="shared" si="4"/>
        <v>52</v>
      </c>
      <c r="P522" s="6">
        <f t="shared" ref="P522:Q522" si="1046">COUNTIFS(L:L,L522)</f>
        <v>37</v>
      </c>
      <c r="Q522" s="24">
        <f t="shared" si="1046"/>
        <v>6</v>
      </c>
      <c r="R522" s="6" t="str">
        <f t="shared" si="6"/>
        <v>Chemicals</v>
      </c>
      <c r="S522" s="6" t="str">
        <f t="shared" si="7"/>
        <v>Chemicals</v>
      </c>
      <c r="T522" s="6">
        <f>IFERROR(__xludf.DUMMYFUNCTION("COUNTA(UNIQUE(query($A$2:$P$800,""select L where K='""&amp; K522&amp;""'"")))"),2.0)</f>
        <v>2</v>
      </c>
      <c r="U522" s="23">
        <f t="shared" si="8"/>
        <v>0.05769230769</v>
      </c>
      <c r="V522" s="23">
        <f t="shared" ref="V522:W522" si="1047">P522/O522</f>
        <v>0.7115384615</v>
      </c>
      <c r="W522" s="23">
        <f t="shared" si="1047"/>
        <v>0.1621621622</v>
      </c>
    </row>
    <row r="523">
      <c r="A523" s="6">
        <f>IFERROR(__xludf.DUMMYFUNCTION("""COMPUTED_VALUE"""),532468.0)</f>
        <v>532468</v>
      </c>
      <c r="B523" s="6" t="str">
        <f>IFERROR(__xludf.DUMMYFUNCTION("""COMPUTED_VALUE"""),"Kama Holdings Limited")</f>
        <v>Kama Holdings Limited</v>
      </c>
      <c r="C523" s="6" t="str">
        <f>IFERROR(__xludf.DUMMYFUNCTION("""COMPUTED_VALUE"""),"KAMAHOLD")</f>
        <v>KAMAHOLD</v>
      </c>
      <c r="D523" s="6" t="str">
        <f>IFERROR(__xludf.DUMMYFUNCTION("""COMPUTED_VALUE"""),"Kama Holdings Limited-$")</f>
        <v>Kama Holdings Limited-$</v>
      </c>
      <c r="E523" s="6" t="str">
        <f>IFERROR(__xludf.DUMMYFUNCTION("""COMPUTED_VALUE"""),"Active")</f>
        <v>Active</v>
      </c>
      <c r="F523" s="6" t="str">
        <f>IFERROR(__xludf.DUMMYFUNCTION("""COMPUTED_VALUE"""),"A")</f>
        <v>A</v>
      </c>
      <c r="G523" s="6">
        <f>IFERROR(__xludf.DUMMYFUNCTION("""COMPUTED_VALUE"""),10.0)</f>
        <v>10</v>
      </c>
      <c r="H523" s="6" t="str">
        <f>IFERROR(__xludf.DUMMYFUNCTION("""COMPUTED_VALUE"""),"INE411F01010")</f>
        <v>INE411F01010</v>
      </c>
      <c r="I523" s="6" t="str">
        <f>IFERROR(__xludf.DUMMYFUNCTION("""COMPUTED_VALUE"""),"Equity")</f>
        <v>Equity</v>
      </c>
      <c r="J523" s="6" t="str">
        <f>IFERROR(__xludf.DUMMYFUNCTION("""COMPUTED_VALUE"""),"Financial Services")</f>
        <v>Financial Services</v>
      </c>
      <c r="K523" s="6" t="str">
        <f>IFERROR(__xludf.DUMMYFUNCTION("""COMPUTED_VALUE"""),"Financial Services")</f>
        <v>Financial Services</v>
      </c>
      <c r="L523" s="6" t="str">
        <f>IFERROR(__xludf.DUMMYFUNCTION("""COMPUTED_VALUE"""),"Finance")</f>
        <v>Finance</v>
      </c>
      <c r="M523" s="6" t="str">
        <f>IFERROR(__xludf.DUMMYFUNCTION("""COMPUTED_VALUE"""),"Holding Company")</f>
        <v>Holding Company</v>
      </c>
      <c r="N523" s="5">
        <f>IFERROR(__xludf.DUMMYFUNCTION("""COMPUTED_VALUE"""),9229.382448)</f>
        <v>9229.382448</v>
      </c>
      <c r="O523" s="6">
        <f t="shared" si="4"/>
        <v>123</v>
      </c>
      <c r="P523" s="6">
        <f t="shared" ref="P523:Q523" si="1048">COUNTIFS(L:L,L523)</f>
        <v>56</v>
      </c>
      <c r="Q523" s="24">
        <f t="shared" si="1048"/>
        <v>8</v>
      </c>
      <c r="R523" s="6" t="str">
        <f t="shared" si="6"/>
        <v>Finance</v>
      </c>
      <c r="S523" s="6" t="str">
        <f t="shared" si="7"/>
        <v>Finance</v>
      </c>
      <c r="T523" s="6">
        <f>IFERROR(__xludf.DUMMYFUNCTION("COUNTA(UNIQUE(query($A$2:$P$800,""select L where K='""&amp; K523&amp;""'"")))"),5.0)</f>
        <v>5</v>
      </c>
      <c r="U523" s="23">
        <f t="shared" si="8"/>
        <v>0.06097560976</v>
      </c>
      <c r="V523" s="23">
        <f t="shared" ref="V523:W523" si="1049">P523/O523</f>
        <v>0.4552845528</v>
      </c>
      <c r="W523" s="23">
        <f t="shared" si="1049"/>
        <v>0.1428571429</v>
      </c>
    </row>
    <row r="524">
      <c r="A524" s="6">
        <f>IFERROR(__xludf.DUMMYFUNCTION("""COMPUTED_VALUE"""),504882.0)</f>
        <v>504882</v>
      </c>
      <c r="B524" s="6" t="str">
        <f>IFERROR(__xludf.DUMMYFUNCTION("""COMPUTED_VALUE"""),"National Standard (India) Limited")</f>
        <v>National Standard (India) Limited</v>
      </c>
      <c r="C524" s="6" t="str">
        <f>IFERROR(__xludf.DUMMYFUNCTION("""COMPUTED_VALUE"""),"NATIONSTD")</f>
        <v>NATIONSTD</v>
      </c>
      <c r="D524" s="6" t="str">
        <f>IFERROR(__xludf.DUMMYFUNCTION("""COMPUTED_VALUE"""),"NATIONAL STANDARD (INDIA) LTD.")</f>
        <v>NATIONAL STANDARD (INDIA) LTD.</v>
      </c>
      <c r="E524" s="6" t="str">
        <f>IFERROR(__xludf.DUMMYFUNCTION("""COMPUTED_VALUE"""),"Active")</f>
        <v>Active</v>
      </c>
      <c r="F524" s="6" t="str">
        <f>IFERROR(__xludf.DUMMYFUNCTION("""COMPUTED_VALUE"""),"B")</f>
        <v>B</v>
      </c>
      <c r="G524" s="6">
        <f>IFERROR(__xludf.DUMMYFUNCTION("""COMPUTED_VALUE"""),10.0)</f>
        <v>10</v>
      </c>
      <c r="H524" s="6" t="str">
        <f>IFERROR(__xludf.DUMMYFUNCTION("""COMPUTED_VALUE"""),"INE166R01015")</f>
        <v>INE166R01015</v>
      </c>
      <c r="I524" s="6" t="str">
        <f>IFERROR(__xludf.DUMMYFUNCTION("""COMPUTED_VALUE"""),"Equity")</f>
        <v>Equity</v>
      </c>
      <c r="J524" s="6" t="str">
        <f>IFERROR(__xludf.DUMMYFUNCTION("""COMPUTED_VALUE"""),"Consumer Discretionary")</f>
        <v>Consumer Discretionary</v>
      </c>
      <c r="K524" s="6" t="str">
        <f>IFERROR(__xludf.DUMMYFUNCTION("""COMPUTED_VALUE"""),"Realty")</f>
        <v>Realty</v>
      </c>
      <c r="L524" s="6" t="str">
        <f>IFERROR(__xludf.DUMMYFUNCTION("""COMPUTED_VALUE"""),"Realty")</f>
        <v>Realty</v>
      </c>
      <c r="M524" s="6" t="str">
        <f>IFERROR(__xludf.DUMMYFUNCTION("""COMPUTED_VALUE"""),"Residential, Commercial Projects")</f>
        <v>Residential, Commercial Projects</v>
      </c>
      <c r="N524" s="5">
        <f>IFERROR(__xludf.DUMMYFUNCTION("""COMPUTED_VALUE"""),9200.796717)</f>
        <v>9200.796717</v>
      </c>
      <c r="O524" s="6">
        <f t="shared" si="4"/>
        <v>20</v>
      </c>
      <c r="P524" s="6">
        <f t="shared" ref="P524:Q524" si="1050">COUNTIFS(L:L,L524)</f>
        <v>20</v>
      </c>
      <c r="Q524" s="24">
        <f t="shared" si="1050"/>
        <v>20</v>
      </c>
      <c r="R524" s="6" t="str">
        <f t="shared" si="6"/>
        <v>Realty</v>
      </c>
      <c r="S524" s="6" t="str">
        <f t="shared" si="7"/>
        <v>Realty</v>
      </c>
      <c r="T524" s="6">
        <f>IFERROR(__xludf.DUMMYFUNCTION("COUNTA(UNIQUE(query($A$2:$P$800,""select L where K='""&amp; K524&amp;""'"")))"),1.0)</f>
        <v>1</v>
      </c>
      <c r="U524" s="23">
        <f t="shared" si="8"/>
        <v>0.075</v>
      </c>
      <c r="V524" s="23">
        <f t="shared" ref="V524:W524" si="1051">P524/O524</f>
        <v>1</v>
      </c>
      <c r="W524" s="23">
        <f t="shared" si="1051"/>
        <v>1</v>
      </c>
    </row>
    <row r="525">
      <c r="A525" s="6">
        <f>IFERROR(__xludf.DUMMYFUNCTION("""COMPUTED_VALUE"""),532313.0)</f>
        <v>532313</v>
      </c>
      <c r="B525" s="6" t="str">
        <f>IFERROR(__xludf.DUMMYFUNCTION("""COMPUTED_VALUE"""),"Mahindra Lifespace Developers Ltd.")</f>
        <v>Mahindra Lifespace Developers Ltd.</v>
      </c>
      <c r="C525" s="6" t="str">
        <f>IFERROR(__xludf.DUMMYFUNCTION("""COMPUTED_VALUE"""),"MAHLIFE")</f>
        <v>MAHLIFE</v>
      </c>
      <c r="D525" s="6" t="str">
        <f>IFERROR(__xludf.DUMMYFUNCTION("""COMPUTED_VALUE"""),"MAHINDRA LIFESPACE DEVELOPERS LTD.")</f>
        <v>MAHINDRA LIFESPACE DEVELOPERS LTD.</v>
      </c>
      <c r="E525" s="6" t="str">
        <f>IFERROR(__xludf.DUMMYFUNCTION("""COMPUTED_VALUE"""),"Active")</f>
        <v>Active</v>
      </c>
      <c r="F525" s="6" t="str">
        <f>IFERROR(__xludf.DUMMYFUNCTION("""COMPUTED_VALUE"""),"A")</f>
        <v>A</v>
      </c>
      <c r="G525" s="6">
        <f>IFERROR(__xludf.DUMMYFUNCTION("""COMPUTED_VALUE"""),10.0)</f>
        <v>10</v>
      </c>
      <c r="H525" s="6" t="str">
        <f>IFERROR(__xludf.DUMMYFUNCTION("""COMPUTED_VALUE"""),"INE813A01018")</f>
        <v>INE813A01018</v>
      </c>
      <c r="I525" s="6" t="str">
        <f>IFERROR(__xludf.DUMMYFUNCTION("""COMPUTED_VALUE"""),"Equity")</f>
        <v>Equity</v>
      </c>
      <c r="J525" s="6" t="str">
        <f>IFERROR(__xludf.DUMMYFUNCTION("""COMPUTED_VALUE"""),"Consumer Discretionary")</f>
        <v>Consumer Discretionary</v>
      </c>
      <c r="K525" s="6" t="str">
        <f>IFERROR(__xludf.DUMMYFUNCTION("""COMPUTED_VALUE"""),"Realty")</f>
        <v>Realty</v>
      </c>
      <c r="L525" s="6" t="str">
        <f>IFERROR(__xludf.DUMMYFUNCTION("""COMPUTED_VALUE"""),"Realty")</f>
        <v>Realty</v>
      </c>
      <c r="M525" s="6" t="str">
        <f>IFERROR(__xludf.DUMMYFUNCTION("""COMPUTED_VALUE"""),"Residential, Commercial Projects")</f>
        <v>Residential, Commercial Projects</v>
      </c>
      <c r="N525" s="5">
        <f>IFERROR(__xludf.DUMMYFUNCTION("""COMPUTED_VALUE"""),9192.0212617)</f>
        <v>9192.021262</v>
      </c>
      <c r="O525" s="6">
        <f t="shared" si="4"/>
        <v>20</v>
      </c>
      <c r="P525" s="6">
        <f t="shared" ref="P525:Q525" si="1052">COUNTIFS(L:L,L525)</f>
        <v>20</v>
      </c>
      <c r="Q525" s="24">
        <f t="shared" si="1052"/>
        <v>20</v>
      </c>
      <c r="R525" s="6" t="str">
        <f t="shared" si="6"/>
        <v>Realty</v>
      </c>
      <c r="S525" s="6" t="str">
        <f t="shared" si="7"/>
        <v>Realty</v>
      </c>
      <c r="T525" s="6">
        <f>IFERROR(__xludf.DUMMYFUNCTION("COUNTA(UNIQUE(query($A$2:$P$800,""select L where K='""&amp; K525&amp;""'"")))"),1.0)</f>
        <v>1</v>
      </c>
      <c r="U525" s="23">
        <f t="shared" si="8"/>
        <v>0.075</v>
      </c>
      <c r="V525" s="23">
        <f t="shared" ref="V525:W525" si="1053">P525/O525</f>
        <v>1</v>
      </c>
      <c r="W525" s="23">
        <f t="shared" si="1053"/>
        <v>1</v>
      </c>
    </row>
    <row r="526">
      <c r="A526" s="6">
        <f>IFERROR(__xludf.DUMMYFUNCTION("""COMPUTED_VALUE"""),509496.0)</f>
        <v>509496</v>
      </c>
      <c r="B526" s="6" t="str">
        <f>IFERROR(__xludf.DUMMYFUNCTION("""COMPUTED_VALUE"""),"ITD Cementation India Ltd")</f>
        <v>ITD Cementation India Ltd</v>
      </c>
      <c r="C526" s="6" t="str">
        <f>IFERROR(__xludf.DUMMYFUNCTION("""COMPUTED_VALUE"""),"ITDCEM")</f>
        <v>ITDCEM</v>
      </c>
      <c r="D526" s="6" t="str">
        <f>IFERROR(__xludf.DUMMYFUNCTION("""COMPUTED_VALUE"""),"ITD CEMENTATION INDIA LTD.")</f>
        <v>ITD CEMENTATION INDIA LTD.</v>
      </c>
      <c r="E526" s="6" t="str">
        <f>IFERROR(__xludf.DUMMYFUNCTION("""COMPUTED_VALUE"""),"Active")</f>
        <v>Active</v>
      </c>
      <c r="F526" s="6" t="str">
        <f>IFERROR(__xludf.DUMMYFUNCTION("""COMPUTED_VALUE"""),"A")</f>
        <v>A</v>
      </c>
      <c r="G526" s="6">
        <f>IFERROR(__xludf.DUMMYFUNCTION("""COMPUTED_VALUE"""),1.0)</f>
        <v>1</v>
      </c>
      <c r="H526" s="6" t="str">
        <f>IFERROR(__xludf.DUMMYFUNCTION("""COMPUTED_VALUE"""),"INE686A01026")</f>
        <v>INE686A01026</v>
      </c>
      <c r="I526" s="6" t="str">
        <f>IFERROR(__xludf.DUMMYFUNCTION("""COMPUTED_VALUE"""),"Equity")</f>
        <v>Equity</v>
      </c>
      <c r="J526" s="6" t="str">
        <f>IFERROR(__xludf.DUMMYFUNCTION("""COMPUTED_VALUE"""),"Industrials")</f>
        <v>Industrials</v>
      </c>
      <c r="K526" s="6" t="str">
        <f>IFERROR(__xludf.DUMMYFUNCTION("""COMPUTED_VALUE"""),"Construction")</f>
        <v>Construction</v>
      </c>
      <c r="L526" s="6" t="str">
        <f>IFERROR(__xludf.DUMMYFUNCTION("""COMPUTED_VALUE"""),"Construction")</f>
        <v>Construction</v>
      </c>
      <c r="M526" s="6" t="str">
        <f>IFERROR(__xludf.DUMMYFUNCTION("""COMPUTED_VALUE"""),"Civil Construction")</f>
        <v>Civil Construction</v>
      </c>
      <c r="N526" s="5">
        <f>IFERROR(__xludf.DUMMYFUNCTION("""COMPUTED_VALUE"""),9158.1210409)</f>
        <v>9158.121041</v>
      </c>
      <c r="O526" s="6">
        <f t="shared" si="4"/>
        <v>27</v>
      </c>
      <c r="P526" s="6">
        <f t="shared" ref="P526:Q526" si="1054">COUNTIFS(L:L,L526)</f>
        <v>27</v>
      </c>
      <c r="Q526" s="24">
        <f t="shared" si="1054"/>
        <v>27</v>
      </c>
      <c r="R526" s="6" t="str">
        <f t="shared" si="6"/>
        <v>Construction</v>
      </c>
      <c r="S526" s="6" t="str">
        <f t="shared" si="7"/>
        <v>Construction</v>
      </c>
      <c r="T526" s="6">
        <f>IFERROR(__xludf.DUMMYFUNCTION("COUNTA(UNIQUE(query($A$2:$P$800,""select L where K='""&amp; K526&amp;""'"")))"),1.0)</f>
        <v>1</v>
      </c>
      <c r="U526" s="23">
        <f t="shared" si="8"/>
        <v>0.05555555556</v>
      </c>
      <c r="V526" s="23">
        <f t="shared" ref="V526:W526" si="1055">P526/O526</f>
        <v>1</v>
      </c>
      <c r="W526" s="23">
        <f t="shared" si="1055"/>
        <v>1</v>
      </c>
    </row>
    <row r="527">
      <c r="A527" s="6">
        <f>IFERROR(__xludf.DUMMYFUNCTION("""COMPUTED_VALUE"""),533088.0)</f>
        <v>533088</v>
      </c>
      <c r="B527" s="6" t="str">
        <f>IFERROR(__xludf.DUMMYFUNCTION("""COMPUTED_VALUE"""),"Mahindra Holidays &amp; Resorts India Limited")</f>
        <v>Mahindra Holidays &amp; Resorts India Limited</v>
      </c>
      <c r="C527" s="6" t="str">
        <f>IFERROR(__xludf.DUMMYFUNCTION("""COMPUTED_VALUE"""),"MHRIL")</f>
        <v>MHRIL</v>
      </c>
      <c r="D527" s="6" t="str">
        <f>IFERROR(__xludf.DUMMYFUNCTION("""COMPUTED_VALUE"""),"MAHINDRA HOLIDAYS &amp; RESORTS INDIA LTD.")</f>
        <v>MAHINDRA HOLIDAYS &amp; RESORTS INDIA LTD.</v>
      </c>
      <c r="E527" s="6" t="str">
        <f>IFERROR(__xludf.DUMMYFUNCTION("""COMPUTED_VALUE"""),"Active")</f>
        <v>Active</v>
      </c>
      <c r="F527" s="6" t="str">
        <f>IFERROR(__xludf.DUMMYFUNCTION("""COMPUTED_VALUE"""),"A")</f>
        <v>A</v>
      </c>
      <c r="G527" s="6">
        <f>IFERROR(__xludf.DUMMYFUNCTION("""COMPUTED_VALUE"""),10.0)</f>
        <v>10</v>
      </c>
      <c r="H527" s="6" t="str">
        <f>IFERROR(__xludf.DUMMYFUNCTION("""COMPUTED_VALUE"""),"INE998I01010")</f>
        <v>INE998I01010</v>
      </c>
      <c r="I527" s="6" t="str">
        <f>IFERROR(__xludf.DUMMYFUNCTION("""COMPUTED_VALUE"""),"Equity")</f>
        <v>Equity</v>
      </c>
      <c r="J527" s="6" t="str">
        <f>IFERROR(__xludf.DUMMYFUNCTION("""COMPUTED_VALUE"""),"Consumer Discretionary")</f>
        <v>Consumer Discretionary</v>
      </c>
      <c r="K527" s="6" t="str">
        <f>IFERROR(__xludf.DUMMYFUNCTION("""COMPUTED_VALUE"""),"Consumer Services")</f>
        <v>Consumer Services</v>
      </c>
      <c r="L527" s="6" t="str">
        <f>IFERROR(__xludf.DUMMYFUNCTION("""COMPUTED_VALUE"""),"Leisure Services")</f>
        <v>Leisure Services</v>
      </c>
      <c r="M527" s="6" t="str">
        <f>IFERROR(__xludf.DUMMYFUNCTION("""COMPUTED_VALUE"""),"Hotels &amp; Resorts")</f>
        <v>Hotels &amp; Resorts</v>
      </c>
      <c r="N527" s="5">
        <f>IFERROR(__xludf.DUMMYFUNCTION("""COMPUTED_VALUE"""),9121.3620705)</f>
        <v>9121.362071</v>
      </c>
      <c r="O527" s="6">
        <f t="shared" si="4"/>
        <v>37</v>
      </c>
      <c r="P527" s="6">
        <f t="shared" ref="P527:Q527" si="1056">COUNTIFS(L:L,L527)</f>
        <v>18</v>
      </c>
      <c r="Q527" s="24">
        <f t="shared" si="1056"/>
        <v>7</v>
      </c>
      <c r="R527" s="6" t="str">
        <f t="shared" si="6"/>
        <v>Leisure Services</v>
      </c>
      <c r="S527" s="6" t="str">
        <f t="shared" si="7"/>
        <v>Leisure Services</v>
      </c>
      <c r="T527" s="6">
        <f>IFERROR(__xludf.DUMMYFUNCTION("COUNTA(UNIQUE(query($A$2:$P$800,""select L where K='""&amp; K527&amp;""'"")))"),3.0)</f>
        <v>3</v>
      </c>
      <c r="U527" s="23">
        <f t="shared" si="8"/>
        <v>0.1216216216</v>
      </c>
      <c r="V527" s="23">
        <f t="shared" ref="V527:W527" si="1057">P527/O527</f>
        <v>0.4864864865</v>
      </c>
      <c r="W527" s="23">
        <f t="shared" si="1057"/>
        <v>0.3888888889</v>
      </c>
    </row>
    <row r="528">
      <c r="A528" s="6">
        <f>IFERROR(__xludf.DUMMYFUNCTION("""COMPUTED_VALUE"""),530005.0)</f>
        <v>530005</v>
      </c>
      <c r="B528" s="6" t="str">
        <f>IFERROR(__xludf.DUMMYFUNCTION("""COMPUTED_VALUE"""),"India Cements Ltd.")</f>
        <v>India Cements Ltd.</v>
      </c>
      <c r="C528" s="6" t="str">
        <f>IFERROR(__xludf.DUMMYFUNCTION("""COMPUTED_VALUE"""),"INDIACEM")</f>
        <v>INDIACEM</v>
      </c>
      <c r="D528" s="6" t="str">
        <f>IFERROR(__xludf.DUMMYFUNCTION("""COMPUTED_VALUE"""),"INDIA CEMENTS LTD.")</f>
        <v>INDIA CEMENTS LTD.</v>
      </c>
      <c r="E528" s="6" t="str">
        <f>IFERROR(__xludf.DUMMYFUNCTION("""COMPUTED_VALUE"""),"Active")</f>
        <v>Active</v>
      </c>
      <c r="F528" s="6" t="str">
        <f>IFERROR(__xludf.DUMMYFUNCTION("""COMPUTED_VALUE"""),"A")</f>
        <v>A</v>
      </c>
      <c r="G528" s="6">
        <f>IFERROR(__xludf.DUMMYFUNCTION("""COMPUTED_VALUE"""),10.0)</f>
        <v>10</v>
      </c>
      <c r="H528" s="6" t="str">
        <f>IFERROR(__xludf.DUMMYFUNCTION("""COMPUTED_VALUE"""),"INE383A01012")</f>
        <v>INE383A01012</v>
      </c>
      <c r="I528" s="6" t="str">
        <f>IFERROR(__xludf.DUMMYFUNCTION("""COMPUTED_VALUE"""),"Equity")</f>
        <v>Equity</v>
      </c>
      <c r="J528" s="6" t="str">
        <f>IFERROR(__xludf.DUMMYFUNCTION("""COMPUTED_VALUE"""),"Commodities")</f>
        <v>Commodities</v>
      </c>
      <c r="K528" s="6" t="str">
        <f>IFERROR(__xludf.DUMMYFUNCTION("""COMPUTED_VALUE"""),"Construction Materials")</f>
        <v>Construction Materials</v>
      </c>
      <c r="L528" s="6" t="str">
        <f>IFERROR(__xludf.DUMMYFUNCTION("""COMPUTED_VALUE"""),"Cement &amp; Cement Products")</f>
        <v>Cement &amp; Cement Products</v>
      </c>
      <c r="M528" s="6" t="str">
        <f>IFERROR(__xludf.DUMMYFUNCTION("""COMPUTED_VALUE"""),"Cement &amp; Cement Products")</f>
        <v>Cement &amp; Cement Products</v>
      </c>
      <c r="N528" s="5">
        <f>IFERROR(__xludf.DUMMYFUNCTION("""COMPUTED_VALUE"""),9083.1853165)</f>
        <v>9083.185317</v>
      </c>
      <c r="O528" s="6">
        <f t="shared" si="4"/>
        <v>17</v>
      </c>
      <c r="P528" s="6">
        <f t="shared" ref="P528:Q528" si="1058">COUNTIFS(L:L,L528)</f>
        <v>17</v>
      </c>
      <c r="Q528" s="24">
        <f t="shared" si="1058"/>
        <v>17</v>
      </c>
      <c r="R528" s="6" t="str">
        <f t="shared" si="6"/>
        <v>Construction Materials</v>
      </c>
      <c r="S528" s="6" t="str">
        <f t="shared" si="7"/>
        <v>Construction Materials</v>
      </c>
      <c r="T528" s="6">
        <f>IFERROR(__xludf.DUMMYFUNCTION("COUNTA(UNIQUE(query($A$2:$P$800,""select L where K='""&amp; K528&amp;""'"")))"),1.0)</f>
        <v>1</v>
      </c>
      <c r="U528" s="23">
        <f t="shared" si="8"/>
        <v>0.08823529412</v>
      </c>
      <c r="V528" s="23">
        <f t="shared" ref="V528:W528" si="1059">P528/O528</f>
        <v>1</v>
      </c>
      <c r="W528" s="23">
        <f t="shared" si="1059"/>
        <v>1</v>
      </c>
    </row>
    <row r="529">
      <c r="A529" s="6">
        <f>IFERROR(__xludf.DUMMYFUNCTION("""COMPUTED_VALUE"""),533581.0)</f>
        <v>533581</v>
      </c>
      <c r="B529" s="6" t="str">
        <f>IFERROR(__xludf.DUMMYFUNCTION("""COMPUTED_VALUE"""),"PG Electroplast Limited")</f>
        <v>PG Electroplast Limited</v>
      </c>
      <c r="C529" s="6" t="str">
        <f>IFERROR(__xludf.DUMMYFUNCTION("""COMPUTED_VALUE"""),"PGEL")</f>
        <v>PGEL</v>
      </c>
      <c r="D529" s="6" t="str">
        <f>IFERROR(__xludf.DUMMYFUNCTION("""COMPUTED_VALUE"""),"PG ELECTROPLAST LTD.")</f>
        <v>PG ELECTROPLAST LTD.</v>
      </c>
      <c r="E529" s="6" t="str">
        <f>IFERROR(__xludf.DUMMYFUNCTION("""COMPUTED_VALUE"""),"Active")</f>
        <v>Active</v>
      </c>
      <c r="F529" s="6" t="str">
        <f>IFERROR(__xludf.DUMMYFUNCTION("""COMPUTED_VALUE"""),"A")</f>
        <v>A</v>
      </c>
      <c r="G529" s="6">
        <f>IFERROR(__xludf.DUMMYFUNCTION("""COMPUTED_VALUE"""),10.0)</f>
        <v>10</v>
      </c>
      <c r="H529" s="6" t="str">
        <f>IFERROR(__xludf.DUMMYFUNCTION("""COMPUTED_VALUE"""),"INE457L01011")</f>
        <v>INE457L01011</v>
      </c>
      <c r="I529" s="6" t="str">
        <f>IFERROR(__xludf.DUMMYFUNCTION("""COMPUTED_VALUE"""),"Equity")</f>
        <v>Equity</v>
      </c>
      <c r="J529" s="6" t="str">
        <f>IFERROR(__xludf.DUMMYFUNCTION("""COMPUTED_VALUE"""),"Consumer Discretionary")</f>
        <v>Consumer Discretionary</v>
      </c>
      <c r="K529" s="6" t="str">
        <f>IFERROR(__xludf.DUMMYFUNCTION("""COMPUTED_VALUE"""),"Consumer Durables")</f>
        <v>Consumer Durables</v>
      </c>
      <c r="L529" s="6" t="str">
        <f>IFERROR(__xludf.DUMMYFUNCTION("""COMPUTED_VALUE"""),"Consumer Durables")</f>
        <v>Consumer Durables</v>
      </c>
      <c r="M529" s="6" t="str">
        <f>IFERROR(__xludf.DUMMYFUNCTION("""COMPUTED_VALUE"""),"Consumer Electronics")</f>
        <v>Consumer Electronics</v>
      </c>
      <c r="N529" s="5">
        <f>IFERROR(__xludf.DUMMYFUNCTION("""COMPUTED_VALUE"""),9037.8045746)</f>
        <v>9037.804575</v>
      </c>
      <c r="O529" s="6">
        <f t="shared" si="4"/>
        <v>42</v>
      </c>
      <c r="P529" s="6">
        <f t="shared" ref="P529:Q529" si="1060">COUNTIFS(L:L,L529)</f>
        <v>42</v>
      </c>
      <c r="Q529" s="24">
        <f t="shared" si="1060"/>
        <v>3</v>
      </c>
      <c r="R529" s="6" t="str">
        <f t="shared" si="6"/>
        <v>Consumer Durables</v>
      </c>
      <c r="S529" s="6" t="str">
        <f t="shared" si="7"/>
        <v>Consumer Durables</v>
      </c>
      <c r="T529" s="6">
        <f>IFERROR(__xludf.DUMMYFUNCTION("COUNTA(UNIQUE(query($A$2:$P$800,""select L where K='""&amp; K529&amp;""'"")))"),1.0)</f>
        <v>1</v>
      </c>
      <c r="U529" s="23">
        <f t="shared" si="8"/>
        <v>0.03571428571</v>
      </c>
      <c r="V529" s="23">
        <f t="shared" ref="V529:W529" si="1061">P529/O529</f>
        <v>1</v>
      </c>
      <c r="W529" s="23">
        <f t="shared" si="1061"/>
        <v>0.07142857143</v>
      </c>
    </row>
    <row r="530">
      <c r="A530" s="6">
        <f>IFERROR(__xludf.DUMMYFUNCTION("""COMPUTED_VALUE"""),505509.0)</f>
        <v>505509</v>
      </c>
      <c r="B530" s="6" t="str">
        <f>IFERROR(__xludf.DUMMYFUNCTION("""COMPUTED_VALUE"""),"Responsive Industries Ltd")</f>
        <v>Responsive Industries Ltd</v>
      </c>
      <c r="C530" s="6" t="str">
        <f>IFERROR(__xludf.DUMMYFUNCTION("""COMPUTED_VALUE"""),"RESPONIND")</f>
        <v>RESPONIND</v>
      </c>
      <c r="D530" s="6" t="str">
        <f>IFERROR(__xludf.DUMMYFUNCTION("""COMPUTED_VALUE"""),"RESPONSIVE INDUSTRIES LTD.")</f>
        <v>RESPONSIVE INDUSTRIES LTD.</v>
      </c>
      <c r="E530" s="6" t="str">
        <f>IFERROR(__xludf.DUMMYFUNCTION("""COMPUTED_VALUE"""),"Active")</f>
        <v>Active</v>
      </c>
      <c r="F530" s="6" t="str">
        <f>IFERROR(__xludf.DUMMYFUNCTION("""COMPUTED_VALUE"""),"B")</f>
        <v>B</v>
      </c>
      <c r="G530" s="6">
        <f>IFERROR(__xludf.DUMMYFUNCTION("""COMPUTED_VALUE"""),1.0)</f>
        <v>1</v>
      </c>
      <c r="H530" s="6" t="str">
        <f>IFERROR(__xludf.DUMMYFUNCTION("""COMPUTED_VALUE"""),"INE688D01026")</f>
        <v>INE688D01026</v>
      </c>
      <c r="I530" s="6" t="str">
        <f>IFERROR(__xludf.DUMMYFUNCTION("""COMPUTED_VALUE"""),"Equity")</f>
        <v>Equity</v>
      </c>
      <c r="J530" s="6" t="str">
        <f>IFERROR(__xludf.DUMMYFUNCTION("""COMPUTED_VALUE"""),"Consumer Discretionary")</f>
        <v>Consumer Discretionary</v>
      </c>
      <c r="K530" s="6" t="str">
        <f>IFERROR(__xludf.DUMMYFUNCTION("""COMPUTED_VALUE"""),"Consumer Durables")</f>
        <v>Consumer Durables</v>
      </c>
      <c r="L530" s="6" t="str">
        <f>IFERROR(__xludf.DUMMYFUNCTION("""COMPUTED_VALUE"""),"Consumer Durables")</f>
        <v>Consumer Durables</v>
      </c>
      <c r="M530" s="6" t="str">
        <f>IFERROR(__xludf.DUMMYFUNCTION("""COMPUTED_VALUE"""),"Furniture, Home Furnishing")</f>
        <v>Furniture, Home Furnishing</v>
      </c>
      <c r="N530" s="5">
        <f>IFERROR(__xludf.DUMMYFUNCTION("""COMPUTED_VALUE"""),9029.9818277)</f>
        <v>9029.981828</v>
      </c>
      <c r="O530" s="6">
        <f t="shared" si="4"/>
        <v>42</v>
      </c>
      <c r="P530" s="6">
        <f t="shared" ref="P530:Q530" si="1062">COUNTIFS(L:L,L530)</f>
        <v>42</v>
      </c>
      <c r="Q530" s="24">
        <f t="shared" si="1062"/>
        <v>2</v>
      </c>
      <c r="R530" s="6" t="str">
        <f t="shared" si="6"/>
        <v>Consumer Durables</v>
      </c>
      <c r="S530" s="6" t="str">
        <f t="shared" si="7"/>
        <v>Consumer Durables</v>
      </c>
      <c r="T530" s="6">
        <f>IFERROR(__xludf.DUMMYFUNCTION("COUNTA(UNIQUE(query($A$2:$P$800,""select L where K='""&amp; K530&amp;""'"")))"),1.0)</f>
        <v>1</v>
      </c>
      <c r="U530" s="23">
        <f t="shared" si="8"/>
        <v>0.03571428571</v>
      </c>
      <c r="V530" s="23">
        <f t="shared" ref="V530:W530" si="1063">P530/O530</f>
        <v>1</v>
      </c>
      <c r="W530" s="23">
        <f t="shared" si="1063"/>
        <v>0.04761904762</v>
      </c>
    </row>
    <row r="531">
      <c r="A531" s="6">
        <f>IFERROR(__xludf.DUMMYFUNCTION("""COMPUTED_VALUE"""),543259.0)</f>
        <v>543259</v>
      </c>
      <c r="B531" s="6" t="str">
        <f>IFERROR(__xludf.DUMMYFUNCTION("""COMPUTED_VALUE"""),"Home First Finance Company India Limited")</f>
        <v>Home First Finance Company India Limited</v>
      </c>
      <c r="C531" s="6" t="str">
        <f>IFERROR(__xludf.DUMMYFUNCTION("""COMPUTED_VALUE"""),"HOMEFIRST")</f>
        <v>HOMEFIRST</v>
      </c>
      <c r="D531" s="6" t="str">
        <f>IFERROR(__xludf.DUMMYFUNCTION("""COMPUTED_VALUE"""),"Home First Finance Company India Ltd")</f>
        <v>Home First Finance Company India Ltd</v>
      </c>
      <c r="E531" s="6" t="str">
        <f>IFERROR(__xludf.DUMMYFUNCTION("""COMPUTED_VALUE"""),"Active")</f>
        <v>Active</v>
      </c>
      <c r="F531" s="6" t="str">
        <f>IFERROR(__xludf.DUMMYFUNCTION("""COMPUTED_VALUE"""),"A")</f>
        <v>A</v>
      </c>
      <c r="G531" s="6">
        <f>IFERROR(__xludf.DUMMYFUNCTION("""COMPUTED_VALUE"""),2.0)</f>
        <v>2</v>
      </c>
      <c r="H531" s="6" t="str">
        <f>IFERROR(__xludf.DUMMYFUNCTION("""COMPUTED_VALUE"""),"INE481N01025")</f>
        <v>INE481N01025</v>
      </c>
      <c r="I531" s="6" t="str">
        <f>IFERROR(__xludf.DUMMYFUNCTION("""COMPUTED_VALUE"""),"Equity")</f>
        <v>Equity</v>
      </c>
      <c r="J531" s="6" t="str">
        <f>IFERROR(__xludf.DUMMYFUNCTION("""COMPUTED_VALUE"""),"Financial Services")</f>
        <v>Financial Services</v>
      </c>
      <c r="K531" s="6" t="str">
        <f>IFERROR(__xludf.DUMMYFUNCTION("""COMPUTED_VALUE"""),"Financial Services")</f>
        <v>Financial Services</v>
      </c>
      <c r="L531" s="6" t="str">
        <f>IFERROR(__xludf.DUMMYFUNCTION("""COMPUTED_VALUE"""),"Finance")</f>
        <v>Finance</v>
      </c>
      <c r="M531" s="6" t="str">
        <f>IFERROR(__xludf.DUMMYFUNCTION("""COMPUTED_VALUE"""),"Housing Finance Company")</f>
        <v>Housing Finance Company</v>
      </c>
      <c r="N531" s="5">
        <f>IFERROR(__xludf.DUMMYFUNCTION("""COMPUTED_VALUE"""),9018.278823)</f>
        <v>9018.278823</v>
      </c>
      <c r="O531" s="6">
        <f t="shared" si="4"/>
        <v>123</v>
      </c>
      <c r="P531" s="6">
        <f t="shared" ref="P531:Q531" si="1064">COUNTIFS(L:L,L531)</f>
        <v>56</v>
      </c>
      <c r="Q531" s="24">
        <f t="shared" si="1064"/>
        <v>9</v>
      </c>
      <c r="R531" s="6" t="str">
        <f t="shared" si="6"/>
        <v>Finance</v>
      </c>
      <c r="S531" s="6" t="str">
        <f t="shared" si="7"/>
        <v>Finance</v>
      </c>
      <c r="T531" s="6">
        <f>IFERROR(__xludf.DUMMYFUNCTION("COUNTA(UNIQUE(query($A$2:$P$800,""select L where K='""&amp; K531&amp;""'"")))"),5.0)</f>
        <v>5</v>
      </c>
      <c r="U531" s="23">
        <f t="shared" si="8"/>
        <v>0.06097560976</v>
      </c>
      <c r="V531" s="23">
        <f t="shared" ref="V531:W531" si="1065">P531/O531</f>
        <v>0.4552845528</v>
      </c>
      <c r="W531" s="23">
        <f t="shared" si="1065"/>
        <v>0.1607142857</v>
      </c>
    </row>
    <row r="532">
      <c r="A532" s="6">
        <f>IFERROR(__xludf.DUMMYFUNCTION("""COMPUTED_VALUE"""),539978.0)</f>
        <v>539978</v>
      </c>
      <c r="B532" s="6" t="str">
        <f>IFERROR(__xludf.DUMMYFUNCTION("""COMPUTED_VALUE"""),"Quess Corp Limited")</f>
        <v>Quess Corp Limited</v>
      </c>
      <c r="C532" s="6" t="str">
        <f>IFERROR(__xludf.DUMMYFUNCTION("""COMPUTED_VALUE"""),"QUESS")</f>
        <v>QUESS</v>
      </c>
      <c r="D532" s="6" t="str">
        <f>IFERROR(__xludf.DUMMYFUNCTION("""COMPUTED_VALUE"""),"Quess Corp Ltd")</f>
        <v>Quess Corp Ltd</v>
      </c>
      <c r="E532" s="6" t="str">
        <f>IFERROR(__xludf.DUMMYFUNCTION("""COMPUTED_VALUE"""),"Active")</f>
        <v>Active</v>
      </c>
      <c r="F532" s="6" t="str">
        <f>IFERROR(__xludf.DUMMYFUNCTION("""COMPUTED_VALUE"""),"A")</f>
        <v>A</v>
      </c>
      <c r="G532" s="6">
        <f>IFERROR(__xludf.DUMMYFUNCTION("""COMPUTED_VALUE"""),10.0)</f>
        <v>10</v>
      </c>
      <c r="H532" s="6" t="str">
        <f>IFERROR(__xludf.DUMMYFUNCTION("""COMPUTED_VALUE"""),"INE615P01015")</f>
        <v>INE615P01015</v>
      </c>
      <c r="I532" s="6" t="str">
        <f>IFERROR(__xludf.DUMMYFUNCTION("""COMPUTED_VALUE"""),"Equity")</f>
        <v>Equity</v>
      </c>
      <c r="J532" s="6" t="str">
        <f>IFERROR(__xludf.DUMMYFUNCTION("""COMPUTED_VALUE"""),"Services")</f>
        <v>Services</v>
      </c>
      <c r="K532" s="6" t="str">
        <f>IFERROR(__xludf.DUMMYFUNCTION("""COMPUTED_VALUE"""),"Services")</f>
        <v>Services</v>
      </c>
      <c r="L532" s="6" t="str">
        <f>IFERROR(__xludf.DUMMYFUNCTION("""COMPUTED_VALUE"""),"Commercial Services &amp; Supplies")</f>
        <v>Commercial Services &amp; Supplies</v>
      </c>
      <c r="M532" s="6" t="str">
        <f>IFERROR(__xludf.DUMMYFUNCTION("""COMPUTED_VALUE"""),"Diversified Commercial Services")</f>
        <v>Diversified Commercial Services</v>
      </c>
      <c r="N532" s="5">
        <f>IFERROR(__xludf.DUMMYFUNCTION("""COMPUTED_VALUE"""),8998.6609836)</f>
        <v>8998.660984</v>
      </c>
      <c r="O532" s="6">
        <f t="shared" si="4"/>
        <v>27</v>
      </c>
      <c r="P532" s="6">
        <f t="shared" ref="P532:Q532" si="1066">COUNTIFS(L:L,L532)</f>
        <v>11</v>
      </c>
      <c r="Q532" s="24">
        <f t="shared" si="1066"/>
        <v>6</v>
      </c>
      <c r="R532" s="6" t="str">
        <f t="shared" si="6"/>
        <v>Services</v>
      </c>
      <c r="S532" s="6" t="str">
        <f t="shared" si="7"/>
        <v>Services</v>
      </c>
      <c r="T532" s="6">
        <f>IFERROR(__xludf.DUMMYFUNCTION("COUNTA(UNIQUE(query($A$2:$P$800,""select L where K='""&amp; K532&amp;""'"")))"),3.0)</f>
        <v>3</v>
      </c>
      <c r="U532" s="23">
        <f t="shared" si="8"/>
        <v>0.1666666667</v>
      </c>
      <c r="V532" s="23">
        <f t="shared" ref="V532:W532" si="1067">P532/O532</f>
        <v>0.4074074074</v>
      </c>
      <c r="W532" s="23">
        <f t="shared" si="1067"/>
        <v>0.5454545455</v>
      </c>
    </row>
    <row r="533">
      <c r="A533" s="6">
        <f>IFERROR(__xludf.DUMMYFUNCTION("""COMPUTED_VALUE"""),532798.0)</f>
        <v>532798</v>
      </c>
      <c r="B533" s="6" t="str">
        <f>IFERROR(__xludf.DUMMYFUNCTION("""COMPUTED_VALUE"""),"Network 18 Media &amp; Investments Limited")</f>
        <v>Network 18 Media &amp; Investments Limited</v>
      </c>
      <c r="C533" s="6" t="str">
        <f>IFERROR(__xludf.DUMMYFUNCTION("""COMPUTED_VALUE"""),"NETWORK18")</f>
        <v>NETWORK18</v>
      </c>
      <c r="D533" s="6" t="str">
        <f>IFERROR(__xludf.DUMMYFUNCTION("""COMPUTED_VALUE"""),"NETWORK18 MEDIA &amp; INVESTMENTS LTD.")</f>
        <v>NETWORK18 MEDIA &amp; INVESTMENTS LTD.</v>
      </c>
      <c r="E533" s="6" t="str">
        <f>IFERROR(__xludf.DUMMYFUNCTION("""COMPUTED_VALUE"""),"Active")</f>
        <v>Active</v>
      </c>
      <c r="F533" s="6" t="str">
        <f>IFERROR(__xludf.DUMMYFUNCTION("""COMPUTED_VALUE"""),"A")</f>
        <v>A</v>
      </c>
      <c r="G533" s="6">
        <f>IFERROR(__xludf.DUMMYFUNCTION("""COMPUTED_VALUE"""),5.0)</f>
        <v>5</v>
      </c>
      <c r="H533" s="6" t="str">
        <f>IFERROR(__xludf.DUMMYFUNCTION("""COMPUTED_VALUE"""),"INE870H01013")</f>
        <v>INE870H01013</v>
      </c>
      <c r="I533" s="6" t="str">
        <f>IFERROR(__xludf.DUMMYFUNCTION("""COMPUTED_VALUE"""),"Equity")</f>
        <v>Equity</v>
      </c>
      <c r="J533" s="6" t="str">
        <f>IFERROR(__xludf.DUMMYFUNCTION("""COMPUTED_VALUE"""),"Consumer Discretionary")</f>
        <v>Consumer Discretionary</v>
      </c>
      <c r="K533" s="6" t="str">
        <f>IFERROR(__xludf.DUMMYFUNCTION("""COMPUTED_VALUE"""),"Media, Entertainment &amp; Publication")</f>
        <v>Media, Entertainment &amp; Publication</v>
      </c>
      <c r="L533" s="6" t="str">
        <f>IFERROR(__xludf.DUMMYFUNCTION("""COMPUTED_VALUE"""),"Entertainment")</f>
        <v>Entertainment</v>
      </c>
      <c r="M533" s="6" t="str">
        <f>IFERROR(__xludf.DUMMYFUNCTION("""COMPUTED_VALUE"""),"Media &amp; Entertainment")</f>
        <v>Media &amp; Entertainment</v>
      </c>
      <c r="N533" s="5">
        <f>IFERROR(__xludf.DUMMYFUNCTION("""COMPUTED_VALUE"""),8940.7050051)</f>
        <v>8940.705005</v>
      </c>
      <c r="O533" s="6">
        <f t="shared" si="4"/>
        <v>9</v>
      </c>
      <c r="P533" s="6">
        <f t="shared" ref="P533:Q533" si="1068">COUNTIFS(L:L,L533)</f>
        <v>8</v>
      </c>
      <c r="Q533" s="24">
        <f t="shared" si="1068"/>
        <v>3</v>
      </c>
      <c r="R533" s="6" t="str">
        <f t="shared" si="6"/>
        <v>Media, Entertainment &amp; Publication</v>
      </c>
      <c r="S533" s="6" t="str">
        <f t="shared" si="7"/>
        <v>Media, Entertainment &amp; Publication</v>
      </c>
      <c r="T533" s="6">
        <f>IFERROR(__xludf.DUMMYFUNCTION("COUNTA(UNIQUE(query($A$2:$P$800,""select L where K='""&amp; K533&amp;""'"")))"),2.0)</f>
        <v>2</v>
      </c>
      <c r="U533" s="23">
        <f t="shared" si="8"/>
        <v>0.3333333333</v>
      </c>
      <c r="V533" s="23">
        <f t="shared" ref="V533:W533" si="1069">P533/O533</f>
        <v>0.8888888889</v>
      </c>
      <c r="W533" s="23">
        <f t="shared" si="1069"/>
        <v>0.375</v>
      </c>
    </row>
    <row r="534">
      <c r="A534" s="6">
        <f>IFERROR(__xludf.DUMMYFUNCTION("""COMPUTED_VALUE"""),543523.0)</f>
        <v>543523</v>
      </c>
      <c r="B534" s="6" t="str">
        <f>IFERROR(__xludf.DUMMYFUNCTION("""COMPUTED_VALUE"""),"Campus Activewear Limited")</f>
        <v>Campus Activewear Limited</v>
      </c>
      <c r="C534" s="6" t="str">
        <f>IFERROR(__xludf.DUMMYFUNCTION("""COMPUTED_VALUE"""),"CAMPUS")</f>
        <v>CAMPUS</v>
      </c>
      <c r="D534" s="6" t="str">
        <f>IFERROR(__xludf.DUMMYFUNCTION("""COMPUTED_VALUE"""),"Campus Activewear Ltd")</f>
        <v>Campus Activewear Ltd</v>
      </c>
      <c r="E534" s="6" t="str">
        <f>IFERROR(__xludf.DUMMYFUNCTION("""COMPUTED_VALUE"""),"Active")</f>
        <v>Active</v>
      </c>
      <c r="F534" s="6" t="str">
        <f>IFERROR(__xludf.DUMMYFUNCTION("""COMPUTED_VALUE"""),"A")</f>
        <v>A</v>
      </c>
      <c r="G534" s="6">
        <f>IFERROR(__xludf.DUMMYFUNCTION("""COMPUTED_VALUE"""),5.0)</f>
        <v>5</v>
      </c>
      <c r="H534" s="6" t="str">
        <f>IFERROR(__xludf.DUMMYFUNCTION("""COMPUTED_VALUE"""),"INE278Y01022")</f>
        <v>INE278Y01022</v>
      </c>
      <c r="I534" s="6" t="str">
        <f>IFERROR(__xludf.DUMMYFUNCTION("""COMPUTED_VALUE"""),"Equity")</f>
        <v>Equity</v>
      </c>
      <c r="J534" s="6" t="str">
        <f>IFERROR(__xludf.DUMMYFUNCTION("""COMPUTED_VALUE"""),"Consumer Discretionary")</f>
        <v>Consumer Discretionary</v>
      </c>
      <c r="K534" s="6" t="str">
        <f>IFERROR(__xludf.DUMMYFUNCTION("""COMPUTED_VALUE"""),"Consumer Durables")</f>
        <v>Consumer Durables</v>
      </c>
      <c r="L534" s="6" t="str">
        <f>IFERROR(__xludf.DUMMYFUNCTION("""COMPUTED_VALUE"""),"Consumer Durables")</f>
        <v>Consumer Durables</v>
      </c>
      <c r="M534" s="6" t="str">
        <f>IFERROR(__xludf.DUMMYFUNCTION("""COMPUTED_VALUE"""),"Footwear")</f>
        <v>Footwear</v>
      </c>
      <c r="N534" s="5">
        <f>IFERROR(__xludf.DUMMYFUNCTION("""COMPUTED_VALUE"""),8935.9857376)</f>
        <v>8935.985738</v>
      </c>
      <c r="O534" s="6">
        <f t="shared" si="4"/>
        <v>42</v>
      </c>
      <c r="P534" s="6">
        <f t="shared" ref="P534:Q534" si="1070">COUNTIFS(L:L,L534)</f>
        <v>42</v>
      </c>
      <c r="Q534" s="24">
        <f t="shared" si="1070"/>
        <v>5</v>
      </c>
      <c r="R534" s="6" t="str">
        <f t="shared" si="6"/>
        <v>Consumer Durables</v>
      </c>
      <c r="S534" s="6" t="str">
        <f t="shared" si="7"/>
        <v>Consumer Durables</v>
      </c>
      <c r="T534" s="6">
        <f>IFERROR(__xludf.DUMMYFUNCTION("COUNTA(UNIQUE(query($A$2:$P$800,""select L where K='""&amp; K534&amp;""'"")))"),1.0)</f>
        <v>1</v>
      </c>
      <c r="U534" s="23">
        <f t="shared" si="8"/>
        <v>0.03571428571</v>
      </c>
      <c r="V534" s="23">
        <f t="shared" ref="V534:W534" si="1071">P534/O534</f>
        <v>1</v>
      </c>
      <c r="W534" s="23">
        <f t="shared" si="1071"/>
        <v>0.119047619</v>
      </c>
    </row>
    <row r="535">
      <c r="A535" s="6">
        <f>IFERROR(__xludf.DUMMYFUNCTION("""COMPUTED_VALUE"""),532726.0)</f>
        <v>532726</v>
      </c>
      <c r="B535" s="6" t="str">
        <f>IFERROR(__xludf.DUMMYFUNCTION("""COMPUTED_VALUE"""),"GALLANTT ISPAT LIMITED")</f>
        <v>GALLANTT ISPAT LIMITED</v>
      </c>
      <c r="C535" s="6" t="str">
        <f>IFERROR(__xludf.DUMMYFUNCTION("""COMPUTED_VALUE"""),"GALLANTT")</f>
        <v>GALLANTT</v>
      </c>
      <c r="D535" s="6" t="str">
        <f>IFERROR(__xludf.DUMMYFUNCTION("""COMPUTED_VALUE"""),"Gallantt Ispat Ltd")</f>
        <v>Gallantt Ispat Ltd</v>
      </c>
      <c r="E535" s="6" t="str">
        <f>IFERROR(__xludf.DUMMYFUNCTION("""COMPUTED_VALUE"""),"Active")</f>
        <v>Active</v>
      </c>
      <c r="F535" s="6" t="str">
        <f>IFERROR(__xludf.DUMMYFUNCTION("""COMPUTED_VALUE"""),"T")</f>
        <v>T</v>
      </c>
      <c r="G535" s="6">
        <f>IFERROR(__xludf.DUMMYFUNCTION("""COMPUTED_VALUE"""),10.0)</f>
        <v>10</v>
      </c>
      <c r="H535" s="6" t="str">
        <f>IFERROR(__xludf.DUMMYFUNCTION("""COMPUTED_VALUE"""),"INE297H01019")</f>
        <v>INE297H01019</v>
      </c>
      <c r="I535" s="6" t="str">
        <f>IFERROR(__xludf.DUMMYFUNCTION("""COMPUTED_VALUE"""),"Equity")</f>
        <v>Equity</v>
      </c>
      <c r="J535" s="6" t="str">
        <f>IFERROR(__xludf.DUMMYFUNCTION("""COMPUTED_VALUE"""),"Industrials")</f>
        <v>Industrials</v>
      </c>
      <c r="K535" s="6" t="str">
        <f>IFERROR(__xludf.DUMMYFUNCTION("""COMPUTED_VALUE"""),"Capital Goods")</f>
        <v>Capital Goods</v>
      </c>
      <c r="L535" s="6" t="str">
        <f>IFERROR(__xludf.DUMMYFUNCTION("""COMPUTED_VALUE"""),"Industrial Products")</f>
        <v>Industrial Products</v>
      </c>
      <c r="M535" s="6" t="str">
        <f>IFERROR(__xludf.DUMMYFUNCTION("""COMPUTED_VALUE"""),"Iron &amp; Steel Products")</f>
        <v>Iron &amp; Steel Products</v>
      </c>
      <c r="N535" s="5">
        <f>IFERROR(__xludf.DUMMYFUNCTION("""COMPUTED_VALUE"""),8917.6060723)</f>
        <v>8917.606072</v>
      </c>
      <c r="O535" s="6">
        <f t="shared" si="4"/>
        <v>110</v>
      </c>
      <c r="P535" s="6">
        <f t="shared" ref="P535:Q535" si="1072">COUNTIFS(L:L,L535)</f>
        <v>51</v>
      </c>
      <c r="Q535" s="24">
        <f t="shared" si="1072"/>
        <v>13</v>
      </c>
      <c r="R535" s="6" t="str">
        <f t="shared" si="6"/>
        <v>Industrial Products</v>
      </c>
      <c r="S535" s="6" t="str">
        <f t="shared" si="7"/>
        <v>Industrial Products</v>
      </c>
      <c r="T535" s="6">
        <f>IFERROR(__xludf.DUMMYFUNCTION("COUNTA(UNIQUE(query($A$2:$P$800,""select L where K='""&amp; K535&amp;""'"")))"),5.0)</f>
        <v>5</v>
      </c>
      <c r="U535" s="23">
        <f t="shared" si="8"/>
        <v>0.06818181818</v>
      </c>
      <c r="V535" s="23">
        <f t="shared" ref="V535:W535" si="1073">P535/O535</f>
        <v>0.4636363636</v>
      </c>
      <c r="W535" s="23">
        <f t="shared" si="1073"/>
        <v>0.2549019608</v>
      </c>
    </row>
    <row r="536">
      <c r="A536" s="6">
        <f>IFERROR(__xludf.DUMMYFUNCTION("""COMPUTED_VALUE"""),543573.0)</f>
        <v>543573</v>
      </c>
      <c r="B536" s="6" t="str">
        <f>IFERROR(__xludf.DUMMYFUNCTION("""COMPUTED_VALUE"""),"Syrma SGS Technology Limited")</f>
        <v>Syrma SGS Technology Limited</v>
      </c>
      <c r="C536" s="6" t="str">
        <f>IFERROR(__xludf.DUMMYFUNCTION("""COMPUTED_VALUE"""),"SYRMA")</f>
        <v>SYRMA</v>
      </c>
      <c r="D536" s="6" t="str">
        <f>IFERROR(__xludf.DUMMYFUNCTION("""COMPUTED_VALUE"""),"Syrma SGS Technology Ltd")</f>
        <v>Syrma SGS Technology Ltd</v>
      </c>
      <c r="E536" s="6" t="str">
        <f>IFERROR(__xludf.DUMMYFUNCTION("""COMPUTED_VALUE"""),"Active")</f>
        <v>Active</v>
      </c>
      <c r="F536" s="6" t="str">
        <f>IFERROR(__xludf.DUMMYFUNCTION("""COMPUTED_VALUE"""),"A")</f>
        <v>A</v>
      </c>
      <c r="G536" s="6">
        <f>IFERROR(__xludf.DUMMYFUNCTION("""COMPUTED_VALUE"""),10.0)</f>
        <v>10</v>
      </c>
      <c r="H536" s="6" t="str">
        <f>IFERROR(__xludf.DUMMYFUNCTION("""COMPUTED_VALUE"""),"INE0DYJ01015")</f>
        <v>INE0DYJ01015</v>
      </c>
      <c r="I536" s="6" t="str">
        <f>IFERROR(__xludf.DUMMYFUNCTION("""COMPUTED_VALUE"""),"Equity")</f>
        <v>Equity</v>
      </c>
      <c r="J536" s="6" t="str">
        <f>IFERROR(__xludf.DUMMYFUNCTION("""COMPUTED_VALUE"""),"Industrials")</f>
        <v>Industrials</v>
      </c>
      <c r="K536" s="6" t="str">
        <f>IFERROR(__xludf.DUMMYFUNCTION("""COMPUTED_VALUE"""),"Capital Goods")</f>
        <v>Capital Goods</v>
      </c>
      <c r="L536" s="6" t="str">
        <f>IFERROR(__xludf.DUMMYFUNCTION("""COMPUTED_VALUE"""),"Industrial Manufacturing")</f>
        <v>Industrial Manufacturing</v>
      </c>
      <c r="M536" s="6" t="str">
        <f>IFERROR(__xludf.DUMMYFUNCTION("""COMPUTED_VALUE"""),"Industrial Products")</f>
        <v>Industrial Products</v>
      </c>
      <c r="N536" s="5">
        <f>IFERROR(__xludf.DUMMYFUNCTION("""COMPUTED_VALUE"""),8914.0191686)</f>
        <v>8914.019169</v>
      </c>
      <c r="O536" s="6">
        <f t="shared" si="4"/>
        <v>110</v>
      </c>
      <c r="P536" s="6">
        <f t="shared" ref="P536:Q536" si="1074">COUNTIFS(L:L,L536)</f>
        <v>21</v>
      </c>
      <c r="Q536" s="24">
        <f t="shared" si="1074"/>
        <v>17</v>
      </c>
      <c r="R536" s="6" t="str">
        <f t="shared" si="6"/>
        <v>Industrial Manufacturing</v>
      </c>
      <c r="S536" s="6" t="str">
        <f t="shared" si="7"/>
        <v>Industrial Manufacturing</v>
      </c>
      <c r="T536" s="6">
        <f>IFERROR(__xludf.DUMMYFUNCTION("COUNTA(UNIQUE(query($A$2:$P$800,""select L where K='""&amp; K536&amp;""'"")))"),5.0)</f>
        <v>5</v>
      </c>
      <c r="U536" s="23">
        <f t="shared" si="8"/>
        <v>0.06818181818</v>
      </c>
      <c r="V536" s="23">
        <f t="shared" ref="V536:W536" si="1075">P536/O536</f>
        <v>0.1909090909</v>
      </c>
      <c r="W536" s="23">
        <f t="shared" si="1075"/>
        <v>0.8095238095</v>
      </c>
    </row>
    <row r="537">
      <c r="A537" s="6">
        <f>IFERROR(__xludf.DUMMYFUNCTION("""COMPUTED_VALUE"""),532783.0)</f>
        <v>532783</v>
      </c>
      <c r="B537" s="6" t="str">
        <f>IFERROR(__xludf.DUMMYFUNCTION("""COMPUTED_VALUE"""),"LT Foods Limited")</f>
        <v>LT Foods Limited</v>
      </c>
      <c r="C537" s="6" t="str">
        <f>IFERROR(__xludf.DUMMYFUNCTION("""COMPUTED_VALUE"""),"LTFOODS")</f>
        <v>LTFOODS</v>
      </c>
      <c r="D537" s="6" t="str">
        <f>IFERROR(__xludf.DUMMYFUNCTION("""COMPUTED_VALUE"""),"LT FOODS LTD.")</f>
        <v>LT FOODS LTD.</v>
      </c>
      <c r="E537" s="6" t="str">
        <f>IFERROR(__xludf.DUMMYFUNCTION("""COMPUTED_VALUE"""),"Active")</f>
        <v>Active</v>
      </c>
      <c r="F537" s="6" t="str">
        <f>IFERROR(__xludf.DUMMYFUNCTION("""COMPUTED_VALUE"""),"A")</f>
        <v>A</v>
      </c>
      <c r="G537" s="6">
        <f>IFERROR(__xludf.DUMMYFUNCTION("""COMPUTED_VALUE"""),1.0)</f>
        <v>1</v>
      </c>
      <c r="H537" s="6" t="str">
        <f>IFERROR(__xludf.DUMMYFUNCTION("""COMPUTED_VALUE"""),"INE818H01020")</f>
        <v>INE818H01020</v>
      </c>
      <c r="I537" s="6" t="str">
        <f>IFERROR(__xludf.DUMMYFUNCTION("""COMPUTED_VALUE"""),"Equity")</f>
        <v>Equity</v>
      </c>
      <c r="J537" s="6" t="str">
        <f>IFERROR(__xludf.DUMMYFUNCTION("""COMPUTED_VALUE"""),"Fast Moving Consumer Goods")</f>
        <v>Fast Moving Consumer Goods</v>
      </c>
      <c r="K537" s="6" t="str">
        <f>IFERROR(__xludf.DUMMYFUNCTION("""COMPUTED_VALUE"""),"Fast Moving Consumer Goods")</f>
        <v>Fast Moving Consumer Goods</v>
      </c>
      <c r="L537" s="6" t="str">
        <f>IFERROR(__xludf.DUMMYFUNCTION("""COMPUTED_VALUE"""),"Agricultural Food &amp; other Products")</f>
        <v>Agricultural Food &amp; other Products</v>
      </c>
      <c r="M537" s="6" t="str">
        <f>IFERROR(__xludf.DUMMYFUNCTION("""COMPUTED_VALUE"""),"Other Agricultural Products")</f>
        <v>Other Agricultural Products</v>
      </c>
      <c r="N537" s="5">
        <f>IFERROR(__xludf.DUMMYFUNCTION("""COMPUTED_VALUE"""),8898.009)</f>
        <v>8898.009</v>
      </c>
      <c r="O537" s="6">
        <f t="shared" si="4"/>
        <v>44</v>
      </c>
      <c r="P537" s="6">
        <f t="shared" ref="P537:Q537" si="1076">COUNTIFS(L:L,L537)</f>
        <v>14</v>
      </c>
      <c r="Q537" s="24">
        <f t="shared" si="1076"/>
        <v>4</v>
      </c>
      <c r="R537" s="6" t="str">
        <f t="shared" si="6"/>
        <v>Fast Moving Consumer Goods</v>
      </c>
      <c r="S537" s="6" t="str">
        <f t="shared" si="7"/>
        <v>Fast Moving Consumer Goods</v>
      </c>
      <c r="T537" s="6">
        <f>IFERROR(__xludf.DUMMYFUNCTION("COUNTA(UNIQUE(query($A$2:$P$800,""select L where K='""&amp; K537&amp;""'"")))"),7.0)</f>
        <v>7</v>
      </c>
      <c r="U537" s="23">
        <f t="shared" si="8"/>
        <v>0.2386363636</v>
      </c>
      <c r="V537" s="23">
        <f t="shared" ref="V537:W537" si="1077">P537/O537</f>
        <v>0.3181818182</v>
      </c>
      <c r="W537" s="23">
        <f t="shared" si="1077"/>
        <v>0.2857142857</v>
      </c>
    </row>
    <row r="538">
      <c r="A538" s="6">
        <f>IFERROR(__xludf.DUMMYFUNCTION("""COMPUTED_VALUE"""),532811.0)</f>
        <v>532811</v>
      </c>
      <c r="B538" s="6" t="str">
        <f>IFERROR(__xludf.DUMMYFUNCTION("""COMPUTED_VALUE"""),"Ahluwalia Contracts (India) Ltd")</f>
        <v>Ahluwalia Contracts (India) Ltd</v>
      </c>
      <c r="C538" s="6" t="str">
        <f>IFERROR(__xludf.DUMMYFUNCTION("""COMPUTED_VALUE"""),"AHLUCONT")</f>
        <v>AHLUCONT</v>
      </c>
      <c r="D538" s="6" t="str">
        <f>IFERROR(__xludf.DUMMYFUNCTION("""COMPUTED_VALUE"""),"AHLUWALIA CONTRACTS (INDIA) LTD.")</f>
        <v>AHLUWALIA CONTRACTS (INDIA) LTD.</v>
      </c>
      <c r="E538" s="6" t="str">
        <f>IFERROR(__xludf.DUMMYFUNCTION("""COMPUTED_VALUE"""),"Active")</f>
        <v>Active</v>
      </c>
      <c r="F538" s="6" t="str">
        <f>IFERROR(__xludf.DUMMYFUNCTION("""COMPUTED_VALUE"""),"A")</f>
        <v>A</v>
      </c>
      <c r="G538" s="6">
        <f>IFERROR(__xludf.DUMMYFUNCTION("""COMPUTED_VALUE"""),2.0)</f>
        <v>2</v>
      </c>
      <c r="H538" s="6" t="str">
        <f>IFERROR(__xludf.DUMMYFUNCTION("""COMPUTED_VALUE"""),"INE758C01029")</f>
        <v>INE758C01029</v>
      </c>
      <c r="I538" s="6" t="str">
        <f>IFERROR(__xludf.DUMMYFUNCTION("""COMPUTED_VALUE"""),"Equity")</f>
        <v>Equity</v>
      </c>
      <c r="J538" s="6" t="str">
        <f>IFERROR(__xludf.DUMMYFUNCTION("""COMPUTED_VALUE"""),"Industrials")</f>
        <v>Industrials</v>
      </c>
      <c r="K538" s="6" t="str">
        <f>IFERROR(__xludf.DUMMYFUNCTION("""COMPUTED_VALUE"""),"Construction")</f>
        <v>Construction</v>
      </c>
      <c r="L538" s="6" t="str">
        <f>IFERROR(__xludf.DUMMYFUNCTION("""COMPUTED_VALUE"""),"Construction")</f>
        <v>Construction</v>
      </c>
      <c r="M538" s="6" t="str">
        <f>IFERROR(__xludf.DUMMYFUNCTION("""COMPUTED_VALUE"""),"Civil Construction")</f>
        <v>Civil Construction</v>
      </c>
      <c r="N538" s="5">
        <f>IFERROR(__xludf.DUMMYFUNCTION("""COMPUTED_VALUE"""),8872.371374)</f>
        <v>8872.371374</v>
      </c>
      <c r="O538" s="6">
        <f t="shared" si="4"/>
        <v>27</v>
      </c>
      <c r="P538" s="6">
        <f t="shared" ref="P538:Q538" si="1078">COUNTIFS(L:L,L538)</f>
        <v>27</v>
      </c>
      <c r="Q538" s="24">
        <f t="shared" si="1078"/>
        <v>27</v>
      </c>
      <c r="R538" s="6" t="str">
        <f t="shared" si="6"/>
        <v>Construction</v>
      </c>
      <c r="S538" s="6" t="str">
        <f t="shared" si="7"/>
        <v>Construction</v>
      </c>
      <c r="T538" s="6">
        <f>IFERROR(__xludf.DUMMYFUNCTION("COUNTA(UNIQUE(query($A$2:$P$800,""select L where K='""&amp; K538&amp;""'"")))"),1.0)</f>
        <v>1</v>
      </c>
      <c r="U538" s="23">
        <f t="shared" si="8"/>
        <v>0.05555555556</v>
      </c>
      <c r="V538" s="23">
        <f t="shared" ref="V538:W538" si="1079">P538/O538</f>
        <v>1</v>
      </c>
      <c r="W538" s="23">
        <f t="shared" si="1079"/>
        <v>1</v>
      </c>
    </row>
    <row r="539">
      <c r="A539" s="6">
        <f>IFERROR(__xludf.DUMMYFUNCTION("""COMPUTED_VALUE"""),532493.0)</f>
        <v>532493</v>
      </c>
      <c r="B539" s="6" t="str">
        <f>IFERROR(__xludf.DUMMYFUNCTION("""COMPUTED_VALUE"""),"Astra Microwave Products Ltd.")</f>
        <v>Astra Microwave Products Ltd.</v>
      </c>
      <c r="C539" s="6" t="str">
        <f>IFERROR(__xludf.DUMMYFUNCTION("""COMPUTED_VALUE"""),"ASTRAMICRO")</f>
        <v>ASTRAMICRO</v>
      </c>
      <c r="D539" s="6" t="str">
        <f>IFERROR(__xludf.DUMMYFUNCTION("""COMPUTED_VALUE"""),"ASTRA MICROWAVE PRODUCTS LTD.")</f>
        <v>ASTRA MICROWAVE PRODUCTS LTD.</v>
      </c>
      <c r="E539" s="6" t="str">
        <f>IFERROR(__xludf.DUMMYFUNCTION("""COMPUTED_VALUE"""),"Active")</f>
        <v>Active</v>
      </c>
      <c r="F539" s="6" t="str">
        <f>IFERROR(__xludf.DUMMYFUNCTION("""COMPUTED_VALUE"""),"A")</f>
        <v>A</v>
      </c>
      <c r="G539" s="6">
        <f>IFERROR(__xludf.DUMMYFUNCTION("""COMPUTED_VALUE"""),2.0)</f>
        <v>2</v>
      </c>
      <c r="H539" s="6" t="str">
        <f>IFERROR(__xludf.DUMMYFUNCTION("""COMPUTED_VALUE"""),"INE386C01029")</f>
        <v>INE386C01029</v>
      </c>
      <c r="I539" s="6" t="str">
        <f>IFERROR(__xludf.DUMMYFUNCTION("""COMPUTED_VALUE"""),"Equity")</f>
        <v>Equity</v>
      </c>
      <c r="J539" s="6" t="str">
        <f>IFERROR(__xludf.DUMMYFUNCTION("""COMPUTED_VALUE"""),"Industrials")</f>
        <v>Industrials</v>
      </c>
      <c r="K539" s="6" t="str">
        <f>IFERROR(__xludf.DUMMYFUNCTION("""COMPUTED_VALUE"""),"Capital Goods")</f>
        <v>Capital Goods</v>
      </c>
      <c r="L539" s="6" t="str">
        <f>IFERROR(__xludf.DUMMYFUNCTION("""COMPUTED_VALUE"""),"Aerospace &amp; Defense")</f>
        <v>Aerospace &amp; Defense</v>
      </c>
      <c r="M539" s="6" t="str">
        <f>IFERROR(__xludf.DUMMYFUNCTION("""COMPUTED_VALUE"""),"Aerospace &amp; Defense")</f>
        <v>Aerospace &amp; Defense</v>
      </c>
      <c r="N539" s="5">
        <f>IFERROR(__xludf.DUMMYFUNCTION("""COMPUTED_VALUE"""),8866.573906)</f>
        <v>8866.573906</v>
      </c>
      <c r="O539" s="6">
        <f t="shared" si="4"/>
        <v>110</v>
      </c>
      <c r="P539" s="6">
        <f t="shared" ref="P539:Q539" si="1080">COUNTIFS(L:L,L539)</f>
        <v>11</v>
      </c>
      <c r="Q539" s="24">
        <f t="shared" si="1080"/>
        <v>11</v>
      </c>
      <c r="R539" s="6" t="str">
        <f t="shared" si="6"/>
        <v>Capital Goods</v>
      </c>
      <c r="S539" s="6" t="str">
        <f t="shared" si="7"/>
        <v>Capital Goods</v>
      </c>
      <c r="T539" s="6">
        <f>IFERROR(__xludf.DUMMYFUNCTION("COUNTA(UNIQUE(query($A$2:$P$800,""select L where K='""&amp; K539&amp;""'"")))"),5.0)</f>
        <v>5</v>
      </c>
      <c r="U539" s="23">
        <f t="shared" si="8"/>
        <v>0.06818181818</v>
      </c>
      <c r="V539" s="23">
        <f t="shared" ref="V539:W539" si="1081">P539/O539</f>
        <v>0.1</v>
      </c>
      <c r="W539" s="23">
        <f t="shared" si="1081"/>
        <v>1</v>
      </c>
    </row>
    <row r="540">
      <c r="A540" s="6">
        <f>IFERROR(__xludf.DUMMYFUNCTION("""COMPUTED_VALUE"""),543417.0)</f>
        <v>543417</v>
      </c>
      <c r="B540" s="6" t="str">
        <f>IFERROR(__xludf.DUMMYFUNCTION("""COMPUTED_VALUE"""),"RateGain Travel Technologies Limited")</f>
        <v>RateGain Travel Technologies Limited</v>
      </c>
      <c r="C540" s="6" t="str">
        <f>IFERROR(__xludf.DUMMYFUNCTION("""COMPUTED_VALUE"""),"RATEGAIN")</f>
        <v>RATEGAIN</v>
      </c>
      <c r="D540" s="6" t="str">
        <f>IFERROR(__xludf.DUMMYFUNCTION("""COMPUTED_VALUE"""),"RateGain Travel Technologies Ltd")</f>
        <v>RateGain Travel Technologies Ltd</v>
      </c>
      <c r="E540" s="6" t="str">
        <f>IFERROR(__xludf.DUMMYFUNCTION("""COMPUTED_VALUE"""),"Active")</f>
        <v>Active</v>
      </c>
      <c r="F540" s="6" t="str">
        <f>IFERROR(__xludf.DUMMYFUNCTION("""COMPUTED_VALUE"""),"A")</f>
        <v>A</v>
      </c>
      <c r="G540" s="6">
        <f>IFERROR(__xludf.DUMMYFUNCTION("""COMPUTED_VALUE"""),1.0)</f>
        <v>1</v>
      </c>
      <c r="H540" s="6" t="str">
        <f>IFERROR(__xludf.DUMMYFUNCTION("""COMPUTED_VALUE"""),"INE0CLI01024")</f>
        <v>INE0CLI01024</v>
      </c>
      <c r="I540" s="6" t="str">
        <f>IFERROR(__xludf.DUMMYFUNCTION("""COMPUTED_VALUE"""),"Equity")</f>
        <v>Equity</v>
      </c>
      <c r="J540" s="6" t="str">
        <f>IFERROR(__xludf.DUMMYFUNCTION("""COMPUTED_VALUE"""),"Information Technology")</f>
        <v>Information Technology</v>
      </c>
      <c r="K540" s="6" t="str">
        <f>IFERROR(__xludf.DUMMYFUNCTION("""COMPUTED_VALUE"""),"Information Technology")</f>
        <v>Information Technology</v>
      </c>
      <c r="L540" s="6" t="str">
        <f>IFERROR(__xludf.DUMMYFUNCTION("""COMPUTED_VALUE"""),"IT - Software")</f>
        <v>IT - Software</v>
      </c>
      <c r="M540" s="6" t="str">
        <f>IFERROR(__xludf.DUMMYFUNCTION("""COMPUTED_VALUE"""),"Computers - Software &amp; Consulting")</f>
        <v>Computers - Software &amp; Consulting</v>
      </c>
      <c r="N540" s="5">
        <f>IFERROR(__xludf.DUMMYFUNCTION("""COMPUTED_VALUE"""),8864.6154986)</f>
        <v>8864.615499</v>
      </c>
      <c r="O540" s="6">
        <f t="shared" si="4"/>
        <v>36</v>
      </c>
      <c r="P540" s="6">
        <f t="shared" ref="P540:Q540" si="1082">COUNTIFS(L:L,L540)</f>
        <v>27</v>
      </c>
      <c r="Q540" s="24">
        <f t="shared" si="1082"/>
        <v>22</v>
      </c>
      <c r="R540" s="6" t="str">
        <f t="shared" si="6"/>
        <v>Information Technology</v>
      </c>
      <c r="S540" s="6" t="str">
        <f t="shared" si="7"/>
        <v>Information Technology</v>
      </c>
      <c r="T540" s="6">
        <f>IFERROR(__xludf.DUMMYFUNCTION("COUNTA(UNIQUE(query($A$2:$P$800,""select L where K='""&amp; K540&amp;""'"")))"),3.0)</f>
        <v>3</v>
      </c>
      <c r="U540" s="23">
        <f t="shared" si="8"/>
        <v>0.125</v>
      </c>
      <c r="V540" s="23">
        <f t="shared" ref="V540:W540" si="1083">P540/O540</f>
        <v>0.75</v>
      </c>
      <c r="W540" s="23">
        <f t="shared" si="1083"/>
        <v>0.8148148148</v>
      </c>
    </row>
    <row r="541">
      <c r="A541" s="6">
        <f>IFERROR(__xludf.DUMMYFUNCTION("""COMPUTED_VALUE"""),500123.0)</f>
        <v>500123</v>
      </c>
      <c r="B541" s="6" t="str">
        <f>IFERROR(__xludf.DUMMYFUNCTION("""COMPUTED_VALUE"""),"Elantas Beck India Ltd")</f>
        <v>Elantas Beck India Ltd</v>
      </c>
      <c r="C541" s="6" t="str">
        <f>IFERROR(__xludf.DUMMYFUNCTION("""COMPUTED_VALUE"""),"ELANTAS")</f>
        <v>ELANTAS</v>
      </c>
      <c r="D541" s="6" t="str">
        <f>IFERROR(__xludf.DUMMYFUNCTION("""COMPUTED_VALUE"""),"ELANTAS BECK INDIA LTD.-$")</f>
        <v>ELANTAS BECK INDIA LTD.-$</v>
      </c>
      <c r="E541" s="6" t="str">
        <f>IFERROR(__xludf.DUMMYFUNCTION("""COMPUTED_VALUE"""),"Active")</f>
        <v>Active</v>
      </c>
      <c r="F541" s="6" t="str">
        <f>IFERROR(__xludf.DUMMYFUNCTION("""COMPUTED_VALUE"""),"B")</f>
        <v>B</v>
      </c>
      <c r="G541" s="6">
        <f>IFERROR(__xludf.DUMMYFUNCTION("""COMPUTED_VALUE"""),10.0)</f>
        <v>10</v>
      </c>
      <c r="H541" s="6" t="str">
        <f>IFERROR(__xludf.DUMMYFUNCTION("""COMPUTED_VALUE"""),"INE280B01018")</f>
        <v>INE280B01018</v>
      </c>
      <c r="I541" s="6" t="str">
        <f>IFERROR(__xludf.DUMMYFUNCTION("""COMPUTED_VALUE"""),"Equity")</f>
        <v>Equity</v>
      </c>
      <c r="J541" s="6" t="str">
        <f>IFERROR(__xludf.DUMMYFUNCTION("""COMPUTED_VALUE"""),"Commodities")</f>
        <v>Commodities</v>
      </c>
      <c r="K541" s="6" t="str">
        <f>IFERROR(__xludf.DUMMYFUNCTION("""COMPUTED_VALUE"""),"Chemicals")</f>
        <v>Chemicals</v>
      </c>
      <c r="L541" s="6" t="str">
        <f>IFERROR(__xludf.DUMMYFUNCTION("""COMPUTED_VALUE"""),"Chemicals &amp; Petrochemicals")</f>
        <v>Chemicals &amp; Petrochemicals</v>
      </c>
      <c r="M541" s="6" t="str">
        <f>IFERROR(__xludf.DUMMYFUNCTION("""COMPUTED_VALUE"""),"Specialty Chemicals")</f>
        <v>Specialty Chemicals</v>
      </c>
      <c r="N541" s="5">
        <f>IFERROR(__xludf.DUMMYFUNCTION("""COMPUTED_VALUE"""),8858.6313611)</f>
        <v>8858.631361</v>
      </c>
      <c r="O541" s="6">
        <f t="shared" si="4"/>
        <v>52</v>
      </c>
      <c r="P541" s="6">
        <f t="shared" ref="P541:Q541" si="1084">COUNTIFS(L:L,L541)</f>
        <v>37</v>
      </c>
      <c r="Q541" s="24">
        <f t="shared" si="1084"/>
        <v>25</v>
      </c>
      <c r="R541" s="6" t="str">
        <f t="shared" si="6"/>
        <v>Chemicals</v>
      </c>
      <c r="S541" s="6" t="str">
        <f t="shared" si="7"/>
        <v>Chemicals</v>
      </c>
      <c r="T541" s="6">
        <f>IFERROR(__xludf.DUMMYFUNCTION("COUNTA(UNIQUE(query($A$2:$P$800,""select L where K='""&amp; K541&amp;""'"")))"),2.0)</f>
        <v>2</v>
      </c>
      <c r="U541" s="23">
        <f t="shared" si="8"/>
        <v>0.05769230769</v>
      </c>
      <c r="V541" s="23">
        <f t="shared" ref="V541:W541" si="1085">P541/O541</f>
        <v>0.7115384615</v>
      </c>
      <c r="W541" s="23">
        <f t="shared" si="1085"/>
        <v>0.6756756757</v>
      </c>
    </row>
    <row r="542">
      <c r="A542" s="6">
        <f>IFERROR(__xludf.DUMMYFUNCTION("""COMPUTED_VALUE"""),543626.0)</f>
        <v>543626</v>
      </c>
      <c r="B542" s="6" t="str">
        <f>IFERROR(__xludf.DUMMYFUNCTION("""COMPUTED_VALUE"""),"Electronics Mart India Limited")</f>
        <v>Electronics Mart India Limited</v>
      </c>
      <c r="C542" s="6" t="str">
        <f>IFERROR(__xludf.DUMMYFUNCTION("""COMPUTED_VALUE"""),"EMIL")</f>
        <v>EMIL</v>
      </c>
      <c r="D542" s="6" t="str">
        <f>IFERROR(__xludf.DUMMYFUNCTION("""COMPUTED_VALUE"""),"Electronics Mart India Ltd")</f>
        <v>Electronics Mart India Ltd</v>
      </c>
      <c r="E542" s="6" t="str">
        <f>IFERROR(__xludf.DUMMYFUNCTION("""COMPUTED_VALUE"""),"Active")</f>
        <v>Active</v>
      </c>
      <c r="F542" s="6" t="str">
        <f>IFERROR(__xludf.DUMMYFUNCTION("""COMPUTED_VALUE"""),"B")</f>
        <v>B</v>
      </c>
      <c r="G542" s="6">
        <f>IFERROR(__xludf.DUMMYFUNCTION("""COMPUTED_VALUE"""),10.0)</f>
        <v>10</v>
      </c>
      <c r="H542" s="6" t="str">
        <f>IFERROR(__xludf.DUMMYFUNCTION("""COMPUTED_VALUE"""),"INE02YR01019")</f>
        <v>INE02YR01019</v>
      </c>
      <c r="I542" s="6" t="str">
        <f>IFERROR(__xludf.DUMMYFUNCTION("""COMPUTED_VALUE"""),"Equity")</f>
        <v>Equity</v>
      </c>
      <c r="J542" s="6" t="str">
        <f>IFERROR(__xludf.DUMMYFUNCTION("""COMPUTED_VALUE"""),"Consumer Discretionary")</f>
        <v>Consumer Discretionary</v>
      </c>
      <c r="K542" s="6" t="str">
        <f>IFERROR(__xludf.DUMMYFUNCTION("""COMPUTED_VALUE"""),"Consumer Services")</f>
        <v>Consumer Services</v>
      </c>
      <c r="L542" s="6" t="str">
        <f>IFERROR(__xludf.DUMMYFUNCTION("""COMPUTED_VALUE"""),"Retailing")</f>
        <v>Retailing</v>
      </c>
      <c r="M542" s="6" t="str">
        <f>IFERROR(__xludf.DUMMYFUNCTION("""COMPUTED_VALUE"""),"Diversified Retail")</f>
        <v>Diversified Retail</v>
      </c>
      <c r="N542" s="5">
        <f>IFERROR(__xludf.DUMMYFUNCTION("""COMPUTED_VALUE"""),8833.0587113)</f>
        <v>8833.058711</v>
      </c>
      <c r="O542" s="6">
        <f t="shared" si="4"/>
        <v>37</v>
      </c>
      <c r="P542" s="6">
        <f t="shared" ref="P542:Q542" si="1086">COUNTIFS(L:L,L542)</f>
        <v>18</v>
      </c>
      <c r="Q542" s="24">
        <f t="shared" si="1086"/>
        <v>4</v>
      </c>
      <c r="R542" s="6" t="str">
        <f t="shared" si="6"/>
        <v>Retailing</v>
      </c>
      <c r="S542" s="6" t="str">
        <f t="shared" si="7"/>
        <v>Retailing</v>
      </c>
      <c r="T542" s="6">
        <f>IFERROR(__xludf.DUMMYFUNCTION("COUNTA(UNIQUE(query($A$2:$P$800,""select L where K='""&amp; K542&amp;""'"")))"),3.0)</f>
        <v>3</v>
      </c>
      <c r="U542" s="23">
        <f t="shared" si="8"/>
        <v>0.1216216216</v>
      </c>
      <c r="V542" s="23">
        <f t="shared" ref="V542:W542" si="1087">P542/O542</f>
        <v>0.4864864865</v>
      </c>
      <c r="W542" s="23">
        <f t="shared" si="1087"/>
        <v>0.2222222222</v>
      </c>
    </row>
    <row r="543">
      <c r="A543" s="6">
        <f>IFERROR(__xludf.DUMMYFUNCTION("""COMPUTED_VALUE"""),543657.0)</f>
        <v>543657</v>
      </c>
      <c r="B543" s="6" t="str">
        <f>IFERROR(__xludf.DUMMYFUNCTION("""COMPUTED_VALUE"""),"Archean Chemical Industries Limited")</f>
        <v>Archean Chemical Industries Limited</v>
      </c>
      <c r="C543" s="6" t="str">
        <f>IFERROR(__xludf.DUMMYFUNCTION("""COMPUTED_VALUE"""),"ACI")</f>
        <v>ACI</v>
      </c>
      <c r="D543" s="6" t="str">
        <f>IFERROR(__xludf.DUMMYFUNCTION("""COMPUTED_VALUE"""),"Archean Chemical Industries Ltd")</f>
        <v>Archean Chemical Industries Ltd</v>
      </c>
      <c r="E543" s="6" t="str">
        <f>IFERROR(__xludf.DUMMYFUNCTION("""COMPUTED_VALUE"""),"Active")</f>
        <v>Active</v>
      </c>
      <c r="F543" s="6" t="str">
        <f>IFERROR(__xludf.DUMMYFUNCTION("""COMPUTED_VALUE"""),"A")</f>
        <v>A</v>
      </c>
      <c r="G543" s="6">
        <f>IFERROR(__xludf.DUMMYFUNCTION("""COMPUTED_VALUE"""),2.0)</f>
        <v>2</v>
      </c>
      <c r="H543" s="6" t="str">
        <f>IFERROR(__xludf.DUMMYFUNCTION("""COMPUTED_VALUE"""),"INE128X01021")</f>
        <v>INE128X01021</v>
      </c>
      <c r="I543" s="6" t="str">
        <f>IFERROR(__xludf.DUMMYFUNCTION("""COMPUTED_VALUE"""),"Equity")</f>
        <v>Equity</v>
      </c>
      <c r="J543" s="6" t="str">
        <f>IFERROR(__xludf.DUMMYFUNCTION("""COMPUTED_VALUE"""),"Commodities")</f>
        <v>Commodities</v>
      </c>
      <c r="K543" s="6" t="str">
        <f>IFERROR(__xludf.DUMMYFUNCTION("""COMPUTED_VALUE"""),"Chemicals")</f>
        <v>Chemicals</v>
      </c>
      <c r="L543" s="6" t="str">
        <f>IFERROR(__xludf.DUMMYFUNCTION("""COMPUTED_VALUE"""),"Chemicals &amp; Petrochemicals")</f>
        <v>Chemicals &amp; Petrochemicals</v>
      </c>
      <c r="M543" s="6" t="str">
        <f>IFERROR(__xludf.DUMMYFUNCTION("""COMPUTED_VALUE"""),"Specialty Chemicals")</f>
        <v>Specialty Chemicals</v>
      </c>
      <c r="N543" s="5">
        <f>IFERROR(__xludf.DUMMYFUNCTION("""COMPUTED_VALUE"""),8831.7498014)</f>
        <v>8831.749801</v>
      </c>
      <c r="O543" s="6">
        <f t="shared" si="4"/>
        <v>52</v>
      </c>
      <c r="P543" s="6">
        <f t="shared" ref="P543:Q543" si="1088">COUNTIFS(L:L,L543)</f>
        <v>37</v>
      </c>
      <c r="Q543" s="24">
        <f t="shared" si="1088"/>
        <v>25</v>
      </c>
      <c r="R543" s="6" t="str">
        <f t="shared" si="6"/>
        <v>Chemicals</v>
      </c>
      <c r="S543" s="6" t="str">
        <f t="shared" si="7"/>
        <v>Chemicals</v>
      </c>
      <c r="T543" s="6">
        <f>IFERROR(__xludf.DUMMYFUNCTION("COUNTA(UNIQUE(query($A$2:$P$800,""select L where K='""&amp; K543&amp;""'"")))"),2.0)</f>
        <v>2</v>
      </c>
      <c r="U543" s="23">
        <f t="shared" si="8"/>
        <v>0.05769230769</v>
      </c>
      <c r="V543" s="23">
        <f t="shared" ref="V543:W543" si="1089">P543/O543</f>
        <v>0.7115384615</v>
      </c>
      <c r="W543" s="23">
        <f t="shared" si="1089"/>
        <v>0.6756756757</v>
      </c>
    </row>
    <row r="544">
      <c r="A544" s="6">
        <f>IFERROR(__xludf.DUMMYFUNCTION("""COMPUTED_VALUE"""),541195.0)</f>
        <v>541195</v>
      </c>
      <c r="B544" s="6" t="str">
        <f>IFERROR(__xludf.DUMMYFUNCTION("""COMPUTED_VALUE"""),"Mishra Dhatu Nigam Limited")</f>
        <v>Mishra Dhatu Nigam Limited</v>
      </c>
      <c r="C544" s="6" t="str">
        <f>IFERROR(__xludf.DUMMYFUNCTION("""COMPUTED_VALUE"""),"MIDHANI")</f>
        <v>MIDHANI</v>
      </c>
      <c r="D544" s="6" t="str">
        <f>IFERROR(__xludf.DUMMYFUNCTION("""COMPUTED_VALUE"""),"Mishra Dhatu Nigam Ltd")</f>
        <v>Mishra Dhatu Nigam Ltd</v>
      </c>
      <c r="E544" s="6" t="str">
        <f>IFERROR(__xludf.DUMMYFUNCTION("""COMPUTED_VALUE"""),"Active")</f>
        <v>Active</v>
      </c>
      <c r="F544" s="6" t="str">
        <f>IFERROR(__xludf.DUMMYFUNCTION("""COMPUTED_VALUE"""),"A")</f>
        <v>A</v>
      </c>
      <c r="G544" s="6">
        <f>IFERROR(__xludf.DUMMYFUNCTION("""COMPUTED_VALUE"""),10.0)</f>
        <v>10</v>
      </c>
      <c r="H544" s="6" t="str">
        <f>IFERROR(__xludf.DUMMYFUNCTION("""COMPUTED_VALUE"""),"INE099Z01011")</f>
        <v>INE099Z01011</v>
      </c>
      <c r="I544" s="6" t="str">
        <f>IFERROR(__xludf.DUMMYFUNCTION("""COMPUTED_VALUE"""),"Equity")</f>
        <v>Equity</v>
      </c>
      <c r="J544" s="6" t="str">
        <f>IFERROR(__xludf.DUMMYFUNCTION("""COMPUTED_VALUE"""),"Industrials")</f>
        <v>Industrials</v>
      </c>
      <c r="K544" s="6" t="str">
        <f>IFERROR(__xludf.DUMMYFUNCTION("""COMPUTED_VALUE"""),"Capital Goods")</f>
        <v>Capital Goods</v>
      </c>
      <c r="L544" s="6" t="str">
        <f>IFERROR(__xludf.DUMMYFUNCTION("""COMPUTED_VALUE"""),"Aerospace &amp; Defense")</f>
        <v>Aerospace &amp; Defense</v>
      </c>
      <c r="M544" s="6" t="str">
        <f>IFERROR(__xludf.DUMMYFUNCTION("""COMPUTED_VALUE"""),"Aerospace &amp; Defense")</f>
        <v>Aerospace &amp; Defense</v>
      </c>
      <c r="N544" s="5">
        <f>IFERROR(__xludf.DUMMYFUNCTION("""COMPUTED_VALUE"""),8831.0638545)</f>
        <v>8831.063855</v>
      </c>
      <c r="O544" s="6">
        <f t="shared" si="4"/>
        <v>110</v>
      </c>
      <c r="P544" s="6">
        <f t="shared" ref="P544:Q544" si="1090">COUNTIFS(L:L,L544)</f>
        <v>11</v>
      </c>
      <c r="Q544" s="24">
        <f t="shared" si="1090"/>
        <v>11</v>
      </c>
      <c r="R544" s="6" t="str">
        <f t="shared" si="6"/>
        <v>Capital Goods</v>
      </c>
      <c r="S544" s="6" t="str">
        <f t="shared" si="7"/>
        <v>Capital Goods</v>
      </c>
      <c r="T544" s="6">
        <f>IFERROR(__xludf.DUMMYFUNCTION("COUNTA(UNIQUE(query($A$2:$P$800,""select L where K='""&amp; K544&amp;""'"")))"),5.0)</f>
        <v>5</v>
      </c>
      <c r="U544" s="23">
        <f t="shared" si="8"/>
        <v>0.06818181818</v>
      </c>
      <c r="V544" s="23">
        <f t="shared" ref="V544:W544" si="1091">P544/O544</f>
        <v>0.1</v>
      </c>
      <c r="W544" s="23">
        <f t="shared" si="1091"/>
        <v>1</v>
      </c>
    </row>
    <row r="545">
      <c r="A545" s="6">
        <f>IFERROR(__xludf.DUMMYFUNCTION("""COMPUTED_VALUE"""),543936.0)</f>
        <v>543936</v>
      </c>
      <c r="B545" s="6" t="str">
        <f>IFERROR(__xludf.DUMMYFUNCTION("""COMPUTED_VALUE"""),"Senco Gold Limited")</f>
        <v>Senco Gold Limited</v>
      </c>
      <c r="C545" s="6" t="str">
        <f>IFERROR(__xludf.DUMMYFUNCTION("""COMPUTED_VALUE"""),"SENCO")</f>
        <v>SENCO</v>
      </c>
      <c r="D545" s="6" t="str">
        <f>IFERROR(__xludf.DUMMYFUNCTION("""COMPUTED_VALUE"""),"Senco Gold Ltd")</f>
        <v>Senco Gold Ltd</v>
      </c>
      <c r="E545" s="6" t="str">
        <f>IFERROR(__xludf.DUMMYFUNCTION("""COMPUTED_VALUE"""),"Active")</f>
        <v>Active</v>
      </c>
      <c r="F545" s="6" t="str">
        <f>IFERROR(__xludf.DUMMYFUNCTION("""COMPUTED_VALUE"""),"B")</f>
        <v>B</v>
      </c>
      <c r="G545" s="6">
        <f>IFERROR(__xludf.DUMMYFUNCTION("""COMPUTED_VALUE"""),10.0)</f>
        <v>10</v>
      </c>
      <c r="H545" s="6" t="str">
        <f>IFERROR(__xludf.DUMMYFUNCTION("""COMPUTED_VALUE"""),"INE602W01019")</f>
        <v>INE602W01019</v>
      </c>
      <c r="I545" s="6" t="str">
        <f>IFERROR(__xludf.DUMMYFUNCTION("""COMPUTED_VALUE"""),"Equity")</f>
        <v>Equity</v>
      </c>
      <c r="J545" s="6" t="str">
        <f>IFERROR(__xludf.DUMMYFUNCTION("""COMPUTED_VALUE"""),"Consumer Discretionary")</f>
        <v>Consumer Discretionary</v>
      </c>
      <c r="K545" s="6" t="str">
        <f>IFERROR(__xludf.DUMMYFUNCTION("""COMPUTED_VALUE"""),"Consumer Durables")</f>
        <v>Consumer Durables</v>
      </c>
      <c r="L545" s="6" t="str">
        <f>IFERROR(__xludf.DUMMYFUNCTION("""COMPUTED_VALUE"""),"Consumer Durables")</f>
        <v>Consumer Durables</v>
      </c>
      <c r="M545" s="6" t="str">
        <f>IFERROR(__xludf.DUMMYFUNCTION("""COMPUTED_VALUE"""),"Gems, Jewellery And Watches")</f>
        <v>Gems, Jewellery And Watches</v>
      </c>
      <c r="N545" s="5">
        <f>IFERROR(__xludf.DUMMYFUNCTION("""COMPUTED_VALUE"""),8813.638395)</f>
        <v>8813.638395</v>
      </c>
      <c r="O545" s="6">
        <f t="shared" si="4"/>
        <v>42</v>
      </c>
      <c r="P545" s="6">
        <f t="shared" ref="P545:Q545" si="1092">COUNTIFS(L:L,L545)</f>
        <v>42</v>
      </c>
      <c r="Q545" s="24">
        <f t="shared" si="1092"/>
        <v>7</v>
      </c>
      <c r="R545" s="6" t="str">
        <f t="shared" si="6"/>
        <v>Consumer Durables</v>
      </c>
      <c r="S545" s="6" t="str">
        <f t="shared" si="7"/>
        <v>Consumer Durables</v>
      </c>
      <c r="T545" s="6">
        <f>IFERROR(__xludf.DUMMYFUNCTION("COUNTA(UNIQUE(query($A$2:$P$800,""select L where K='""&amp; K545&amp;""'"")))"),1.0)</f>
        <v>1</v>
      </c>
      <c r="U545" s="23">
        <f t="shared" si="8"/>
        <v>0.03571428571</v>
      </c>
      <c r="V545" s="23">
        <f t="shared" ref="V545:W545" si="1093">P545/O545</f>
        <v>1</v>
      </c>
      <c r="W545" s="23">
        <f t="shared" si="1093"/>
        <v>0.1666666667</v>
      </c>
    </row>
    <row r="546">
      <c r="A546" s="6">
        <f>IFERROR(__xludf.DUMMYFUNCTION("""COMPUTED_VALUE"""),504918.0)</f>
        <v>504918</v>
      </c>
      <c r="B546" s="6" t="str">
        <f>IFERROR(__xludf.DUMMYFUNCTION("""COMPUTED_VALUE"""),"Sandur Manganese &amp; Iron Ores Ltd.")</f>
        <v>Sandur Manganese &amp; Iron Ores Ltd.</v>
      </c>
      <c r="C546" s="6" t="str">
        <f>IFERROR(__xludf.DUMMYFUNCTION("""COMPUTED_VALUE"""),"SANDUMA")</f>
        <v>SANDUMA</v>
      </c>
      <c r="D546" s="6" t="str">
        <f>IFERROR(__xludf.DUMMYFUNCTION("""COMPUTED_VALUE"""),"SANDUR MANGANESE &amp; IRON ORES LTD.")</f>
        <v>SANDUR MANGANESE &amp; IRON ORES LTD.</v>
      </c>
      <c r="E546" s="6" t="str">
        <f>IFERROR(__xludf.DUMMYFUNCTION("""COMPUTED_VALUE"""),"Active")</f>
        <v>Active</v>
      </c>
      <c r="F546" s="6" t="str">
        <f>IFERROR(__xludf.DUMMYFUNCTION("""COMPUTED_VALUE"""),"B")</f>
        <v>B</v>
      </c>
      <c r="G546" s="6">
        <f>IFERROR(__xludf.DUMMYFUNCTION("""COMPUTED_VALUE"""),10.0)</f>
        <v>10</v>
      </c>
      <c r="H546" s="6" t="str">
        <f>IFERROR(__xludf.DUMMYFUNCTION("""COMPUTED_VALUE"""),"INE149K01016")</f>
        <v>INE149K01016</v>
      </c>
      <c r="I546" s="6" t="str">
        <f>IFERROR(__xludf.DUMMYFUNCTION("""COMPUTED_VALUE"""),"Equity")</f>
        <v>Equity</v>
      </c>
      <c r="J546" s="6" t="str">
        <f>IFERROR(__xludf.DUMMYFUNCTION("""COMPUTED_VALUE"""),"Energy")</f>
        <v>Energy</v>
      </c>
      <c r="K546" s="6" t="str">
        <f>IFERROR(__xludf.DUMMYFUNCTION("""COMPUTED_VALUE"""),"Oil, Gas &amp; Consumable, Fuels")</f>
        <v>Oil, Gas &amp; Consumable, Fuels</v>
      </c>
      <c r="L546" s="6" t="str">
        <f>IFERROR(__xludf.DUMMYFUNCTION("""COMPUTED_VALUE"""),"Consumable Fuels")</f>
        <v>Consumable Fuels</v>
      </c>
      <c r="M546" s="6" t="str">
        <f>IFERROR(__xludf.DUMMYFUNCTION("""COMPUTED_VALUE"""),"Coal")</f>
        <v>Coal</v>
      </c>
      <c r="N546" s="5">
        <f>IFERROR(__xludf.DUMMYFUNCTION("""COMPUTED_VALUE"""),8764.309875)</f>
        <v>8764.309875</v>
      </c>
      <c r="O546" s="6">
        <f t="shared" si="4"/>
        <v>20</v>
      </c>
      <c r="P546" s="6">
        <f t="shared" ref="P546:Q546" si="1094">COUNTIFS(L:L,L546)</f>
        <v>2</v>
      </c>
      <c r="Q546" s="24">
        <f t="shared" si="1094"/>
        <v>2</v>
      </c>
      <c r="R546" s="6" t="str">
        <f t="shared" si="6"/>
        <v>Oil, Gas &amp; Consumable, Fuels</v>
      </c>
      <c r="S546" s="6" t="str">
        <f t="shared" si="7"/>
        <v>Oil, Gas &amp; Consumable, Fuels</v>
      </c>
      <c r="T546" s="6">
        <f>IFERROR(__xludf.DUMMYFUNCTION("COUNTA(UNIQUE(query($A$2:$P$800,""select L where K='""&amp; K546&amp;""'"")))"),4.0)</f>
        <v>4</v>
      </c>
      <c r="U546" s="23">
        <f t="shared" si="8"/>
        <v>0.3</v>
      </c>
      <c r="V546" s="23">
        <f t="shared" ref="V546:W546" si="1095">P546/O546</f>
        <v>0.1</v>
      </c>
      <c r="W546" s="23">
        <f t="shared" si="1095"/>
        <v>1</v>
      </c>
    </row>
    <row r="547">
      <c r="A547" s="6">
        <f>IFERROR(__xludf.DUMMYFUNCTION("""COMPUTED_VALUE"""),543959.0)</f>
        <v>543959</v>
      </c>
      <c r="B547" s="6" t="str">
        <f>IFERROR(__xludf.DUMMYFUNCTION("""COMPUTED_VALUE"""),"SBFC Finance Limited")</f>
        <v>SBFC Finance Limited</v>
      </c>
      <c r="C547" s="6" t="str">
        <f>IFERROR(__xludf.DUMMYFUNCTION("""COMPUTED_VALUE"""),"SBFC")</f>
        <v>SBFC</v>
      </c>
      <c r="D547" s="6" t="str">
        <f>IFERROR(__xludf.DUMMYFUNCTION("""COMPUTED_VALUE"""),"SBFC Finance Ltd")</f>
        <v>SBFC Finance Ltd</v>
      </c>
      <c r="E547" s="6" t="str">
        <f>IFERROR(__xludf.DUMMYFUNCTION("""COMPUTED_VALUE"""),"Active")</f>
        <v>Active</v>
      </c>
      <c r="F547" s="6" t="str">
        <f>IFERROR(__xludf.DUMMYFUNCTION("""COMPUTED_VALUE"""),"B")</f>
        <v>B</v>
      </c>
      <c r="G547" s="6">
        <f>IFERROR(__xludf.DUMMYFUNCTION("""COMPUTED_VALUE"""),10.0)</f>
        <v>10</v>
      </c>
      <c r="H547" s="6" t="str">
        <f>IFERROR(__xludf.DUMMYFUNCTION("""COMPUTED_VALUE"""),"INE423Y01016")</f>
        <v>INE423Y01016</v>
      </c>
      <c r="I547" s="6" t="str">
        <f>IFERROR(__xludf.DUMMYFUNCTION("""COMPUTED_VALUE"""),"Equity")</f>
        <v>Equity</v>
      </c>
      <c r="J547" s="6" t="str">
        <f>IFERROR(__xludf.DUMMYFUNCTION("""COMPUTED_VALUE"""),"Financial Services")</f>
        <v>Financial Services</v>
      </c>
      <c r="K547" s="6" t="str">
        <f>IFERROR(__xludf.DUMMYFUNCTION("""COMPUTED_VALUE"""),"Financial Services")</f>
        <v>Financial Services</v>
      </c>
      <c r="L547" s="6" t="str">
        <f>IFERROR(__xludf.DUMMYFUNCTION("""COMPUTED_VALUE"""),"Finance")</f>
        <v>Finance</v>
      </c>
      <c r="M547" s="6" t="str">
        <f>IFERROR(__xludf.DUMMYFUNCTION("""COMPUTED_VALUE"""),"Non Banking Financial Company (NBFC)")</f>
        <v>Non Banking Financial Company (NBFC)</v>
      </c>
      <c r="N547" s="5">
        <f>IFERROR(__xludf.DUMMYFUNCTION("""COMPUTED_VALUE"""),8731.8385596)</f>
        <v>8731.83856</v>
      </c>
      <c r="O547" s="6">
        <f t="shared" si="4"/>
        <v>123</v>
      </c>
      <c r="P547" s="6">
        <f t="shared" ref="P547:Q547" si="1096">COUNTIFS(L:L,L547)</f>
        <v>56</v>
      </c>
      <c r="Q547" s="24">
        <f t="shared" si="1096"/>
        <v>21</v>
      </c>
      <c r="R547" s="6" t="str">
        <f t="shared" si="6"/>
        <v>Non Banking Financial Company (NBFC)</v>
      </c>
      <c r="S547" s="6" t="str">
        <f t="shared" si="7"/>
        <v>Non Banking Financial Company (NBFC)</v>
      </c>
      <c r="T547" s="6">
        <f>IFERROR(__xludf.DUMMYFUNCTION("COUNTA(UNIQUE(query($A$2:$P$800,""select L where K='""&amp; K547&amp;""'"")))"),5.0)</f>
        <v>5</v>
      </c>
      <c r="U547" s="23">
        <f t="shared" si="8"/>
        <v>0.06097560976</v>
      </c>
      <c r="V547" s="23">
        <f t="shared" ref="V547:W547" si="1097">P547/O547</f>
        <v>0.4552845528</v>
      </c>
      <c r="W547" s="23">
        <f t="shared" si="1097"/>
        <v>0.375</v>
      </c>
    </row>
    <row r="548">
      <c r="A548" s="6">
        <f>IFERROR(__xludf.DUMMYFUNCTION("""COMPUTED_VALUE"""),542904.0)</f>
        <v>542904</v>
      </c>
      <c r="B548" s="6" t="str">
        <f>IFERROR(__xludf.DUMMYFUNCTION("""COMPUTED_VALUE"""),"Ujjivan Small Finance Bank Limited")</f>
        <v>Ujjivan Small Finance Bank Limited</v>
      </c>
      <c r="C548" s="6" t="str">
        <f>IFERROR(__xludf.DUMMYFUNCTION("""COMPUTED_VALUE"""),"UJJIVANSFB")</f>
        <v>UJJIVANSFB</v>
      </c>
      <c r="D548" s="6" t="str">
        <f>IFERROR(__xludf.DUMMYFUNCTION("""COMPUTED_VALUE"""),"Ujjivan Small Finance Bank Ltd")</f>
        <v>Ujjivan Small Finance Bank Ltd</v>
      </c>
      <c r="E548" s="6" t="str">
        <f>IFERROR(__xludf.DUMMYFUNCTION("""COMPUTED_VALUE"""),"Active")</f>
        <v>Active</v>
      </c>
      <c r="F548" s="6" t="str">
        <f>IFERROR(__xludf.DUMMYFUNCTION("""COMPUTED_VALUE"""),"A")</f>
        <v>A</v>
      </c>
      <c r="G548" s="6">
        <f>IFERROR(__xludf.DUMMYFUNCTION("""COMPUTED_VALUE"""),10.0)</f>
        <v>10</v>
      </c>
      <c r="H548" s="6" t="str">
        <f>IFERROR(__xludf.DUMMYFUNCTION("""COMPUTED_VALUE"""),"INE551W01018")</f>
        <v>INE551W01018</v>
      </c>
      <c r="I548" s="6" t="str">
        <f>IFERROR(__xludf.DUMMYFUNCTION("""COMPUTED_VALUE"""),"Equity")</f>
        <v>Equity</v>
      </c>
      <c r="J548" s="6" t="str">
        <f>IFERROR(__xludf.DUMMYFUNCTION("""COMPUTED_VALUE"""),"Financial Services")</f>
        <v>Financial Services</v>
      </c>
      <c r="K548" s="6" t="str">
        <f>IFERROR(__xludf.DUMMYFUNCTION("""COMPUTED_VALUE"""),"Financial Services")</f>
        <v>Financial Services</v>
      </c>
      <c r="L548" s="6" t="str">
        <f>IFERROR(__xludf.DUMMYFUNCTION("""COMPUTED_VALUE"""),"Banks")</f>
        <v>Banks</v>
      </c>
      <c r="M548" s="6" t="str">
        <f>IFERROR(__xludf.DUMMYFUNCTION("""COMPUTED_VALUE"""),"Private Sector Bank")</f>
        <v>Private Sector Bank</v>
      </c>
      <c r="N548" s="5">
        <f>IFERROR(__xludf.DUMMYFUNCTION("""COMPUTED_VALUE"""),8721.8904759)</f>
        <v>8721.890476</v>
      </c>
      <c r="O548" s="6">
        <f t="shared" si="4"/>
        <v>123</v>
      </c>
      <c r="P548" s="6">
        <f t="shared" ref="P548:Q548" si="1098">COUNTIFS(L:L,L548)</f>
        <v>35</v>
      </c>
      <c r="Q548" s="24">
        <f t="shared" si="1098"/>
        <v>23</v>
      </c>
      <c r="R548" s="6" t="str">
        <f t="shared" si="6"/>
        <v>Banks</v>
      </c>
      <c r="S548" s="6" t="str">
        <f t="shared" si="7"/>
        <v>Banks</v>
      </c>
      <c r="T548" s="6">
        <f>IFERROR(__xludf.DUMMYFUNCTION("COUNTA(UNIQUE(query($A$2:$P$800,""select L where K='""&amp; K548&amp;""'"")))"),5.0)</f>
        <v>5</v>
      </c>
      <c r="U548" s="23">
        <f t="shared" si="8"/>
        <v>0.06097560976</v>
      </c>
      <c r="V548" s="23">
        <f t="shared" ref="V548:W548" si="1099">P548/O548</f>
        <v>0.2845528455</v>
      </c>
      <c r="W548" s="23">
        <f t="shared" si="1099"/>
        <v>0.6571428571</v>
      </c>
    </row>
    <row r="549">
      <c r="A549" s="6">
        <f>IFERROR(__xludf.DUMMYFUNCTION("""COMPUTED_VALUE"""),532531.0)</f>
        <v>532531</v>
      </c>
      <c r="B549" s="6" t="str">
        <f>IFERROR(__xludf.DUMMYFUNCTION("""COMPUTED_VALUE"""),"STRIDES PHARMA SCIENCE LIMITED")</f>
        <v>STRIDES PHARMA SCIENCE LIMITED</v>
      </c>
      <c r="C549" s="6" t="str">
        <f>IFERROR(__xludf.DUMMYFUNCTION("""COMPUTED_VALUE"""),"STAR")</f>
        <v>STAR</v>
      </c>
      <c r="D549" s="6" t="str">
        <f>IFERROR(__xludf.DUMMYFUNCTION("""COMPUTED_VALUE"""),"Strides Pharma Science Ltd")</f>
        <v>Strides Pharma Science Ltd</v>
      </c>
      <c r="E549" s="6" t="str">
        <f>IFERROR(__xludf.DUMMYFUNCTION("""COMPUTED_VALUE"""),"Active")</f>
        <v>Active</v>
      </c>
      <c r="F549" s="6" t="str">
        <f>IFERROR(__xludf.DUMMYFUNCTION("""COMPUTED_VALUE"""),"A")</f>
        <v>A</v>
      </c>
      <c r="G549" s="6">
        <f>IFERROR(__xludf.DUMMYFUNCTION("""COMPUTED_VALUE"""),10.0)</f>
        <v>10</v>
      </c>
      <c r="H549" s="6" t="str">
        <f>IFERROR(__xludf.DUMMYFUNCTION("""COMPUTED_VALUE"""),"INE939A01011")</f>
        <v>INE939A01011</v>
      </c>
      <c r="I549" s="6" t="str">
        <f>IFERROR(__xludf.DUMMYFUNCTION("""COMPUTED_VALUE"""),"Equity")</f>
        <v>Equity</v>
      </c>
      <c r="J549" s="6" t="str">
        <f>IFERROR(__xludf.DUMMYFUNCTION("""COMPUTED_VALUE"""),"Healthcare")</f>
        <v>Healthcare</v>
      </c>
      <c r="K549" s="6" t="str">
        <f>IFERROR(__xludf.DUMMYFUNCTION("""COMPUTED_VALUE"""),"Healthcare")</f>
        <v>Healthcare</v>
      </c>
      <c r="L549" s="6" t="str">
        <f>IFERROR(__xludf.DUMMYFUNCTION("""COMPUTED_VALUE"""),"Pharmaceuticals &amp; Biotechnology")</f>
        <v>Pharmaceuticals &amp; Biotechnology</v>
      </c>
      <c r="M549" s="6" t="str">
        <f>IFERROR(__xludf.DUMMYFUNCTION("""COMPUTED_VALUE"""),"Pharmaceuticals")</f>
        <v>Pharmaceuticals</v>
      </c>
      <c r="N549" s="5">
        <f>IFERROR(__xludf.DUMMYFUNCTION("""COMPUTED_VALUE"""),8714.5853657)</f>
        <v>8714.585366</v>
      </c>
      <c r="O549" s="6">
        <f t="shared" si="4"/>
        <v>62</v>
      </c>
      <c r="P549" s="6">
        <f t="shared" ref="P549:Q549" si="1100">COUNTIFS(L:L,L549)</f>
        <v>45</v>
      </c>
      <c r="Q549" s="24">
        <f t="shared" si="1100"/>
        <v>45</v>
      </c>
      <c r="R549" s="6" t="str">
        <f t="shared" si="6"/>
        <v>Healthcare</v>
      </c>
      <c r="S549" s="6" t="str">
        <f t="shared" si="7"/>
        <v>Healthcare</v>
      </c>
      <c r="T549" s="6">
        <f>IFERROR(__xludf.DUMMYFUNCTION("COUNTA(UNIQUE(query($A$2:$P$800,""select L where K='""&amp; K549&amp;""'"")))"),3.0)</f>
        <v>3</v>
      </c>
      <c r="U549" s="23">
        <f t="shared" si="8"/>
        <v>0.07258064516</v>
      </c>
      <c r="V549" s="23">
        <f t="shared" ref="V549:W549" si="1101">P549/O549</f>
        <v>0.7258064516</v>
      </c>
      <c r="W549" s="23">
        <f t="shared" si="1101"/>
        <v>1</v>
      </c>
    </row>
    <row r="550">
      <c r="A550" s="6">
        <f>IFERROR(__xludf.DUMMYFUNCTION("""COMPUTED_VALUE"""),500038.0)</f>
        <v>500038</v>
      </c>
      <c r="B550" s="6" t="str">
        <f>IFERROR(__xludf.DUMMYFUNCTION("""COMPUTED_VALUE"""),"Balrampur Chini Mills Ltd.")</f>
        <v>Balrampur Chini Mills Ltd.</v>
      </c>
      <c r="C550" s="6" t="str">
        <f>IFERROR(__xludf.DUMMYFUNCTION("""COMPUTED_VALUE"""),"BALRAMCHIN")</f>
        <v>BALRAMCHIN</v>
      </c>
      <c r="D550" s="6" t="str">
        <f>IFERROR(__xludf.DUMMYFUNCTION("""COMPUTED_VALUE"""),"BALRAMPUR CHINI MILLS LTD.")</f>
        <v>BALRAMPUR CHINI MILLS LTD.</v>
      </c>
      <c r="E550" s="6" t="str">
        <f>IFERROR(__xludf.DUMMYFUNCTION("""COMPUTED_VALUE"""),"Active")</f>
        <v>Active</v>
      </c>
      <c r="F550" s="6" t="str">
        <f>IFERROR(__xludf.DUMMYFUNCTION("""COMPUTED_VALUE"""),"A")</f>
        <v>A</v>
      </c>
      <c r="G550" s="6">
        <f>IFERROR(__xludf.DUMMYFUNCTION("""COMPUTED_VALUE"""),1.0)</f>
        <v>1</v>
      </c>
      <c r="H550" s="6" t="str">
        <f>IFERROR(__xludf.DUMMYFUNCTION("""COMPUTED_VALUE"""),"INE119A01028")</f>
        <v>INE119A01028</v>
      </c>
      <c r="I550" s="6" t="str">
        <f>IFERROR(__xludf.DUMMYFUNCTION("""COMPUTED_VALUE"""),"Equity")</f>
        <v>Equity</v>
      </c>
      <c r="J550" s="6" t="str">
        <f>IFERROR(__xludf.DUMMYFUNCTION("""COMPUTED_VALUE"""),"Fast Moving Consumer Goods")</f>
        <v>Fast Moving Consumer Goods</v>
      </c>
      <c r="K550" s="6" t="str">
        <f>IFERROR(__xludf.DUMMYFUNCTION("""COMPUTED_VALUE"""),"Fast Moving Consumer Goods")</f>
        <v>Fast Moving Consumer Goods</v>
      </c>
      <c r="L550" s="6" t="str">
        <f>IFERROR(__xludf.DUMMYFUNCTION("""COMPUTED_VALUE"""),"Agricultural Food &amp; other Products")</f>
        <v>Agricultural Food &amp; other Products</v>
      </c>
      <c r="M550" s="6" t="str">
        <f>IFERROR(__xludf.DUMMYFUNCTION("""COMPUTED_VALUE"""),"Sugar")</f>
        <v>Sugar</v>
      </c>
      <c r="N550" s="5">
        <f>IFERROR(__xludf.DUMMYFUNCTION("""COMPUTED_VALUE"""),8693.1222601)</f>
        <v>8693.12226</v>
      </c>
      <c r="O550" s="6">
        <f t="shared" si="4"/>
        <v>44</v>
      </c>
      <c r="P550" s="6">
        <f t="shared" ref="P550:Q550" si="1102">COUNTIFS(L:L,L550)</f>
        <v>14</v>
      </c>
      <c r="Q550" s="24">
        <f t="shared" si="1102"/>
        <v>5</v>
      </c>
      <c r="R550" s="6" t="str">
        <f t="shared" si="6"/>
        <v>Fast Moving Consumer Goods</v>
      </c>
      <c r="S550" s="6" t="str">
        <f t="shared" si="7"/>
        <v>Fast Moving Consumer Goods</v>
      </c>
      <c r="T550" s="6">
        <f>IFERROR(__xludf.DUMMYFUNCTION("COUNTA(UNIQUE(query($A$2:$P$800,""select L where K='""&amp; K550&amp;""'"")))"),7.0)</f>
        <v>7</v>
      </c>
      <c r="U550" s="23">
        <f t="shared" si="8"/>
        <v>0.2386363636</v>
      </c>
      <c r="V550" s="23">
        <f t="shared" ref="V550:W550" si="1103">P550/O550</f>
        <v>0.3181818182</v>
      </c>
      <c r="W550" s="23">
        <f t="shared" si="1103"/>
        <v>0.3571428571</v>
      </c>
    </row>
    <row r="551">
      <c r="A551" s="6">
        <f>IFERROR(__xludf.DUMMYFUNCTION("""COMPUTED_VALUE"""),500265.0)</f>
        <v>500265</v>
      </c>
      <c r="B551" s="6" t="str">
        <f>IFERROR(__xludf.DUMMYFUNCTION("""COMPUTED_VALUE"""),"Maharashtra Seamless Ltd.")</f>
        <v>Maharashtra Seamless Ltd.</v>
      </c>
      <c r="C551" s="6" t="str">
        <f>IFERROR(__xludf.DUMMYFUNCTION("""COMPUTED_VALUE"""),"MAHSEAMLES")</f>
        <v>MAHSEAMLES</v>
      </c>
      <c r="D551" s="6" t="str">
        <f>IFERROR(__xludf.DUMMYFUNCTION("""COMPUTED_VALUE"""),"MAHARASHTRA SEAMLESS LTD.")</f>
        <v>MAHARASHTRA SEAMLESS LTD.</v>
      </c>
      <c r="E551" s="6" t="str">
        <f>IFERROR(__xludf.DUMMYFUNCTION("""COMPUTED_VALUE"""),"Active")</f>
        <v>Active</v>
      </c>
      <c r="F551" s="6" t="str">
        <f>IFERROR(__xludf.DUMMYFUNCTION("""COMPUTED_VALUE"""),"A")</f>
        <v>A</v>
      </c>
      <c r="G551" s="6">
        <f>IFERROR(__xludf.DUMMYFUNCTION("""COMPUTED_VALUE"""),5.0)</f>
        <v>5</v>
      </c>
      <c r="H551" s="6" t="str">
        <f>IFERROR(__xludf.DUMMYFUNCTION("""COMPUTED_VALUE"""),"INE271B01025")</f>
        <v>INE271B01025</v>
      </c>
      <c r="I551" s="6" t="str">
        <f>IFERROR(__xludf.DUMMYFUNCTION("""COMPUTED_VALUE"""),"Equity")</f>
        <v>Equity</v>
      </c>
      <c r="J551" s="6" t="str">
        <f>IFERROR(__xludf.DUMMYFUNCTION("""COMPUTED_VALUE"""),"Industrials")</f>
        <v>Industrials</v>
      </c>
      <c r="K551" s="6" t="str">
        <f>IFERROR(__xludf.DUMMYFUNCTION("""COMPUTED_VALUE"""),"Capital Goods")</f>
        <v>Capital Goods</v>
      </c>
      <c r="L551" s="6" t="str">
        <f>IFERROR(__xludf.DUMMYFUNCTION("""COMPUTED_VALUE"""),"Industrial Products")</f>
        <v>Industrial Products</v>
      </c>
      <c r="M551" s="6" t="str">
        <f>IFERROR(__xludf.DUMMYFUNCTION("""COMPUTED_VALUE"""),"Iron &amp; Steel Products")</f>
        <v>Iron &amp; Steel Products</v>
      </c>
      <c r="N551" s="5">
        <f>IFERROR(__xludf.DUMMYFUNCTION("""COMPUTED_VALUE"""),8687.39141)</f>
        <v>8687.39141</v>
      </c>
      <c r="O551" s="6">
        <f t="shared" si="4"/>
        <v>110</v>
      </c>
      <c r="P551" s="6">
        <f t="shared" ref="P551:Q551" si="1104">COUNTIFS(L:L,L551)</f>
        <v>51</v>
      </c>
      <c r="Q551" s="24">
        <f t="shared" si="1104"/>
        <v>13</v>
      </c>
      <c r="R551" s="6" t="str">
        <f t="shared" si="6"/>
        <v>Industrial Products</v>
      </c>
      <c r="S551" s="6" t="str">
        <f t="shared" si="7"/>
        <v>Industrial Products</v>
      </c>
      <c r="T551" s="6">
        <f>IFERROR(__xludf.DUMMYFUNCTION("COUNTA(UNIQUE(query($A$2:$P$800,""select L where K='""&amp; K551&amp;""'"")))"),5.0)</f>
        <v>5</v>
      </c>
      <c r="U551" s="23">
        <f t="shared" si="8"/>
        <v>0.06818181818</v>
      </c>
      <c r="V551" s="23">
        <f t="shared" ref="V551:W551" si="1105">P551/O551</f>
        <v>0.4636363636</v>
      </c>
      <c r="W551" s="23">
        <f t="shared" si="1105"/>
        <v>0.2549019608</v>
      </c>
    </row>
    <row r="552">
      <c r="A552" s="6">
        <f>IFERROR(__xludf.DUMMYFUNCTION("""COMPUTED_VALUE"""),543336.0)</f>
        <v>543336</v>
      </c>
      <c r="B552" s="6" t="str">
        <f>IFERROR(__xludf.DUMMYFUNCTION("""COMPUTED_VALUE"""),"Chemplast Sanmar Limited")</f>
        <v>Chemplast Sanmar Limited</v>
      </c>
      <c r="C552" s="6" t="str">
        <f>IFERROR(__xludf.DUMMYFUNCTION("""COMPUTED_VALUE"""),"CHEMPLASTS")</f>
        <v>CHEMPLASTS</v>
      </c>
      <c r="D552" s="6" t="str">
        <f>IFERROR(__xludf.DUMMYFUNCTION("""COMPUTED_VALUE"""),"Chemplast Sanmar Ltd")</f>
        <v>Chemplast Sanmar Ltd</v>
      </c>
      <c r="E552" s="6" t="str">
        <f>IFERROR(__xludf.DUMMYFUNCTION("""COMPUTED_VALUE"""),"Active")</f>
        <v>Active</v>
      </c>
      <c r="F552" s="6" t="str">
        <f>IFERROR(__xludf.DUMMYFUNCTION("""COMPUTED_VALUE"""),"A")</f>
        <v>A</v>
      </c>
      <c r="G552" s="6">
        <f>IFERROR(__xludf.DUMMYFUNCTION("""COMPUTED_VALUE"""),5.0)</f>
        <v>5</v>
      </c>
      <c r="H552" s="6" t="str">
        <f>IFERROR(__xludf.DUMMYFUNCTION("""COMPUTED_VALUE"""),"INE488A01050")</f>
        <v>INE488A01050</v>
      </c>
      <c r="I552" s="6" t="str">
        <f>IFERROR(__xludf.DUMMYFUNCTION("""COMPUTED_VALUE"""),"Equity")</f>
        <v>Equity</v>
      </c>
      <c r="J552" s="6" t="str">
        <f>IFERROR(__xludf.DUMMYFUNCTION("""COMPUTED_VALUE"""),"Commodities")</f>
        <v>Commodities</v>
      </c>
      <c r="K552" s="6" t="str">
        <f>IFERROR(__xludf.DUMMYFUNCTION("""COMPUTED_VALUE"""),"Chemicals")</f>
        <v>Chemicals</v>
      </c>
      <c r="L552" s="6" t="str">
        <f>IFERROR(__xludf.DUMMYFUNCTION("""COMPUTED_VALUE"""),"Chemicals &amp; Petrochemicals")</f>
        <v>Chemicals &amp; Petrochemicals</v>
      </c>
      <c r="M552" s="6" t="str">
        <f>IFERROR(__xludf.DUMMYFUNCTION("""COMPUTED_VALUE"""),"Commodity Chemicals")</f>
        <v>Commodity Chemicals</v>
      </c>
      <c r="N552" s="5">
        <f>IFERROR(__xludf.DUMMYFUNCTION("""COMPUTED_VALUE"""),8667.4527395)</f>
        <v>8667.45274</v>
      </c>
      <c r="O552" s="6">
        <f t="shared" si="4"/>
        <v>52</v>
      </c>
      <c r="P552" s="6">
        <f t="shared" ref="P552:Q552" si="1106">COUNTIFS(L:L,L552)</f>
        <v>37</v>
      </c>
      <c r="Q552" s="24">
        <f t="shared" si="1106"/>
        <v>6</v>
      </c>
      <c r="R552" s="6" t="str">
        <f t="shared" si="6"/>
        <v>Chemicals</v>
      </c>
      <c r="S552" s="6" t="str">
        <f t="shared" si="7"/>
        <v>Chemicals</v>
      </c>
      <c r="T552" s="6">
        <f>IFERROR(__xludf.DUMMYFUNCTION("COUNTA(UNIQUE(query($A$2:$P$800,""select L where K='""&amp; K552&amp;""'"")))"),2.0)</f>
        <v>2</v>
      </c>
      <c r="U552" s="23">
        <f t="shared" si="8"/>
        <v>0.05769230769</v>
      </c>
      <c r="V552" s="23">
        <f t="shared" ref="V552:W552" si="1107">P552/O552</f>
        <v>0.7115384615</v>
      </c>
      <c r="W552" s="23">
        <f t="shared" si="1107"/>
        <v>0.1621621622</v>
      </c>
    </row>
    <row r="553">
      <c r="A553" s="6">
        <f>IFERROR(__xludf.DUMMYFUNCTION("""COMPUTED_VALUE"""),535648.0)</f>
        <v>535648</v>
      </c>
      <c r="B553" s="6" t="str">
        <f>IFERROR(__xludf.DUMMYFUNCTION("""COMPUTED_VALUE"""),"Just Dial Limited")</f>
        <v>Just Dial Limited</v>
      </c>
      <c r="C553" s="6" t="str">
        <f>IFERROR(__xludf.DUMMYFUNCTION("""COMPUTED_VALUE"""),"JUSTDIAL")</f>
        <v>JUSTDIAL</v>
      </c>
      <c r="D553" s="6" t="str">
        <f>IFERROR(__xludf.DUMMYFUNCTION("""COMPUTED_VALUE"""),"JUST DIAL LTD.")</f>
        <v>JUST DIAL LTD.</v>
      </c>
      <c r="E553" s="6" t="str">
        <f>IFERROR(__xludf.DUMMYFUNCTION("""COMPUTED_VALUE"""),"Active")</f>
        <v>Active</v>
      </c>
      <c r="F553" s="6" t="str">
        <f>IFERROR(__xludf.DUMMYFUNCTION("""COMPUTED_VALUE"""),"A")</f>
        <v>A</v>
      </c>
      <c r="G553" s="6">
        <f>IFERROR(__xludf.DUMMYFUNCTION("""COMPUTED_VALUE"""),10.0)</f>
        <v>10</v>
      </c>
      <c r="H553" s="6" t="str">
        <f>IFERROR(__xludf.DUMMYFUNCTION("""COMPUTED_VALUE"""),"INE599M01018")</f>
        <v>INE599M01018</v>
      </c>
      <c r="I553" s="6" t="str">
        <f>IFERROR(__xludf.DUMMYFUNCTION("""COMPUTED_VALUE"""),"Equity")</f>
        <v>Equity</v>
      </c>
      <c r="J553" s="6" t="str">
        <f>IFERROR(__xludf.DUMMYFUNCTION("""COMPUTED_VALUE"""),"Consumer Discretionary")</f>
        <v>Consumer Discretionary</v>
      </c>
      <c r="K553" s="6" t="str">
        <f>IFERROR(__xludf.DUMMYFUNCTION("""COMPUTED_VALUE"""),"Consumer Services")</f>
        <v>Consumer Services</v>
      </c>
      <c r="L553" s="6" t="str">
        <f>IFERROR(__xludf.DUMMYFUNCTION("""COMPUTED_VALUE"""),"Retailing")</f>
        <v>Retailing</v>
      </c>
      <c r="M553" s="6" t="str">
        <f>IFERROR(__xludf.DUMMYFUNCTION("""COMPUTED_VALUE"""),"Internet &amp; Catalogue Retail")</f>
        <v>Internet &amp; Catalogue Retail</v>
      </c>
      <c r="N553" s="5">
        <f>IFERROR(__xludf.DUMMYFUNCTION("""COMPUTED_VALUE"""),8635.9097825)</f>
        <v>8635.909783</v>
      </c>
      <c r="O553" s="6">
        <f t="shared" si="4"/>
        <v>37</v>
      </c>
      <c r="P553" s="6">
        <f t="shared" ref="P553:Q553" si="1108">COUNTIFS(L:L,L553)</f>
        <v>18</v>
      </c>
      <c r="Q553" s="24">
        <f t="shared" si="1108"/>
        <v>3</v>
      </c>
      <c r="R553" s="6" t="str">
        <f t="shared" si="6"/>
        <v>Retailing</v>
      </c>
      <c r="S553" s="6" t="str">
        <f t="shared" si="7"/>
        <v>Retailing</v>
      </c>
      <c r="T553" s="6">
        <f>IFERROR(__xludf.DUMMYFUNCTION("COUNTA(UNIQUE(query($A$2:$P$800,""select L where K='""&amp; K553&amp;""'"")))"),3.0)</f>
        <v>3</v>
      </c>
      <c r="U553" s="23">
        <f t="shared" si="8"/>
        <v>0.1216216216</v>
      </c>
      <c r="V553" s="23">
        <f t="shared" ref="V553:W553" si="1109">P553/O553</f>
        <v>0.4864864865</v>
      </c>
      <c r="W553" s="23">
        <f t="shared" si="1109"/>
        <v>0.1666666667</v>
      </c>
    </row>
    <row r="554">
      <c r="A554" s="6">
        <f>IFERROR(__xludf.DUMMYFUNCTION("""COMPUTED_VALUE"""),532356.0)</f>
        <v>532356</v>
      </c>
      <c r="B554" s="6" t="str">
        <f>IFERROR(__xludf.DUMMYFUNCTION("""COMPUTED_VALUE"""),"Triveni Engineering &amp; Industries Ltd")</f>
        <v>Triveni Engineering &amp; Industries Ltd</v>
      </c>
      <c r="C554" s="6" t="str">
        <f>IFERROR(__xludf.DUMMYFUNCTION("""COMPUTED_VALUE"""),"TRIVENI")</f>
        <v>TRIVENI</v>
      </c>
      <c r="D554" s="6" t="str">
        <f>IFERROR(__xludf.DUMMYFUNCTION("""COMPUTED_VALUE"""),"TRIVENI ENGINEERING &amp; INDUSTRIES LTD.")</f>
        <v>TRIVENI ENGINEERING &amp; INDUSTRIES LTD.</v>
      </c>
      <c r="E554" s="6" t="str">
        <f>IFERROR(__xludf.DUMMYFUNCTION("""COMPUTED_VALUE"""),"Active")</f>
        <v>Active</v>
      </c>
      <c r="F554" s="6" t="str">
        <f>IFERROR(__xludf.DUMMYFUNCTION("""COMPUTED_VALUE"""),"A")</f>
        <v>A</v>
      </c>
      <c r="G554" s="6">
        <f>IFERROR(__xludf.DUMMYFUNCTION("""COMPUTED_VALUE"""),1.0)</f>
        <v>1</v>
      </c>
      <c r="H554" s="6" t="str">
        <f>IFERROR(__xludf.DUMMYFUNCTION("""COMPUTED_VALUE"""),"INE256C01024")</f>
        <v>INE256C01024</v>
      </c>
      <c r="I554" s="6" t="str">
        <f>IFERROR(__xludf.DUMMYFUNCTION("""COMPUTED_VALUE"""),"Equity")</f>
        <v>Equity</v>
      </c>
      <c r="J554" s="6" t="str">
        <f>IFERROR(__xludf.DUMMYFUNCTION("""COMPUTED_VALUE"""),"Fast Moving Consumer Goods")</f>
        <v>Fast Moving Consumer Goods</v>
      </c>
      <c r="K554" s="6" t="str">
        <f>IFERROR(__xludf.DUMMYFUNCTION("""COMPUTED_VALUE"""),"Fast Moving Consumer Goods")</f>
        <v>Fast Moving Consumer Goods</v>
      </c>
      <c r="L554" s="6" t="str">
        <f>IFERROR(__xludf.DUMMYFUNCTION("""COMPUTED_VALUE"""),"Agricultural Food &amp; other Products")</f>
        <v>Agricultural Food &amp; other Products</v>
      </c>
      <c r="M554" s="6" t="str">
        <f>IFERROR(__xludf.DUMMYFUNCTION("""COMPUTED_VALUE"""),"Sugar")</f>
        <v>Sugar</v>
      </c>
      <c r="N554" s="5">
        <f>IFERROR(__xludf.DUMMYFUNCTION("""COMPUTED_VALUE"""),8613.844)</f>
        <v>8613.844</v>
      </c>
      <c r="O554" s="6">
        <f t="shared" si="4"/>
        <v>44</v>
      </c>
      <c r="P554" s="6">
        <f t="shared" ref="P554:Q554" si="1110">COUNTIFS(L:L,L554)</f>
        <v>14</v>
      </c>
      <c r="Q554" s="24">
        <f t="shared" si="1110"/>
        <v>5</v>
      </c>
      <c r="R554" s="6" t="str">
        <f t="shared" si="6"/>
        <v>Fast Moving Consumer Goods</v>
      </c>
      <c r="S554" s="6" t="str">
        <f t="shared" si="7"/>
        <v>Fast Moving Consumer Goods</v>
      </c>
      <c r="T554" s="6">
        <f>IFERROR(__xludf.DUMMYFUNCTION("COUNTA(UNIQUE(query($A$2:$P$800,""select L where K='""&amp; K554&amp;""'"")))"),7.0)</f>
        <v>7</v>
      </c>
      <c r="U554" s="23">
        <f t="shared" si="8"/>
        <v>0.2386363636</v>
      </c>
      <c r="V554" s="23">
        <f t="shared" ref="V554:W554" si="1111">P554/O554</f>
        <v>0.3181818182</v>
      </c>
      <c r="W554" s="23">
        <f t="shared" si="1111"/>
        <v>0.3571428571</v>
      </c>
    </row>
    <row r="555">
      <c r="A555" s="6">
        <f>IFERROR(__xludf.DUMMYFUNCTION("""COMPUTED_VALUE"""),539807.0)</f>
        <v>539807</v>
      </c>
      <c r="B555" s="6" t="str">
        <f>IFERROR(__xludf.DUMMYFUNCTION("""COMPUTED_VALUE"""),"INFIBEAM AVENUES LIMITED")</f>
        <v>INFIBEAM AVENUES LIMITED</v>
      </c>
      <c r="C555" s="6" t="str">
        <f>IFERROR(__xludf.DUMMYFUNCTION("""COMPUTED_VALUE"""),"INFIBEAM")</f>
        <v>INFIBEAM</v>
      </c>
      <c r="D555" s="6" t="str">
        <f>IFERROR(__xludf.DUMMYFUNCTION("""COMPUTED_VALUE"""),"Infibeam Avenues Ltd")</f>
        <v>Infibeam Avenues Ltd</v>
      </c>
      <c r="E555" s="6" t="str">
        <f>IFERROR(__xludf.DUMMYFUNCTION("""COMPUTED_VALUE"""),"Active")</f>
        <v>Active</v>
      </c>
      <c r="F555" s="6" t="str">
        <f>IFERROR(__xludf.DUMMYFUNCTION("""COMPUTED_VALUE"""),"A")</f>
        <v>A</v>
      </c>
      <c r="G555" s="6">
        <f>IFERROR(__xludf.DUMMYFUNCTION("""COMPUTED_VALUE"""),1.0)</f>
        <v>1</v>
      </c>
      <c r="H555" s="6" t="str">
        <f>IFERROR(__xludf.DUMMYFUNCTION("""COMPUTED_VALUE"""),"INE483S01020")</f>
        <v>INE483S01020</v>
      </c>
      <c r="I555" s="6" t="str">
        <f>IFERROR(__xludf.DUMMYFUNCTION("""COMPUTED_VALUE"""),"Equity")</f>
        <v>Equity</v>
      </c>
      <c r="J555" s="6" t="str">
        <f>IFERROR(__xludf.DUMMYFUNCTION("""COMPUTED_VALUE"""),"Financial Services")</f>
        <v>Financial Services</v>
      </c>
      <c r="K555" s="6" t="str">
        <f>IFERROR(__xludf.DUMMYFUNCTION("""COMPUTED_VALUE"""),"Financial Services")</f>
        <v>Financial Services</v>
      </c>
      <c r="L555" s="6" t="str">
        <f>IFERROR(__xludf.DUMMYFUNCTION("""COMPUTED_VALUE"""),"Financial Technology (Fintech)")</f>
        <v>Financial Technology (Fintech)</v>
      </c>
      <c r="M555" s="6" t="str">
        <f>IFERROR(__xludf.DUMMYFUNCTION("""COMPUTED_VALUE"""),"Financial Technology (Fintech)")</f>
        <v>Financial Technology (Fintech)</v>
      </c>
      <c r="N555" s="5">
        <f>IFERROR(__xludf.DUMMYFUNCTION("""COMPUTED_VALUE"""),8521.626)</f>
        <v>8521.626</v>
      </c>
      <c r="O555" s="6">
        <f t="shared" si="4"/>
        <v>123</v>
      </c>
      <c r="P555" s="6">
        <f t="shared" ref="P555:Q555" si="1112">COUNTIFS(L:L,L555)</f>
        <v>3</v>
      </c>
      <c r="Q555" s="24">
        <f t="shared" si="1112"/>
        <v>3</v>
      </c>
      <c r="R555" s="6" t="str">
        <f t="shared" si="6"/>
        <v>Financial Services</v>
      </c>
      <c r="S555" s="6" t="str">
        <f t="shared" si="7"/>
        <v>Financial Services</v>
      </c>
      <c r="T555" s="6">
        <f>IFERROR(__xludf.DUMMYFUNCTION("COUNTA(UNIQUE(query($A$2:$P$800,""select L where K='""&amp; K555&amp;""'"")))"),5.0)</f>
        <v>5</v>
      </c>
      <c r="U555" s="23">
        <f t="shared" si="8"/>
        <v>0.06097560976</v>
      </c>
      <c r="V555" s="23">
        <f t="shared" ref="V555:W555" si="1113">P555/O555</f>
        <v>0.0243902439</v>
      </c>
      <c r="W555" s="23">
        <f t="shared" si="1113"/>
        <v>1</v>
      </c>
    </row>
    <row r="556">
      <c r="A556" s="6">
        <f>IFERROR(__xludf.DUMMYFUNCTION("""COMPUTED_VALUE"""),523405.0)</f>
        <v>523405</v>
      </c>
      <c r="B556" s="6" t="str">
        <f>IFERROR(__xludf.DUMMYFUNCTION("""COMPUTED_VALUE"""),"JM Financial Limited")</f>
        <v>JM Financial Limited</v>
      </c>
      <c r="C556" s="6" t="str">
        <f>IFERROR(__xludf.DUMMYFUNCTION("""COMPUTED_VALUE"""),"JMFINANCIL")</f>
        <v>JMFINANCIL</v>
      </c>
      <c r="D556" s="6" t="str">
        <f>IFERROR(__xludf.DUMMYFUNCTION("""COMPUTED_VALUE"""),"JM FINANCIAL LTD.-$")</f>
        <v>JM FINANCIAL LTD.-$</v>
      </c>
      <c r="E556" s="6" t="str">
        <f>IFERROR(__xludf.DUMMYFUNCTION("""COMPUTED_VALUE"""),"Active")</f>
        <v>Active</v>
      </c>
      <c r="F556" s="6" t="str">
        <f>IFERROR(__xludf.DUMMYFUNCTION("""COMPUTED_VALUE"""),"A")</f>
        <v>A</v>
      </c>
      <c r="G556" s="6">
        <f>IFERROR(__xludf.DUMMYFUNCTION("""COMPUTED_VALUE"""),1.0)</f>
        <v>1</v>
      </c>
      <c r="H556" s="6" t="str">
        <f>IFERROR(__xludf.DUMMYFUNCTION("""COMPUTED_VALUE"""),"INE780C01023")</f>
        <v>INE780C01023</v>
      </c>
      <c r="I556" s="6" t="str">
        <f>IFERROR(__xludf.DUMMYFUNCTION("""COMPUTED_VALUE"""),"Equity")</f>
        <v>Equity</v>
      </c>
      <c r="J556" s="6" t="str">
        <f>IFERROR(__xludf.DUMMYFUNCTION("""COMPUTED_VALUE"""),"Financial Services")</f>
        <v>Financial Services</v>
      </c>
      <c r="K556" s="6" t="str">
        <f>IFERROR(__xludf.DUMMYFUNCTION("""COMPUTED_VALUE"""),"Financial Services")</f>
        <v>Financial Services</v>
      </c>
      <c r="L556" s="6" t="str">
        <f>IFERROR(__xludf.DUMMYFUNCTION("""COMPUTED_VALUE"""),"Finance")</f>
        <v>Finance</v>
      </c>
      <c r="M556" s="6" t="str">
        <f>IFERROR(__xludf.DUMMYFUNCTION("""COMPUTED_VALUE"""),"Holding Company")</f>
        <v>Holding Company</v>
      </c>
      <c r="N556" s="5">
        <f>IFERROR(__xludf.DUMMYFUNCTION("""COMPUTED_VALUE"""),8515.959685)</f>
        <v>8515.959685</v>
      </c>
      <c r="O556" s="6">
        <f t="shared" si="4"/>
        <v>123</v>
      </c>
      <c r="P556" s="6">
        <f t="shared" ref="P556:Q556" si="1114">COUNTIFS(L:L,L556)</f>
        <v>56</v>
      </c>
      <c r="Q556" s="24">
        <f t="shared" si="1114"/>
        <v>8</v>
      </c>
      <c r="R556" s="6" t="str">
        <f t="shared" si="6"/>
        <v>Finance</v>
      </c>
      <c r="S556" s="6" t="str">
        <f t="shared" si="7"/>
        <v>Finance</v>
      </c>
      <c r="T556" s="6">
        <f>IFERROR(__xludf.DUMMYFUNCTION("COUNTA(UNIQUE(query($A$2:$P$800,""select L where K='""&amp; K556&amp;""'"")))"),5.0)</f>
        <v>5</v>
      </c>
      <c r="U556" s="23">
        <f t="shared" si="8"/>
        <v>0.06097560976</v>
      </c>
      <c r="V556" s="23">
        <f t="shared" ref="V556:W556" si="1115">P556/O556</f>
        <v>0.4552845528</v>
      </c>
      <c r="W556" s="23">
        <f t="shared" si="1115"/>
        <v>0.1428571429</v>
      </c>
    </row>
    <row r="557">
      <c r="A557" s="6">
        <f>IFERROR(__xludf.DUMMYFUNCTION("""COMPUTED_VALUE"""),540575.0)</f>
        <v>540575</v>
      </c>
      <c r="B557" s="6" t="str">
        <f>IFERROR(__xludf.DUMMYFUNCTION("""COMPUTED_VALUE"""),"Star Cement Limited")</f>
        <v>Star Cement Limited</v>
      </c>
      <c r="C557" s="6" t="str">
        <f>IFERROR(__xludf.DUMMYFUNCTION("""COMPUTED_VALUE"""),"STARCEMENT")</f>
        <v>STARCEMENT</v>
      </c>
      <c r="D557" s="6" t="str">
        <f>IFERROR(__xludf.DUMMYFUNCTION("""COMPUTED_VALUE"""),"Star Cement Ltd")</f>
        <v>Star Cement Ltd</v>
      </c>
      <c r="E557" s="6" t="str">
        <f>IFERROR(__xludf.DUMMYFUNCTION("""COMPUTED_VALUE"""),"Active")</f>
        <v>Active</v>
      </c>
      <c r="F557" s="6" t="str">
        <f>IFERROR(__xludf.DUMMYFUNCTION("""COMPUTED_VALUE"""),"A")</f>
        <v>A</v>
      </c>
      <c r="G557" s="6">
        <f>IFERROR(__xludf.DUMMYFUNCTION("""COMPUTED_VALUE"""),1.0)</f>
        <v>1</v>
      </c>
      <c r="H557" s="6" t="str">
        <f>IFERROR(__xludf.DUMMYFUNCTION("""COMPUTED_VALUE"""),"INE460H01021")</f>
        <v>INE460H01021</v>
      </c>
      <c r="I557" s="6" t="str">
        <f>IFERROR(__xludf.DUMMYFUNCTION("""COMPUTED_VALUE"""),"Equity")</f>
        <v>Equity</v>
      </c>
      <c r="J557" s="6" t="str">
        <f>IFERROR(__xludf.DUMMYFUNCTION("""COMPUTED_VALUE"""),"Commodities")</f>
        <v>Commodities</v>
      </c>
      <c r="K557" s="6" t="str">
        <f>IFERROR(__xludf.DUMMYFUNCTION("""COMPUTED_VALUE"""),"Construction Materials")</f>
        <v>Construction Materials</v>
      </c>
      <c r="L557" s="6" t="str">
        <f>IFERROR(__xludf.DUMMYFUNCTION("""COMPUTED_VALUE"""),"Cement &amp; Cement Products")</f>
        <v>Cement &amp; Cement Products</v>
      </c>
      <c r="M557" s="6" t="str">
        <f>IFERROR(__xludf.DUMMYFUNCTION("""COMPUTED_VALUE"""),"Cement &amp; Cement Products")</f>
        <v>Cement &amp; Cement Products</v>
      </c>
      <c r="N557" s="5">
        <f>IFERROR(__xludf.DUMMYFUNCTION("""COMPUTED_VALUE"""),8484.3305221)</f>
        <v>8484.330522</v>
      </c>
      <c r="O557" s="6">
        <f t="shared" si="4"/>
        <v>17</v>
      </c>
      <c r="P557" s="6">
        <f t="shared" ref="P557:Q557" si="1116">COUNTIFS(L:L,L557)</f>
        <v>17</v>
      </c>
      <c r="Q557" s="24">
        <f t="shared" si="1116"/>
        <v>17</v>
      </c>
      <c r="R557" s="6" t="str">
        <f t="shared" si="6"/>
        <v>Construction Materials</v>
      </c>
      <c r="S557" s="6" t="str">
        <f t="shared" si="7"/>
        <v>Construction Materials</v>
      </c>
      <c r="T557" s="6">
        <f>IFERROR(__xludf.DUMMYFUNCTION("COUNTA(UNIQUE(query($A$2:$P$800,""select L where K='""&amp; K557&amp;""'"")))"),1.0)</f>
        <v>1</v>
      </c>
      <c r="U557" s="23">
        <f t="shared" si="8"/>
        <v>0.08823529412</v>
      </c>
      <c r="V557" s="23">
        <f t="shared" ref="V557:W557" si="1117">P557/O557</f>
        <v>1</v>
      </c>
      <c r="W557" s="23">
        <f t="shared" si="1117"/>
        <v>1</v>
      </c>
    </row>
    <row r="558">
      <c r="A558" s="6">
        <f>IFERROR(__xludf.DUMMYFUNCTION("""COMPUTED_VALUE"""),543980.0)</f>
        <v>543980</v>
      </c>
      <c r="B558" s="6" t="str">
        <f>IFERROR(__xludf.DUMMYFUNCTION("""COMPUTED_VALUE"""),"Jupiter Life Line Hospitals Limited")</f>
        <v>Jupiter Life Line Hospitals Limited</v>
      </c>
      <c r="C558" s="6" t="str">
        <f>IFERROR(__xludf.DUMMYFUNCTION("""COMPUTED_VALUE"""),"JLHL")</f>
        <v>JLHL</v>
      </c>
      <c r="D558" s="6" t="str">
        <f>IFERROR(__xludf.DUMMYFUNCTION("""COMPUTED_VALUE"""),"Jupiter Life Line Hospitals Ltd")</f>
        <v>Jupiter Life Line Hospitals Ltd</v>
      </c>
      <c r="E558" s="6" t="str">
        <f>IFERROR(__xludf.DUMMYFUNCTION("""COMPUTED_VALUE"""),"Active")</f>
        <v>Active</v>
      </c>
      <c r="F558" s="6" t="str">
        <f>IFERROR(__xludf.DUMMYFUNCTION("""COMPUTED_VALUE"""),"B")</f>
        <v>B</v>
      </c>
      <c r="G558" s="6">
        <f>IFERROR(__xludf.DUMMYFUNCTION("""COMPUTED_VALUE"""),10.0)</f>
        <v>10</v>
      </c>
      <c r="H558" s="6" t="str">
        <f>IFERROR(__xludf.DUMMYFUNCTION("""COMPUTED_VALUE"""),"INE682M01012")</f>
        <v>INE682M01012</v>
      </c>
      <c r="I558" s="6" t="str">
        <f>IFERROR(__xludf.DUMMYFUNCTION("""COMPUTED_VALUE"""),"Equity")</f>
        <v>Equity</v>
      </c>
      <c r="J558" s="6" t="str">
        <f>IFERROR(__xludf.DUMMYFUNCTION("""COMPUTED_VALUE"""),"Healthcare")</f>
        <v>Healthcare</v>
      </c>
      <c r="K558" s="6" t="str">
        <f>IFERROR(__xludf.DUMMYFUNCTION("""COMPUTED_VALUE"""),"Healthcare")</f>
        <v>Healthcare</v>
      </c>
      <c r="L558" s="6" t="str">
        <f>IFERROR(__xludf.DUMMYFUNCTION("""COMPUTED_VALUE"""),"Healthcare Services")</f>
        <v>Healthcare Services</v>
      </c>
      <c r="M558" s="6" t="str">
        <f>IFERROR(__xludf.DUMMYFUNCTION("""COMPUTED_VALUE"""),"Hospital")</f>
        <v>Hospital</v>
      </c>
      <c r="N558" s="5">
        <f>IFERROR(__xludf.DUMMYFUNCTION("""COMPUTED_VALUE"""),8448.8511187)</f>
        <v>8448.851119</v>
      </c>
      <c r="O558" s="6">
        <f t="shared" si="4"/>
        <v>62</v>
      </c>
      <c r="P558" s="6">
        <f t="shared" ref="P558:Q558" si="1118">COUNTIFS(L:L,L558)</f>
        <v>16</v>
      </c>
      <c r="Q558" s="24">
        <f t="shared" si="1118"/>
        <v>11</v>
      </c>
      <c r="R558" s="6" t="str">
        <f t="shared" si="6"/>
        <v>Healthcare Services</v>
      </c>
      <c r="S558" s="6" t="str">
        <f t="shared" si="7"/>
        <v>Healthcare Services</v>
      </c>
      <c r="T558" s="6">
        <f>IFERROR(__xludf.DUMMYFUNCTION("COUNTA(UNIQUE(query($A$2:$P$800,""select L where K='""&amp; K558&amp;""'"")))"),3.0)</f>
        <v>3</v>
      </c>
      <c r="U558" s="23">
        <f t="shared" si="8"/>
        <v>0.07258064516</v>
      </c>
      <c r="V558" s="23">
        <f t="shared" ref="V558:W558" si="1119">P558/O558</f>
        <v>0.2580645161</v>
      </c>
      <c r="W558" s="23">
        <f t="shared" si="1119"/>
        <v>0.6875</v>
      </c>
    </row>
    <row r="559">
      <c r="A559" s="6">
        <f>IFERROR(__xludf.DUMMYFUNCTION("""COMPUTED_VALUE"""),500338.0)</f>
        <v>500338</v>
      </c>
      <c r="B559" s="6" t="str">
        <f>IFERROR(__xludf.DUMMYFUNCTION("""COMPUTED_VALUE"""),"PRISM JOHNSON LIMITED.")</f>
        <v>PRISM JOHNSON LIMITED.</v>
      </c>
      <c r="C559" s="6" t="str">
        <f>IFERROR(__xludf.DUMMYFUNCTION("""COMPUTED_VALUE"""),"PRSMJOHNSN")</f>
        <v>PRSMJOHNSN</v>
      </c>
      <c r="D559" s="6" t="str">
        <f>IFERROR(__xludf.DUMMYFUNCTION("""COMPUTED_VALUE"""),"Prism Johnson Ltd")</f>
        <v>Prism Johnson Ltd</v>
      </c>
      <c r="E559" s="6" t="str">
        <f>IFERROR(__xludf.DUMMYFUNCTION("""COMPUTED_VALUE"""),"Active")</f>
        <v>Active</v>
      </c>
      <c r="F559" s="6" t="str">
        <f>IFERROR(__xludf.DUMMYFUNCTION("""COMPUTED_VALUE"""),"A")</f>
        <v>A</v>
      </c>
      <c r="G559" s="6">
        <f>IFERROR(__xludf.DUMMYFUNCTION("""COMPUTED_VALUE"""),10.0)</f>
        <v>10</v>
      </c>
      <c r="H559" s="6" t="str">
        <f>IFERROR(__xludf.DUMMYFUNCTION("""COMPUTED_VALUE"""),"INE010A01011")</f>
        <v>INE010A01011</v>
      </c>
      <c r="I559" s="6" t="str">
        <f>IFERROR(__xludf.DUMMYFUNCTION("""COMPUTED_VALUE"""),"Equity")</f>
        <v>Equity</v>
      </c>
      <c r="J559" s="6" t="str">
        <f>IFERROR(__xludf.DUMMYFUNCTION("""COMPUTED_VALUE"""),"Commodities")</f>
        <v>Commodities</v>
      </c>
      <c r="K559" s="6" t="str">
        <f>IFERROR(__xludf.DUMMYFUNCTION("""COMPUTED_VALUE"""),"Construction Materials")</f>
        <v>Construction Materials</v>
      </c>
      <c r="L559" s="6" t="str">
        <f>IFERROR(__xludf.DUMMYFUNCTION("""COMPUTED_VALUE"""),"Cement &amp; Cement Products")</f>
        <v>Cement &amp; Cement Products</v>
      </c>
      <c r="M559" s="6" t="str">
        <f>IFERROR(__xludf.DUMMYFUNCTION("""COMPUTED_VALUE"""),"Cement &amp; Cement Products")</f>
        <v>Cement &amp; Cement Products</v>
      </c>
      <c r="N559" s="5">
        <f>IFERROR(__xludf.DUMMYFUNCTION("""COMPUTED_VALUE"""),8409.1280625)</f>
        <v>8409.128063</v>
      </c>
      <c r="O559" s="6">
        <f t="shared" si="4"/>
        <v>17</v>
      </c>
      <c r="P559" s="6">
        <f t="shared" ref="P559:Q559" si="1120">COUNTIFS(L:L,L559)</f>
        <v>17</v>
      </c>
      <c r="Q559" s="24">
        <f t="shared" si="1120"/>
        <v>17</v>
      </c>
      <c r="R559" s="6" t="str">
        <f t="shared" si="6"/>
        <v>Construction Materials</v>
      </c>
      <c r="S559" s="6" t="str">
        <f t="shared" si="7"/>
        <v>Construction Materials</v>
      </c>
      <c r="T559" s="6">
        <f>IFERROR(__xludf.DUMMYFUNCTION("COUNTA(UNIQUE(query($A$2:$P$800,""select L where K='""&amp; K559&amp;""'"")))"),1.0)</f>
        <v>1</v>
      </c>
      <c r="U559" s="23">
        <f t="shared" si="8"/>
        <v>0.08823529412</v>
      </c>
      <c r="V559" s="23">
        <f t="shared" ref="V559:W559" si="1121">P559/O559</f>
        <v>1</v>
      </c>
      <c r="W559" s="23">
        <f t="shared" si="1121"/>
        <v>1</v>
      </c>
    </row>
    <row r="560">
      <c r="A560" s="6">
        <f>IFERROR(__xludf.DUMMYFUNCTION("""COMPUTED_VALUE"""),531500.0)</f>
        <v>531500</v>
      </c>
      <c r="B560" s="6" t="str">
        <f>IFERROR(__xludf.DUMMYFUNCTION("""COMPUTED_VALUE"""),"Rajesh Exports Ltd.")</f>
        <v>Rajesh Exports Ltd.</v>
      </c>
      <c r="C560" s="6" t="str">
        <f>IFERROR(__xludf.DUMMYFUNCTION("""COMPUTED_VALUE"""),"RAJESHEXPO")</f>
        <v>RAJESHEXPO</v>
      </c>
      <c r="D560" s="6" t="str">
        <f>IFERROR(__xludf.DUMMYFUNCTION("""COMPUTED_VALUE"""),"RAJESH EXPORTS LTD.")</f>
        <v>RAJESH EXPORTS LTD.</v>
      </c>
      <c r="E560" s="6" t="str">
        <f>IFERROR(__xludf.DUMMYFUNCTION("""COMPUTED_VALUE"""),"Active")</f>
        <v>Active</v>
      </c>
      <c r="F560" s="6" t="str">
        <f>IFERROR(__xludf.DUMMYFUNCTION("""COMPUTED_VALUE"""),"A")</f>
        <v>A</v>
      </c>
      <c r="G560" s="6">
        <f>IFERROR(__xludf.DUMMYFUNCTION("""COMPUTED_VALUE"""),1.0)</f>
        <v>1</v>
      </c>
      <c r="H560" s="6" t="str">
        <f>IFERROR(__xludf.DUMMYFUNCTION("""COMPUTED_VALUE"""),"INE343B01030")</f>
        <v>INE343B01030</v>
      </c>
      <c r="I560" s="6" t="str">
        <f>IFERROR(__xludf.DUMMYFUNCTION("""COMPUTED_VALUE"""),"Equity")</f>
        <v>Equity</v>
      </c>
      <c r="J560" s="6" t="str">
        <f>IFERROR(__xludf.DUMMYFUNCTION("""COMPUTED_VALUE"""),"Consumer Discretionary")</f>
        <v>Consumer Discretionary</v>
      </c>
      <c r="K560" s="6" t="str">
        <f>IFERROR(__xludf.DUMMYFUNCTION("""COMPUTED_VALUE"""),"Consumer Durables")</f>
        <v>Consumer Durables</v>
      </c>
      <c r="L560" s="6" t="str">
        <f>IFERROR(__xludf.DUMMYFUNCTION("""COMPUTED_VALUE"""),"Consumer Durables")</f>
        <v>Consumer Durables</v>
      </c>
      <c r="M560" s="6" t="str">
        <f>IFERROR(__xludf.DUMMYFUNCTION("""COMPUTED_VALUE"""),"Gems, Jewellery And Watches")</f>
        <v>Gems, Jewellery And Watches</v>
      </c>
      <c r="N560" s="5">
        <f>IFERROR(__xludf.DUMMYFUNCTION("""COMPUTED_VALUE"""),8403.6130991)</f>
        <v>8403.613099</v>
      </c>
      <c r="O560" s="6">
        <f t="shared" si="4"/>
        <v>42</v>
      </c>
      <c r="P560" s="6">
        <f t="shared" ref="P560:Q560" si="1122">COUNTIFS(L:L,L560)</f>
        <v>42</v>
      </c>
      <c r="Q560" s="24">
        <f t="shared" si="1122"/>
        <v>7</v>
      </c>
      <c r="R560" s="6" t="str">
        <f t="shared" si="6"/>
        <v>Consumer Durables</v>
      </c>
      <c r="S560" s="6" t="str">
        <f t="shared" si="7"/>
        <v>Consumer Durables</v>
      </c>
      <c r="T560" s="6">
        <f>IFERROR(__xludf.DUMMYFUNCTION("COUNTA(UNIQUE(query($A$2:$P$800,""select L where K='""&amp; K560&amp;""'"")))"),1.0)</f>
        <v>1</v>
      </c>
      <c r="U560" s="23">
        <f t="shared" si="8"/>
        <v>0.03571428571</v>
      </c>
      <c r="V560" s="23">
        <f t="shared" ref="V560:W560" si="1123">P560/O560</f>
        <v>1</v>
      </c>
      <c r="W560" s="23">
        <f t="shared" si="1123"/>
        <v>0.1666666667</v>
      </c>
    </row>
    <row r="561">
      <c r="A561" s="6">
        <f>IFERROR(__xludf.DUMMYFUNCTION("""COMPUTED_VALUE"""),500126.0)</f>
        <v>500126</v>
      </c>
      <c r="B561" s="6" t="str">
        <f>IFERROR(__xludf.DUMMYFUNCTION("""COMPUTED_VALUE"""),"PROCTER &amp; GAMBLE HEALTH LIMITED")</f>
        <v>PROCTER &amp; GAMBLE HEALTH LIMITED</v>
      </c>
      <c r="C561" s="6" t="str">
        <f>IFERROR(__xludf.DUMMYFUNCTION("""COMPUTED_VALUE"""),"PGHL")</f>
        <v>PGHL</v>
      </c>
      <c r="D561" s="6" t="str">
        <f>IFERROR(__xludf.DUMMYFUNCTION("""COMPUTED_VALUE"""),"Procter &amp; Gamble Health Ltd")</f>
        <v>Procter &amp; Gamble Health Ltd</v>
      </c>
      <c r="E561" s="6" t="str">
        <f>IFERROR(__xludf.DUMMYFUNCTION("""COMPUTED_VALUE"""),"Active")</f>
        <v>Active</v>
      </c>
      <c r="F561" s="6" t="str">
        <f>IFERROR(__xludf.DUMMYFUNCTION("""COMPUTED_VALUE"""),"A")</f>
        <v>A</v>
      </c>
      <c r="G561" s="6">
        <f>IFERROR(__xludf.DUMMYFUNCTION("""COMPUTED_VALUE"""),10.0)</f>
        <v>10</v>
      </c>
      <c r="H561" s="6" t="str">
        <f>IFERROR(__xludf.DUMMYFUNCTION("""COMPUTED_VALUE"""),"INE199A01012")</f>
        <v>INE199A01012</v>
      </c>
      <c r="I561" s="6" t="str">
        <f>IFERROR(__xludf.DUMMYFUNCTION("""COMPUTED_VALUE"""),"Equity")</f>
        <v>Equity</v>
      </c>
      <c r="J561" s="6" t="str">
        <f>IFERROR(__xludf.DUMMYFUNCTION("""COMPUTED_VALUE"""),"Healthcare")</f>
        <v>Healthcare</v>
      </c>
      <c r="K561" s="6" t="str">
        <f>IFERROR(__xludf.DUMMYFUNCTION("""COMPUTED_VALUE"""),"Healthcare")</f>
        <v>Healthcare</v>
      </c>
      <c r="L561" s="6" t="str">
        <f>IFERROR(__xludf.DUMMYFUNCTION("""COMPUTED_VALUE"""),"Pharmaceuticals &amp; Biotechnology")</f>
        <v>Pharmaceuticals &amp; Biotechnology</v>
      </c>
      <c r="M561" s="6" t="str">
        <f>IFERROR(__xludf.DUMMYFUNCTION("""COMPUTED_VALUE"""),"Pharmaceuticals")</f>
        <v>Pharmaceuticals</v>
      </c>
      <c r="N561" s="5">
        <f>IFERROR(__xludf.DUMMYFUNCTION("""COMPUTED_VALUE"""),8393.1074388)</f>
        <v>8393.107439</v>
      </c>
      <c r="O561" s="6">
        <f t="shared" si="4"/>
        <v>62</v>
      </c>
      <c r="P561" s="6">
        <f t="shared" ref="P561:Q561" si="1124">COUNTIFS(L:L,L561)</f>
        <v>45</v>
      </c>
      <c r="Q561" s="24">
        <f t="shared" si="1124"/>
        <v>45</v>
      </c>
      <c r="R561" s="6" t="str">
        <f t="shared" si="6"/>
        <v>Healthcare</v>
      </c>
      <c r="S561" s="6" t="str">
        <f t="shared" si="7"/>
        <v>Healthcare</v>
      </c>
      <c r="T561" s="6">
        <f>IFERROR(__xludf.DUMMYFUNCTION("COUNTA(UNIQUE(query($A$2:$P$800,""select L where K='""&amp; K561&amp;""'"")))"),3.0)</f>
        <v>3</v>
      </c>
      <c r="U561" s="23">
        <f t="shared" si="8"/>
        <v>0.07258064516</v>
      </c>
      <c r="V561" s="23">
        <f t="shared" ref="V561:W561" si="1125">P561/O561</f>
        <v>0.7258064516</v>
      </c>
      <c r="W561" s="23">
        <f t="shared" si="1125"/>
        <v>1</v>
      </c>
    </row>
    <row r="562">
      <c r="A562" s="6">
        <f>IFERROR(__xludf.DUMMYFUNCTION("""COMPUTED_VALUE"""),543669.0)</f>
        <v>543669</v>
      </c>
      <c r="B562" s="6" t="str">
        <f>IFERROR(__xludf.DUMMYFUNCTION("""COMPUTED_VALUE"""),"Keystone Realtors Limited")</f>
        <v>Keystone Realtors Limited</v>
      </c>
      <c r="C562" s="6" t="str">
        <f>IFERROR(__xludf.DUMMYFUNCTION("""COMPUTED_VALUE"""),"RUSTOMJEE")</f>
        <v>RUSTOMJEE</v>
      </c>
      <c r="D562" s="6" t="str">
        <f>IFERROR(__xludf.DUMMYFUNCTION("""COMPUTED_VALUE"""),"Keystone Realtors Ltd")</f>
        <v>Keystone Realtors Ltd</v>
      </c>
      <c r="E562" s="6" t="str">
        <f>IFERROR(__xludf.DUMMYFUNCTION("""COMPUTED_VALUE"""),"Active")</f>
        <v>Active</v>
      </c>
      <c r="F562" s="6" t="str">
        <f>IFERROR(__xludf.DUMMYFUNCTION("""COMPUTED_VALUE"""),"B")</f>
        <v>B</v>
      </c>
      <c r="G562" s="6">
        <f>IFERROR(__xludf.DUMMYFUNCTION("""COMPUTED_VALUE"""),10.0)</f>
        <v>10</v>
      </c>
      <c r="H562" s="6" t="str">
        <f>IFERROR(__xludf.DUMMYFUNCTION("""COMPUTED_VALUE"""),"INE263M01029")</f>
        <v>INE263M01029</v>
      </c>
      <c r="I562" s="6" t="str">
        <f>IFERROR(__xludf.DUMMYFUNCTION("""COMPUTED_VALUE"""),"Equity")</f>
        <v>Equity</v>
      </c>
      <c r="J562" s="6" t="str">
        <f>IFERROR(__xludf.DUMMYFUNCTION("""COMPUTED_VALUE"""),"Consumer Discretionary")</f>
        <v>Consumer Discretionary</v>
      </c>
      <c r="K562" s="6" t="str">
        <f>IFERROR(__xludf.DUMMYFUNCTION("""COMPUTED_VALUE"""),"Realty")</f>
        <v>Realty</v>
      </c>
      <c r="L562" s="6" t="str">
        <f>IFERROR(__xludf.DUMMYFUNCTION("""COMPUTED_VALUE"""),"Realty")</f>
        <v>Realty</v>
      </c>
      <c r="M562" s="6" t="str">
        <f>IFERROR(__xludf.DUMMYFUNCTION("""COMPUTED_VALUE"""),"Residential, Commercial Projects")</f>
        <v>Residential, Commercial Projects</v>
      </c>
      <c r="N562" s="5">
        <f>IFERROR(__xludf.DUMMYFUNCTION("""COMPUTED_VALUE"""),8390.3131699)</f>
        <v>8390.31317</v>
      </c>
      <c r="O562" s="6">
        <f t="shared" si="4"/>
        <v>20</v>
      </c>
      <c r="P562" s="6">
        <f t="shared" ref="P562:Q562" si="1126">COUNTIFS(L:L,L562)</f>
        <v>20</v>
      </c>
      <c r="Q562" s="24">
        <f t="shared" si="1126"/>
        <v>20</v>
      </c>
      <c r="R562" s="6" t="str">
        <f t="shared" si="6"/>
        <v>Realty</v>
      </c>
      <c r="S562" s="6" t="str">
        <f t="shared" si="7"/>
        <v>Realty</v>
      </c>
      <c r="T562" s="6">
        <f>IFERROR(__xludf.DUMMYFUNCTION("COUNTA(UNIQUE(query($A$2:$P$800,""select L where K='""&amp; K562&amp;""'"")))"),1.0)</f>
        <v>1</v>
      </c>
      <c r="U562" s="23">
        <f t="shared" si="8"/>
        <v>0.075</v>
      </c>
      <c r="V562" s="23">
        <f t="shared" ref="V562:W562" si="1127">P562/O562</f>
        <v>1</v>
      </c>
      <c r="W562" s="23">
        <f t="shared" si="1127"/>
        <v>1</v>
      </c>
    </row>
    <row r="563">
      <c r="A563" s="6">
        <f>IFERROR(__xludf.DUMMYFUNCTION("""COMPUTED_VALUE"""),509631.0)</f>
        <v>509631</v>
      </c>
      <c r="B563" s="6" t="str">
        <f>IFERROR(__xludf.DUMMYFUNCTION("""COMPUTED_VALUE"""),"HEG Ltd.")</f>
        <v>HEG Ltd.</v>
      </c>
      <c r="C563" s="6" t="str">
        <f>IFERROR(__xludf.DUMMYFUNCTION("""COMPUTED_VALUE"""),"HEG")</f>
        <v>HEG</v>
      </c>
      <c r="D563" s="6" t="str">
        <f>IFERROR(__xludf.DUMMYFUNCTION("""COMPUTED_VALUE"""),"HEG LTD.")</f>
        <v>HEG LTD.</v>
      </c>
      <c r="E563" s="6" t="str">
        <f>IFERROR(__xludf.DUMMYFUNCTION("""COMPUTED_VALUE"""),"Active")</f>
        <v>Active</v>
      </c>
      <c r="F563" s="6" t="str">
        <f>IFERROR(__xludf.DUMMYFUNCTION("""COMPUTED_VALUE"""),"A")</f>
        <v>A</v>
      </c>
      <c r="G563" s="6">
        <f>IFERROR(__xludf.DUMMYFUNCTION("""COMPUTED_VALUE"""),10.0)</f>
        <v>10</v>
      </c>
      <c r="H563" s="6" t="str">
        <f>IFERROR(__xludf.DUMMYFUNCTION("""COMPUTED_VALUE"""),"INE545A01016")</f>
        <v>INE545A01016</v>
      </c>
      <c r="I563" s="6" t="str">
        <f>IFERROR(__xludf.DUMMYFUNCTION("""COMPUTED_VALUE"""),"Equity")</f>
        <v>Equity</v>
      </c>
      <c r="J563" s="6" t="str">
        <f>IFERROR(__xludf.DUMMYFUNCTION("""COMPUTED_VALUE"""),"Industrials")</f>
        <v>Industrials</v>
      </c>
      <c r="K563" s="6" t="str">
        <f>IFERROR(__xludf.DUMMYFUNCTION("""COMPUTED_VALUE"""),"Capital Goods")</f>
        <v>Capital Goods</v>
      </c>
      <c r="L563" s="6" t="str">
        <f>IFERROR(__xludf.DUMMYFUNCTION("""COMPUTED_VALUE"""),"Industrial Products")</f>
        <v>Industrial Products</v>
      </c>
      <c r="M563" s="6" t="str">
        <f>IFERROR(__xludf.DUMMYFUNCTION("""COMPUTED_VALUE"""),"Electrodes &amp; Refractories")</f>
        <v>Electrodes &amp; Refractories</v>
      </c>
      <c r="N563" s="5">
        <f>IFERROR(__xludf.DUMMYFUNCTION("""COMPUTED_VALUE"""),8390.039756)</f>
        <v>8390.039756</v>
      </c>
      <c r="O563" s="6">
        <f t="shared" si="4"/>
        <v>110</v>
      </c>
      <c r="P563" s="6">
        <f t="shared" ref="P563:Q563" si="1128">COUNTIFS(L:L,L563)</f>
        <v>51</v>
      </c>
      <c r="Q563" s="24">
        <f t="shared" si="1128"/>
        <v>4</v>
      </c>
      <c r="R563" s="6" t="str">
        <f t="shared" si="6"/>
        <v>Industrial Products</v>
      </c>
      <c r="S563" s="6" t="str">
        <f t="shared" si="7"/>
        <v>Industrial Products</v>
      </c>
      <c r="T563" s="6">
        <f>IFERROR(__xludf.DUMMYFUNCTION("COUNTA(UNIQUE(query($A$2:$P$800,""select L where K='""&amp; K563&amp;""'"")))"),5.0)</f>
        <v>5</v>
      </c>
      <c r="U563" s="23">
        <f t="shared" si="8"/>
        <v>0.06818181818</v>
      </c>
      <c r="V563" s="23">
        <f t="shared" ref="V563:W563" si="1129">P563/O563</f>
        <v>0.4636363636</v>
      </c>
      <c r="W563" s="23">
        <f t="shared" si="1129"/>
        <v>0.07843137255</v>
      </c>
    </row>
    <row r="564">
      <c r="A564" s="6" t="str">
        <f>IFERROR(__xludf.DUMMYFUNCTION("""COMPUTED_VALUE"""),"SHRIPISTON")</f>
        <v>SHRIPISTON</v>
      </c>
      <c r="B564" s="6" t="str">
        <f>IFERROR(__xludf.DUMMYFUNCTION("""COMPUTED_VALUE"""),"Shriram Pistons")</f>
        <v>Shriram Pistons</v>
      </c>
      <c r="C564" s="6" t="str">
        <f>IFERROR(__xludf.DUMMYFUNCTION("""COMPUTED_VALUE"""),"SHRIPISTON")</f>
        <v>SHRIPISTON</v>
      </c>
      <c r="D564" s="6" t="str">
        <f>IFERROR(__xludf.DUMMYFUNCTION("""COMPUTED_VALUE"""),"Shriram Pistons")</f>
        <v>Shriram Pistons</v>
      </c>
      <c r="E564" s="6" t="str">
        <f>IFERROR(__xludf.DUMMYFUNCTION("""COMPUTED_VALUE"""),"Active")</f>
        <v>Active</v>
      </c>
      <c r="F564" s="6"/>
      <c r="G564" s="6"/>
      <c r="H564" s="6" t="str">
        <f>IFERROR(__xludf.DUMMYFUNCTION("""COMPUTED_VALUE"""),"INE526E01018")</f>
        <v>INE526E01018</v>
      </c>
      <c r="I564" s="6" t="str">
        <f>IFERROR(__xludf.DUMMYFUNCTION("""COMPUTED_VALUE"""),"Equity")</f>
        <v>Equity</v>
      </c>
      <c r="J564" s="6" t="str">
        <f>IFERROR(__xludf.DUMMYFUNCTION("""COMPUTED_VALUE"""),"Consumer Discretionary")</f>
        <v>Consumer Discretionary</v>
      </c>
      <c r="K564" s="6" t="str">
        <f>IFERROR(__xludf.DUMMYFUNCTION("""COMPUTED_VALUE"""),"Automobile and Auto Components")</f>
        <v>Automobile and Auto Components</v>
      </c>
      <c r="L564" s="6" t="str">
        <f>IFERROR(__xludf.DUMMYFUNCTION("""COMPUTED_VALUE"""),"Auto Components")</f>
        <v>Auto Components</v>
      </c>
      <c r="M564" s="6" t="str">
        <f>IFERROR(__xludf.DUMMYFUNCTION("""COMPUTED_VALUE"""),"Auto Components &amp; Equipments")</f>
        <v>Auto Components &amp; Equipments</v>
      </c>
      <c r="N564" s="5">
        <f>IFERROR(__xludf.DUMMYFUNCTION("""COMPUTED_VALUE"""),8368.5733482)</f>
        <v>8368.573348</v>
      </c>
      <c r="O564" s="6">
        <f t="shared" si="4"/>
        <v>47</v>
      </c>
      <c r="P564" s="6">
        <f t="shared" ref="P564:Q564" si="1130">COUNTIFS(L:L,L564)</f>
        <v>37</v>
      </c>
      <c r="Q564" s="24">
        <f t="shared" si="1130"/>
        <v>32</v>
      </c>
      <c r="R564" s="6" t="str">
        <f t="shared" si="6"/>
        <v>Automobile and Auto Components</v>
      </c>
      <c r="S564" s="6" t="str">
        <f t="shared" si="7"/>
        <v>Automobile and Auto Components</v>
      </c>
      <c r="T564" s="6">
        <f>IFERROR(__xludf.DUMMYFUNCTION("COUNTA(UNIQUE(query($A$2:$P$800,""select L where K='""&amp; K564&amp;""'"")))"),2.0)</f>
        <v>2</v>
      </c>
      <c r="U564" s="23">
        <f t="shared" si="8"/>
        <v>0.06382978723</v>
      </c>
      <c r="V564" s="23">
        <f t="shared" ref="V564:W564" si="1131">P564/O564</f>
        <v>0.7872340426</v>
      </c>
      <c r="W564" s="23">
        <f t="shared" si="1131"/>
        <v>0.8648648649</v>
      </c>
    </row>
    <row r="565">
      <c r="A565" s="6">
        <f>IFERROR(__xludf.DUMMYFUNCTION("""COMPUTED_VALUE"""),526367.0)</f>
        <v>526367</v>
      </c>
      <c r="B565" s="6" t="str">
        <f>IFERROR(__xludf.DUMMYFUNCTION("""COMPUTED_VALUE"""),"Ganesh Housing Corporation Ltd.")</f>
        <v>Ganesh Housing Corporation Ltd.</v>
      </c>
      <c r="C565" s="6" t="str">
        <f>IFERROR(__xludf.DUMMYFUNCTION("""COMPUTED_VALUE"""),"GANESHHOUC")</f>
        <v>GANESHHOUC</v>
      </c>
      <c r="D565" s="6" t="str">
        <f>IFERROR(__xludf.DUMMYFUNCTION("""COMPUTED_VALUE"""),"GANESH HOUSING CORPORATION LTD.-$")</f>
        <v>GANESH HOUSING CORPORATION LTD.-$</v>
      </c>
      <c r="E565" s="6" t="str">
        <f>IFERROR(__xludf.DUMMYFUNCTION("""COMPUTED_VALUE"""),"Active")</f>
        <v>Active</v>
      </c>
      <c r="F565" s="6" t="str">
        <f>IFERROR(__xludf.DUMMYFUNCTION("""COMPUTED_VALUE"""),"B")</f>
        <v>B</v>
      </c>
      <c r="G565" s="6">
        <f>IFERROR(__xludf.DUMMYFUNCTION("""COMPUTED_VALUE"""),10.0)</f>
        <v>10</v>
      </c>
      <c r="H565" s="6" t="str">
        <f>IFERROR(__xludf.DUMMYFUNCTION("""COMPUTED_VALUE"""),"INE460C01014")</f>
        <v>INE460C01014</v>
      </c>
      <c r="I565" s="6" t="str">
        <f>IFERROR(__xludf.DUMMYFUNCTION("""COMPUTED_VALUE"""),"Equity")</f>
        <v>Equity</v>
      </c>
      <c r="J565" s="6" t="str">
        <f>IFERROR(__xludf.DUMMYFUNCTION("""COMPUTED_VALUE"""),"Consumer Discretionary")</f>
        <v>Consumer Discretionary</v>
      </c>
      <c r="K565" s="6" t="str">
        <f>IFERROR(__xludf.DUMMYFUNCTION("""COMPUTED_VALUE"""),"Realty")</f>
        <v>Realty</v>
      </c>
      <c r="L565" s="6" t="str">
        <f>IFERROR(__xludf.DUMMYFUNCTION("""COMPUTED_VALUE"""),"Realty")</f>
        <v>Realty</v>
      </c>
      <c r="M565" s="6" t="str">
        <f>IFERROR(__xludf.DUMMYFUNCTION("""COMPUTED_VALUE"""),"Residential, Commercial Projects")</f>
        <v>Residential, Commercial Projects</v>
      </c>
      <c r="N565" s="5">
        <f>IFERROR(__xludf.DUMMYFUNCTION("""COMPUTED_VALUE"""),8365.4619744)</f>
        <v>8365.461974</v>
      </c>
      <c r="O565" s="6">
        <f t="shared" si="4"/>
        <v>20</v>
      </c>
      <c r="P565" s="6">
        <f t="shared" ref="P565:Q565" si="1132">COUNTIFS(L:L,L565)</f>
        <v>20</v>
      </c>
      <c r="Q565" s="24">
        <f t="shared" si="1132"/>
        <v>20</v>
      </c>
      <c r="R565" s="6" t="str">
        <f t="shared" si="6"/>
        <v>Realty</v>
      </c>
      <c r="S565" s="6" t="str">
        <f t="shared" si="7"/>
        <v>Realty</v>
      </c>
      <c r="T565" s="6">
        <f>IFERROR(__xludf.DUMMYFUNCTION("COUNTA(UNIQUE(query($A$2:$P$800,""select L where K='""&amp; K565&amp;""'"")))"),1.0)</f>
        <v>1</v>
      </c>
      <c r="U565" s="23">
        <f t="shared" si="8"/>
        <v>0.075</v>
      </c>
      <c r="V565" s="23">
        <f t="shared" ref="V565:W565" si="1133">P565/O565</f>
        <v>1</v>
      </c>
      <c r="W565" s="23">
        <f t="shared" si="1133"/>
        <v>1</v>
      </c>
    </row>
    <row r="566">
      <c r="A566" s="6">
        <f>IFERROR(__xludf.DUMMYFUNCTION("""COMPUTED_VALUE"""),543297.0)</f>
        <v>543297</v>
      </c>
      <c r="B566" s="6" t="str">
        <f>IFERROR(__xludf.DUMMYFUNCTION("""COMPUTED_VALUE"""),"Inox Wind Energy Limited")</f>
        <v>Inox Wind Energy Limited</v>
      </c>
      <c r="C566" s="6" t="str">
        <f>IFERROR(__xludf.DUMMYFUNCTION("""COMPUTED_VALUE"""),"IWEL")</f>
        <v>IWEL</v>
      </c>
      <c r="D566" s="6" t="str">
        <f>IFERROR(__xludf.DUMMYFUNCTION("""COMPUTED_VALUE"""),"Inox Wind Energy Ltd")</f>
        <v>Inox Wind Energy Ltd</v>
      </c>
      <c r="E566" s="6" t="str">
        <f>IFERROR(__xludf.DUMMYFUNCTION("""COMPUTED_VALUE"""),"Active")</f>
        <v>Active</v>
      </c>
      <c r="F566" s="6" t="str">
        <f>IFERROR(__xludf.DUMMYFUNCTION("""COMPUTED_VALUE"""),"B")</f>
        <v>B</v>
      </c>
      <c r="G566" s="6">
        <f>IFERROR(__xludf.DUMMYFUNCTION("""COMPUTED_VALUE"""),10.0)</f>
        <v>10</v>
      </c>
      <c r="H566" s="6" t="str">
        <f>IFERROR(__xludf.DUMMYFUNCTION("""COMPUTED_VALUE"""),"INE0FLR01028")</f>
        <v>INE0FLR01028</v>
      </c>
      <c r="I566" s="6" t="str">
        <f>IFERROR(__xludf.DUMMYFUNCTION("""COMPUTED_VALUE"""),"Equity")</f>
        <v>Equity</v>
      </c>
      <c r="J566" s="6" t="str">
        <f>IFERROR(__xludf.DUMMYFUNCTION("""COMPUTED_VALUE"""),"Industrials")</f>
        <v>Industrials</v>
      </c>
      <c r="K566" s="6" t="str">
        <f>IFERROR(__xludf.DUMMYFUNCTION("""COMPUTED_VALUE"""),"Capital Goods")</f>
        <v>Capital Goods</v>
      </c>
      <c r="L566" s="6" t="str">
        <f>IFERROR(__xludf.DUMMYFUNCTION("""COMPUTED_VALUE"""),"Electrical Equipment")</f>
        <v>Electrical Equipment</v>
      </c>
      <c r="M566" s="6" t="str">
        <f>IFERROR(__xludf.DUMMYFUNCTION("""COMPUTED_VALUE"""),"Heavy Electrical Equipment")</f>
        <v>Heavy Electrical Equipment</v>
      </c>
      <c r="N566" s="5">
        <f>IFERROR(__xludf.DUMMYFUNCTION("""COMPUTED_VALUE"""),8358.1544989)</f>
        <v>8358.154499</v>
      </c>
      <c r="O566" s="6">
        <f t="shared" si="4"/>
        <v>110</v>
      </c>
      <c r="P566" s="6">
        <f t="shared" ref="P566:Q566" si="1134">COUNTIFS(L:L,L566)</f>
        <v>22</v>
      </c>
      <c r="Q566" s="24">
        <f t="shared" si="1134"/>
        <v>17</v>
      </c>
      <c r="R566" s="6" t="str">
        <f t="shared" si="6"/>
        <v>Electrical Equipment</v>
      </c>
      <c r="S566" s="6" t="str">
        <f t="shared" si="7"/>
        <v>Electrical Equipment</v>
      </c>
      <c r="T566" s="6">
        <f>IFERROR(__xludf.DUMMYFUNCTION("COUNTA(UNIQUE(query($A$2:$P$800,""select L where K='""&amp; K566&amp;""'"")))"),5.0)</f>
        <v>5</v>
      </c>
      <c r="U566" s="23">
        <f t="shared" si="8"/>
        <v>0.06818181818</v>
      </c>
      <c r="V566" s="23">
        <f t="shared" ref="V566:W566" si="1135">P566/O566</f>
        <v>0.2</v>
      </c>
      <c r="W566" s="23">
        <f t="shared" si="1135"/>
        <v>0.7727272727</v>
      </c>
    </row>
    <row r="567">
      <c r="A567" s="6">
        <f>IFERROR(__xludf.DUMMYFUNCTION("""COMPUTED_VALUE"""),543275.0)</f>
        <v>543275</v>
      </c>
      <c r="B567" s="6" t="str">
        <f>IFERROR(__xludf.DUMMYFUNCTION("""COMPUTED_VALUE"""),"Anupam Rasayan India Limited")</f>
        <v>Anupam Rasayan India Limited</v>
      </c>
      <c r="C567" s="6" t="str">
        <f>IFERROR(__xludf.DUMMYFUNCTION("""COMPUTED_VALUE"""),"ANURAS")</f>
        <v>ANURAS</v>
      </c>
      <c r="D567" s="6" t="str">
        <f>IFERROR(__xludf.DUMMYFUNCTION("""COMPUTED_VALUE"""),"Anupam Rasayan India Ltd")</f>
        <v>Anupam Rasayan India Ltd</v>
      </c>
      <c r="E567" s="6" t="str">
        <f>IFERROR(__xludf.DUMMYFUNCTION("""COMPUTED_VALUE"""),"Active")</f>
        <v>Active</v>
      </c>
      <c r="F567" s="6" t="str">
        <f>IFERROR(__xludf.DUMMYFUNCTION("""COMPUTED_VALUE"""),"A")</f>
        <v>A</v>
      </c>
      <c r="G567" s="6">
        <f>IFERROR(__xludf.DUMMYFUNCTION("""COMPUTED_VALUE"""),10.0)</f>
        <v>10</v>
      </c>
      <c r="H567" s="6" t="str">
        <f>IFERROR(__xludf.DUMMYFUNCTION("""COMPUTED_VALUE"""),"INE930P01018")</f>
        <v>INE930P01018</v>
      </c>
      <c r="I567" s="6" t="str">
        <f>IFERROR(__xludf.DUMMYFUNCTION("""COMPUTED_VALUE"""),"Equity")</f>
        <v>Equity</v>
      </c>
      <c r="J567" s="6" t="str">
        <f>IFERROR(__xludf.DUMMYFUNCTION("""COMPUTED_VALUE"""),"Commodities")</f>
        <v>Commodities</v>
      </c>
      <c r="K567" s="6" t="str">
        <f>IFERROR(__xludf.DUMMYFUNCTION("""COMPUTED_VALUE"""),"Chemicals")</f>
        <v>Chemicals</v>
      </c>
      <c r="L567" s="6" t="str">
        <f>IFERROR(__xludf.DUMMYFUNCTION("""COMPUTED_VALUE"""),"Chemicals &amp; Petrochemicals")</f>
        <v>Chemicals &amp; Petrochemicals</v>
      </c>
      <c r="M567" s="6" t="str">
        <f>IFERROR(__xludf.DUMMYFUNCTION("""COMPUTED_VALUE"""),"Specialty Chemicals")</f>
        <v>Specialty Chemicals</v>
      </c>
      <c r="N567" s="5">
        <f>IFERROR(__xludf.DUMMYFUNCTION("""COMPUTED_VALUE"""),8353.7267146)</f>
        <v>8353.726715</v>
      </c>
      <c r="O567" s="6">
        <f t="shared" si="4"/>
        <v>52</v>
      </c>
      <c r="P567" s="6">
        <f t="shared" ref="P567:Q567" si="1136">COUNTIFS(L:L,L567)</f>
        <v>37</v>
      </c>
      <c r="Q567" s="24">
        <f t="shared" si="1136"/>
        <v>25</v>
      </c>
      <c r="R567" s="6" t="str">
        <f t="shared" si="6"/>
        <v>Chemicals</v>
      </c>
      <c r="S567" s="6" t="str">
        <f t="shared" si="7"/>
        <v>Chemicals</v>
      </c>
      <c r="T567" s="6">
        <f>IFERROR(__xludf.DUMMYFUNCTION("COUNTA(UNIQUE(query($A$2:$P$800,""select L where K='""&amp; K567&amp;""'"")))"),2.0)</f>
        <v>2</v>
      </c>
      <c r="U567" s="23">
        <f t="shared" si="8"/>
        <v>0.05769230769</v>
      </c>
      <c r="V567" s="23">
        <f t="shared" ref="V567:W567" si="1137">P567/O567</f>
        <v>0.7115384615</v>
      </c>
      <c r="W567" s="23">
        <f t="shared" si="1137"/>
        <v>0.6756756757</v>
      </c>
    </row>
    <row r="568">
      <c r="A568" s="6">
        <f>IFERROR(__xludf.DUMMYFUNCTION("""COMPUTED_VALUE"""),532638.0)</f>
        <v>532638</v>
      </c>
      <c r="B568" s="6" t="str">
        <f>IFERROR(__xludf.DUMMYFUNCTION("""COMPUTED_VALUE"""),"Shoppers Stop Ltd")</f>
        <v>Shoppers Stop Ltd</v>
      </c>
      <c r="C568" s="6" t="str">
        <f>IFERROR(__xludf.DUMMYFUNCTION("""COMPUTED_VALUE"""),"SHOPERSTOP")</f>
        <v>SHOPERSTOP</v>
      </c>
      <c r="D568" s="6" t="str">
        <f>IFERROR(__xludf.DUMMYFUNCTION("""COMPUTED_VALUE"""),"SHOPPERS STOP LTD.")</f>
        <v>SHOPPERS STOP LTD.</v>
      </c>
      <c r="E568" s="6" t="str">
        <f>IFERROR(__xludf.DUMMYFUNCTION("""COMPUTED_VALUE"""),"Active")</f>
        <v>Active</v>
      </c>
      <c r="F568" s="6" t="str">
        <f>IFERROR(__xludf.DUMMYFUNCTION("""COMPUTED_VALUE"""),"A")</f>
        <v>A</v>
      </c>
      <c r="G568" s="6">
        <f>IFERROR(__xludf.DUMMYFUNCTION("""COMPUTED_VALUE"""),5.0)</f>
        <v>5</v>
      </c>
      <c r="H568" s="6" t="str">
        <f>IFERROR(__xludf.DUMMYFUNCTION("""COMPUTED_VALUE"""),"INE498B01024")</f>
        <v>INE498B01024</v>
      </c>
      <c r="I568" s="6" t="str">
        <f>IFERROR(__xludf.DUMMYFUNCTION("""COMPUTED_VALUE"""),"Equity")</f>
        <v>Equity</v>
      </c>
      <c r="J568" s="6" t="str">
        <f>IFERROR(__xludf.DUMMYFUNCTION("""COMPUTED_VALUE"""),"Consumer Discretionary")</f>
        <v>Consumer Discretionary</v>
      </c>
      <c r="K568" s="6" t="str">
        <f>IFERROR(__xludf.DUMMYFUNCTION("""COMPUTED_VALUE"""),"Consumer Services")</f>
        <v>Consumer Services</v>
      </c>
      <c r="L568" s="6" t="str">
        <f>IFERROR(__xludf.DUMMYFUNCTION("""COMPUTED_VALUE"""),"Retailing")</f>
        <v>Retailing</v>
      </c>
      <c r="M568" s="6" t="str">
        <f>IFERROR(__xludf.DUMMYFUNCTION("""COMPUTED_VALUE"""),"Diversified Retail")</f>
        <v>Diversified Retail</v>
      </c>
      <c r="N568" s="5">
        <f>IFERROR(__xludf.DUMMYFUNCTION("""COMPUTED_VALUE"""),8305.27422)</f>
        <v>8305.27422</v>
      </c>
      <c r="O568" s="6">
        <f t="shared" si="4"/>
        <v>37</v>
      </c>
      <c r="P568" s="6">
        <f t="shared" ref="P568:Q568" si="1138">COUNTIFS(L:L,L568)</f>
        <v>18</v>
      </c>
      <c r="Q568" s="24">
        <f t="shared" si="1138"/>
        <v>4</v>
      </c>
      <c r="R568" s="6" t="str">
        <f t="shared" si="6"/>
        <v>Retailing</v>
      </c>
      <c r="S568" s="6" t="str">
        <f t="shared" si="7"/>
        <v>Retailing</v>
      </c>
      <c r="T568" s="6">
        <f>IFERROR(__xludf.DUMMYFUNCTION("COUNTA(UNIQUE(query($A$2:$P$800,""select L where K='""&amp; K568&amp;""'"")))"),3.0)</f>
        <v>3</v>
      </c>
      <c r="U568" s="23">
        <f t="shared" si="8"/>
        <v>0.1216216216</v>
      </c>
      <c r="V568" s="23">
        <f t="shared" ref="V568:W568" si="1139">P568/O568</f>
        <v>0.4864864865</v>
      </c>
      <c r="W568" s="23">
        <f t="shared" si="1139"/>
        <v>0.2222222222</v>
      </c>
    </row>
    <row r="569">
      <c r="A569" s="6">
        <f>IFERROR(__xludf.DUMMYFUNCTION("""COMPUTED_VALUE"""),543253.0)</f>
        <v>543253</v>
      </c>
      <c r="B569" s="6" t="str">
        <f>IFERROR(__xludf.DUMMYFUNCTION("""COMPUTED_VALUE"""),"Mrs. Bectors Food Specialities Limited")</f>
        <v>Mrs. Bectors Food Specialities Limited</v>
      </c>
      <c r="C569" s="6" t="str">
        <f>IFERROR(__xludf.DUMMYFUNCTION("""COMPUTED_VALUE"""),"BECTORFOOD")</f>
        <v>BECTORFOOD</v>
      </c>
      <c r="D569" s="6" t="str">
        <f>IFERROR(__xludf.DUMMYFUNCTION("""COMPUTED_VALUE"""),"Mrs. Bectors Food Specialities Ltd")</f>
        <v>Mrs. Bectors Food Specialities Ltd</v>
      </c>
      <c r="E569" s="6" t="str">
        <f>IFERROR(__xludf.DUMMYFUNCTION("""COMPUTED_VALUE"""),"Active")</f>
        <v>Active</v>
      </c>
      <c r="F569" s="6" t="str">
        <f>IFERROR(__xludf.DUMMYFUNCTION("""COMPUTED_VALUE"""),"A")</f>
        <v>A</v>
      </c>
      <c r="G569" s="6">
        <f>IFERROR(__xludf.DUMMYFUNCTION("""COMPUTED_VALUE"""),10.0)</f>
        <v>10</v>
      </c>
      <c r="H569" s="6" t="str">
        <f>IFERROR(__xludf.DUMMYFUNCTION("""COMPUTED_VALUE"""),"INE495P01012")</f>
        <v>INE495P01012</v>
      </c>
      <c r="I569" s="6" t="str">
        <f>IFERROR(__xludf.DUMMYFUNCTION("""COMPUTED_VALUE"""),"Equity")</f>
        <v>Equity</v>
      </c>
      <c r="J569" s="6" t="str">
        <f>IFERROR(__xludf.DUMMYFUNCTION("""COMPUTED_VALUE"""),"Fast Moving Consumer Goods")</f>
        <v>Fast Moving Consumer Goods</v>
      </c>
      <c r="K569" s="6" t="str">
        <f>IFERROR(__xludf.DUMMYFUNCTION("""COMPUTED_VALUE"""),"Fast Moving Consumer Goods")</f>
        <v>Fast Moving Consumer Goods</v>
      </c>
      <c r="L569" s="6" t="str">
        <f>IFERROR(__xludf.DUMMYFUNCTION("""COMPUTED_VALUE"""),"Food Products")</f>
        <v>Food Products</v>
      </c>
      <c r="M569" s="6" t="str">
        <f>IFERROR(__xludf.DUMMYFUNCTION("""COMPUTED_VALUE"""),"Packaged Foods")</f>
        <v>Packaged Foods</v>
      </c>
      <c r="N569" s="5">
        <f>IFERROR(__xludf.DUMMYFUNCTION("""COMPUTED_VALUE"""),8291.3863235)</f>
        <v>8291.386324</v>
      </c>
      <c r="O569" s="6">
        <f t="shared" si="4"/>
        <v>44</v>
      </c>
      <c r="P569" s="6">
        <f t="shared" ref="P569:Q569" si="1140">COUNTIFS(L:L,L569)</f>
        <v>11</v>
      </c>
      <c r="Q569" s="24">
        <f t="shared" si="1140"/>
        <v>6</v>
      </c>
      <c r="R569" s="6" t="str">
        <f t="shared" si="6"/>
        <v>Fast Moving Consumer Goods</v>
      </c>
      <c r="S569" s="6" t="str">
        <f t="shared" si="7"/>
        <v>Fast Moving Consumer Goods</v>
      </c>
      <c r="T569" s="6">
        <f>IFERROR(__xludf.DUMMYFUNCTION("COUNTA(UNIQUE(query($A$2:$P$800,""select L where K='""&amp; K569&amp;""'"")))"),7.0)</f>
        <v>7</v>
      </c>
      <c r="U569" s="23">
        <f t="shared" si="8"/>
        <v>0.2386363636</v>
      </c>
      <c r="V569" s="23">
        <f t="shared" ref="V569:W569" si="1141">P569/O569</f>
        <v>0.25</v>
      </c>
      <c r="W569" s="23">
        <f t="shared" si="1141"/>
        <v>0.5454545455</v>
      </c>
    </row>
    <row r="570">
      <c r="A570" s="6">
        <f>IFERROR(__xludf.DUMMYFUNCTION("""COMPUTED_VALUE"""),543965.0)</f>
        <v>543965</v>
      </c>
      <c r="B570" s="6" t="str">
        <f>IFERROR(__xludf.DUMMYFUNCTION("""COMPUTED_VALUE"""),"TVS Supply Chain Solutions Limited")</f>
        <v>TVS Supply Chain Solutions Limited</v>
      </c>
      <c r="C570" s="6" t="str">
        <f>IFERROR(__xludf.DUMMYFUNCTION("""COMPUTED_VALUE"""),"TVSSCS")</f>
        <v>TVSSCS</v>
      </c>
      <c r="D570" s="6" t="str">
        <f>IFERROR(__xludf.DUMMYFUNCTION("""COMPUTED_VALUE"""),"TVS Supply Chain Solutions Ltd")</f>
        <v>TVS Supply Chain Solutions Ltd</v>
      </c>
      <c r="E570" s="6" t="str">
        <f>IFERROR(__xludf.DUMMYFUNCTION("""COMPUTED_VALUE"""),"Active")</f>
        <v>Active</v>
      </c>
      <c r="F570" s="6" t="str">
        <f>IFERROR(__xludf.DUMMYFUNCTION("""COMPUTED_VALUE"""),"B")</f>
        <v>B</v>
      </c>
      <c r="G570" s="6">
        <f>IFERROR(__xludf.DUMMYFUNCTION("""COMPUTED_VALUE"""),1.0)</f>
        <v>1</v>
      </c>
      <c r="H570" s="6" t="str">
        <f>IFERROR(__xludf.DUMMYFUNCTION("""COMPUTED_VALUE"""),"INE395N01027")</f>
        <v>INE395N01027</v>
      </c>
      <c r="I570" s="6" t="str">
        <f>IFERROR(__xludf.DUMMYFUNCTION("""COMPUTED_VALUE"""),"Equity")</f>
        <v>Equity</v>
      </c>
      <c r="J570" s="6" t="str">
        <f>IFERROR(__xludf.DUMMYFUNCTION("""COMPUTED_VALUE"""),"Services")</f>
        <v>Services</v>
      </c>
      <c r="K570" s="6" t="str">
        <f>IFERROR(__xludf.DUMMYFUNCTION("""COMPUTED_VALUE"""),"Services")</f>
        <v>Services</v>
      </c>
      <c r="L570" s="6" t="str">
        <f>IFERROR(__xludf.DUMMYFUNCTION("""COMPUTED_VALUE"""),"Transport Services")</f>
        <v>Transport Services</v>
      </c>
      <c r="M570" s="6" t="str">
        <f>IFERROR(__xludf.DUMMYFUNCTION("""COMPUTED_VALUE"""),"Logistics Solution Provider")</f>
        <v>Logistics Solution Provider</v>
      </c>
      <c r="N570" s="5">
        <f>IFERROR(__xludf.DUMMYFUNCTION("""COMPUTED_VALUE"""),8290.484475)</f>
        <v>8290.484475</v>
      </c>
      <c r="O570" s="6">
        <f t="shared" si="4"/>
        <v>27</v>
      </c>
      <c r="P570" s="6">
        <f t="shared" ref="P570:Q570" si="1142">COUNTIFS(L:L,L570)</f>
        <v>12</v>
      </c>
      <c r="Q570" s="24">
        <f t="shared" si="1142"/>
        <v>9</v>
      </c>
      <c r="R570" s="6" t="str">
        <f t="shared" si="6"/>
        <v>Services</v>
      </c>
      <c r="S570" s="6" t="str">
        <f t="shared" si="7"/>
        <v>Services</v>
      </c>
      <c r="T570" s="6">
        <f>IFERROR(__xludf.DUMMYFUNCTION("COUNTA(UNIQUE(query($A$2:$P$800,""select L where K='""&amp; K570&amp;""'"")))"),3.0)</f>
        <v>3</v>
      </c>
      <c r="U570" s="23">
        <f t="shared" si="8"/>
        <v>0.1666666667</v>
      </c>
      <c r="V570" s="23">
        <f t="shared" ref="V570:W570" si="1143">P570/O570</f>
        <v>0.4444444444</v>
      </c>
      <c r="W570" s="23">
        <f t="shared" si="1143"/>
        <v>0.75</v>
      </c>
    </row>
    <row r="571">
      <c r="A571" s="6">
        <f>IFERROR(__xludf.DUMMYFUNCTION("""COMPUTED_VALUE"""),543527.0)</f>
        <v>543527</v>
      </c>
      <c r="B571" s="6" t="str">
        <f>IFERROR(__xludf.DUMMYFUNCTION("""COMPUTED_VALUE"""),"Prudent Corporate Advisory Services Limited")</f>
        <v>Prudent Corporate Advisory Services Limited</v>
      </c>
      <c r="C571" s="6" t="str">
        <f>IFERROR(__xludf.DUMMYFUNCTION("""COMPUTED_VALUE"""),"PRUDENT")</f>
        <v>PRUDENT</v>
      </c>
      <c r="D571" s="6" t="str">
        <f>IFERROR(__xludf.DUMMYFUNCTION("""COMPUTED_VALUE"""),"Prudent Corporate Advisory Services Ltd")</f>
        <v>Prudent Corporate Advisory Services Ltd</v>
      </c>
      <c r="E571" s="6" t="str">
        <f>IFERROR(__xludf.DUMMYFUNCTION("""COMPUTED_VALUE"""),"Active")</f>
        <v>Active</v>
      </c>
      <c r="F571" s="6" t="str">
        <f>IFERROR(__xludf.DUMMYFUNCTION("""COMPUTED_VALUE"""),"B")</f>
        <v>B</v>
      </c>
      <c r="G571" s="6">
        <f>IFERROR(__xludf.DUMMYFUNCTION("""COMPUTED_VALUE"""),5.0)</f>
        <v>5</v>
      </c>
      <c r="H571" s="6" t="str">
        <f>IFERROR(__xludf.DUMMYFUNCTION("""COMPUTED_VALUE"""),"INE00F201020")</f>
        <v>INE00F201020</v>
      </c>
      <c r="I571" s="6" t="str">
        <f>IFERROR(__xludf.DUMMYFUNCTION("""COMPUTED_VALUE"""),"Equity")</f>
        <v>Equity</v>
      </c>
      <c r="J571" s="6" t="str">
        <f>IFERROR(__xludf.DUMMYFUNCTION("""COMPUTED_VALUE"""),"Financial Services")</f>
        <v>Financial Services</v>
      </c>
      <c r="K571" s="6" t="str">
        <f>IFERROR(__xludf.DUMMYFUNCTION("""COMPUTED_VALUE"""),"Financial Services")</f>
        <v>Financial Services</v>
      </c>
      <c r="L571" s="6" t="str">
        <f>IFERROR(__xludf.DUMMYFUNCTION("""COMPUTED_VALUE"""),"Capital Markets")</f>
        <v>Capital Markets</v>
      </c>
      <c r="M571" s="6" t="str">
        <f>IFERROR(__xludf.DUMMYFUNCTION("""COMPUTED_VALUE"""),"Financial Products Distributor")</f>
        <v>Financial Products Distributor</v>
      </c>
      <c r="N571" s="5">
        <f>IFERROR(__xludf.DUMMYFUNCTION("""COMPUTED_VALUE"""),8282.2677857)</f>
        <v>8282.267786</v>
      </c>
      <c r="O571" s="6">
        <f t="shared" si="4"/>
        <v>123</v>
      </c>
      <c r="P571" s="6">
        <f t="shared" ref="P571:Q571" si="1144">COUNTIFS(L:L,L571)</f>
        <v>19</v>
      </c>
      <c r="Q571" s="24">
        <f t="shared" si="1144"/>
        <v>2</v>
      </c>
      <c r="R571" s="6" t="str">
        <f t="shared" si="6"/>
        <v>Capital Markets</v>
      </c>
      <c r="S571" s="6" t="str">
        <f t="shared" si="7"/>
        <v>Capital Markets</v>
      </c>
      <c r="T571" s="6">
        <f>IFERROR(__xludf.DUMMYFUNCTION("COUNTA(UNIQUE(query($A$2:$P$800,""select L where K='""&amp; K571&amp;""'"")))"),5.0)</f>
        <v>5</v>
      </c>
      <c r="U571" s="23">
        <f t="shared" si="8"/>
        <v>0.06097560976</v>
      </c>
      <c r="V571" s="23">
        <f t="shared" ref="V571:W571" si="1145">P571/O571</f>
        <v>0.1544715447</v>
      </c>
      <c r="W571" s="23">
        <f t="shared" si="1145"/>
        <v>0.1052631579</v>
      </c>
    </row>
    <row r="572">
      <c r="A572" s="6">
        <f>IFERROR(__xludf.DUMMYFUNCTION("""COMPUTED_VALUE"""),523704.0)</f>
        <v>523704</v>
      </c>
      <c r="B572" s="6" t="str">
        <f>IFERROR(__xludf.DUMMYFUNCTION("""COMPUTED_VALUE"""),"Mastek Limited")</f>
        <v>Mastek Limited</v>
      </c>
      <c r="C572" s="6" t="str">
        <f>IFERROR(__xludf.DUMMYFUNCTION("""COMPUTED_VALUE"""),"MASTEK")</f>
        <v>MASTEK</v>
      </c>
      <c r="D572" s="6" t="str">
        <f>IFERROR(__xludf.DUMMYFUNCTION("""COMPUTED_VALUE"""),"MASTEK LTD.")</f>
        <v>MASTEK LTD.</v>
      </c>
      <c r="E572" s="6" t="str">
        <f>IFERROR(__xludf.DUMMYFUNCTION("""COMPUTED_VALUE"""),"Active")</f>
        <v>Active</v>
      </c>
      <c r="F572" s="6" t="str">
        <f>IFERROR(__xludf.DUMMYFUNCTION("""COMPUTED_VALUE"""),"A")</f>
        <v>A</v>
      </c>
      <c r="G572" s="6">
        <f>IFERROR(__xludf.DUMMYFUNCTION("""COMPUTED_VALUE"""),5.0)</f>
        <v>5</v>
      </c>
      <c r="H572" s="6" t="str">
        <f>IFERROR(__xludf.DUMMYFUNCTION("""COMPUTED_VALUE"""),"INE759A01021")</f>
        <v>INE759A01021</v>
      </c>
      <c r="I572" s="6" t="str">
        <f>IFERROR(__xludf.DUMMYFUNCTION("""COMPUTED_VALUE"""),"Equity")</f>
        <v>Equity</v>
      </c>
      <c r="J572" s="6" t="str">
        <f>IFERROR(__xludf.DUMMYFUNCTION("""COMPUTED_VALUE"""),"Information Technology")</f>
        <v>Information Technology</v>
      </c>
      <c r="K572" s="6" t="str">
        <f>IFERROR(__xludf.DUMMYFUNCTION("""COMPUTED_VALUE"""),"Information Technology")</f>
        <v>Information Technology</v>
      </c>
      <c r="L572" s="6" t="str">
        <f>IFERROR(__xludf.DUMMYFUNCTION("""COMPUTED_VALUE"""),"IT - Software")</f>
        <v>IT - Software</v>
      </c>
      <c r="M572" s="6" t="str">
        <f>IFERROR(__xludf.DUMMYFUNCTION("""COMPUTED_VALUE"""),"Computers - Software &amp; Consulting")</f>
        <v>Computers - Software &amp; Consulting</v>
      </c>
      <c r="N572" s="5">
        <f>IFERROR(__xludf.DUMMYFUNCTION("""COMPUTED_VALUE"""),8226.45712)</f>
        <v>8226.45712</v>
      </c>
      <c r="O572" s="6">
        <f t="shared" si="4"/>
        <v>36</v>
      </c>
      <c r="P572" s="6">
        <f t="shared" ref="P572:Q572" si="1146">COUNTIFS(L:L,L572)</f>
        <v>27</v>
      </c>
      <c r="Q572" s="24">
        <f t="shared" si="1146"/>
        <v>22</v>
      </c>
      <c r="R572" s="6" t="str">
        <f t="shared" si="6"/>
        <v>Information Technology</v>
      </c>
      <c r="S572" s="6" t="str">
        <f t="shared" si="7"/>
        <v>Information Technology</v>
      </c>
      <c r="T572" s="6">
        <f>IFERROR(__xludf.DUMMYFUNCTION("COUNTA(UNIQUE(query($A$2:$P$800,""select L where K='""&amp; K572&amp;""'"")))"),3.0)</f>
        <v>3</v>
      </c>
      <c r="U572" s="23">
        <f t="shared" si="8"/>
        <v>0.125</v>
      </c>
      <c r="V572" s="23">
        <f t="shared" ref="V572:W572" si="1147">P572/O572</f>
        <v>0.75</v>
      </c>
      <c r="W572" s="23">
        <f t="shared" si="1147"/>
        <v>0.8148148148</v>
      </c>
    </row>
    <row r="573">
      <c r="A573" s="6">
        <f>IFERROR(__xludf.DUMMYFUNCTION("""COMPUTED_VALUE"""),504614.0)</f>
        <v>504614</v>
      </c>
      <c r="B573" s="6" t="str">
        <f>IFERROR(__xludf.DUMMYFUNCTION("""COMPUTED_VALUE"""),"Sarda Energy &amp; Minerals Ltd")</f>
        <v>Sarda Energy &amp; Minerals Ltd</v>
      </c>
      <c r="C573" s="6" t="str">
        <f>IFERROR(__xludf.DUMMYFUNCTION("""COMPUTED_VALUE"""),"SARDAEN")</f>
        <v>SARDAEN</v>
      </c>
      <c r="D573" s="6" t="str">
        <f>IFERROR(__xludf.DUMMYFUNCTION("""COMPUTED_VALUE"""),"SARDA ENERGY &amp; MINERALS LTD.-$")</f>
        <v>SARDA ENERGY &amp; MINERALS LTD.-$</v>
      </c>
      <c r="E573" s="6" t="str">
        <f>IFERROR(__xludf.DUMMYFUNCTION("""COMPUTED_VALUE"""),"Active")</f>
        <v>Active</v>
      </c>
      <c r="F573" s="6" t="str">
        <f>IFERROR(__xludf.DUMMYFUNCTION("""COMPUTED_VALUE"""),"B")</f>
        <v>B</v>
      </c>
      <c r="G573" s="6">
        <f>IFERROR(__xludf.DUMMYFUNCTION("""COMPUTED_VALUE"""),1.0)</f>
        <v>1</v>
      </c>
      <c r="H573" s="6" t="str">
        <f>IFERROR(__xludf.DUMMYFUNCTION("""COMPUTED_VALUE"""),"INE385C01021")</f>
        <v>INE385C01021</v>
      </c>
      <c r="I573" s="6" t="str">
        <f>IFERROR(__xludf.DUMMYFUNCTION("""COMPUTED_VALUE"""),"Equity")</f>
        <v>Equity</v>
      </c>
      <c r="J573" s="6" t="str">
        <f>IFERROR(__xludf.DUMMYFUNCTION("""COMPUTED_VALUE"""),"Commodities")</f>
        <v>Commodities</v>
      </c>
      <c r="K573" s="6" t="str">
        <f>IFERROR(__xludf.DUMMYFUNCTION("""COMPUTED_VALUE"""),"Metals &amp; Mining")</f>
        <v>Metals &amp; Mining</v>
      </c>
      <c r="L573" s="6" t="str">
        <f>IFERROR(__xludf.DUMMYFUNCTION("""COMPUTED_VALUE"""),"Ferrous Metals")</f>
        <v>Ferrous Metals</v>
      </c>
      <c r="M573" s="6" t="str">
        <f>IFERROR(__xludf.DUMMYFUNCTION("""COMPUTED_VALUE"""),"Iron &amp; Steel")</f>
        <v>Iron &amp; Steel</v>
      </c>
      <c r="N573" s="5">
        <f>IFERROR(__xludf.DUMMYFUNCTION("""COMPUTED_VALUE"""),8215.1258182)</f>
        <v>8215.125818</v>
      </c>
      <c r="O573" s="6">
        <f t="shared" si="4"/>
        <v>20</v>
      </c>
      <c r="P573" s="6">
        <f t="shared" ref="P573:Q573" si="1148">COUNTIFS(L:L,L573)</f>
        <v>10</v>
      </c>
      <c r="Q573" s="24">
        <f t="shared" si="1148"/>
        <v>7</v>
      </c>
      <c r="R573" s="6" t="str">
        <f t="shared" si="6"/>
        <v>Metals &amp; Mining</v>
      </c>
      <c r="S573" s="6" t="str">
        <f t="shared" si="7"/>
        <v>Metals &amp; Mining</v>
      </c>
      <c r="T573" s="6">
        <f>IFERROR(__xludf.DUMMYFUNCTION("COUNTA(UNIQUE(query($A$2:$P$800,""select L where K='""&amp; K573&amp;""'"")))"),5.0)</f>
        <v>5</v>
      </c>
      <c r="U573" s="23">
        <f t="shared" si="8"/>
        <v>0.375</v>
      </c>
      <c r="V573" s="23">
        <f t="shared" ref="V573:W573" si="1149">P573/O573</f>
        <v>0.5</v>
      </c>
      <c r="W573" s="23">
        <f t="shared" si="1149"/>
        <v>0.7</v>
      </c>
    </row>
    <row r="574">
      <c r="A574" s="6">
        <f>IFERROR(__xludf.DUMMYFUNCTION("""COMPUTED_VALUE"""),543427.0)</f>
        <v>543427</v>
      </c>
      <c r="B574" s="6" t="str">
        <f>IFERROR(__xludf.DUMMYFUNCTION("""COMPUTED_VALUE"""),"Medplus Health Services Limited")</f>
        <v>Medplus Health Services Limited</v>
      </c>
      <c r="C574" s="6" t="str">
        <f>IFERROR(__xludf.DUMMYFUNCTION("""COMPUTED_VALUE"""),"MEDPLUS")</f>
        <v>MEDPLUS</v>
      </c>
      <c r="D574" s="6" t="str">
        <f>IFERROR(__xludf.DUMMYFUNCTION("""COMPUTED_VALUE"""),"Medplus Health Services Ltd")</f>
        <v>Medplus Health Services Ltd</v>
      </c>
      <c r="E574" s="6" t="str">
        <f>IFERROR(__xludf.DUMMYFUNCTION("""COMPUTED_VALUE"""),"Active")</f>
        <v>Active</v>
      </c>
      <c r="F574" s="6" t="str">
        <f>IFERROR(__xludf.DUMMYFUNCTION("""COMPUTED_VALUE"""),"A")</f>
        <v>A</v>
      </c>
      <c r="G574" s="6">
        <f>IFERROR(__xludf.DUMMYFUNCTION("""COMPUTED_VALUE"""),2.0)</f>
        <v>2</v>
      </c>
      <c r="H574" s="6" t="str">
        <f>IFERROR(__xludf.DUMMYFUNCTION("""COMPUTED_VALUE"""),"INE804L01022")</f>
        <v>INE804L01022</v>
      </c>
      <c r="I574" s="6" t="str">
        <f>IFERROR(__xludf.DUMMYFUNCTION("""COMPUTED_VALUE"""),"Equity")</f>
        <v>Equity</v>
      </c>
      <c r="J574" s="6" t="str">
        <f>IFERROR(__xludf.DUMMYFUNCTION("""COMPUTED_VALUE"""),"Consumer Discretionary")</f>
        <v>Consumer Discretionary</v>
      </c>
      <c r="K574" s="6" t="str">
        <f>IFERROR(__xludf.DUMMYFUNCTION("""COMPUTED_VALUE"""),"Consumer Services")</f>
        <v>Consumer Services</v>
      </c>
      <c r="L574" s="6" t="str">
        <f>IFERROR(__xludf.DUMMYFUNCTION("""COMPUTED_VALUE"""),"Retailing")</f>
        <v>Retailing</v>
      </c>
      <c r="M574" s="6" t="str">
        <f>IFERROR(__xludf.DUMMYFUNCTION("""COMPUTED_VALUE"""),"Pharmacy Retail")</f>
        <v>Pharmacy Retail</v>
      </c>
      <c r="N574" s="5">
        <f>IFERROR(__xludf.DUMMYFUNCTION("""COMPUTED_VALUE"""),8196.125039)</f>
        <v>8196.125039</v>
      </c>
      <c r="O574" s="6">
        <f t="shared" si="4"/>
        <v>37</v>
      </c>
      <c r="P574" s="6">
        <f t="shared" ref="P574:Q574" si="1150">COUNTIFS(L:L,L574)</f>
        <v>18</v>
      </c>
      <c r="Q574" s="24">
        <f t="shared" si="1150"/>
        <v>2</v>
      </c>
      <c r="R574" s="6" t="str">
        <f t="shared" si="6"/>
        <v>Retailing</v>
      </c>
      <c r="S574" s="6" t="str">
        <f t="shared" si="7"/>
        <v>Retailing</v>
      </c>
      <c r="T574" s="6">
        <f>IFERROR(__xludf.DUMMYFUNCTION("COUNTA(UNIQUE(query($A$2:$P$800,""select L where K='""&amp; K574&amp;""'"")))"),3.0)</f>
        <v>3</v>
      </c>
      <c r="U574" s="23">
        <f t="shared" si="8"/>
        <v>0.1216216216</v>
      </c>
      <c r="V574" s="23">
        <f t="shared" ref="V574:W574" si="1151">P574/O574</f>
        <v>0.4864864865</v>
      </c>
      <c r="W574" s="23">
        <f t="shared" si="1151"/>
        <v>0.1111111111</v>
      </c>
    </row>
    <row r="575">
      <c r="A575" s="6">
        <f>IFERROR(__xludf.DUMMYFUNCTION("""COMPUTED_VALUE"""),531431.0)</f>
        <v>531431</v>
      </c>
      <c r="B575" s="6" t="str">
        <f>IFERROR(__xludf.DUMMYFUNCTION("""COMPUTED_VALUE"""),"Shakti Pumps (India) Ltd.")</f>
        <v>Shakti Pumps (India) Ltd.</v>
      </c>
      <c r="C575" s="6" t="str">
        <f>IFERROR(__xludf.DUMMYFUNCTION("""COMPUTED_VALUE"""),"SHAKTIPUMP")</f>
        <v>SHAKTIPUMP</v>
      </c>
      <c r="D575" s="6" t="str">
        <f>IFERROR(__xludf.DUMMYFUNCTION("""COMPUTED_VALUE"""),"SHAKTI PUMPS (INDIA) LTD.-$")</f>
        <v>SHAKTI PUMPS (INDIA) LTD.-$</v>
      </c>
      <c r="E575" s="6" t="str">
        <f>IFERROR(__xludf.DUMMYFUNCTION("""COMPUTED_VALUE"""),"Active")</f>
        <v>Active</v>
      </c>
      <c r="F575" s="6" t="str">
        <f>IFERROR(__xludf.DUMMYFUNCTION("""COMPUTED_VALUE"""),"T")</f>
        <v>T</v>
      </c>
      <c r="G575" s="6">
        <f>IFERROR(__xludf.DUMMYFUNCTION("""COMPUTED_VALUE"""),10.0)</f>
        <v>10</v>
      </c>
      <c r="H575" s="6" t="str">
        <f>IFERROR(__xludf.DUMMYFUNCTION("""COMPUTED_VALUE"""),"INE908D01010")</f>
        <v>INE908D01010</v>
      </c>
      <c r="I575" s="6" t="str">
        <f>IFERROR(__xludf.DUMMYFUNCTION("""COMPUTED_VALUE"""),"Equity")</f>
        <v>Equity</v>
      </c>
      <c r="J575" s="6" t="str">
        <f>IFERROR(__xludf.DUMMYFUNCTION("""COMPUTED_VALUE"""),"Industrials")</f>
        <v>Industrials</v>
      </c>
      <c r="K575" s="6" t="str">
        <f>IFERROR(__xludf.DUMMYFUNCTION("""COMPUTED_VALUE"""),"Capital Goods")</f>
        <v>Capital Goods</v>
      </c>
      <c r="L575" s="6" t="str">
        <f>IFERROR(__xludf.DUMMYFUNCTION("""COMPUTED_VALUE"""),"Industrial Products")</f>
        <v>Industrial Products</v>
      </c>
      <c r="M575" s="6" t="str">
        <f>IFERROR(__xludf.DUMMYFUNCTION("""COMPUTED_VALUE"""),"Compressors, Pumps &amp; Diesel Engines")</f>
        <v>Compressors, Pumps &amp; Diesel Engines</v>
      </c>
      <c r="N575" s="5">
        <f>IFERROR(__xludf.DUMMYFUNCTION("""COMPUTED_VALUE"""),8094.7305545)</f>
        <v>8094.730555</v>
      </c>
      <c r="O575" s="6">
        <f t="shared" si="4"/>
        <v>110</v>
      </c>
      <c r="P575" s="6">
        <f t="shared" ref="P575:Q575" si="1152">COUNTIFS(L:L,L575)</f>
        <v>51</v>
      </c>
      <c r="Q575" s="24">
        <f t="shared" si="1152"/>
        <v>7</v>
      </c>
      <c r="R575" s="6" t="str">
        <f t="shared" si="6"/>
        <v>Industrial Products</v>
      </c>
      <c r="S575" s="6" t="str">
        <f t="shared" si="7"/>
        <v>Industrial Products</v>
      </c>
      <c r="T575" s="6">
        <f>IFERROR(__xludf.DUMMYFUNCTION("COUNTA(UNIQUE(query($A$2:$P$800,""select L where K='""&amp; K575&amp;""'"")))"),5.0)</f>
        <v>5</v>
      </c>
      <c r="U575" s="23">
        <f t="shared" si="8"/>
        <v>0.06818181818</v>
      </c>
      <c r="V575" s="23">
        <f t="shared" ref="V575:W575" si="1153">P575/O575</f>
        <v>0.4636363636</v>
      </c>
      <c r="W575" s="23">
        <f t="shared" si="1153"/>
        <v>0.137254902</v>
      </c>
    </row>
    <row r="576">
      <c r="A576" s="6">
        <f>IFERROR(__xludf.DUMMYFUNCTION("""COMPUTED_VALUE"""),533326.0)</f>
        <v>533326</v>
      </c>
      <c r="B576" s="6" t="str">
        <f>IFERROR(__xludf.DUMMYFUNCTION("""COMPUTED_VALUE"""),"Texmaco Rail &amp; Engineering Limited")</f>
        <v>Texmaco Rail &amp; Engineering Limited</v>
      </c>
      <c r="C576" s="6" t="str">
        <f>IFERROR(__xludf.DUMMYFUNCTION("""COMPUTED_VALUE"""),"TEXRAIL")</f>
        <v>TEXRAIL</v>
      </c>
      <c r="D576" s="6" t="str">
        <f>IFERROR(__xludf.DUMMYFUNCTION("""COMPUTED_VALUE"""),"TEXMACO RAIL &amp; ENGINEERING LTD.")</f>
        <v>TEXMACO RAIL &amp; ENGINEERING LTD.</v>
      </c>
      <c r="E576" s="6" t="str">
        <f>IFERROR(__xludf.DUMMYFUNCTION("""COMPUTED_VALUE"""),"Active")</f>
        <v>Active</v>
      </c>
      <c r="F576" s="6" t="str">
        <f>IFERROR(__xludf.DUMMYFUNCTION("""COMPUTED_VALUE"""),"A")</f>
        <v>A</v>
      </c>
      <c r="G576" s="6">
        <f>IFERROR(__xludf.DUMMYFUNCTION("""COMPUTED_VALUE"""),1.0)</f>
        <v>1</v>
      </c>
      <c r="H576" s="6" t="str">
        <f>IFERROR(__xludf.DUMMYFUNCTION("""COMPUTED_VALUE"""),"INE621L01012")</f>
        <v>INE621L01012</v>
      </c>
      <c r="I576" s="6" t="str">
        <f>IFERROR(__xludf.DUMMYFUNCTION("""COMPUTED_VALUE"""),"Equity")</f>
        <v>Equity</v>
      </c>
      <c r="J576" s="6" t="str">
        <f>IFERROR(__xludf.DUMMYFUNCTION("""COMPUTED_VALUE"""),"Industrials")</f>
        <v>Industrials</v>
      </c>
      <c r="K576" s="6" t="str">
        <f>IFERROR(__xludf.DUMMYFUNCTION("""COMPUTED_VALUE"""),"Capital Goods")</f>
        <v>Capital Goods</v>
      </c>
      <c r="L576" s="6" t="str">
        <f>IFERROR(__xludf.DUMMYFUNCTION("""COMPUTED_VALUE"""),"Industrial Manufacturing")</f>
        <v>Industrial Manufacturing</v>
      </c>
      <c r="M576" s="6" t="str">
        <f>IFERROR(__xludf.DUMMYFUNCTION("""COMPUTED_VALUE"""),"Industrial Products")</f>
        <v>Industrial Products</v>
      </c>
      <c r="N576" s="5">
        <f>IFERROR(__xludf.DUMMYFUNCTION("""COMPUTED_VALUE"""),8082.5997435)</f>
        <v>8082.599744</v>
      </c>
      <c r="O576" s="6">
        <f t="shared" si="4"/>
        <v>110</v>
      </c>
      <c r="P576" s="6">
        <f t="shared" ref="P576:Q576" si="1154">COUNTIFS(L:L,L576)</f>
        <v>21</v>
      </c>
      <c r="Q576" s="24">
        <f t="shared" si="1154"/>
        <v>17</v>
      </c>
      <c r="R576" s="6" t="str">
        <f t="shared" si="6"/>
        <v>Industrial Manufacturing</v>
      </c>
      <c r="S576" s="6" t="str">
        <f t="shared" si="7"/>
        <v>Industrial Manufacturing</v>
      </c>
      <c r="T576" s="6">
        <f>IFERROR(__xludf.DUMMYFUNCTION("COUNTA(UNIQUE(query($A$2:$P$800,""select L where K='""&amp; K576&amp;""'"")))"),5.0)</f>
        <v>5</v>
      </c>
      <c r="U576" s="23">
        <f t="shared" si="8"/>
        <v>0.06818181818</v>
      </c>
      <c r="V576" s="23">
        <f t="shared" ref="V576:W576" si="1155">P576/O576</f>
        <v>0.1909090909</v>
      </c>
      <c r="W576" s="23">
        <f t="shared" si="1155"/>
        <v>0.8095238095</v>
      </c>
    </row>
    <row r="577">
      <c r="A577" s="6">
        <f>IFERROR(__xludf.DUMMYFUNCTION("""COMPUTED_VALUE"""),512573.0)</f>
        <v>512573</v>
      </c>
      <c r="B577" s="6" t="str">
        <f>IFERROR(__xludf.DUMMYFUNCTION("""COMPUTED_VALUE"""),"Avanti Feeds ltd.")</f>
        <v>Avanti Feeds ltd.</v>
      </c>
      <c r="C577" s="6" t="str">
        <f>IFERROR(__xludf.DUMMYFUNCTION("""COMPUTED_VALUE"""),"AVANTIFEED")</f>
        <v>AVANTIFEED</v>
      </c>
      <c r="D577" s="6" t="str">
        <f>IFERROR(__xludf.DUMMYFUNCTION("""COMPUTED_VALUE"""),"AVANTI FEEDS LTD.-$")</f>
        <v>AVANTI FEEDS LTD.-$</v>
      </c>
      <c r="E577" s="6" t="str">
        <f>IFERROR(__xludf.DUMMYFUNCTION("""COMPUTED_VALUE"""),"Active")</f>
        <v>Active</v>
      </c>
      <c r="F577" s="6" t="str">
        <f>IFERROR(__xludf.DUMMYFUNCTION("""COMPUTED_VALUE"""),"A")</f>
        <v>A</v>
      </c>
      <c r="G577" s="6">
        <f>IFERROR(__xludf.DUMMYFUNCTION("""COMPUTED_VALUE"""),1.0)</f>
        <v>1</v>
      </c>
      <c r="H577" s="6" t="str">
        <f>IFERROR(__xludf.DUMMYFUNCTION("""COMPUTED_VALUE"""),"INE871C01038")</f>
        <v>INE871C01038</v>
      </c>
      <c r="I577" s="6" t="str">
        <f>IFERROR(__xludf.DUMMYFUNCTION("""COMPUTED_VALUE"""),"Equity")</f>
        <v>Equity</v>
      </c>
      <c r="J577" s="6" t="str">
        <f>IFERROR(__xludf.DUMMYFUNCTION("""COMPUTED_VALUE"""),"Fast Moving Consumer Goods")</f>
        <v>Fast Moving Consumer Goods</v>
      </c>
      <c r="K577" s="6" t="str">
        <f>IFERROR(__xludf.DUMMYFUNCTION("""COMPUTED_VALUE"""),"Fast Moving Consumer Goods")</f>
        <v>Fast Moving Consumer Goods</v>
      </c>
      <c r="L577" s="6" t="str">
        <f>IFERROR(__xludf.DUMMYFUNCTION("""COMPUTED_VALUE"""),"Food Products")</f>
        <v>Food Products</v>
      </c>
      <c r="M577" s="6" t="str">
        <f>IFERROR(__xludf.DUMMYFUNCTION("""COMPUTED_VALUE"""),"Animal Feed")</f>
        <v>Animal Feed</v>
      </c>
      <c r="N577" s="5">
        <f>IFERROR(__xludf.DUMMYFUNCTION("""COMPUTED_VALUE"""),8050.0216805)</f>
        <v>8050.021681</v>
      </c>
      <c r="O577" s="6">
        <f t="shared" si="4"/>
        <v>44</v>
      </c>
      <c r="P577" s="6">
        <f t="shared" ref="P577:Q577" si="1156">COUNTIFS(L:L,L577)</f>
        <v>11</v>
      </c>
      <c r="Q577" s="24">
        <f t="shared" si="1156"/>
        <v>2</v>
      </c>
      <c r="R577" s="6" t="str">
        <f t="shared" si="6"/>
        <v>Fast Moving Consumer Goods</v>
      </c>
      <c r="S577" s="6" t="str">
        <f t="shared" si="7"/>
        <v>Fast Moving Consumer Goods</v>
      </c>
      <c r="T577" s="6">
        <f>IFERROR(__xludf.DUMMYFUNCTION("COUNTA(UNIQUE(query($A$2:$P$800,""select L where K='""&amp; K577&amp;""'"")))"),7.0)</f>
        <v>7</v>
      </c>
      <c r="U577" s="23">
        <f t="shared" si="8"/>
        <v>0.2386363636</v>
      </c>
      <c r="V577" s="23">
        <f t="shared" ref="V577:W577" si="1157">P577/O577</f>
        <v>0.25</v>
      </c>
      <c r="W577" s="23">
        <f t="shared" si="1157"/>
        <v>0.1818181818</v>
      </c>
    </row>
    <row r="578">
      <c r="A578" s="6">
        <f>IFERROR(__xludf.DUMMYFUNCTION("""COMPUTED_VALUE"""),543441.0)</f>
        <v>543441</v>
      </c>
      <c r="B578" s="6" t="str">
        <f>IFERROR(__xludf.DUMMYFUNCTION("""COMPUTED_VALUE"""),"CMS Info Systems Limited")</f>
        <v>CMS Info Systems Limited</v>
      </c>
      <c r="C578" s="6" t="str">
        <f>IFERROR(__xludf.DUMMYFUNCTION("""COMPUTED_VALUE"""),"CMSINFO")</f>
        <v>CMSINFO</v>
      </c>
      <c r="D578" s="6" t="str">
        <f>IFERROR(__xludf.DUMMYFUNCTION("""COMPUTED_VALUE"""),"CMS Info Systems Ltd")</f>
        <v>CMS Info Systems Ltd</v>
      </c>
      <c r="E578" s="6" t="str">
        <f>IFERROR(__xludf.DUMMYFUNCTION("""COMPUTED_VALUE"""),"Active")</f>
        <v>Active</v>
      </c>
      <c r="F578" s="6" t="str">
        <f>IFERROR(__xludf.DUMMYFUNCTION("""COMPUTED_VALUE"""),"A")</f>
        <v>A</v>
      </c>
      <c r="G578" s="6">
        <f>IFERROR(__xludf.DUMMYFUNCTION("""COMPUTED_VALUE"""),10.0)</f>
        <v>10</v>
      </c>
      <c r="H578" s="6" t="str">
        <f>IFERROR(__xludf.DUMMYFUNCTION("""COMPUTED_VALUE"""),"INE925R01014")</f>
        <v>INE925R01014</v>
      </c>
      <c r="I578" s="6" t="str">
        <f>IFERROR(__xludf.DUMMYFUNCTION("""COMPUTED_VALUE"""),"Equity")</f>
        <v>Equity</v>
      </c>
      <c r="J578" s="6" t="str">
        <f>IFERROR(__xludf.DUMMYFUNCTION("""COMPUTED_VALUE"""),"Services")</f>
        <v>Services</v>
      </c>
      <c r="K578" s="6" t="str">
        <f>IFERROR(__xludf.DUMMYFUNCTION("""COMPUTED_VALUE"""),"Services")</f>
        <v>Services</v>
      </c>
      <c r="L578" s="6" t="str">
        <f>IFERROR(__xludf.DUMMYFUNCTION("""COMPUTED_VALUE"""),"Commercial Services &amp; Supplies")</f>
        <v>Commercial Services &amp; Supplies</v>
      </c>
      <c r="M578" s="6" t="str">
        <f>IFERROR(__xludf.DUMMYFUNCTION("""COMPUTED_VALUE"""),"Diversified Commercial Services")</f>
        <v>Diversified Commercial Services</v>
      </c>
      <c r="N578" s="5">
        <f>IFERROR(__xludf.DUMMYFUNCTION("""COMPUTED_VALUE"""),8044.170771)</f>
        <v>8044.170771</v>
      </c>
      <c r="O578" s="6">
        <f t="shared" si="4"/>
        <v>27</v>
      </c>
      <c r="P578" s="6">
        <f t="shared" ref="P578:Q578" si="1158">COUNTIFS(L:L,L578)</f>
        <v>11</v>
      </c>
      <c r="Q578" s="24">
        <f t="shared" si="1158"/>
        <v>6</v>
      </c>
      <c r="R578" s="6" t="str">
        <f t="shared" si="6"/>
        <v>Services</v>
      </c>
      <c r="S578" s="6" t="str">
        <f t="shared" si="7"/>
        <v>Services</v>
      </c>
      <c r="T578" s="6">
        <f>IFERROR(__xludf.DUMMYFUNCTION("COUNTA(UNIQUE(query($A$2:$P$800,""select L where K='""&amp; K578&amp;""'"")))"),3.0)</f>
        <v>3</v>
      </c>
      <c r="U578" s="23">
        <f t="shared" si="8"/>
        <v>0.1666666667</v>
      </c>
      <c r="V578" s="23">
        <f t="shared" ref="V578:W578" si="1159">P578/O578</f>
        <v>0.4074074074</v>
      </c>
      <c r="W578" s="23">
        <f t="shared" si="1159"/>
        <v>0.5454545455</v>
      </c>
    </row>
    <row r="579">
      <c r="A579" s="6">
        <f>IFERROR(__xludf.DUMMYFUNCTION("""COMPUTED_VALUE"""),543271.0)</f>
        <v>543271</v>
      </c>
      <c r="B579" s="6" t="str">
        <f>IFERROR(__xludf.DUMMYFUNCTION("""COMPUTED_VALUE"""),"Jubilant Ingrevia Limited")</f>
        <v>Jubilant Ingrevia Limited</v>
      </c>
      <c r="C579" s="6" t="str">
        <f>IFERROR(__xludf.DUMMYFUNCTION("""COMPUTED_VALUE"""),"JUBLINGREA")</f>
        <v>JUBLINGREA</v>
      </c>
      <c r="D579" s="6" t="str">
        <f>IFERROR(__xludf.DUMMYFUNCTION("""COMPUTED_VALUE"""),"Jubilant Ingrevia Ltd")</f>
        <v>Jubilant Ingrevia Ltd</v>
      </c>
      <c r="E579" s="6" t="str">
        <f>IFERROR(__xludf.DUMMYFUNCTION("""COMPUTED_VALUE"""),"Active")</f>
        <v>Active</v>
      </c>
      <c r="F579" s="6" t="str">
        <f>IFERROR(__xludf.DUMMYFUNCTION("""COMPUTED_VALUE"""),"A")</f>
        <v>A</v>
      </c>
      <c r="G579" s="6">
        <f>IFERROR(__xludf.DUMMYFUNCTION("""COMPUTED_VALUE"""),1.0)</f>
        <v>1</v>
      </c>
      <c r="H579" s="6" t="str">
        <f>IFERROR(__xludf.DUMMYFUNCTION("""COMPUTED_VALUE"""),"INE0BY001018")</f>
        <v>INE0BY001018</v>
      </c>
      <c r="I579" s="6" t="str">
        <f>IFERROR(__xludf.DUMMYFUNCTION("""COMPUTED_VALUE"""),"Equity")</f>
        <v>Equity</v>
      </c>
      <c r="J579" s="6" t="str">
        <f>IFERROR(__xludf.DUMMYFUNCTION("""COMPUTED_VALUE"""),"Commodities")</f>
        <v>Commodities</v>
      </c>
      <c r="K579" s="6" t="str">
        <f>IFERROR(__xludf.DUMMYFUNCTION("""COMPUTED_VALUE"""),"Chemicals")</f>
        <v>Chemicals</v>
      </c>
      <c r="L579" s="6" t="str">
        <f>IFERROR(__xludf.DUMMYFUNCTION("""COMPUTED_VALUE"""),"Chemicals &amp; Petrochemicals")</f>
        <v>Chemicals &amp; Petrochemicals</v>
      </c>
      <c r="M579" s="6" t="str">
        <f>IFERROR(__xludf.DUMMYFUNCTION("""COMPUTED_VALUE"""),"Specialty Chemicals")</f>
        <v>Specialty Chemicals</v>
      </c>
      <c r="N579" s="5">
        <f>IFERROR(__xludf.DUMMYFUNCTION("""COMPUTED_VALUE"""),8025.7700088)</f>
        <v>8025.770009</v>
      </c>
      <c r="O579" s="6">
        <f t="shared" si="4"/>
        <v>52</v>
      </c>
      <c r="P579" s="6">
        <f t="shared" ref="P579:Q579" si="1160">COUNTIFS(L:L,L579)</f>
        <v>37</v>
      </c>
      <c r="Q579" s="24">
        <f t="shared" si="1160"/>
        <v>25</v>
      </c>
      <c r="R579" s="6" t="str">
        <f t="shared" si="6"/>
        <v>Chemicals</v>
      </c>
      <c r="S579" s="6" t="str">
        <f t="shared" si="7"/>
        <v>Chemicals</v>
      </c>
      <c r="T579" s="6">
        <f>IFERROR(__xludf.DUMMYFUNCTION("COUNTA(UNIQUE(query($A$2:$P$800,""select L where K='""&amp; K579&amp;""'"")))"),2.0)</f>
        <v>2</v>
      </c>
      <c r="U579" s="23">
        <f t="shared" si="8"/>
        <v>0.05769230769</v>
      </c>
      <c r="V579" s="23">
        <f t="shared" ref="V579:W579" si="1161">P579/O579</f>
        <v>0.7115384615</v>
      </c>
      <c r="W579" s="23">
        <f t="shared" si="1161"/>
        <v>0.6756756757</v>
      </c>
    </row>
    <row r="580">
      <c r="A580" s="6">
        <f>IFERROR(__xludf.DUMMYFUNCTION("""COMPUTED_VALUE"""),539992.0)</f>
        <v>539992</v>
      </c>
      <c r="B580" s="6" t="str">
        <f>IFERROR(__xludf.DUMMYFUNCTION("""COMPUTED_VALUE"""),"LLOYDS ENGINEERING WORKS LIMITED")</f>
        <v>LLOYDS ENGINEERING WORKS LIMITED</v>
      </c>
      <c r="C580" s="6" t="str">
        <f>IFERROR(__xludf.DUMMYFUNCTION("""COMPUTED_VALUE"""),"LLOYDSENGG")</f>
        <v>LLOYDSENGG</v>
      </c>
      <c r="D580" s="6" t="str">
        <f>IFERROR(__xludf.DUMMYFUNCTION("""COMPUTED_VALUE"""),"Lloyds Engineering Works Ltd")</f>
        <v>Lloyds Engineering Works Ltd</v>
      </c>
      <c r="E580" s="6" t="str">
        <f>IFERROR(__xludf.DUMMYFUNCTION("""COMPUTED_VALUE"""),"Active")</f>
        <v>Active</v>
      </c>
      <c r="F580" s="6" t="str">
        <f>IFERROR(__xludf.DUMMYFUNCTION("""COMPUTED_VALUE"""),"A")</f>
        <v>A</v>
      </c>
      <c r="G580" s="6">
        <f>IFERROR(__xludf.DUMMYFUNCTION("""COMPUTED_VALUE"""),1.0)</f>
        <v>1</v>
      </c>
      <c r="H580" s="6" t="str">
        <f>IFERROR(__xludf.DUMMYFUNCTION("""COMPUTED_VALUE"""),"INE093R01011")</f>
        <v>INE093R01011</v>
      </c>
      <c r="I580" s="6" t="str">
        <f>IFERROR(__xludf.DUMMYFUNCTION("""COMPUTED_VALUE"""),"Equity")</f>
        <v>Equity</v>
      </c>
      <c r="J580" s="6" t="str">
        <f>IFERROR(__xludf.DUMMYFUNCTION("""COMPUTED_VALUE"""),"Industrials")</f>
        <v>Industrials</v>
      </c>
      <c r="K580" s="6" t="str">
        <f>IFERROR(__xludf.DUMMYFUNCTION("""COMPUTED_VALUE"""),"Capital Goods")</f>
        <v>Capital Goods</v>
      </c>
      <c r="L580" s="6" t="str">
        <f>IFERROR(__xludf.DUMMYFUNCTION("""COMPUTED_VALUE"""),"Industrial Manufacturing")</f>
        <v>Industrial Manufacturing</v>
      </c>
      <c r="M580" s="6" t="str">
        <f>IFERROR(__xludf.DUMMYFUNCTION("""COMPUTED_VALUE"""),"Industrial Products")</f>
        <v>Industrial Products</v>
      </c>
      <c r="N580" s="5">
        <f>IFERROR(__xludf.DUMMYFUNCTION("""COMPUTED_VALUE"""),7987.8834)</f>
        <v>7987.8834</v>
      </c>
      <c r="O580" s="6">
        <f t="shared" si="4"/>
        <v>110</v>
      </c>
      <c r="P580" s="6">
        <f t="shared" ref="P580:Q580" si="1162">COUNTIFS(L:L,L580)</f>
        <v>21</v>
      </c>
      <c r="Q580" s="24">
        <f t="shared" si="1162"/>
        <v>17</v>
      </c>
      <c r="R580" s="6" t="str">
        <f t="shared" si="6"/>
        <v>Industrial Manufacturing</v>
      </c>
      <c r="S580" s="6" t="str">
        <f t="shared" si="7"/>
        <v>Industrial Manufacturing</v>
      </c>
      <c r="T580" s="6">
        <f>IFERROR(__xludf.DUMMYFUNCTION("COUNTA(UNIQUE(query($A$2:$P$800,""select L where K='""&amp; K580&amp;""'"")))"),5.0)</f>
        <v>5</v>
      </c>
      <c r="U580" s="23">
        <f t="shared" si="8"/>
        <v>0.06818181818</v>
      </c>
      <c r="V580" s="23">
        <f t="shared" ref="V580:W580" si="1163">P580/O580</f>
        <v>0.1909090909</v>
      </c>
      <c r="W580" s="23">
        <f t="shared" si="1163"/>
        <v>0.8095238095</v>
      </c>
    </row>
    <row r="581">
      <c r="A581" s="6">
        <f>IFERROR(__xludf.DUMMYFUNCTION("""COMPUTED_VALUE"""),532642.0)</f>
        <v>532642</v>
      </c>
      <c r="B581" s="6" t="str">
        <f>IFERROR(__xludf.DUMMYFUNCTION("""COMPUTED_VALUE"""),"JSW Holdings Limited")</f>
        <v>JSW Holdings Limited</v>
      </c>
      <c r="C581" s="6" t="str">
        <f>IFERROR(__xludf.DUMMYFUNCTION("""COMPUTED_VALUE"""),"JSWHL")</f>
        <v>JSWHL</v>
      </c>
      <c r="D581" s="6" t="str">
        <f>IFERROR(__xludf.DUMMYFUNCTION("""COMPUTED_VALUE"""),"JSW Holdings Limited")</f>
        <v>JSW Holdings Limited</v>
      </c>
      <c r="E581" s="6" t="str">
        <f>IFERROR(__xludf.DUMMYFUNCTION("""COMPUTED_VALUE"""),"Active")</f>
        <v>Active</v>
      </c>
      <c r="F581" s="6" t="str">
        <f>IFERROR(__xludf.DUMMYFUNCTION("""COMPUTED_VALUE"""),"B")</f>
        <v>B</v>
      </c>
      <c r="G581" s="6">
        <f>IFERROR(__xludf.DUMMYFUNCTION("""COMPUTED_VALUE"""),10.0)</f>
        <v>10</v>
      </c>
      <c r="H581" s="6" t="str">
        <f>IFERROR(__xludf.DUMMYFUNCTION("""COMPUTED_VALUE"""),"INE824G01012")</f>
        <v>INE824G01012</v>
      </c>
      <c r="I581" s="6" t="str">
        <f>IFERROR(__xludf.DUMMYFUNCTION("""COMPUTED_VALUE"""),"Equity")</f>
        <v>Equity</v>
      </c>
      <c r="J581" s="6" t="str">
        <f>IFERROR(__xludf.DUMMYFUNCTION("""COMPUTED_VALUE"""),"Financial Services")</f>
        <v>Financial Services</v>
      </c>
      <c r="K581" s="6" t="str">
        <f>IFERROR(__xludf.DUMMYFUNCTION("""COMPUTED_VALUE"""),"Financial Services")</f>
        <v>Financial Services</v>
      </c>
      <c r="L581" s="6" t="str">
        <f>IFERROR(__xludf.DUMMYFUNCTION("""COMPUTED_VALUE"""),"Finance")</f>
        <v>Finance</v>
      </c>
      <c r="M581" s="6" t="str">
        <f>IFERROR(__xludf.DUMMYFUNCTION("""COMPUTED_VALUE"""),"Investment Company")</f>
        <v>Investment Company</v>
      </c>
      <c r="N581" s="5">
        <f>IFERROR(__xludf.DUMMYFUNCTION("""COMPUTED_VALUE"""),7982.4845456)</f>
        <v>7982.484546</v>
      </c>
      <c r="O581" s="6">
        <f t="shared" si="4"/>
        <v>123</v>
      </c>
      <c r="P581" s="6">
        <f t="shared" ref="P581:Q581" si="1164">COUNTIFS(L:L,L581)</f>
        <v>56</v>
      </c>
      <c r="Q581" s="24">
        <f t="shared" si="1164"/>
        <v>8</v>
      </c>
      <c r="R581" s="6" t="str">
        <f t="shared" si="6"/>
        <v>Finance</v>
      </c>
      <c r="S581" s="6" t="str">
        <f t="shared" si="7"/>
        <v>Finance</v>
      </c>
      <c r="T581" s="6">
        <f>IFERROR(__xludf.DUMMYFUNCTION("COUNTA(UNIQUE(query($A$2:$P$800,""select L where K='""&amp; K581&amp;""'"")))"),5.0)</f>
        <v>5</v>
      </c>
      <c r="U581" s="23">
        <f t="shared" si="8"/>
        <v>0.06097560976</v>
      </c>
      <c r="V581" s="23">
        <f t="shared" ref="V581:W581" si="1165">P581/O581</f>
        <v>0.4552845528</v>
      </c>
      <c r="W581" s="23">
        <f t="shared" si="1165"/>
        <v>0.1428571429</v>
      </c>
    </row>
    <row r="582">
      <c r="A582" s="6">
        <f>IFERROR(__xludf.DUMMYFUNCTION("""COMPUTED_VALUE"""),512179.0)</f>
        <v>512179</v>
      </c>
      <c r="B582" s="6" t="str">
        <f>IFERROR(__xludf.DUMMYFUNCTION("""COMPUTED_VALUE"""),"Sunteck Realty Ltd")</f>
        <v>Sunteck Realty Ltd</v>
      </c>
      <c r="C582" s="6" t="str">
        <f>IFERROR(__xludf.DUMMYFUNCTION("""COMPUTED_VALUE"""),"SUNTECK")</f>
        <v>SUNTECK</v>
      </c>
      <c r="D582" s="6" t="str">
        <f>IFERROR(__xludf.DUMMYFUNCTION("""COMPUTED_VALUE"""),"SUNTECK REALTY LTD.")</f>
        <v>SUNTECK REALTY LTD.</v>
      </c>
      <c r="E582" s="6" t="str">
        <f>IFERROR(__xludf.DUMMYFUNCTION("""COMPUTED_VALUE"""),"Active")</f>
        <v>Active</v>
      </c>
      <c r="F582" s="6" t="str">
        <f>IFERROR(__xludf.DUMMYFUNCTION("""COMPUTED_VALUE"""),"A")</f>
        <v>A</v>
      </c>
      <c r="G582" s="6">
        <f>IFERROR(__xludf.DUMMYFUNCTION("""COMPUTED_VALUE"""),1.0)</f>
        <v>1</v>
      </c>
      <c r="H582" s="6" t="str">
        <f>IFERROR(__xludf.DUMMYFUNCTION("""COMPUTED_VALUE"""),"INE805D01034")</f>
        <v>INE805D01034</v>
      </c>
      <c r="I582" s="6" t="str">
        <f>IFERROR(__xludf.DUMMYFUNCTION("""COMPUTED_VALUE"""),"Equity")</f>
        <v>Equity</v>
      </c>
      <c r="J582" s="6" t="str">
        <f>IFERROR(__xludf.DUMMYFUNCTION("""COMPUTED_VALUE"""),"Consumer Discretionary")</f>
        <v>Consumer Discretionary</v>
      </c>
      <c r="K582" s="6" t="str">
        <f>IFERROR(__xludf.DUMMYFUNCTION("""COMPUTED_VALUE"""),"Realty")</f>
        <v>Realty</v>
      </c>
      <c r="L582" s="6" t="str">
        <f>IFERROR(__xludf.DUMMYFUNCTION("""COMPUTED_VALUE"""),"Realty")</f>
        <v>Realty</v>
      </c>
      <c r="M582" s="6" t="str">
        <f>IFERROR(__xludf.DUMMYFUNCTION("""COMPUTED_VALUE"""),"Residential, Commercial Projects")</f>
        <v>Residential, Commercial Projects</v>
      </c>
      <c r="N582" s="5">
        <f>IFERROR(__xludf.DUMMYFUNCTION("""COMPUTED_VALUE"""),7942.152129)</f>
        <v>7942.152129</v>
      </c>
      <c r="O582" s="6">
        <f t="shared" si="4"/>
        <v>20</v>
      </c>
      <c r="P582" s="6">
        <f t="shared" ref="P582:Q582" si="1166">COUNTIFS(L:L,L582)</f>
        <v>20</v>
      </c>
      <c r="Q582" s="24">
        <f t="shared" si="1166"/>
        <v>20</v>
      </c>
      <c r="R582" s="6" t="str">
        <f t="shared" si="6"/>
        <v>Realty</v>
      </c>
      <c r="S582" s="6" t="str">
        <f t="shared" si="7"/>
        <v>Realty</v>
      </c>
      <c r="T582" s="6">
        <f>IFERROR(__xludf.DUMMYFUNCTION("COUNTA(UNIQUE(query($A$2:$P$800,""select L where K='""&amp; K582&amp;""'"")))"),1.0)</f>
        <v>1</v>
      </c>
      <c r="U582" s="23">
        <f t="shared" si="8"/>
        <v>0.075</v>
      </c>
      <c r="V582" s="23">
        <f t="shared" ref="V582:W582" si="1167">P582/O582</f>
        <v>1</v>
      </c>
      <c r="W582" s="23">
        <f t="shared" si="1167"/>
        <v>1</v>
      </c>
    </row>
    <row r="583">
      <c r="A583" s="6">
        <f>IFERROR(__xludf.DUMMYFUNCTION("""COMPUTED_VALUE"""),532668.0)</f>
        <v>532668</v>
      </c>
      <c r="B583" s="6" t="str">
        <f>IFERROR(__xludf.DUMMYFUNCTION("""COMPUTED_VALUE"""),"Aurionpro Solutions Ltd.")</f>
        <v>Aurionpro Solutions Ltd.</v>
      </c>
      <c r="C583" s="6" t="str">
        <f>IFERROR(__xludf.DUMMYFUNCTION("""COMPUTED_VALUE"""),"AURIONPRO")</f>
        <v>AURIONPRO</v>
      </c>
      <c r="D583" s="6" t="str">
        <f>IFERROR(__xludf.DUMMYFUNCTION("""COMPUTED_VALUE"""),"AURIONPRO SOLUTIONS LTD.")</f>
        <v>AURIONPRO SOLUTIONS LTD.</v>
      </c>
      <c r="E583" s="6" t="str">
        <f>IFERROR(__xludf.DUMMYFUNCTION("""COMPUTED_VALUE"""),"Active")</f>
        <v>Active</v>
      </c>
      <c r="F583" s="6" t="str">
        <f>IFERROR(__xludf.DUMMYFUNCTION("""COMPUTED_VALUE"""),"B")</f>
        <v>B</v>
      </c>
      <c r="G583" s="6">
        <f>IFERROR(__xludf.DUMMYFUNCTION("""COMPUTED_VALUE"""),10.0)</f>
        <v>10</v>
      </c>
      <c r="H583" s="6" t="str">
        <f>IFERROR(__xludf.DUMMYFUNCTION("""COMPUTED_VALUE"""),"INE132H01018")</f>
        <v>INE132H01018</v>
      </c>
      <c r="I583" s="6" t="str">
        <f>IFERROR(__xludf.DUMMYFUNCTION("""COMPUTED_VALUE"""),"Equity")</f>
        <v>Equity</v>
      </c>
      <c r="J583" s="6" t="str">
        <f>IFERROR(__xludf.DUMMYFUNCTION("""COMPUTED_VALUE"""),"Information Technology")</f>
        <v>Information Technology</v>
      </c>
      <c r="K583" s="6" t="str">
        <f>IFERROR(__xludf.DUMMYFUNCTION("""COMPUTED_VALUE"""),"Information Technology")</f>
        <v>Information Technology</v>
      </c>
      <c r="L583" s="6" t="str">
        <f>IFERROR(__xludf.DUMMYFUNCTION("""COMPUTED_VALUE"""),"IT - Software")</f>
        <v>IT - Software</v>
      </c>
      <c r="M583" s="6" t="str">
        <f>IFERROR(__xludf.DUMMYFUNCTION("""COMPUTED_VALUE"""),"Computers - Software &amp; Consulting")</f>
        <v>Computers - Software &amp; Consulting</v>
      </c>
      <c r="N583" s="5">
        <f>IFERROR(__xludf.DUMMYFUNCTION("""COMPUTED_VALUE"""),7938.89493)</f>
        <v>7938.89493</v>
      </c>
      <c r="O583" s="6">
        <f t="shared" si="4"/>
        <v>36</v>
      </c>
      <c r="P583" s="6">
        <f t="shared" ref="P583:Q583" si="1168">COUNTIFS(L:L,L583)</f>
        <v>27</v>
      </c>
      <c r="Q583" s="24">
        <f t="shared" si="1168"/>
        <v>22</v>
      </c>
      <c r="R583" s="6" t="str">
        <f t="shared" si="6"/>
        <v>Information Technology</v>
      </c>
      <c r="S583" s="6" t="str">
        <f t="shared" si="7"/>
        <v>Information Technology</v>
      </c>
      <c r="T583" s="6">
        <f>IFERROR(__xludf.DUMMYFUNCTION("COUNTA(UNIQUE(query($A$2:$P$800,""select L where K='""&amp; K583&amp;""'"")))"),3.0)</f>
        <v>3</v>
      </c>
      <c r="U583" s="23">
        <f t="shared" si="8"/>
        <v>0.125</v>
      </c>
      <c r="V583" s="23">
        <f t="shared" ref="V583:W583" si="1169">P583/O583</f>
        <v>0.75</v>
      </c>
      <c r="W583" s="23">
        <f t="shared" si="1169"/>
        <v>0.8148148148</v>
      </c>
    </row>
    <row r="584">
      <c r="A584" s="6">
        <f>IFERROR(__xludf.DUMMYFUNCTION("""COMPUTED_VALUE"""),500185.0)</f>
        <v>500185</v>
      </c>
      <c r="B584" s="6" t="str">
        <f>IFERROR(__xludf.DUMMYFUNCTION("""COMPUTED_VALUE"""),"Hindustan Construction Co. Ltd.")</f>
        <v>Hindustan Construction Co. Ltd.</v>
      </c>
      <c r="C584" s="6" t="str">
        <f>IFERROR(__xludf.DUMMYFUNCTION("""COMPUTED_VALUE"""),"HCC")</f>
        <v>HCC</v>
      </c>
      <c r="D584" s="6" t="str">
        <f>IFERROR(__xludf.DUMMYFUNCTION("""COMPUTED_VALUE"""),"HINDUSTAN CONSTRUCTION CO.LTD.")</f>
        <v>HINDUSTAN CONSTRUCTION CO.LTD.</v>
      </c>
      <c r="E584" s="6" t="str">
        <f>IFERROR(__xludf.DUMMYFUNCTION("""COMPUTED_VALUE"""),"Active")</f>
        <v>Active</v>
      </c>
      <c r="F584" s="6" t="str">
        <f>IFERROR(__xludf.DUMMYFUNCTION("""COMPUTED_VALUE"""),"A")</f>
        <v>A</v>
      </c>
      <c r="G584" s="6">
        <f>IFERROR(__xludf.DUMMYFUNCTION("""COMPUTED_VALUE"""),1.0)</f>
        <v>1</v>
      </c>
      <c r="H584" s="6" t="str">
        <f>IFERROR(__xludf.DUMMYFUNCTION("""COMPUTED_VALUE"""),"INE549A01026")</f>
        <v>INE549A01026</v>
      </c>
      <c r="I584" s="6" t="str">
        <f>IFERROR(__xludf.DUMMYFUNCTION("""COMPUTED_VALUE"""),"Equity")</f>
        <v>Equity</v>
      </c>
      <c r="J584" s="6" t="str">
        <f>IFERROR(__xludf.DUMMYFUNCTION("""COMPUTED_VALUE"""),"Industrials")</f>
        <v>Industrials</v>
      </c>
      <c r="K584" s="6" t="str">
        <f>IFERROR(__xludf.DUMMYFUNCTION("""COMPUTED_VALUE"""),"Construction")</f>
        <v>Construction</v>
      </c>
      <c r="L584" s="6" t="str">
        <f>IFERROR(__xludf.DUMMYFUNCTION("""COMPUTED_VALUE"""),"Construction")</f>
        <v>Construction</v>
      </c>
      <c r="M584" s="6" t="str">
        <f>IFERROR(__xludf.DUMMYFUNCTION("""COMPUTED_VALUE"""),"Civil Construction")</f>
        <v>Civil Construction</v>
      </c>
      <c r="N584" s="5">
        <f>IFERROR(__xludf.DUMMYFUNCTION("""COMPUTED_VALUE"""),7932.513588)</f>
        <v>7932.513588</v>
      </c>
      <c r="O584" s="6">
        <f t="shared" si="4"/>
        <v>27</v>
      </c>
      <c r="P584" s="6">
        <f t="shared" ref="P584:Q584" si="1170">COUNTIFS(L:L,L584)</f>
        <v>27</v>
      </c>
      <c r="Q584" s="24">
        <f t="shared" si="1170"/>
        <v>27</v>
      </c>
      <c r="R584" s="6" t="str">
        <f t="shared" si="6"/>
        <v>Construction</v>
      </c>
      <c r="S584" s="6" t="str">
        <f t="shared" si="7"/>
        <v>Construction</v>
      </c>
      <c r="T584" s="6">
        <f>IFERROR(__xludf.DUMMYFUNCTION("COUNTA(UNIQUE(query($A$2:$P$800,""select L where K='""&amp; K584&amp;""'"")))"),1.0)</f>
        <v>1</v>
      </c>
      <c r="U584" s="23">
        <f t="shared" si="8"/>
        <v>0.05555555556</v>
      </c>
      <c r="V584" s="23">
        <f t="shared" ref="V584:W584" si="1171">P584/O584</f>
        <v>1</v>
      </c>
      <c r="W584" s="23">
        <f t="shared" si="1171"/>
        <v>1</v>
      </c>
    </row>
    <row r="585">
      <c r="A585" s="6">
        <f>IFERROR(__xludf.DUMMYFUNCTION("""COMPUTED_VALUE"""),533269.0)</f>
        <v>533269</v>
      </c>
      <c r="B585" s="6" t="str">
        <f>IFERROR(__xludf.DUMMYFUNCTION("""COMPUTED_VALUE"""),"VA Tech Wabag Limited")</f>
        <v>VA Tech Wabag Limited</v>
      </c>
      <c r="C585" s="6" t="str">
        <f>IFERROR(__xludf.DUMMYFUNCTION("""COMPUTED_VALUE"""),"WABAG")</f>
        <v>WABAG</v>
      </c>
      <c r="D585" s="6" t="str">
        <f>IFERROR(__xludf.DUMMYFUNCTION("""COMPUTED_VALUE"""),"VA TECH WABAG LTD.")</f>
        <v>VA TECH WABAG LTD.</v>
      </c>
      <c r="E585" s="6" t="str">
        <f>IFERROR(__xludf.DUMMYFUNCTION("""COMPUTED_VALUE"""),"Active")</f>
        <v>Active</v>
      </c>
      <c r="F585" s="6" t="str">
        <f>IFERROR(__xludf.DUMMYFUNCTION("""COMPUTED_VALUE"""),"A")</f>
        <v>A</v>
      </c>
      <c r="G585" s="6">
        <f>IFERROR(__xludf.DUMMYFUNCTION("""COMPUTED_VALUE"""),2.0)</f>
        <v>2</v>
      </c>
      <c r="H585" s="6" t="str">
        <f>IFERROR(__xludf.DUMMYFUNCTION("""COMPUTED_VALUE"""),"INE956G01038")</f>
        <v>INE956G01038</v>
      </c>
      <c r="I585" s="6" t="str">
        <f>IFERROR(__xludf.DUMMYFUNCTION("""COMPUTED_VALUE"""),"Equity")</f>
        <v>Equity</v>
      </c>
      <c r="J585" s="6" t="str">
        <f>IFERROR(__xludf.DUMMYFUNCTION("""COMPUTED_VALUE"""),"Utilities")</f>
        <v>Utilities</v>
      </c>
      <c r="K585" s="6" t="str">
        <f>IFERROR(__xludf.DUMMYFUNCTION("""COMPUTED_VALUE"""),"Utilities")</f>
        <v>Utilities</v>
      </c>
      <c r="L585" s="6" t="str">
        <f>IFERROR(__xludf.DUMMYFUNCTION("""COMPUTED_VALUE"""),"Other Utilities")</f>
        <v>Other Utilities</v>
      </c>
      <c r="M585" s="6" t="str">
        <f>IFERROR(__xludf.DUMMYFUNCTION("""COMPUTED_VALUE"""),"Water Supply &amp; Management")</f>
        <v>Water Supply &amp; Management</v>
      </c>
      <c r="N585" s="5">
        <f>IFERROR(__xludf.DUMMYFUNCTION("""COMPUTED_VALUE"""),7921.1916233)</f>
        <v>7921.191623</v>
      </c>
      <c r="O585" s="6">
        <f t="shared" si="4"/>
        <v>3</v>
      </c>
      <c r="P585" s="6">
        <f t="shared" ref="P585:Q585" si="1172">COUNTIFS(L:L,L585)</f>
        <v>3</v>
      </c>
      <c r="Q585" s="24">
        <f t="shared" si="1172"/>
        <v>2</v>
      </c>
      <c r="R585" s="6" t="str">
        <f t="shared" si="6"/>
        <v>Utilities</v>
      </c>
      <c r="S585" s="6" t="str">
        <f t="shared" si="7"/>
        <v>Misc.</v>
      </c>
      <c r="T585" s="6">
        <f>IFERROR(__xludf.DUMMYFUNCTION("COUNTA(UNIQUE(query($A$2:$P$800,""select L where K='""&amp; K585&amp;""'"")))"),1.0)</f>
        <v>1</v>
      </c>
      <c r="U585" s="23">
        <f t="shared" si="8"/>
        <v>0.5</v>
      </c>
      <c r="V585" s="23">
        <f t="shared" ref="V585:W585" si="1173">P585/O585</f>
        <v>1</v>
      </c>
      <c r="W585" s="23">
        <f t="shared" si="1173"/>
        <v>0.6666666667</v>
      </c>
    </row>
    <row r="586">
      <c r="A586" s="6">
        <f>IFERROR(__xludf.DUMMYFUNCTION("""COMPUTED_VALUE"""),539302.0)</f>
        <v>539302</v>
      </c>
      <c r="B586" s="6" t="str">
        <f>IFERROR(__xludf.DUMMYFUNCTION("""COMPUTED_VALUE"""),"Power Mech Projects Limited")</f>
        <v>Power Mech Projects Limited</v>
      </c>
      <c r="C586" s="6" t="str">
        <f>IFERROR(__xludf.DUMMYFUNCTION("""COMPUTED_VALUE"""),"POWERMECH")</f>
        <v>POWERMECH</v>
      </c>
      <c r="D586" s="6" t="str">
        <f>IFERROR(__xludf.DUMMYFUNCTION("""COMPUTED_VALUE"""),"Power Mech Projects Ltd")</f>
        <v>Power Mech Projects Ltd</v>
      </c>
      <c r="E586" s="6" t="str">
        <f>IFERROR(__xludf.DUMMYFUNCTION("""COMPUTED_VALUE"""),"Active")</f>
        <v>Active</v>
      </c>
      <c r="F586" s="6" t="str">
        <f>IFERROR(__xludf.DUMMYFUNCTION("""COMPUTED_VALUE"""),"A")</f>
        <v>A</v>
      </c>
      <c r="G586" s="6">
        <f>IFERROR(__xludf.DUMMYFUNCTION("""COMPUTED_VALUE"""),10.0)</f>
        <v>10</v>
      </c>
      <c r="H586" s="6" t="str">
        <f>IFERROR(__xludf.DUMMYFUNCTION("""COMPUTED_VALUE"""),"INE211R01019")</f>
        <v>INE211R01019</v>
      </c>
      <c r="I586" s="6" t="str">
        <f>IFERROR(__xludf.DUMMYFUNCTION("""COMPUTED_VALUE"""),"Equity")</f>
        <v>Equity</v>
      </c>
      <c r="J586" s="6" t="str">
        <f>IFERROR(__xludf.DUMMYFUNCTION("""COMPUTED_VALUE"""),"Industrials")</f>
        <v>Industrials</v>
      </c>
      <c r="K586" s="6" t="str">
        <f>IFERROR(__xludf.DUMMYFUNCTION("""COMPUTED_VALUE"""),"Construction")</f>
        <v>Construction</v>
      </c>
      <c r="L586" s="6" t="str">
        <f>IFERROR(__xludf.DUMMYFUNCTION("""COMPUTED_VALUE"""),"Construction")</f>
        <v>Construction</v>
      </c>
      <c r="M586" s="6" t="str">
        <f>IFERROR(__xludf.DUMMYFUNCTION("""COMPUTED_VALUE"""),"Civil Construction")</f>
        <v>Civil Construction</v>
      </c>
      <c r="N586" s="5">
        <f>IFERROR(__xludf.DUMMYFUNCTION("""COMPUTED_VALUE"""),7884.330986)</f>
        <v>7884.330986</v>
      </c>
      <c r="O586" s="6">
        <f t="shared" si="4"/>
        <v>27</v>
      </c>
      <c r="P586" s="6">
        <f t="shared" ref="P586:Q586" si="1174">COUNTIFS(L:L,L586)</f>
        <v>27</v>
      </c>
      <c r="Q586" s="24">
        <f t="shared" si="1174"/>
        <v>27</v>
      </c>
      <c r="R586" s="6" t="str">
        <f t="shared" si="6"/>
        <v>Construction</v>
      </c>
      <c r="S586" s="6" t="str">
        <f t="shared" si="7"/>
        <v>Construction</v>
      </c>
      <c r="T586" s="6">
        <f>IFERROR(__xludf.DUMMYFUNCTION("COUNTA(UNIQUE(query($A$2:$P$800,""select L where K='""&amp; K586&amp;""'"")))"),1.0)</f>
        <v>1</v>
      </c>
      <c r="U586" s="23">
        <f t="shared" si="8"/>
        <v>0.05555555556</v>
      </c>
      <c r="V586" s="23">
        <f t="shared" ref="V586:W586" si="1175">P586/O586</f>
        <v>1</v>
      </c>
      <c r="W586" s="23">
        <f t="shared" si="1175"/>
        <v>1</v>
      </c>
    </row>
    <row r="587">
      <c r="A587" s="6">
        <f>IFERROR(__xludf.DUMMYFUNCTION("""COMPUTED_VALUE"""),517385.0)</f>
        <v>517385</v>
      </c>
      <c r="B587" s="6" t="str">
        <f>IFERROR(__xludf.DUMMYFUNCTION("""COMPUTED_VALUE"""),"Symphony Limited")</f>
        <v>Symphony Limited</v>
      </c>
      <c r="C587" s="6" t="str">
        <f>IFERROR(__xludf.DUMMYFUNCTION("""COMPUTED_VALUE"""),"SYMPHONY")</f>
        <v>SYMPHONY</v>
      </c>
      <c r="D587" s="6" t="str">
        <f>IFERROR(__xludf.DUMMYFUNCTION("""COMPUTED_VALUE"""),"Symphony Limited")</f>
        <v>Symphony Limited</v>
      </c>
      <c r="E587" s="6" t="str">
        <f>IFERROR(__xludf.DUMMYFUNCTION("""COMPUTED_VALUE"""),"Active")</f>
        <v>Active</v>
      </c>
      <c r="F587" s="6" t="str">
        <f>IFERROR(__xludf.DUMMYFUNCTION("""COMPUTED_VALUE"""),"A")</f>
        <v>A</v>
      </c>
      <c r="G587" s="6">
        <f>IFERROR(__xludf.DUMMYFUNCTION("""COMPUTED_VALUE"""),2.0)</f>
        <v>2</v>
      </c>
      <c r="H587" s="6" t="str">
        <f>IFERROR(__xludf.DUMMYFUNCTION("""COMPUTED_VALUE"""),"INE225D01027")</f>
        <v>INE225D01027</v>
      </c>
      <c r="I587" s="6" t="str">
        <f>IFERROR(__xludf.DUMMYFUNCTION("""COMPUTED_VALUE"""),"Equity")</f>
        <v>Equity</v>
      </c>
      <c r="J587" s="6" t="str">
        <f>IFERROR(__xludf.DUMMYFUNCTION("""COMPUTED_VALUE"""),"Consumer Discretionary")</f>
        <v>Consumer Discretionary</v>
      </c>
      <c r="K587" s="6" t="str">
        <f>IFERROR(__xludf.DUMMYFUNCTION("""COMPUTED_VALUE"""),"Consumer Durables")</f>
        <v>Consumer Durables</v>
      </c>
      <c r="L587" s="6" t="str">
        <f>IFERROR(__xludf.DUMMYFUNCTION("""COMPUTED_VALUE"""),"Consumer Durables")</f>
        <v>Consumer Durables</v>
      </c>
      <c r="M587" s="6" t="str">
        <f>IFERROR(__xludf.DUMMYFUNCTION("""COMPUTED_VALUE"""),"Household Appliances")</f>
        <v>Household Appliances</v>
      </c>
      <c r="N587" s="5">
        <f>IFERROR(__xludf.DUMMYFUNCTION("""COMPUTED_VALUE"""),7870.8423422)</f>
        <v>7870.842342</v>
      </c>
      <c r="O587" s="6">
        <f t="shared" si="4"/>
        <v>42</v>
      </c>
      <c r="P587" s="6">
        <f t="shared" ref="P587:Q587" si="1176">COUNTIFS(L:L,L587)</f>
        <v>42</v>
      </c>
      <c r="Q587" s="24">
        <f t="shared" si="1176"/>
        <v>13</v>
      </c>
      <c r="R587" s="6" t="str">
        <f t="shared" si="6"/>
        <v>Consumer Durables</v>
      </c>
      <c r="S587" s="6" t="str">
        <f t="shared" si="7"/>
        <v>Consumer Durables</v>
      </c>
      <c r="T587" s="6">
        <f>IFERROR(__xludf.DUMMYFUNCTION("COUNTA(UNIQUE(query($A$2:$P$800,""select L where K='""&amp; K587&amp;""'"")))"),1.0)</f>
        <v>1</v>
      </c>
      <c r="U587" s="23">
        <f t="shared" si="8"/>
        <v>0.03571428571</v>
      </c>
      <c r="V587" s="23">
        <f t="shared" ref="V587:W587" si="1177">P587/O587</f>
        <v>1</v>
      </c>
      <c r="W587" s="23">
        <f t="shared" si="1177"/>
        <v>0.3095238095</v>
      </c>
    </row>
    <row r="588">
      <c r="A588" s="6">
        <f>IFERROR(__xludf.DUMMYFUNCTION("""COMPUTED_VALUE"""),540047.0)</f>
        <v>540047</v>
      </c>
      <c r="B588" s="6" t="str">
        <f>IFERROR(__xludf.DUMMYFUNCTION("""COMPUTED_VALUE"""),"Dilip Buildcon Limited")</f>
        <v>Dilip Buildcon Limited</v>
      </c>
      <c r="C588" s="6" t="str">
        <f>IFERROR(__xludf.DUMMYFUNCTION("""COMPUTED_VALUE"""),"DBL")</f>
        <v>DBL</v>
      </c>
      <c r="D588" s="6" t="str">
        <f>IFERROR(__xludf.DUMMYFUNCTION("""COMPUTED_VALUE"""),"Dilip Buildcon Ltd")</f>
        <v>Dilip Buildcon Ltd</v>
      </c>
      <c r="E588" s="6" t="str">
        <f>IFERROR(__xludf.DUMMYFUNCTION("""COMPUTED_VALUE"""),"Active")</f>
        <v>Active</v>
      </c>
      <c r="F588" s="6" t="str">
        <f>IFERROR(__xludf.DUMMYFUNCTION("""COMPUTED_VALUE"""),"A")</f>
        <v>A</v>
      </c>
      <c r="G588" s="6">
        <f>IFERROR(__xludf.DUMMYFUNCTION("""COMPUTED_VALUE"""),10.0)</f>
        <v>10</v>
      </c>
      <c r="H588" s="6" t="str">
        <f>IFERROR(__xludf.DUMMYFUNCTION("""COMPUTED_VALUE"""),"INE917M01012")</f>
        <v>INE917M01012</v>
      </c>
      <c r="I588" s="6" t="str">
        <f>IFERROR(__xludf.DUMMYFUNCTION("""COMPUTED_VALUE"""),"Equity")</f>
        <v>Equity</v>
      </c>
      <c r="J588" s="6" t="str">
        <f>IFERROR(__xludf.DUMMYFUNCTION("""COMPUTED_VALUE"""),"Industrials")</f>
        <v>Industrials</v>
      </c>
      <c r="K588" s="6" t="str">
        <f>IFERROR(__xludf.DUMMYFUNCTION("""COMPUTED_VALUE"""),"Construction")</f>
        <v>Construction</v>
      </c>
      <c r="L588" s="6" t="str">
        <f>IFERROR(__xludf.DUMMYFUNCTION("""COMPUTED_VALUE"""),"Construction")</f>
        <v>Construction</v>
      </c>
      <c r="M588" s="6" t="str">
        <f>IFERROR(__xludf.DUMMYFUNCTION("""COMPUTED_VALUE"""),"Civil Construction")</f>
        <v>Civil Construction</v>
      </c>
      <c r="N588" s="5">
        <f>IFERROR(__xludf.DUMMYFUNCTION("""COMPUTED_VALUE"""),7853.2742401)</f>
        <v>7853.27424</v>
      </c>
      <c r="O588" s="6">
        <f t="shared" si="4"/>
        <v>27</v>
      </c>
      <c r="P588" s="6">
        <f t="shared" ref="P588:Q588" si="1178">COUNTIFS(L:L,L588)</f>
        <v>27</v>
      </c>
      <c r="Q588" s="24">
        <f t="shared" si="1178"/>
        <v>27</v>
      </c>
      <c r="R588" s="6" t="str">
        <f t="shared" si="6"/>
        <v>Construction</v>
      </c>
      <c r="S588" s="6" t="str">
        <f t="shared" si="7"/>
        <v>Construction</v>
      </c>
      <c r="T588" s="6">
        <f>IFERROR(__xludf.DUMMYFUNCTION("COUNTA(UNIQUE(query($A$2:$P$800,""select L where K='""&amp; K588&amp;""'"")))"),1.0)</f>
        <v>1</v>
      </c>
      <c r="U588" s="23">
        <f t="shared" si="8"/>
        <v>0.05555555556</v>
      </c>
      <c r="V588" s="23">
        <f t="shared" ref="V588:W588" si="1179">P588/O588</f>
        <v>1</v>
      </c>
      <c r="W588" s="23">
        <f t="shared" si="1179"/>
        <v>1</v>
      </c>
    </row>
    <row r="589">
      <c r="A589" s="6">
        <f>IFERROR(__xludf.DUMMYFUNCTION("""COMPUTED_VALUE"""),519600.0)</f>
        <v>519600</v>
      </c>
      <c r="B589" s="6" t="str">
        <f>IFERROR(__xludf.DUMMYFUNCTION("""COMPUTED_VALUE"""),"CCL Products (India) Ltd.")</f>
        <v>CCL Products (India) Ltd.</v>
      </c>
      <c r="C589" s="6" t="str">
        <f>IFERROR(__xludf.DUMMYFUNCTION("""COMPUTED_VALUE"""),"CCL")</f>
        <v>CCL</v>
      </c>
      <c r="D589" s="6" t="str">
        <f>IFERROR(__xludf.DUMMYFUNCTION("""COMPUTED_VALUE"""),"CCL PRODUCTS (INDIA) LTD.")</f>
        <v>CCL PRODUCTS (INDIA) LTD.</v>
      </c>
      <c r="E589" s="6" t="str">
        <f>IFERROR(__xludf.DUMMYFUNCTION("""COMPUTED_VALUE"""),"Active")</f>
        <v>Active</v>
      </c>
      <c r="F589" s="6" t="str">
        <f>IFERROR(__xludf.DUMMYFUNCTION("""COMPUTED_VALUE"""),"A")</f>
        <v>A</v>
      </c>
      <c r="G589" s="6">
        <f>IFERROR(__xludf.DUMMYFUNCTION("""COMPUTED_VALUE"""),2.0)</f>
        <v>2</v>
      </c>
      <c r="H589" s="6" t="str">
        <f>IFERROR(__xludf.DUMMYFUNCTION("""COMPUTED_VALUE"""),"INE421D01022")</f>
        <v>INE421D01022</v>
      </c>
      <c r="I589" s="6" t="str">
        <f>IFERROR(__xludf.DUMMYFUNCTION("""COMPUTED_VALUE"""),"Equity")</f>
        <v>Equity</v>
      </c>
      <c r="J589" s="6" t="str">
        <f>IFERROR(__xludf.DUMMYFUNCTION("""COMPUTED_VALUE"""),"Fast Moving Consumer Goods")</f>
        <v>Fast Moving Consumer Goods</v>
      </c>
      <c r="K589" s="6" t="str">
        <f>IFERROR(__xludf.DUMMYFUNCTION("""COMPUTED_VALUE"""),"Fast Moving Consumer Goods")</f>
        <v>Fast Moving Consumer Goods</v>
      </c>
      <c r="L589" s="6" t="str">
        <f>IFERROR(__xludf.DUMMYFUNCTION("""COMPUTED_VALUE"""),"Agricultural Food &amp; other Products")</f>
        <v>Agricultural Food &amp; other Products</v>
      </c>
      <c r="M589" s="6" t="str">
        <f>IFERROR(__xludf.DUMMYFUNCTION("""COMPUTED_VALUE"""),"Tea &amp; Coffee")</f>
        <v>Tea &amp; Coffee</v>
      </c>
      <c r="N589" s="5">
        <f>IFERROR(__xludf.DUMMYFUNCTION("""COMPUTED_VALUE"""),7850.6874385)</f>
        <v>7850.687439</v>
      </c>
      <c r="O589" s="6">
        <f t="shared" si="4"/>
        <v>44</v>
      </c>
      <c r="P589" s="6">
        <f t="shared" ref="P589:Q589" si="1180">COUNTIFS(L:L,L589)</f>
        <v>14</v>
      </c>
      <c r="Q589" s="24">
        <f t="shared" si="1180"/>
        <v>2</v>
      </c>
      <c r="R589" s="6" t="str">
        <f t="shared" si="6"/>
        <v>Fast Moving Consumer Goods</v>
      </c>
      <c r="S589" s="6" t="str">
        <f t="shared" si="7"/>
        <v>Fast Moving Consumer Goods</v>
      </c>
      <c r="T589" s="6">
        <f>IFERROR(__xludf.DUMMYFUNCTION("COUNTA(UNIQUE(query($A$2:$P$800,""select L where K='""&amp; K589&amp;""'"")))"),7.0)</f>
        <v>7</v>
      </c>
      <c r="U589" s="23">
        <f t="shared" si="8"/>
        <v>0.2386363636</v>
      </c>
      <c r="V589" s="23">
        <f t="shared" ref="V589:W589" si="1181">P589/O589</f>
        <v>0.3181818182</v>
      </c>
      <c r="W589" s="23">
        <f t="shared" si="1181"/>
        <v>0.1428571429</v>
      </c>
    </row>
    <row r="590">
      <c r="A590" s="6">
        <f>IFERROR(__xludf.DUMMYFUNCTION("""COMPUTED_VALUE"""),532652.0)</f>
        <v>532652</v>
      </c>
      <c r="B590" s="6" t="str">
        <f>IFERROR(__xludf.DUMMYFUNCTION("""COMPUTED_VALUE"""),"Karnataka Bank Ltd.")</f>
        <v>Karnataka Bank Ltd.</v>
      </c>
      <c r="C590" s="6" t="str">
        <f>IFERROR(__xludf.DUMMYFUNCTION("""COMPUTED_VALUE"""),"KTKBANK")</f>
        <v>KTKBANK</v>
      </c>
      <c r="D590" s="6" t="str">
        <f>IFERROR(__xludf.DUMMYFUNCTION("""COMPUTED_VALUE"""),"KARNATAKA BANK LTD.")</f>
        <v>KARNATAKA BANK LTD.</v>
      </c>
      <c r="E590" s="6" t="str">
        <f>IFERROR(__xludf.DUMMYFUNCTION("""COMPUTED_VALUE"""),"Active")</f>
        <v>Active</v>
      </c>
      <c r="F590" s="6" t="str">
        <f>IFERROR(__xludf.DUMMYFUNCTION("""COMPUTED_VALUE"""),"A")</f>
        <v>A</v>
      </c>
      <c r="G590" s="6">
        <f>IFERROR(__xludf.DUMMYFUNCTION("""COMPUTED_VALUE"""),10.0)</f>
        <v>10</v>
      </c>
      <c r="H590" s="6" t="str">
        <f>IFERROR(__xludf.DUMMYFUNCTION("""COMPUTED_VALUE"""),"INE614B01018")</f>
        <v>INE614B01018</v>
      </c>
      <c r="I590" s="6" t="str">
        <f>IFERROR(__xludf.DUMMYFUNCTION("""COMPUTED_VALUE"""),"Equity")</f>
        <v>Equity</v>
      </c>
      <c r="J590" s="6" t="str">
        <f>IFERROR(__xludf.DUMMYFUNCTION("""COMPUTED_VALUE"""),"Financial Services")</f>
        <v>Financial Services</v>
      </c>
      <c r="K590" s="6" t="str">
        <f>IFERROR(__xludf.DUMMYFUNCTION("""COMPUTED_VALUE"""),"Financial Services")</f>
        <v>Financial Services</v>
      </c>
      <c r="L590" s="6" t="str">
        <f>IFERROR(__xludf.DUMMYFUNCTION("""COMPUTED_VALUE"""),"Banks")</f>
        <v>Banks</v>
      </c>
      <c r="M590" s="6" t="str">
        <f>IFERROR(__xludf.DUMMYFUNCTION("""COMPUTED_VALUE"""),"Private Sector Bank")</f>
        <v>Private Sector Bank</v>
      </c>
      <c r="N590" s="5">
        <f>IFERROR(__xludf.DUMMYFUNCTION("""COMPUTED_VALUE"""),7819.370659)</f>
        <v>7819.370659</v>
      </c>
      <c r="O590" s="6">
        <f t="shared" si="4"/>
        <v>123</v>
      </c>
      <c r="P590" s="6">
        <f t="shared" ref="P590:Q590" si="1182">COUNTIFS(L:L,L590)</f>
        <v>35</v>
      </c>
      <c r="Q590" s="24">
        <f t="shared" si="1182"/>
        <v>23</v>
      </c>
      <c r="R590" s="6" t="str">
        <f t="shared" si="6"/>
        <v>Banks</v>
      </c>
      <c r="S590" s="6" t="str">
        <f t="shared" si="7"/>
        <v>Banks</v>
      </c>
      <c r="T590" s="6">
        <f>IFERROR(__xludf.DUMMYFUNCTION("COUNTA(UNIQUE(query($A$2:$P$800,""select L where K='""&amp; K590&amp;""'"")))"),5.0)</f>
        <v>5</v>
      </c>
      <c r="U590" s="23">
        <f t="shared" si="8"/>
        <v>0.06097560976</v>
      </c>
      <c r="V590" s="23">
        <f t="shared" ref="V590:W590" si="1183">P590/O590</f>
        <v>0.2845528455</v>
      </c>
      <c r="W590" s="23">
        <f t="shared" si="1183"/>
        <v>0.6571428571</v>
      </c>
    </row>
    <row r="591">
      <c r="A591" s="6">
        <f>IFERROR(__xludf.DUMMYFUNCTION("""COMPUTED_VALUE"""),509557.0)</f>
        <v>509557</v>
      </c>
      <c r="B591" s="6" t="str">
        <f>IFERROR(__xludf.DUMMYFUNCTION("""COMPUTED_VALUE"""),"GARWARE TECHNICAL FIBRES LIMITED")</f>
        <v>GARWARE TECHNICAL FIBRES LIMITED</v>
      </c>
      <c r="C591" s="6" t="str">
        <f>IFERROR(__xludf.DUMMYFUNCTION("""COMPUTED_VALUE"""),"GARFIBRES")</f>
        <v>GARFIBRES</v>
      </c>
      <c r="D591" s="6" t="str">
        <f>IFERROR(__xludf.DUMMYFUNCTION("""COMPUTED_VALUE"""),"Garware Technical Fibres Ltd")</f>
        <v>Garware Technical Fibres Ltd</v>
      </c>
      <c r="E591" s="6" t="str">
        <f>IFERROR(__xludf.DUMMYFUNCTION("""COMPUTED_VALUE"""),"Active")</f>
        <v>Active</v>
      </c>
      <c r="F591" s="6" t="str">
        <f>IFERROR(__xludf.DUMMYFUNCTION("""COMPUTED_VALUE"""),"A")</f>
        <v>A</v>
      </c>
      <c r="G591" s="6">
        <f>IFERROR(__xludf.DUMMYFUNCTION("""COMPUTED_VALUE"""),10.0)</f>
        <v>10</v>
      </c>
      <c r="H591" s="6" t="str">
        <f>IFERROR(__xludf.DUMMYFUNCTION("""COMPUTED_VALUE"""),"INE276A01018")</f>
        <v>INE276A01018</v>
      </c>
      <c r="I591" s="6" t="str">
        <f>IFERROR(__xludf.DUMMYFUNCTION("""COMPUTED_VALUE"""),"Equity")</f>
        <v>Equity</v>
      </c>
      <c r="J591" s="6" t="str">
        <f>IFERROR(__xludf.DUMMYFUNCTION("""COMPUTED_VALUE"""),"Consumer Discretionary")</f>
        <v>Consumer Discretionary</v>
      </c>
      <c r="K591" s="6" t="str">
        <f>IFERROR(__xludf.DUMMYFUNCTION("""COMPUTED_VALUE"""),"Textiles")</f>
        <v>Textiles</v>
      </c>
      <c r="L591" s="6" t="str">
        <f>IFERROR(__xludf.DUMMYFUNCTION("""COMPUTED_VALUE"""),"Textiles &amp; Apparels")</f>
        <v>Textiles &amp; Apparels</v>
      </c>
      <c r="M591" s="6" t="str">
        <f>IFERROR(__xludf.DUMMYFUNCTION("""COMPUTED_VALUE"""),"Other Textile Products")</f>
        <v>Other Textile Products</v>
      </c>
      <c r="N591" s="5">
        <f>IFERROR(__xludf.DUMMYFUNCTION("""COMPUTED_VALUE"""),7788.4157704)</f>
        <v>7788.41577</v>
      </c>
      <c r="O591" s="6">
        <f t="shared" si="4"/>
        <v>13</v>
      </c>
      <c r="P591" s="6">
        <f t="shared" ref="P591:Q591" si="1184">COUNTIFS(L:L,L591)</f>
        <v>13</v>
      </c>
      <c r="Q591" s="24">
        <f t="shared" si="1184"/>
        <v>8</v>
      </c>
      <c r="R591" s="6" t="str">
        <f t="shared" si="6"/>
        <v>Textiles</v>
      </c>
      <c r="S591" s="6" t="str">
        <f t="shared" si="7"/>
        <v>Textiles</v>
      </c>
      <c r="T591" s="6">
        <f>IFERROR(__xludf.DUMMYFUNCTION("COUNTA(UNIQUE(query($A$2:$P$800,""select L where K='""&amp; K591&amp;""'"")))"),1.0)</f>
        <v>1</v>
      </c>
      <c r="U591" s="23">
        <f t="shared" si="8"/>
        <v>0.1153846154</v>
      </c>
      <c r="V591" s="23">
        <f t="shared" ref="V591:W591" si="1185">P591/O591</f>
        <v>1</v>
      </c>
      <c r="W591" s="23">
        <f t="shared" si="1185"/>
        <v>0.6153846154</v>
      </c>
    </row>
    <row r="592">
      <c r="A592" s="6">
        <f>IFERROR(__xludf.DUMMYFUNCTION("""COMPUTED_VALUE"""),532872.0)</f>
        <v>532872</v>
      </c>
      <c r="B592" s="6" t="str">
        <f>IFERROR(__xludf.DUMMYFUNCTION("""COMPUTED_VALUE"""),"Sun Pharma Advanced Research Company Ltd.")</f>
        <v>Sun Pharma Advanced Research Company Ltd.</v>
      </c>
      <c r="C592" s="6" t="str">
        <f>IFERROR(__xludf.DUMMYFUNCTION("""COMPUTED_VALUE"""),"SPARC")</f>
        <v>SPARC</v>
      </c>
      <c r="D592" s="6" t="str">
        <f>IFERROR(__xludf.DUMMYFUNCTION("""COMPUTED_VALUE"""),"SUN PHARMA ADVANCED RESEARCH COMPANY LTD.")</f>
        <v>SUN PHARMA ADVANCED RESEARCH COMPANY LTD.</v>
      </c>
      <c r="E592" s="6" t="str">
        <f>IFERROR(__xludf.DUMMYFUNCTION("""COMPUTED_VALUE"""),"Active")</f>
        <v>Active</v>
      </c>
      <c r="F592" s="6" t="str">
        <f>IFERROR(__xludf.DUMMYFUNCTION("""COMPUTED_VALUE"""),"A")</f>
        <v>A</v>
      </c>
      <c r="G592" s="6">
        <f>IFERROR(__xludf.DUMMYFUNCTION("""COMPUTED_VALUE"""),1.0)</f>
        <v>1</v>
      </c>
      <c r="H592" s="6" t="str">
        <f>IFERROR(__xludf.DUMMYFUNCTION("""COMPUTED_VALUE"""),"INE232I01014")</f>
        <v>INE232I01014</v>
      </c>
      <c r="I592" s="6" t="str">
        <f>IFERROR(__xludf.DUMMYFUNCTION("""COMPUTED_VALUE"""),"Equity")</f>
        <v>Equity</v>
      </c>
      <c r="J592" s="6" t="str">
        <f>IFERROR(__xludf.DUMMYFUNCTION("""COMPUTED_VALUE"""),"Healthcare")</f>
        <v>Healthcare</v>
      </c>
      <c r="K592" s="6" t="str">
        <f>IFERROR(__xludf.DUMMYFUNCTION("""COMPUTED_VALUE"""),"Healthcare")</f>
        <v>Healthcare</v>
      </c>
      <c r="L592" s="6" t="str">
        <f>IFERROR(__xludf.DUMMYFUNCTION("""COMPUTED_VALUE"""),"Pharmaceuticals &amp; Biotechnology")</f>
        <v>Pharmaceuticals &amp; Biotechnology</v>
      </c>
      <c r="M592" s="6" t="str">
        <f>IFERROR(__xludf.DUMMYFUNCTION("""COMPUTED_VALUE"""),"Pharmaceuticals")</f>
        <v>Pharmaceuticals</v>
      </c>
      <c r="N592" s="5">
        <f>IFERROR(__xludf.DUMMYFUNCTION("""COMPUTED_VALUE"""),7773.6850349)</f>
        <v>7773.685035</v>
      </c>
      <c r="O592" s="6">
        <f t="shared" si="4"/>
        <v>62</v>
      </c>
      <c r="P592" s="6">
        <f t="shared" ref="P592:Q592" si="1186">COUNTIFS(L:L,L592)</f>
        <v>45</v>
      </c>
      <c r="Q592" s="24">
        <f t="shared" si="1186"/>
        <v>45</v>
      </c>
      <c r="R592" s="6" t="str">
        <f t="shared" si="6"/>
        <v>Healthcare</v>
      </c>
      <c r="S592" s="6" t="str">
        <f t="shared" si="7"/>
        <v>Healthcare</v>
      </c>
      <c r="T592" s="6">
        <f>IFERROR(__xludf.DUMMYFUNCTION("COUNTA(UNIQUE(query($A$2:$P$800,""select L where K='""&amp; K592&amp;""'"")))"),3.0)</f>
        <v>3</v>
      </c>
      <c r="U592" s="23">
        <f t="shared" si="8"/>
        <v>0.07258064516</v>
      </c>
      <c r="V592" s="23">
        <f t="shared" ref="V592:W592" si="1187">P592/O592</f>
        <v>0.7258064516</v>
      </c>
      <c r="W592" s="23">
        <f t="shared" si="1187"/>
        <v>1</v>
      </c>
    </row>
    <row r="593">
      <c r="A593" s="6">
        <f>IFERROR(__xludf.DUMMYFUNCTION("""COMPUTED_VALUE"""),500390.0)</f>
        <v>500390</v>
      </c>
      <c r="B593" s="6" t="str">
        <f>IFERROR(__xludf.DUMMYFUNCTION("""COMPUTED_VALUE"""),"Reliance Infrastructure Ltd")</f>
        <v>Reliance Infrastructure Ltd</v>
      </c>
      <c r="C593" s="6" t="str">
        <f>IFERROR(__xludf.DUMMYFUNCTION("""COMPUTED_VALUE"""),"RELINFRA")</f>
        <v>RELINFRA</v>
      </c>
      <c r="D593" s="6" t="str">
        <f>IFERROR(__xludf.DUMMYFUNCTION("""COMPUTED_VALUE"""),"RELIANCE INFRASTRUCTURE LTD.")</f>
        <v>RELIANCE INFRASTRUCTURE LTD.</v>
      </c>
      <c r="E593" s="6" t="str">
        <f>IFERROR(__xludf.DUMMYFUNCTION("""COMPUTED_VALUE"""),"Active")</f>
        <v>Active</v>
      </c>
      <c r="F593" s="6" t="str">
        <f>IFERROR(__xludf.DUMMYFUNCTION("""COMPUTED_VALUE"""),"A")</f>
        <v>A</v>
      </c>
      <c r="G593" s="6">
        <f>IFERROR(__xludf.DUMMYFUNCTION("""COMPUTED_VALUE"""),10.0)</f>
        <v>10</v>
      </c>
      <c r="H593" s="6" t="str">
        <f>IFERROR(__xludf.DUMMYFUNCTION("""COMPUTED_VALUE"""),"INE036A01016")</f>
        <v>INE036A01016</v>
      </c>
      <c r="I593" s="6" t="str">
        <f>IFERROR(__xludf.DUMMYFUNCTION("""COMPUTED_VALUE"""),"Equity")</f>
        <v>Equity</v>
      </c>
      <c r="J593" s="6" t="str">
        <f>IFERROR(__xludf.DUMMYFUNCTION("""COMPUTED_VALUE"""),"Utilities")</f>
        <v>Utilities</v>
      </c>
      <c r="K593" s="6" t="str">
        <f>IFERROR(__xludf.DUMMYFUNCTION("""COMPUTED_VALUE"""),"Power")</f>
        <v>Power</v>
      </c>
      <c r="L593" s="6" t="str">
        <f>IFERROR(__xludf.DUMMYFUNCTION("""COMPUTED_VALUE"""),"Power")</f>
        <v>Power</v>
      </c>
      <c r="M593" s="6" t="str">
        <f>IFERROR(__xludf.DUMMYFUNCTION("""COMPUTED_VALUE"""),"Integrated Power Utilities")</f>
        <v>Integrated Power Utilities</v>
      </c>
      <c r="N593" s="5">
        <f>IFERROR(__xludf.DUMMYFUNCTION("""COMPUTED_VALUE"""),7772.8363997)</f>
        <v>7772.8364</v>
      </c>
      <c r="O593" s="6">
        <f t="shared" si="4"/>
        <v>22</v>
      </c>
      <c r="P593" s="6">
        <f t="shared" ref="P593:Q593" si="1188">COUNTIFS(L:L,L593)</f>
        <v>22</v>
      </c>
      <c r="Q593" s="24">
        <f t="shared" si="1188"/>
        <v>6</v>
      </c>
      <c r="R593" s="6" t="str">
        <f t="shared" si="6"/>
        <v>Power</v>
      </c>
      <c r="S593" s="6" t="str">
        <f t="shared" si="7"/>
        <v>Power</v>
      </c>
      <c r="T593" s="6">
        <f>IFERROR(__xludf.DUMMYFUNCTION("COUNTA(UNIQUE(query($A$2:$P$800,""select L where K='""&amp; K593&amp;""'"")))"),1.0)</f>
        <v>1</v>
      </c>
      <c r="U593" s="23">
        <f t="shared" si="8"/>
        <v>0.06818181818</v>
      </c>
      <c r="V593" s="23">
        <f t="shared" ref="V593:W593" si="1189">P593/O593</f>
        <v>1</v>
      </c>
      <c r="W593" s="23">
        <f t="shared" si="1189"/>
        <v>0.2727272727</v>
      </c>
    </row>
    <row r="594">
      <c r="A594" s="6">
        <f>IFERROR(__xludf.DUMMYFUNCTION("""COMPUTED_VALUE"""),531358.0)</f>
        <v>531358</v>
      </c>
      <c r="B594" s="6" t="str">
        <f>IFERROR(__xludf.DUMMYFUNCTION("""COMPUTED_VALUE"""),"Choice International Ltd")</f>
        <v>Choice International Ltd</v>
      </c>
      <c r="C594" s="6" t="str">
        <f>IFERROR(__xludf.DUMMYFUNCTION("""COMPUTED_VALUE"""),"CHOICEIN")</f>
        <v>CHOICEIN</v>
      </c>
      <c r="D594" s="6" t="str">
        <f>IFERROR(__xludf.DUMMYFUNCTION("""COMPUTED_VALUE"""),"CHOICE INTERNATIONAL LTD.")</f>
        <v>CHOICE INTERNATIONAL LTD.</v>
      </c>
      <c r="E594" s="6" t="str">
        <f>IFERROR(__xludf.DUMMYFUNCTION("""COMPUTED_VALUE"""),"Active")</f>
        <v>Active</v>
      </c>
      <c r="F594" s="6" t="str">
        <f>IFERROR(__xludf.DUMMYFUNCTION("""COMPUTED_VALUE"""),"A")</f>
        <v>A</v>
      </c>
      <c r="G594" s="6">
        <f>IFERROR(__xludf.DUMMYFUNCTION("""COMPUTED_VALUE"""),10.0)</f>
        <v>10</v>
      </c>
      <c r="H594" s="6" t="str">
        <f>IFERROR(__xludf.DUMMYFUNCTION("""COMPUTED_VALUE"""),"INE102B01014")</f>
        <v>INE102B01014</v>
      </c>
      <c r="I594" s="6" t="str">
        <f>IFERROR(__xludf.DUMMYFUNCTION("""COMPUTED_VALUE"""),"Equity")</f>
        <v>Equity</v>
      </c>
      <c r="J594" s="6" t="str">
        <f>IFERROR(__xludf.DUMMYFUNCTION("""COMPUTED_VALUE"""),"Financial Services")</f>
        <v>Financial Services</v>
      </c>
      <c r="K594" s="6" t="str">
        <f>IFERROR(__xludf.DUMMYFUNCTION("""COMPUTED_VALUE"""),"Financial Services")</f>
        <v>Financial Services</v>
      </c>
      <c r="L594" s="6" t="str">
        <f>IFERROR(__xludf.DUMMYFUNCTION("""COMPUTED_VALUE"""),"Finance")</f>
        <v>Finance</v>
      </c>
      <c r="M594" s="6" t="str">
        <f>IFERROR(__xludf.DUMMYFUNCTION("""COMPUTED_VALUE"""),"Holding Company")</f>
        <v>Holding Company</v>
      </c>
      <c r="N594" s="5">
        <f>IFERROR(__xludf.DUMMYFUNCTION("""COMPUTED_VALUE"""),7771.94416)</f>
        <v>7771.94416</v>
      </c>
      <c r="O594" s="6">
        <f t="shared" si="4"/>
        <v>123</v>
      </c>
      <c r="P594" s="6">
        <f t="shared" ref="P594:Q594" si="1190">COUNTIFS(L:L,L594)</f>
        <v>56</v>
      </c>
      <c r="Q594" s="24">
        <f t="shared" si="1190"/>
        <v>8</v>
      </c>
      <c r="R594" s="6" t="str">
        <f t="shared" si="6"/>
        <v>Finance</v>
      </c>
      <c r="S594" s="6" t="str">
        <f t="shared" si="7"/>
        <v>Finance</v>
      </c>
      <c r="T594" s="6">
        <f>IFERROR(__xludf.DUMMYFUNCTION("COUNTA(UNIQUE(query($A$2:$P$800,""select L where K='""&amp; K594&amp;""'"")))"),5.0)</f>
        <v>5</v>
      </c>
      <c r="U594" s="23">
        <f t="shared" si="8"/>
        <v>0.06097560976</v>
      </c>
      <c r="V594" s="23">
        <f t="shared" ref="V594:W594" si="1191">P594/O594</f>
        <v>0.4552845528</v>
      </c>
      <c r="W594" s="23">
        <f t="shared" si="1191"/>
        <v>0.1428571429</v>
      </c>
    </row>
    <row r="595">
      <c r="A595" s="6">
        <f>IFERROR(__xludf.DUMMYFUNCTION("""COMPUTED_VALUE"""),538979.0)</f>
        <v>538979</v>
      </c>
      <c r="B595" s="6" t="str">
        <f>IFERROR(__xludf.DUMMYFUNCTION("""COMPUTED_VALUE"""),"Greenlam Industries Ltd")</f>
        <v>Greenlam Industries Ltd</v>
      </c>
      <c r="C595" s="6" t="str">
        <f>IFERROR(__xludf.DUMMYFUNCTION("""COMPUTED_VALUE"""),"GREENLAM")</f>
        <v>GREENLAM</v>
      </c>
      <c r="D595" s="6" t="str">
        <f>IFERROR(__xludf.DUMMYFUNCTION("""COMPUTED_VALUE"""),"Greenlam Industries Ltd")</f>
        <v>Greenlam Industries Ltd</v>
      </c>
      <c r="E595" s="6" t="str">
        <f>IFERROR(__xludf.DUMMYFUNCTION("""COMPUTED_VALUE"""),"Active")</f>
        <v>Active</v>
      </c>
      <c r="F595" s="6" t="str">
        <f>IFERROR(__xludf.DUMMYFUNCTION("""COMPUTED_VALUE"""),"A")</f>
        <v>A</v>
      </c>
      <c r="G595" s="6">
        <f>IFERROR(__xludf.DUMMYFUNCTION("""COMPUTED_VALUE"""),1.0)</f>
        <v>1</v>
      </c>
      <c r="H595" s="6" t="str">
        <f>IFERROR(__xludf.DUMMYFUNCTION("""COMPUTED_VALUE"""),"INE544R01021")</f>
        <v>INE544R01021</v>
      </c>
      <c r="I595" s="6" t="str">
        <f>IFERROR(__xludf.DUMMYFUNCTION("""COMPUTED_VALUE"""),"Equity")</f>
        <v>Equity</v>
      </c>
      <c r="J595" s="6" t="str">
        <f>IFERROR(__xludf.DUMMYFUNCTION("""COMPUTED_VALUE"""),"Consumer Discretionary")</f>
        <v>Consumer Discretionary</v>
      </c>
      <c r="K595" s="6" t="str">
        <f>IFERROR(__xludf.DUMMYFUNCTION("""COMPUTED_VALUE"""),"Consumer Durables")</f>
        <v>Consumer Durables</v>
      </c>
      <c r="L595" s="6" t="str">
        <f>IFERROR(__xludf.DUMMYFUNCTION("""COMPUTED_VALUE"""),"Consumer Durables")</f>
        <v>Consumer Durables</v>
      </c>
      <c r="M595" s="6" t="str">
        <f>IFERROR(__xludf.DUMMYFUNCTION("""COMPUTED_VALUE"""),"Plywood Boards/ Laminates")</f>
        <v>Plywood Boards/ Laminates</v>
      </c>
      <c r="N595" s="5">
        <f>IFERROR(__xludf.DUMMYFUNCTION("""COMPUTED_VALUE"""),7741.2762296)</f>
        <v>7741.27623</v>
      </c>
      <c r="O595" s="6">
        <f t="shared" si="4"/>
        <v>42</v>
      </c>
      <c r="P595" s="6">
        <f t="shared" ref="P595:Q595" si="1192">COUNTIFS(L:L,L595)</f>
        <v>42</v>
      </c>
      <c r="Q595" s="24">
        <f t="shared" si="1192"/>
        <v>2</v>
      </c>
      <c r="R595" s="6" t="str">
        <f t="shared" si="6"/>
        <v>Consumer Durables</v>
      </c>
      <c r="S595" s="6" t="str">
        <f t="shared" si="7"/>
        <v>Consumer Durables</v>
      </c>
      <c r="T595" s="6">
        <f>IFERROR(__xludf.DUMMYFUNCTION("COUNTA(UNIQUE(query($A$2:$P$800,""select L where K='""&amp; K595&amp;""'"")))"),1.0)</f>
        <v>1</v>
      </c>
      <c r="U595" s="23">
        <f t="shared" si="8"/>
        <v>0.03571428571</v>
      </c>
      <c r="V595" s="23">
        <f t="shared" ref="V595:W595" si="1193">P595/O595</f>
        <v>1</v>
      </c>
      <c r="W595" s="23">
        <f t="shared" si="1193"/>
        <v>0.04761904762</v>
      </c>
    </row>
    <row r="596">
      <c r="A596" s="6">
        <f>IFERROR(__xludf.DUMMYFUNCTION("""COMPUTED_VALUE"""),544044.0)</f>
        <v>544044</v>
      </c>
      <c r="B596" s="6" t="str">
        <f>IFERROR(__xludf.DUMMYFUNCTION("""COMPUTED_VALUE"""),"India Shelter Finance Corporation Limited")</f>
        <v>India Shelter Finance Corporation Limited</v>
      </c>
      <c r="C596" s="6" t="str">
        <f>IFERROR(__xludf.DUMMYFUNCTION("""COMPUTED_VALUE"""),"INDIASHLTR")</f>
        <v>INDIASHLTR</v>
      </c>
      <c r="D596" s="6" t="str">
        <f>IFERROR(__xludf.DUMMYFUNCTION("""COMPUTED_VALUE"""),"India Shelter Finance Corporation Ltd")</f>
        <v>India Shelter Finance Corporation Ltd</v>
      </c>
      <c r="E596" s="6" t="str">
        <f>IFERROR(__xludf.DUMMYFUNCTION("""COMPUTED_VALUE"""),"Active")</f>
        <v>Active</v>
      </c>
      <c r="F596" s="6" t="str">
        <f>IFERROR(__xludf.DUMMYFUNCTION("""COMPUTED_VALUE"""),"B")</f>
        <v>B</v>
      </c>
      <c r="G596" s="6">
        <f>IFERROR(__xludf.DUMMYFUNCTION("""COMPUTED_VALUE"""),5.0)</f>
        <v>5</v>
      </c>
      <c r="H596" s="6" t="str">
        <f>IFERROR(__xludf.DUMMYFUNCTION("""COMPUTED_VALUE"""),"INE922K01024")</f>
        <v>INE922K01024</v>
      </c>
      <c r="I596" s="6" t="str">
        <f>IFERROR(__xludf.DUMMYFUNCTION("""COMPUTED_VALUE"""),"Equity")</f>
        <v>Equity</v>
      </c>
      <c r="J596" s="6" t="str">
        <f>IFERROR(__xludf.DUMMYFUNCTION("""COMPUTED_VALUE"""),"Financial Services")</f>
        <v>Financial Services</v>
      </c>
      <c r="K596" s="6" t="str">
        <f>IFERROR(__xludf.DUMMYFUNCTION("""COMPUTED_VALUE"""),"Financial Services")</f>
        <v>Financial Services</v>
      </c>
      <c r="L596" s="6" t="str">
        <f>IFERROR(__xludf.DUMMYFUNCTION("""COMPUTED_VALUE"""),"Finance")</f>
        <v>Finance</v>
      </c>
      <c r="M596" s="6" t="str">
        <f>IFERROR(__xludf.DUMMYFUNCTION("""COMPUTED_VALUE"""),"Housing Finance Company")</f>
        <v>Housing Finance Company</v>
      </c>
      <c r="N596" s="5">
        <f>IFERROR(__xludf.DUMMYFUNCTION("""COMPUTED_VALUE"""),7740.32802)</f>
        <v>7740.32802</v>
      </c>
      <c r="O596" s="6">
        <f t="shared" si="4"/>
        <v>123</v>
      </c>
      <c r="P596" s="6">
        <f t="shared" ref="P596:Q596" si="1194">COUNTIFS(L:L,L596)</f>
        <v>56</v>
      </c>
      <c r="Q596" s="24">
        <f t="shared" si="1194"/>
        <v>9</v>
      </c>
      <c r="R596" s="6" t="str">
        <f t="shared" si="6"/>
        <v>Finance</v>
      </c>
      <c r="S596" s="6" t="str">
        <f t="shared" si="7"/>
        <v>Finance</v>
      </c>
      <c r="T596" s="6">
        <f>IFERROR(__xludf.DUMMYFUNCTION("COUNTA(UNIQUE(query($A$2:$P$800,""select L where K='""&amp; K596&amp;""'"")))"),5.0)</f>
        <v>5</v>
      </c>
      <c r="U596" s="23">
        <f t="shared" si="8"/>
        <v>0.06097560976</v>
      </c>
      <c r="V596" s="23">
        <f t="shared" ref="V596:W596" si="1195">P596/O596</f>
        <v>0.4552845528</v>
      </c>
      <c r="W596" s="23">
        <f t="shared" si="1195"/>
        <v>0.1607142857</v>
      </c>
    </row>
    <row r="597">
      <c r="A597" s="6">
        <f>IFERROR(__xludf.DUMMYFUNCTION("""COMPUTED_VALUE"""),532800.0)</f>
        <v>532800</v>
      </c>
      <c r="B597" s="6" t="str">
        <f>IFERROR(__xludf.DUMMYFUNCTION("""COMPUTED_VALUE"""),"TV18 Broadcast Ltd.")</f>
        <v>TV18 Broadcast Ltd.</v>
      </c>
      <c r="C597" s="6" t="str">
        <f>IFERROR(__xludf.DUMMYFUNCTION("""COMPUTED_VALUE"""),"TV18BRDCST")</f>
        <v>TV18BRDCST</v>
      </c>
      <c r="D597" s="6" t="str">
        <f>IFERROR(__xludf.DUMMYFUNCTION("""COMPUTED_VALUE"""),"TV18 BROADCAST LTD.")</f>
        <v>TV18 BROADCAST LTD.</v>
      </c>
      <c r="E597" s="6" t="str">
        <f>IFERROR(__xludf.DUMMYFUNCTION("""COMPUTED_VALUE"""),"Active")</f>
        <v>Active</v>
      </c>
      <c r="F597" s="6" t="str">
        <f>IFERROR(__xludf.DUMMYFUNCTION("""COMPUTED_VALUE"""),"A")</f>
        <v>A</v>
      </c>
      <c r="G597" s="6">
        <f>IFERROR(__xludf.DUMMYFUNCTION("""COMPUTED_VALUE"""),2.0)</f>
        <v>2</v>
      </c>
      <c r="H597" s="6" t="str">
        <f>IFERROR(__xludf.DUMMYFUNCTION("""COMPUTED_VALUE"""),"INE886H01027")</f>
        <v>INE886H01027</v>
      </c>
      <c r="I597" s="6" t="str">
        <f>IFERROR(__xludf.DUMMYFUNCTION("""COMPUTED_VALUE"""),"Equity")</f>
        <v>Equity</v>
      </c>
      <c r="J597" s="6" t="str">
        <f>IFERROR(__xludf.DUMMYFUNCTION("""COMPUTED_VALUE"""),"Consumer Discretionary")</f>
        <v>Consumer Discretionary</v>
      </c>
      <c r="K597" s="6" t="str">
        <f>IFERROR(__xludf.DUMMYFUNCTION("""COMPUTED_VALUE"""),"Media, Entertainment &amp; Publication")</f>
        <v>Media, Entertainment &amp; Publication</v>
      </c>
      <c r="L597" s="6" t="str">
        <f>IFERROR(__xludf.DUMMYFUNCTION("""COMPUTED_VALUE"""),"Entertainment")</f>
        <v>Entertainment</v>
      </c>
      <c r="M597" s="6" t="str">
        <f>IFERROR(__xludf.DUMMYFUNCTION("""COMPUTED_VALUE"""),"TV Broadcasting &amp; Software Production")</f>
        <v>TV Broadcasting &amp; Software Production</v>
      </c>
      <c r="N597" s="5">
        <f>IFERROR(__xludf.DUMMYFUNCTION("""COMPUTED_VALUE"""),7739.6991284)</f>
        <v>7739.699128</v>
      </c>
      <c r="O597" s="6">
        <f t="shared" si="4"/>
        <v>9</v>
      </c>
      <c r="P597" s="6">
        <f t="shared" ref="P597:Q597" si="1196">COUNTIFS(L:L,L597)</f>
        <v>8</v>
      </c>
      <c r="Q597" s="24">
        <f t="shared" si="1196"/>
        <v>3</v>
      </c>
      <c r="R597" s="6" t="str">
        <f t="shared" si="6"/>
        <v>Media, Entertainment &amp; Publication</v>
      </c>
      <c r="S597" s="6" t="str">
        <f t="shared" si="7"/>
        <v>Media, Entertainment &amp; Publication</v>
      </c>
      <c r="T597" s="6">
        <f>IFERROR(__xludf.DUMMYFUNCTION("COUNTA(UNIQUE(query($A$2:$P$800,""select L where K='""&amp; K597&amp;""'"")))"),2.0)</f>
        <v>2</v>
      </c>
      <c r="U597" s="23">
        <f t="shared" si="8"/>
        <v>0.3333333333</v>
      </c>
      <c r="V597" s="23">
        <f t="shared" ref="V597:W597" si="1197">P597/O597</f>
        <v>0.8888888889</v>
      </c>
      <c r="W597" s="23">
        <f t="shared" si="1197"/>
        <v>0.375</v>
      </c>
    </row>
    <row r="598">
      <c r="A598" s="6">
        <f>IFERROR(__xludf.DUMMYFUNCTION("""COMPUTED_VALUE"""),500191.0)</f>
        <v>500191</v>
      </c>
      <c r="B598" s="6" t="str">
        <f>IFERROR(__xludf.DUMMYFUNCTION("""COMPUTED_VALUE"""),"HMT Limited")</f>
        <v>HMT Limited</v>
      </c>
      <c r="C598" s="6" t="str">
        <f>IFERROR(__xludf.DUMMYFUNCTION("""COMPUTED_VALUE"""),"HMT")</f>
        <v>HMT</v>
      </c>
      <c r="D598" s="6" t="str">
        <f>IFERROR(__xludf.DUMMYFUNCTION("""COMPUTED_VALUE"""),"HMT LTD.")</f>
        <v>HMT LTD.</v>
      </c>
      <c r="E598" s="6" t="str">
        <f>IFERROR(__xludf.DUMMYFUNCTION("""COMPUTED_VALUE"""),"Active")</f>
        <v>Active</v>
      </c>
      <c r="F598" s="6" t="str">
        <f>IFERROR(__xludf.DUMMYFUNCTION("""COMPUTED_VALUE"""),"Z")</f>
        <v>Z</v>
      </c>
      <c r="G598" s="6">
        <f>IFERROR(__xludf.DUMMYFUNCTION("""COMPUTED_VALUE"""),10.0)</f>
        <v>10</v>
      </c>
      <c r="H598" s="6" t="str">
        <f>IFERROR(__xludf.DUMMYFUNCTION("""COMPUTED_VALUE"""),"INE262A01018")</f>
        <v>INE262A01018</v>
      </c>
      <c r="I598" s="6" t="str">
        <f>IFERROR(__xludf.DUMMYFUNCTION("""COMPUTED_VALUE"""),"Equity")</f>
        <v>Equity</v>
      </c>
      <c r="J598" s="6" t="str">
        <f>IFERROR(__xludf.DUMMYFUNCTION("""COMPUTED_VALUE"""),"Industrials")</f>
        <v>Industrials</v>
      </c>
      <c r="K598" s="6" t="str">
        <f>IFERROR(__xludf.DUMMYFUNCTION("""COMPUTED_VALUE"""),"Capital Goods")</f>
        <v>Capital Goods</v>
      </c>
      <c r="L598" s="6" t="str">
        <f>IFERROR(__xludf.DUMMYFUNCTION("""COMPUTED_VALUE"""),"Industrial Manufacturing")</f>
        <v>Industrial Manufacturing</v>
      </c>
      <c r="M598" s="6" t="str">
        <f>IFERROR(__xludf.DUMMYFUNCTION("""COMPUTED_VALUE"""),"Industrial Products")</f>
        <v>Industrial Products</v>
      </c>
      <c r="N598" s="5">
        <f>IFERROR(__xludf.DUMMYFUNCTION("""COMPUTED_VALUE"""),7699.2220338)</f>
        <v>7699.222034</v>
      </c>
      <c r="O598" s="6">
        <f t="shared" si="4"/>
        <v>110</v>
      </c>
      <c r="P598" s="6">
        <f t="shared" ref="P598:Q598" si="1198">COUNTIFS(L:L,L598)</f>
        <v>21</v>
      </c>
      <c r="Q598" s="24">
        <f t="shared" si="1198"/>
        <v>17</v>
      </c>
      <c r="R598" s="6" t="str">
        <f t="shared" si="6"/>
        <v>Industrial Manufacturing</v>
      </c>
      <c r="S598" s="6" t="str">
        <f t="shared" si="7"/>
        <v>Industrial Manufacturing</v>
      </c>
      <c r="T598" s="6">
        <f>IFERROR(__xludf.DUMMYFUNCTION("COUNTA(UNIQUE(query($A$2:$P$800,""select L where K='""&amp; K598&amp;""'"")))"),5.0)</f>
        <v>5</v>
      </c>
      <c r="U598" s="23">
        <f t="shared" si="8"/>
        <v>0.06818181818</v>
      </c>
      <c r="V598" s="23">
        <f t="shared" ref="V598:W598" si="1199">P598/O598</f>
        <v>0.1909090909</v>
      </c>
      <c r="W598" s="23">
        <f t="shared" si="1199"/>
        <v>0.8095238095</v>
      </c>
    </row>
    <row r="599">
      <c r="A599" s="6">
        <f>IFERROR(__xludf.DUMMYFUNCTION("""COMPUTED_VALUE"""),543350.0)</f>
        <v>543350</v>
      </c>
      <c r="B599" s="6" t="str">
        <f>IFERROR(__xludf.DUMMYFUNCTION("""COMPUTED_VALUE"""),"Vijaya Diagnostic Centre Limited")</f>
        <v>Vijaya Diagnostic Centre Limited</v>
      </c>
      <c r="C599" s="6" t="str">
        <f>IFERROR(__xludf.DUMMYFUNCTION("""COMPUTED_VALUE"""),"VIJAYA")</f>
        <v>VIJAYA</v>
      </c>
      <c r="D599" s="6" t="str">
        <f>IFERROR(__xludf.DUMMYFUNCTION("""COMPUTED_VALUE"""),"Vijaya Diagnostic Centre Ltd")</f>
        <v>Vijaya Diagnostic Centre Ltd</v>
      </c>
      <c r="E599" s="6" t="str">
        <f>IFERROR(__xludf.DUMMYFUNCTION("""COMPUTED_VALUE"""),"Active")</f>
        <v>Active</v>
      </c>
      <c r="F599" s="6" t="str">
        <f>IFERROR(__xludf.DUMMYFUNCTION("""COMPUTED_VALUE"""),"A")</f>
        <v>A</v>
      </c>
      <c r="G599" s="6">
        <f>IFERROR(__xludf.DUMMYFUNCTION("""COMPUTED_VALUE"""),1.0)</f>
        <v>1</v>
      </c>
      <c r="H599" s="6" t="str">
        <f>IFERROR(__xludf.DUMMYFUNCTION("""COMPUTED_VALUE"""),"INE043W01024")</f>
        <v>INE043W01024</v>
      </c>
      <c r="I599" s="6" t="str">
        <f>IFERROR(__xludf.DUMMYFUNCTION("""COMPUTED_VALUE"""),"Equity")</f>
        <v>Equity</v>
      </c>
      <c r="J599" s="6" t="str">
        <f>IFERROR(__xludf.DUMMYFUNCTION("""COMPUTED_VALUE"""),"Healthcare")</f>
        <v>Healthcare</v>
      </c>
      <c r="K599" s="6" t="str">
        <f>IFERROR(__xludf.DUMMYFUNCTION("""COMPUTED_VALUE"""),"Healthcare")</f>
        <v>Healthcare</v>
      </c>
      <c r="L599" s="6" t="str">
        <f>IFERROR(__xludf.DUMMYFUNCTION("""COMPUTED_VALUE"""),"Healthcare Services")</f>
        <v>Healthcare Services</v>
      </c>
      <c r="M599" s="6" t="str">
        <f>IFERROR(__xludf.DUMMYFUNCTION("""COMPUTED_VALUE"""),"Healthcare Service Provider")</f>
        <v>Healthcare Service Provider</v>
      </c>
      <c r="N599" s="5">
        <f>IFERROR(__xludf.DUMMYFUNCTION("""COMPUTED_VALUE"""),7683.029278)</f>
        <v>7683.029278</v>
      </c>
      <c r="O599" s="6">
        <f t="shared" si="4"/>
        <v>62</v>
      </c>
      <c r="P599" s="6">
        <f t="shared" ref="P599:Q599" si="1200">COUNTIFS(L:L,L599)</f>
        <v>16</v>
      </c>
      <c r="Q599" s="24">
        <f t="shared" si="1200"/>
        <v>3</v>
      </c>
      <c r="R599" s="6" t="str">
        <f t="shared" si="6"/>
        <v>Healthcare Services</v>
      </c>
      <c r="S599" s="6" t="str">
        <f t="shared" si="7"/>
        <v>Healthcare Services</v>
      </c>
      <c r="T599" s="6">
        <f>IFERROR(__xludf.DUMMYFUNCTION("COUNTA(UNIQUE(query($A$2:$P$800,""select L where K='""&amp; K599&amp;""'"")))"),3.0)</f>
        <v>3</v>
      </c>
      <c r="U599" s="23">
        <f t="shared" si="8"/>
        <v>0.07258064516</v>
      </c>
      <c r="V599" s="23">
        <f t="shared" ref="V599:W599" si="1201">P599/O599</f>
        <v>0.2580645161</v>
      </c>
      <c r="W599" s="23">
        <f t="shared" si="1201"/>
        <v>0.1875</v>
      </c>
    </row>
    <row r="600">
      <c r="A600" s="6">
        <f>IFERROR(__xludf.DUMMYFUNCTION("""COMPUTED_VALUE"""),532915.0)</f>
        <v>532915</v>
      </c>
      <c r="B600" s="6" t="str">
        <f>IFERROR(__xludf.DUMMYFUNCTION("""COMPUTED_VALUE"""),"Religare Enterprises Ltd")</f>
        <v>Religare Enterprises Ltd</v>
      </c>
      <c r="C600" s="6" t="str">
        <f>IFERROR(__xludf.DUMMYFUNCTION("""COMPUTED_VALUE"""),"RELIGARE")</f>
        <v>RELIGARE</v>
      </c>
      <c r="D600" s="6" t="str">
        <f>IFERROR(__xludf.DUMMYFUNCTION("""COMPUTED_VALUE"""),"RELIGARE ENTERPRISES LTD.")</f>
        <v>RELIGARE ENTERPRISES LTD.</v>
      </c>
      <c r="E600" s="6" t="str">
        <f>IFERROR(__xludf.DUMMYFUNCTION("""COMPUTED_VALUE"""),"Active")</f>
        <v>Active</v>
      </c>
      <c r="F600" s="6" t="str">
        <f>IFERROR(__xludf.DUMMYFUNCTION("""COMPUTED_VALUE"""),"A")</f>
        <v>A</v>
      </c>
      <c r="G600" s="6">
        <f>IFERROR(__xludf.DUMMYFUNCTION("""COMPUTED_VALUE"""),10.0)</f>
        <v>10</v>
      </c>
      <c r="H600" s="6" t="str">
        <f>IFERROR(__xludf.DUMMYFUNCTION("""COMPUTED_VALUE"""),"INE621H01010")</f>
        <v>INE621H01010</v>
      </c>
      <c r="I600" s="6" t="str">
        <f>IFERROR(__xludf.DUMMYFUNCTION("""COMPUTED_VALUE"""),"Equity")</f>
        <v>Equity</v>
      </c>
      <c r="J600" s="6" t="str">
        <f>IFERROR(__xludf.DUMMYFUNCTION("""COMPUTED_VALUE"""),"Financial Services")</f>
        <v>Financial Services</v>
      </c>
      <c r="K600" s="6" t="str">
        <f>IFERROR(__xludf.DUMMYFUNCTION("""COMPUTED_VALUE"""),"Financial Services")</f>
        <v>Financial Services</v>
      </c>
      <c r="L600" s="6" t="str">
        <f>IFERROR(__xludf.DUMMYFUNCTION("""COMPUTED_VALUE"""),"Finance")</f>
        <v>Finance</v>
      </c>
      <c r="M600" s="6" t="str">
        <f>IFERROR(__xludf.DUMMYFUNCTION("""COMPUTED_VALUE"""),"Investment Company")</f>
        <v>Investment Company</v>
      </c>
      <c r="N600" s="5">
        <f>IFERROR(__xludf.DUMMYFUNCTION("""COMPUTED_VALUE"""),7649.8138349)</f>
        <v>7649.813835</v>
      </c>
      <c r="O600" s="6">
        <f t="shared" si="4"/>
        <v>123</v>
      </c>
      <c r="P600" s="6">
        <f t="shared" ref="P600:Q600" si="1202">COUNTIFS(L:L,L600)</f>
        <v>56</v>
      </c>
      <c r="Q600" s="24">
        <f t="shared" si="1202"/>
        <v>8</v>
      </c>
      <c r="R600" s="6" t="str">
        <f t="shared" si="6"/>
        <v>Finance</v>
      </c>
      <c r="S600" s="6" t="str">
        <f t="shared" si="7"/>
        <v>Finance</v>
      </c>
      <c r="T600" s="6">
        <f>IFERROR(__xludf.DUMMYFUNCTION("COUNTA(UNIQUE(query($A$2:$P$800,""select L where K='""&amp; K600&amp;""'"")))"),5.0)</f>
        <v>5</v>
      </c>
      <c r="U600" s="23">
        <f t="shared" si="8"/>
        <v>0.06097560976</v>
      </c>
      <c r="V600" s="23">
        <f t="shared" ref="V600:W600" si="1203">P600/O600</f>
        <v>0.4552845528</v>
      </c>
      <c r="W600" s="23">
        <f t="shared" si="1203"/>
        <v>0.1428571429</v>
      </c>
    </row>
    <row r="601">
      <c r="A601" s="6">
        <f>IFERROR(__xludf.DUMMYFUNCTION("""COMPUTED_VALUE"""),531599.0)</f>
        <v>531599</v>
      </c>
      <c r="B601" s="6" t="str">
        <f>IFERROR(__xludf.DUMMYFUNCTION("""COMPUTED_VALUE"""),"FDC Ltd.")</f>
        <v>FDC Ltd.</v>
      </c>
      <c r="C601" s="6" t="str">
        <f>IFERROR(__xludf.DUMMYFUNCTION("""COMPUTED_VALUE"""),"FDC")</f>
        <v>FDC</v>
      </c>
      <c r="D601" s="6" t="str">
        <f>IFERROR(__xludf.DUMMYFUNCTION("""COMPUTED_VALUE"""),"FDC LTD.")</f>
        <v>FDC LTD.</v>
      </c>
      <c r="E601" s="6" t="str">
        <f>IFERROR(__xludf.DUMMYFUNCTION("""COMPUTED_VALUE"""),"Active")</f>
        <v>Active</v>
      </c>
      <c r="F601" s="6" t="str">
        <f>IFERROR(__xludf.DUMMYFUNCTION("""COMPUTED_VALUE"""),"A")</f>
        <v>A</v>
      </c>
      <c r="G601" s="6">
        <f>IFERROR(__xludf.DUMMYFUNCTION("""COMPUTED_VALUE"""),1.0)</f>
        <v>1</v>
      </c>
      <c r="H601" s="6" t="str">
        <f>IFERROR(__xludf.DUMMYFUNCTION("""COMPUTED_VALUE"""),"INE258B01022")</f>
        <v>INE258B01022</v>
      </c>
      <c r="I601" s="6" t="str">
        <f>IFERROR(__xludf.DUMMYFUNCTION("""COMPUTED_VALUE"""),"Equity")</f>
        <v>Equity</v>
      </c>
      <c r="J601" s="6" t="str">
        <f>IFERROR(__xludf.DUMMYFUNCTION("""COMPUTED_VALUE"""),"Healthcare")</f>
        <v>Healthcare</v>
      </c>
      <c r="K601" s="6" t="str">
        <f>IFERROR(__xludf.DUMMYFUNCTION("""COMPUTED_VALUE"""),"Healthcare")</f>
        <v>Healthcare</v>
      </c>
      <c r="L601" s="6" t="str">
        <f>IFERROR(__xludf.DUMMYFUNCTION("""COMPUTED_VALUE"""),"Pharmaceuticals &amp; Biotechnology")</f>
        <v>Pharmaceuticals &amp; Biotechnology</v>
      </c>
      <c r="M601" s="6" t="str">
        <f>IFERROR(__xludf.DUMMYFUNCTION("""COMPUTED_VALUE"""),"Pharmaceuticals")</f>
        <v>Pharmaceuticals</v>
      </c>
      <c r="N601" s="5">
        <f>IFERROR(__xludf.DUMMYFUNCTION("""COMPUTED_VALUE"""),7618.26362)</f>
        <v>7618.26362</v>
      </c>
      <c r="O601" s="6">
        <f t="shared" si="4"/>
        <v>62</v>
      </c>
      <c r="P601" s="6">
        <f t="shared" ref="P601:Q601" si="1204">COUNTIFS(L:L,L601)</f>
        <v>45</v>
      </c>
      <c r="Q601" s="24">
        <f t="shared" si="1204"/>
        <v>45</v>
      </c>
      <c r="R601" s="6" t="str">
        <f t="shared" si="6"/>
        <v>Healthcare</v>
      </c>
      <c r="S601" s="6" t="str">
        <f t="shared" si="7"/>
        <v>Healthcare</v>
      </c>
      <c r="T601" s="6">
        <f>IFERROR(__xludf.DUMMYFUNCTION("COUNTA(UNIQUE(query($A$2:$P$800,""select L where K='""&amp; K601&amp;""'"")))"),3.0)</f>
        <v>3</v>
      </c>
      <c r="U601" s="23">
        <f t="shared" si="8"/>
        <v>0.07258064516</v>
      </c>
      <c r="V601" s="23">
        <f t="shared" ref="V601:W601" si="1205">P601/O601</f>
        <v>0.7258064516</v>
      </c>
      <c r="W601" s="23">
        <f t="shared" si="1205"/>
        <v>1</v>
      </c>
    </row>
    <row r="602">
      <c r="A602" s="6">
        <f>IFERROR(__xludf.DUMMYFUNCTION("""COMPUTED_VALUE"""),507717.0)</f>
        <v>507717</v>
      </c>
      <c r="B602" s="6" t="str">
        <f>IFERROR(__xludf.DUMMYFUNCTION("""COMPUTED_VALUE"""),"Dhanuka Agritech Ltd.")</f>
        <v>Dhanuka Agritech Ltd.</v>
      </c>
      <c r="C602" s="6" t="str">
        <f>IFERROR(__xludf.DUMMYFUNCTION("""COMPUTED_VALUE"""),"DHANUKA")</f>
        <v>DHANUKA</v>
      </c>
      <c r="D602" s="6" t="str">
        <f>IFERROR(__xludf.DUMMYFUNCTION("""COMPUTED_VALUE"""),"DHANUKA AGRITECH LTD.")</f>
        <v>DHANUKA AGRITECH LTD.</v>
      </c>
      <c r="E602" s="6" t="str">
        <f>IFERROR(__xludf.DUMMYFUNCTION("""COMPUTED_VALUE"""),"Active")</f>
        <v>Active</v>
      </c>
      <c r="F602" s="6" t="str">
        <f>IFERROR(__xludf.DUMMYFUNCTION("""COMPUTED_VALUE"""),"B")</f>
        <v>B</v>
      </c>
      <c r="G602" s="6">
        <f>IFERROR(__xludf.DUMMYFUNCTION("""COMPUTED_VALUE"""),2.0)</f>
        <v>2</v>
      </c>
      <c r="H602" s="6" t="str">
        <f>IFERROR(__xludf.DUMMYFUNCTION("""COMPUTED_VALUE"""),"INE435G01025")</f>
        <v>INE435G01025</v>
      </c>
      <c r="I602" s="6" t="str">
        <f>IFERROR(__xludf.DUMMYFUNCTION("""COMPUTED_VALUE"""),"Equity")</f>
        <v>Equity</v>
      </c>
      <c r="J602" s="6" t="str">
        <f>IFERROR(__xludf.DUMMYFUNCTION("""COMPUTED_VALUE"""),"Commodities")</f>
        <v>Commodities</v>
      </c>
      <c r="K602" s="6" t="str">
        <f>IFERROR(__xludf.DUMMYFUNCTION("""COMPUTED_VALUE"""),"Chemicals")</f>
        <v>Chemicals</v>
      </c>
      <c r="L602" s="6" t="str">
        <f>IFERROR(__xludf.DUMMYFUNCTION("""COMPUTED_VALUE"""),"Fertilizers &amp; Agrochemicals")</f>
        <v>Fertilizers &amp; Agrochemicals</v>
      </c>
      <c r="M602" s="6" t="str">
        <f>IFERROR(__xludf.DUMMYFUNCTION("""COMPUTED_VALUE"""),"Pesticides &amp; Agrochemicals")</f>
        <v>Pesticides &amp; Agrochemicals</v>
      </c>
      <c r="N602" s="5">
        <f>IFERROR(__xludf.DUMMYFUNCTION("""COMPUTED_VALUE"""),7617.5087748)</f>
        <v>7617.508775</v>
      </c>
      <c r="O602" s="6">
        <f t="shared" si="4"/>
        <v>52</v>
      </c>
      <c r="P602" s="6">
        <f t="shared" ref="P602:Q602" si="1206">COUNTIFS(L:L,L602)</f>
        <v>15</v>
      </c>
      <c r="Q602" s="24">
        <f t="shared" si="1206"/>
        <v>7</v>
      </c>
      <c r="R602" s="6" t="str">
        <f t="shared" si="6"/>
        <v>Fertilizers &amp; Agrochemicals</v>
      </c>
      <c r="S602" s="6" t="str">
        <f t="shared" si="7"/>
        <v>Fertilizers &amp; Agrochemicals</v>
      </c>
      <c r="T602" s="6">
        <f>IFERROR(__xludf.DUMMYFUNCTION("COUNTA(UNIQUE(query($A$2:$P$800,""select L where K='""&amp; K602&amp;""'"")))"),2.0)</f>
        <v>2</v>
      </c>
      <c r="U602" s="23">
        <f t="shared" si="8"/>
        <v>0.05769230769</v>
      </c>
      <c r="V602" s="23">
        <f t="shared" ref="V602:W602" si="1207">P602/O602</f>
        <v>0.2884615385</v>
      </c>
      <c r="W602" s="23">
        <f t="shared" si="1207"/>
        <v>0.4666666667</v>
      </c>
    </row>
    <row r="603">
      <c r="A603" s="6">
        <f>IFERROR(__xludf.DUMMYFUNCTION("""COMPUTED_VALUE"""),543596.0)</f>
        <v>543596</v>
      </c>
      <c r="B603" s="6" t="str">
        <f>IFERROR(__xludf.DUMMYFUNCTION("""COMPUTED_VALUE"""),"Tamilnad Mercantile Bank Limited")</f>
        <v>Tamilnad Mercantile Bank Limited</v>
      </c>
      <c r="C603" s="6" t="str">
        <f>IFERROR(__xludf.DUMMYFUNCTION("""COMPUTED_VALUE"""),"TMB")</f>
        <v>TMB</v>
      </c>
      <c r="D603" s="6" t="str">
        <f>IFERROR(__xludf.DUMMYFUNCTION("""COMPUTED_VALUE"""),"Tamilnad Mercantile Bank Ltd")</f>
        <v>Tamilnad Mercantile Bank Ltd</v>
      </c>
      <c r="E603" s="6" t="str">
        <f>IFERROR(__xludf.DUMMYFUNCTION("""COMPUTED_VALUE"""),"Active")</f>
        <v>Active</v>
      </c>
      <c r="F603" s="6" t="str">
        <f>IFERROR(__xludf.DUMMYFUNCTION("""COMPUTED_VALUE"""),"A")</f>
        <v>A</v>
      </c>
      <c r="G603" s="6">
        <f>IFERROR(__xludf.DUMMYFUNCTION("""COMPUTED_VALUE"""),10.0)</f>
        <v>10</v>
      </c>
      <c r="H603" s="6" t="str">
        <f>IFERROR(__xludf.DUMMYFUNCTION("""COMPUTED_VALUE"""),"INE668A01016")</f>
        <v>INE668A01016</v>
      </c>
      <c r="I603" s="6" t="str">
        <f>IFERROR(__xludf.DUMMYFUNCTION("""COMPUTED_VALUE"""),"Equity")</f>
        <v>Equity</v>
      </c>
      <c r="J603" s="6" t="str">
        <f>IFERROR(__xludf.DUMMYFUNCTION("""COMPUTED_VALUE"""),"Financial Services")</f>
        <v>Financial Services</v>
      </c>
      <c r="K603" s="6" t="str">
        <f>IFERROR(__xludf.DUMMYFUNCTION("""COMPUTED_VALUE"""),"Financial Services")</f>
        <v>Financial Services</v>
      </c>
      <c r="L603" s="6" t="str">
        <f>IFERROR(__xludf.DUMMYFUNCTION("""COMPUTED_VALUE"""),"Banks")</f>
        <v>Banks</v>
      </c>
      <c r="M603" s="6" t="str">
        <f>IFERROR(__xludf.DUMMYFUNCTION("""COMPUTED_VALUE"""),"Private Sector Bank")</f>
        <v>Private Sector Bank</v>
      </c>
      <c r="N603" s="5">
        <f>IFERROR(__xludf.DUMMYFUNCTION("""COMPUTED_VALUE"""),7614.4467)</f>
        <v>7614.4467</v>
      </c>
      <c r="O603" s="6">
        <f t="shared" si="4"/>
        <v>123</v>
      </c>
      <c r="P603" s="6">
        <f t="shared" ref="P603:Q603" si="1208">COUNTIFS(L:L,L603)</f>
        <v>35</v>
      </c>
      <c r="Q603" s="24">
        <f t="shared" si="1208"/>
        <v>23</v>
      </c>
      <c r="R603" s="6" t="str">
        <f t="shared" si="6"/>
        <v>Banks</v>
      </c>
      <c r="S603" s="6" t="str">
        <f t="shared" si="7"/>
        <v>Banks</v>
      </c>
      <c r="T603" s="6">
        <f>IFERROR(__xludf.DUMMYFUNCTION("COUNTA(UNIQUE(query($A$2:$P$800,""select L where K='""&amp; K603&amp;""'"")))"),5.0)</f>
        <v>5</v>
      </c>
      <c r="U603" s="23">
        <f t="shared" si="8"/>
        <v>0.06097560976</v>
      </c>
      <c r="V603" s="23">
        <f t="shared" ref="V603:W603" si="1209">P603/O603</f>
        <v>0.2845528455</v>
      </c>
      <c r="W603" s="23">
        <f t="shared" si="1209"/>
        <v>0.6571428571</v>
      </c>
    </row>
    <row r="604">
      <c r="A604" s="6">
        <f>IFERROR(__xludf.DUMMYFUNCTION("""COMPUTED_VALUE"""),542907.0)</f>
        <v>542907</v>
      </c>
      <c r="B604" s="6" t="str">
        <f>IFERROR(__xludf.DUMMYFUNCTION("""COMPUTED_VALUE"""),"Prince Pipes and Fittings Limited")</f>
        <v>Prince Pipes and Fittings Limited</v>
      </c>
      <c r="C604" s="6" t="str">
        <f>IFERROR(__xludf.DUMMYFUNCTION("""COMPUTED_VALUE"""),"PRINCEPIPE")</f>
        <v>PRINCEPIPE</v>
      </c>
      <c r="D604" s="6" t="str">
        <f>IFERROR(__xludf.DUMMYFUNCTION("""COMPUTED_VALUE"""),"Prince Pipes and Fittings Ltd")</f>
        <v>Prince Pipes and Fittings Ltd</v>
      </c>
      <c r="E604" s="6" t="str">
        <f>IFERROR(__xludf.DUMMYFUNCTION("""COMPUTED_VALUE"""),"Active")</f>
        <v>Active</v>
      </c>
      <c r="F604" s="6" t="str">
        <f>IFERROR(__xludf.DUMMYFUNCTION("""COMPUTED_VALUE"""),"A")</f>
        <v>A</v>
      </c>
      <c r="G604" s="6">
        <f>IFERROR(__xludf.DUMMYFUNCTION("""COMPUTED_VALUE"""),10.0)</f>
        <v>10</v>
      </c>
      <c r="H604" s="6" t="str">
        <f>IFERROR(__xludf.DUMMYFUNCTION("""COMPUTED_VALUE"""),"INE689W01016")</f>
        <v>INE689W01016</v>
      </c>
      <c r="I604" s="6" t="str">
        <f>IFERROR(__xludf.DUMMYFUNCTION("""COMPUTED_VALUE"""),"Equity")</f>
        <v>Equity</v>
      </c>
      <c r="J604" s="6" t="str">
        <f>IFERROR(__xludf.DUMMYFUNCTION("""COMPUTED_VALUE"""),"Industrials")</f>
        <v>Industrials</v>
      </c>
      <c r="K604" s="6" t="str">
        <f>IFERROR(__xludf.DUMMYFUNCTION("""COMPUTED_VALUE"""),"Capital Goods")</f>
        <v>Capital Goods</v>
      </c>
      <c r="L604" s="6" t="str">
        <f>IFERROR(__xludf.DUMMYFUNCTION("""COMPUTED_VALUE"""),"Industrial Products")</f>
        <v>Industrial Products</v>
      </c>
      <c r="M604" s="6" t="str">
        <f>IFERROR(__xludf.DUMMYFUNCTION("""COMPUTED_VALUE"""),"Plastic Products - Industrial")</f>
        <v>Plastic Products - Industrial</v>
      </c>
      <c r="N604" s="5">
        <f>IFERROR(__xludf.DUMMYFUNCTION("""COMPUTED_VALUE"""),7601.3074508)</f>
        <v>7601.307451</v>
      </c>
      <c r="O604" s="6">
        <f t="shared" si="4"/>
        <v>110</v>
      </c>
      <c r="P604" s="6">
        <f t="shared" ref="P604:Q604" si="1210">COUNTIFS(L:L,L604)</f>
        <v>51</v>
      </c>
      <c r="Q604" s="24">
        <f t="shared" si="1210"/>
        <v>9</v>
      </c>
      <c r="R604" s="6" t="str">
        <f t="shared" si="6"/>
        <v>Industrial Products</v>
      </c>
      <c r="S604" s="6" t="str">
        <f t="shared" si="7"/>
        <v>Industrial Products</v>
      </c>
      <c r="T604" s="6">
        <f>IFERROR(__xludf.DUMMYFUNCTION("COUNTA(UNIQUE(query($A$2:$P$800,""select L where K='""&amp; K604&amp;""'"")))"),5.0)</f>
        <v>5</v>
      </c>
      <c r="U604" s="23">
        <f t="shared" si="8"/>
        <v>0.06818181818</v>
      </c>
      <c r="V604" s="23">
        <f t="shared" ref="V604:W604" si="1211">P604/O604</f>
        <v>0.4636363636</v>
      </c>
      <c r="W604" s="23">
        <f t="shared" si="1211"/>
        <v>0.1764705882</v>
      </c>
    </row>
    <row r="605">
      <c r="A605" s="6">
        <f>IFERROR(__xludf.DUMMYFUNCTION("""COMPUTED_VALUE"""),532189.0)</f>
        <v>532189</v>
      </c>
      <c r="B605" s="6" t="str">
        <f>IFERROR(__xludf.DUMMYFUNCTION("""COMPUTED_VALUE"""),"India Tourism Development Corporati")</f>
        <v>India Tourism Development Corporati</v>
      </c>
      <c r="C605" s="6" t="str">
        <f>IFERROR(__xludf.DUMMYFUNCTION("""COMPUTED_VALUE"""),"ITDC")</f>
        <v>ITDC</v>
      </c>
      <c r="D605" s="6" t="str">
        <f>IFERROR(__xludf.DUMMYFUNCTION("""COMPUTED_VALUE"""),"INDIA TOURISM DEVELOPMENT CORPORATION LTD.")</f>
        <v>INDIA TOURISM DEVELOPMENT CORPORATION LTD.</v>
      </c>
      <c r="E605" s="6" t="str">
        <f>IFERROR(__xludf.DUMMYFUNCTION("""COMPUTED_VALUE"""),"Active")</f>
        <v>Active</v>
      </c>
      <c r="F605" s="6" t="str">
        <f>IFERROR(__xludf.DUMMYFUNCTION("""COMPUTED_VALUE"""),"B")</f>
        <v>B</v>
      </c>
      <c r="G605" s="6">
        <f>IFERROR(__xludf.DUMMYFUNCTION("""COMPUTED_VALUE"""),10.0)</f>
        <v>10</v>
      </c>
      <c r="H605" s="6" t="str">
        <f>IFERROR(__xludf.DUMMYFUNCTION("""COMPUTED_VALUE"""),"INE353K01014")</f>
        <v>INE353K01014</v>
      </c>
      <c r="I605" s="6" t="str">
        <f>IFERROR(__xludf.DUMMYFUNCTION("""COMPUTED_VALUE"""),"Equity")</f>
        <v>Equity</v>
      </c>
      <c r="J605" s="6" t="str">
        <f>IFERROR(__xludf.DUMMYFUNCTION("""COMPUTED_VALUE"""),"Consumer Discretionary")</f>
        <v>Consumer Discretionary</v>
      </c>
      <c r="K605" s="6" t="str">
        <f>IFERROR(__xludf.DUMMYFUNCTION("""COMPUTED_VALUE"""),"Consumer Services")</f>
        <v>Consumer Services</v>
      </c>
      <c r="L605" s="6" t="str">
        <f>IFERROR(__xludf.DUMMYFUNCTION("""COMPUTED_VALUE"""),"Leisure Services")</f>
        <v>Leisure Services</v>
      </c>
      <c r="M605" s="6" t="str">
        <f>IFERROR(__xludf.DUMMYFUNCTION("""COMPUTED_VALUE"""),"Hotels &amp; Resorts")</f>
        <v>Hotels &amp; Resorts</v>
      </c>
      <c r="N605" s="5">
        <f>IFERROR(__xludf.DUMMYFUNCTION("""COMPUTED_VALUE"""),7555.9073886)</f>
        <v>7555.907389</v>
      </c>
      <c r="O605" s="6">
        <f t="shared" si="4"/>
        <v>37</v>
      </c>
      <c r="P605" s="6">
        <f t="shared" ref="P605:Q605" si="1212">COUNTIFS(L:L,L605)</f>
        <v>18</v>
      </c>
      <c r="Q605" s="24">
        <f t="shared" si="1212"/>
        <v>7</v>
      </c>
      <c r="R605" s="6" t="str">
        <f t="shared" si="6"/>
        <v>Leisure Services</v>
      </c>
      <c r="S605" s="6" t="str">
        <f t="shared" si="7"/>
        <v>Leisure Services</v>
      </c>
      <c r="T605" s="6">
        <f>IFERROR(__xludf.DUMMYFUNCTION("COUNTA(UNIQUE(query($A$2:$P$800,""select L where K='""&amp; K605&amp;""'"")))"),3.0)</f>
        <v>3</v>
      </c>
      <c r="U605" s="23">
        <f t="shared" si="8"/>
        <v>0.1216216216</v>
      </c>
      <c r="V605" s="23">
        <f t="shared" ref="V605:W605" si="1213">P605/O605</f>
        <v>0.4864864865</v>
      </c>
      <c r="W605" s="23">
        <f t="shared" si="1213"/>
        <v>0.3888888889</v>
      </c>
    </row>
    <row r="606">
      <c r="A606" s="6">
        <f>IFERROR(__xludf.DUMMYFUNCTION("""COMPUTED_VALUE"""),530999.0)</f>
        <v>530999</v>
      </c>
      <c r="B606" s="6" t="str">
        <f>IFERROR(__xludf.DUMMYFUNCTION("""COMPUTED_VALUE"""),"Balaji Amines Ltd.")</f>
        <v>Balaji Amines Ltd.</v>
      </c>
      <c r="C606" s="6" t="str">
        <f>IFERROR(__xludf.DUMMYFUNCTION("""COMPUTED_VALUE"""),"BALAMINES")</f>
        <v>BALAMINES</v>
      </c>
      <c r="D606" s="6" t="str">
        <f>IFERROR(__xludf.DUMMYFUNCTION("""COMPUTED_VALUE"""),"BALAJI AMINES LTD.-$")</f>
        <v>BALAJI AMINES LTD.-$</v>
      </c>
      <c r="E606" s="6" t="str">
        <f>IFERROR(__xludf.DUMMYFUNCTION("""COMPUTED_VALUE"""),"Active")</f>
        <v>Active</v>
      </c>
      <c r="F606" s="6" t="str">
        <f>IFERROR(__xludf.DUMMYFUNCTION("""COMPUTED_VALUE"""),"A")</f>
        <v>A</v>
      </c>
      <c r="G606" s="6">
        <f>IFERROR(__xludf.DUMMYFUNCTION("""COMPUTED_VALUE"""),2.0)</f>
        <v>2</v>
      </c>
      <c r="H606" s="6" t="str">
        <f>IFERROR(__xludf.DUMMYFUNCTION("""COMPUTED_VALUE"""),"INE050E01027")</f>
        <v>INE050E01027</v>
      </c>
      <c r="I606" s="6" t="str">
        <f>IFERROR(__xludf.DUMMYFUNCTION("""COMPUTED_VALUE"""),"Equity")</f>
        <v>Equity</v>
      </c>
      <c r="J606" s="6" t="str">
        <f>IFERROR(__xludf.DUMMYFUNCTION("""COMPUTED_VALUE"""),"Commodities")</f>
        <v>Commodities</v>
      </c>
      <c r="K606" s="6" t="str">
        <f>IFERROR(__xludf.DUMMYFUNCTION("""COMPUTED_VALUE"""),"Chemicals")</f>
        <v>Chemicals</v>
      </c>
      <c r="L606" s="6" t="str">
        <f>IFERROR(__xludf.DUMMYFUNCTION("""COMPUTED_VALUE"""),"Chemicals &amp; Petrochemicals")</f>
        <v>Chemicals &amp; Petrochemicals</v>
      </c>
      <c r="M606" s="6" t="str">
        <f>IFERROR(__xludf.DUMMYFUNCTION("""COMPUTED_VALUE"""),"Specialty Chemicals")</f>
        <v>Specialty Chemicals</v>
      </c>
      <c r="N606" s="5">
        <f>IFERROR(__xludf.DUMMYFUNCTION("""COMPUTED_VALUE"""),7530.9573951)</f>
        <v>7530.957395</v>
      </c>
      <c r="O606" s="6">
        <f t="shared" si="4"/>
        <v>52</v>
      </c>
      <c r="P606" s="6">
        <f t="shared" ref="P606:Q606" si="1214">COUNTIFS(L:L,L606)</f>
        <v>37</v>
      </c>
      <c r="Q606" s="24">
        <f t="shared" si="1214"/>
        <v>25</v>
      </c>
      <c r="R606" s="6" t="str">
        <f t="shared" si="6"/>
        <v>Chemicals</v>
      </c>
      <c r="S606" s="6" t="str">
        <f t="shared" si="7"/>
        <v>Chemicals</v>
      </c>
      <c r="T606" s="6">
        <f>IFERROR(__xludf.DUMMYFUNCTION("COUNTA(UNIQUE(query($A$2:$P$800,""select L where K='""&amp; K606&amp;""'"")))"),2.0)</f>
        <v>2</v>
      </c>
      <c r="U606" s="23">
        <f t="shared" si="8"/>
        <v>0.05769230769</v>
      </c>
      <c r="V606" s="23">
        <f t="shared" ref="V606:W606" si="1215">P606/O606</f>
        <v>0.7115384615</v>
      </c>
      <c r="W606" s="23">
        <f t="shared" si="1215"/>
        <v>0.6756756757</v>
      </c>
    </row>
    <row r="607">
      <c r="A607" s="6">
        <f>IFERROR(__xludf.DUMMYFUNCTION("""COMPUTED_VALUE"""),544022.0)</f>
        <v>544022</v>
      </c>
      <c r="B607" s="6" t="str">
        <f>IFERROR(__xludf.DUMMYFUNCTION("""COMPUTED_VALUE"""),"ASK Automotive Limited")</f>
        <v>ASK Automotive Limited</v>
      </c>
      <c r="C607" s="6" t="str">
        <f>IFERROR(__xludf.DUMMYFUNCTION("""COMPUTED_VALUE"""),"ASKAUTOLTD")</f>
        <v>ASKAUTOLTD</v>
      </c>
      <c r="D607" s="6" t="str">
        <f>IFERROR(__xludf.DUMMYFUNCTION("""COMPUTED_VALUE"""),"ASK Automotive Ltd")</f>
        <v>ASK Automotive Ltd</v>
      </c>
      <c r="E607" s="6" t="str">
        <f>IFERROR(__xludf.DUMMYFUNCTION("""COMPUTED_VALUE"""),"Active")</f>
        <v>Active</v>
      </c>
      <c r="F607" s="6" t="str">
        <f>IFERROR(__xludf.DUMMYFUNCTION("""COMPUTED_VALUE"""),"B")</f>
        <v>B</v>
      </c>
      <c r="G607" s="6">
        <f>IFERROR(__xludf.DUMMYFUNCTION("""COMPUTED_VALUE"""),2.0)</f>
        <v>2</v>
      </c>
      <c r="H607" s="6" t="str">
        <f>IFERROR(__xludf.DUMMYFUNCTION("""COMPUTED_VALUE"""),"INE491J01022")</f>
        <v>INE491J01022</v>
      </c>
      <c r="I607" s="6" t="str">
        <f>IFERROR(__xludf.DUMMYFUNCTION("""COMPUTED_VALUE"""),"Equity")</f>
        <v>Equity</v>
      </c>
      <c r="J607" s="6" t="str">
        <f>IFERROR(__xludf.DUMMYFUNCTION("""COMPUTED_VALUE"""),"Consumer Discretionary")</f>
        <v>Consumer Discretionary</v>
      </c>
      <c r="K607" s="6" t="str">
        <f>IFERROR(__xludf.DUMMYFUNCTION("""COMPUTED_VALUE"""),"Automobile and Auto Components")</f>
        <v>Automobile and Auto Components</v>
      </c>
      <c r="L607" s="6" t="str">
        <f>IFERROR(__xludf.DUMMYFUNCTION("""COMPUTED_VALUE"""),"Auto Components")</f>
        <v>Auto Components</v>
      </c>
      <c r="M607" s="6" t="str">
        <f>IFERROR(__xludf.DUMMYFUNCTION("""COMPUTED_VALUE"""),"Auto Components &amp; Equipments")</f>
        <v>Auto Components &amp; Equipments</v>
      </c>
      <c r="N607" s="5">
        <f>IFERROR(__xludf.DUMMYFUNCTION("""COMPUTED_VALUE"""),7445.6485949)</f>
        <v>7445.648595</v>
      </c>
      <c r="O607" s="6">
        <f t="shared" si="4"/>
        <v>47</v>
      </c>
      <c r="P607" s="6">
        <f t="shared" ref="P607:Q607" si="1216">COUNTIFS(L:L,L607)</f>
        <v>37</v>
      </c>
      <c r="Q607" s="24">
        <f t="shared" si="1216"/>
        <v>32</v>
      </c>
      <c r="R607" s="6" t="str">
        <f t="shared" si="6"/>
        <v>Automobile and Auto Components</v>
      </c>
      <c r="S607" s="6" t="str">
        <f t="shared" si="7"/>
        <v>Automobile and Auto Components</v>
      </c>
      <c r="T607" s="6">
        <f>IFERROR(__xludf.DUMMYFUNCTION("COUNTA(UNIQUE(query($A$2:$P$800,""select L where K='""&amp; K607&amp;""'"")))"),2.0)</f>
        <v>2</v>
      </c>
      <c r="U607" s="23">
        <f t="shared" si="8"/>
        <v>0.06382978723</v>
      </c>
      <c r="V607" s="23">
        <f t="shared" ref="V607:W607" si="1217">P607/O607</f>
        <v>0.7872340426</v>
      </c>
      <c r="W607" s="23">
        <f t="shared" si="1217"/>
        <v>0.8648648649</v>
      </c>
    </row>
    <row r="608">
      <c r="A608" s="6">
        <f>IFERROR(__xludf.DUMMYFUNCTION("""COMPUTED_VALUE"""),521016.0)</f>
        <v>521016</v>
      </c>
      <c r="B608" s="6" t="str">
        <f>IFERROR(__xludf.DUMMYFUNCTION("""COMPUTED_VALUE"""),"Indo Count Industries Ltd")</f>
        <v>Indo Count Industries Ltd</v>
      </c>
      <c r="C608" s="6" t="str">
        <f>IFERROR(__xludf.DUMMYFUNCTION("""COMPUTED_VALUE"""),"ICIL")</f>
        <v>ICIL</v>
      </c>
      <c r="D608" s="6" t="str">
        <f>IFERROR(__xludf.DUMMYFUNCTION("""COMPUTED_VALUE"""),"INDO COUNT INDUSTRIES LTD.")</f>
        <v>INDO COUNT INDUSTRIES LTD.</v>
      </c>
      <c r="E608" s="6" t="str">
        <f>IFERROR(__xludf.DUMMYFUNCTION("""COMPUTED_VALUE"""),"Active")</f>
        <v>Active</v>
      </c>
      <c r="F608" s="6" t="str">
        <f>IFERROR(__xludf.DUMMYFUNCTION("""COMPUTED_VALUE"""),"A")</f>
        <v>A</v>
      </c>
      <c r="G608" s="6">
        <f>IFERROR(__xludf.DUMMYFUNCTION("""COMPUTED_VALUE"""),2.0)</f>
        <v>2</v>
      </c>
      <c r="H608" s="6" t="str">
        <f>IFERROR(__xludf.DUMMYFUNCTION("""COMPUTED_VALUE"""),"INE483B01026")</f>
        <v>INE483B01026</v>
      </c>
      <c r="I608" s="6" t="str">
        <f>IFERROR(__xludf.DUMMYFUNCTION("""COMPUTED_VALUE"""),"Equity")</f>
        <v>Equity</v>
      </c>
      <c r="J608" s="6" t="str">
        <f>IFERROR(__xludf.DUMMYFUNCTION("""COMPUTED_VALUE"""),"Consumer Discretionary")</f>
        <v>Consumer Discretionary</v>
      </c>
      <c r="K608" s="6" t="str">
        <f>IFERROR(__xludf.DUMMYFUNCTION("""COMPUTED_VALUE"""),"Textiles")</f>
        <v>Textiles</v>
      </c>
      <c r="L608" s="6" t="str">
        <f>IFERROR(__xludf.DUMMYFUNCTION("""COMPUTED_VALUE"""),"Textiles &amp; Apparels")</f>
        <v>Textiles &amp; Apparels</v>
      </c>
      <c r="M608" s="6" t="str">
        <f>IFERROR(__xludf.DUMMYFUNCTION("""COMPUTED_VALUE"""),"Other Textile Products")</f>
        <v>Other Textile Products</v>
      </c>
      <c r="N608" s="5">
        <f>IFERROR(__xludf.DUMMYFUNCTION("""COMPUTED_VALUE"""),7382.18115)</f>
        <v>7382.18115</v>
      </c>
      <c r="O608" s="6">
        <f t="shared" si="4"/>
        <v>13</v>
      </c>
      <c r="P608" s="6">
        <f t="shared" ref="P608:Q608" si="1218">COUNTIFS(L:L,L608)</f>
        <v>13</v>
      </c>
      <c r="Q608" s="24">
        <f t="shared" si="1218"/>
        <v>8</v>
      </c>
      <c r="R608" s="6" t="str">
        <f t="shared" si="6"/>
        <v>Textiles</v>
      </c>
      <c r="S608" s="6" t="str">
        <f t="shared" si="7"/>
        <v>Textiles</v>
      </c>
      <c r="T608" s="6">
        <f>IFERROR(__xludf.DUMMYFUNCTION("COUNTA(UNIQUE(query($A$2:$P$800,""select L where K='""&amp; K608&amp;""'"")))"),1.0)</f>
        <v>1</v>
      </c>
      <c r="U608" s="23">
        <f t="shared" si="8"/>
        <v>0.1153846154</v>
      </c>
      <c r="V608" s="23">
        <f t="shared" ref="V608:W608" si="1219">P608/O608</f>
        <v>1</v>
      </c>
      <c r="W608" s="23">
        <f t="shared" si="1219"/>
        <v>0.6153846154</v>
      </c>
    </row>
    <row r="609">
      <c r="A609" s="6">
        <f>IFERROR(__xludf.DUMMYFUNCTION("""COMPUTED_VALUE"""),543272.0)</f>
        <v>543272</v>
      </c>
      <c r="B609" s="6" t="str">
        <f>IFERROR(__xludf.DUMMYFUNCTION("""COMPUTED_VALUE"""),"Easy Trip Planners Limited")</f>
        <v>Easy Trip Planners Limited</v>
      </c>
      <c r="C609" s="6" t="str">
        <f>IFERROR(__xludf.DUMMYFUNCTION("""COMPUTED_VALUE"""),"EASEMYTRIP")</f>
        <v>EASEMYTRIP</v>
      </c>
      <c r="D609" s="6" t="str">
        <f>IFERROR(__xludf.DUMMYFUNCTION("""COMPUTED_VALUE"""),"Easy Trip Planners Ltd")</f>
        <v>Easy Trip Planners Ltd</v>
      </c>
      <c r="E609" s="6" t="str">
        <f>IFERROR(__xludf.DUMMYFUNCTION("""COMPUTED_VALUE"""),"Active")</f>
        <v>Active</v>
      </c>
      <c r="F609" s="6" t="str">
        <f>IFERROR(__xludf.DUMMYFUNCTION("""COMPUTED_VALUE"""),"A")</f>
        <v>A</v>
      </c>
      <c r="G609" s="6">
        <f>IFERROR(__xludf.DUMMYFUNCTION("""COMPUTED_VALUE"""),1.0)</f>
        <v>1</v>
      </c>
      <c r="H609" s="6" t="str">
        <f>IFERROR(__xludf.DUMMYFUNCTION("""COMPUTED_VALUE"""),"INE07O001026")</f>
        <v>INE07O001026</v>
      </c>
      <c r="I609" s="6" t="str">
        <f>IFERROR(__xludf.DUMMYFUNCTION("""COMPUTED_VALUE"""),"Equity")</f>
        <v>Equity</v>
      </c>
      <c r="J609" s="6" t="str">
        <f>IFERROR(__xludf.DUMMYFUNCTION("""COMPUTED_VALUE"""),"Consumer Discretionary")</f>
        <v>Consumer Discretionary</v>
      </c>
      <c r="K609" s="6" t="str">
        <f>IFERROR(__xludf.DUMMYFUNCTION("""COMPUTED_VALUE"""),"Consumer Services")</f>
        <v>Consumer Services</v>
      </c>
      <c r="L609" s="6" t="str">
        <f>IFERROR(__xludf.DUMMYFUNCTION("""COMPUTED_VALUE"""),"Leisure Services")</f>
        <v>Leisure Services</v>
      </c>
      <c r="M609" s="6" t="str">
        <f>IFERROR(__xludf.DUMMYFUNCTION("""COMPUTED_VALUE"""),"Tour, Travel Related Services")</f>
        <v>Tour, Travel Related Services</v>
      </c>
      <c r="N609" s="5">
        <f>IFERROR(__xludf.DUMMYFUNCTION("""COMPUTED_VALUE"""),7351.9069591)</f>
        <v>7351.906959</v>
      </c>
      <c r="O609" s="6">
        <f t="shared" si="4"/>
        <v>37</v>
      </c>
      <c r="P609" s="6">
        <f t="shared" ref="P609:Q609" si="1220">COUNTIFS(L:L,L609)</f>
        <v>18</v>
      </c>
      <c r="Q609" s="24">
        <f t="shared" si="1220"/>
        <v>5</v>
      </c>
      <c r="R609" s="6" t="str">
        <f t="shared" si="6"/>
        <v>Leisure Services</v>
      </c>
      <c r="S609" s="6" t="str">
        <f t="shared" si="7"/>
        <v>Leisure Services</v>
      </c>
      <c r="T609" s="6">
        <f>IFERROR(__xludf.DUMMYFUNCTION("COUNTA(UNIQUE(query($A$2:$P$800,""select L where K='""&amp; K609&amp;""'"")))"),3.0)</f>
        <v>3</v>
      </c>
      <c r="U609" s="23">
        <f t="shared" si="8"/>
        <v>0.1216216216</v>
      </c>
      <c r="V609" s="23">
        <f t="shared" ref="V609:W609" si="1221">P609/O609</f>
        <v>0.4864864865</v>
      </c>
      <c r="W609" s="23">
        <f t="shared" si="1221"/>
        <v>0.2777777778</v>
      </c>
    </row>
    <row r="610">
      <c r="A610" s="6">
        <f>IFERROR(__xludf.DUMMYFUNCTION("""COMPUTED_VALUE"""),533169.0)</f>
        <v>533169</v>
      </c>
      <c r="B610" s="6" t="str">
        <f>IFERROR(__xludf.DUMMYFUNCTION("""COMPUTED_VALUE"""),"MAN INFRACONSTRUCTION LIMITED")</f>
        <v>MAN INFRACONSTRUCTION LIMITED</v>
      </c>
      <c r="C610" s="6" t="str">
        <f>IFERROR(__xludf.DUMMYFUNCTION("""COMPUTED_VALUE"""),"MANINFRA")</f>
        <v>MANINFRA</v>
      </c>
      <c r="D610" s="6" t="str">
        <f>IFERROR(__xludf.DUMMYFUNCTION("""COMPUTED_VALUE"""),"MAN INFRACONSTRUCTION LTD.")</f>
        <v>MAN INFRACONSTRUCTION LTD.</v>
      </c>
      <c r="E610" s="6" t="str">
        <f>IFERROR(__xludf.DUMMYFUNCTION("""COMPUTED_VALUE"""),"Active")</f>
        <v>Active</v>
      </c>
      <c r="F610" s="6" t="str">
        <f>IFERROR(__xludf.DUMMYFUNCTION("""COMPUTED_VALUE"""),"A")</f>
        <v>A</v>
      </c>
      <c r="G610" s="6">
        <f>IFERROR(__xludf.DUMMYFUNCTION("""COMPUTED_VALUE"""),2.0)</f>
        <v>2</v>
      </c>
      <c r="H610" s="6" t="str">
        <f>IFERROR(__xludf.DUMMYFUNCTION("""COMPUTED_VALUE"""),"INE949H01023")</f>
        <v>INE949H01023</v>
      </c>
      <c r="I610" s="6" t="str">
        <f>IFERROR(__xludf.DUMMYFUNCTION("""COMPUTED_VALUE"""),"Equity")</f>
        <v>Equity</v>
      </c>
      <c r="J610" s="6" t="str">
        <f>IFERROR(__xludf.DUMMYFUNCTION("""COMPUTED_VALUE"""),"Industrials")</f>
        <v>Industrials</v>
      </c>
      <c r="K610" s="6" t="str">
        <f>IFERROR(__xludf.DUMMYFUNCTION("""COMPUTED_VALUE"""),"Construction")</f>
        <v>Construction</v>
      </c>
      <c r="L610" s="6" t="str">
        <f>IFERROR(__xludf.DUMMYFUNCTION("""COMPUTED_VALUE"""),"Construction")</f>
        <v>Construction</v>
      </c>
      <c r="M610" s="6" t="str">
        <f>IFERROR(__xludf.DUMMYFUNCTION("""COMPUTED_VALUE"""),"Civil Construction")</f>
        <v>Civil Construction</v>
      </c>
      <c r="N610" s="5">
        <f>IFERROR(__xludf.DUMMYFUNCTION("""COMPUTED_VALUE"""),7345.9467407)</f>
        <v>7345.946741</v>
      </c>
      <c r="O610" s="6">
        <f t="shared" si="4"/>
        <v>27</v>
      </c>
      <c r="P610" s="6">
        <f t="shared" ref="P610:Q610" si="1222">COUNTIFS(L:L,L610)</f>
        <v>27</v>
      </c>
      <c r="Q610" s="24">
        <f t="shared" si="1222"/>
        <v>27</v>
      </c>
      <c r="R610" s="6" t="str">
        <f t="shared" si="6"/>
        <v>Construction</v>
      </c>
      <c r="S610" s="6" t="str">
        <f t="shared" si="7"/>
        <v>Construction</v>
      </c>
      <c r="T610" s="6">
        <f>IFERROR(__xludf.DUMMYFUNCTION("COUNTA(UNIQUE(query($A$2:$P$800,""select L where K='""&amp; K610&amp;""'"")))"),1.0)</f>
        <v>1</v>
      </c>
      <c r="U610" s="23">
        <f t="shared" si="8"/>
        <v>0.05555555556</v>
      </c>
      <c r="V610" s="23">
        <f t="shared" ref="V610:W610" si="1223">P610/O610</f>
        <v>1</v>
      </c>
      <c r="W610" s="23">
        <f t="shared" si="1223"/>
        <v>1</v>
      </c>
    </row>
    <row r="611">
      <c r="A611" s="6">
        <f>IFERROR(__xludf.DUMMYFUNCTION("""COMPUTED_VALUE"""),530305.0)</f>
        <v>530305</v>
      </c>
      <c r="B611" s="6" t="str">
        <f>IFERROR(__xludf.DUMMYFUNCTION("""COMPUTED_VALUE"""),"Piccadily Agro Industries ltd.")</f>
        <v>Piccadily Agro Industries ltd.</v>
      </c>
      <c r="C611" s="6" t="str">
        <f>IFERROR(__xludf.DUMMYFUNCTION("""COMPUTED_VALUE"""),"PICCADIL")</f>
        <v>PICCADIL</v>
      </c>
      <c r="D611" s="6" t="str">
        <f>IFERROR(__xludf.DUMMYFUNCTION("""COMPUTED_VALUE"""),"PICCADILY AGRO INDUSTRIES LTD.")</f>
        <v>PICCADILY AGRO INDUSTRIES LTD.</v>
      </c>
      <c r="E611" s="6" t="str">
        <f>IFERROR(__xludf.DUMMYFUNCTION("""COMPUTED_VALUE"""),"Active")</f>
        <v>Active</v>
      </c>
      <c r="F611" s="6" t="str">
        <f>IFERROR(__xludf.DUMMYFUNCTION("""COMPUTED_VALUE"""),"B")</f>
        <v>B</v>
      </c>
      <c r="G611" s="6">
        <f>IFERROR(__xludf.DUMMYFUNCTION("""COMPUTED_VALUE"""),10.0)</f>
        <v>10</v>
      </c>
      <c r="H611" s="6" t="str">
        <f>IFERROR(__xludf.DUMMYFUNCTION("""COMPUTED_VALUE"""),"INE546C01010")</f>
        <v>INE546C01010</v>
      </c>
      <c r="I611" s="6" t="str">
        <f>IFERROR(__xludf.DUMMYFUNCTION("""COMPUTED_VALUE"""),"Equity")</f>
        <v>Equity</v>
      </c>
      <c r="J611" s="6" t="str">
        <f>IFERROR(__xludf.DUMMYFUNCTION("""COMPUTED_VALUE"""),"Fast Moving Consumer Goods")</f>
        <v>Fast Moving Consumer Goods</v>
      </c>
      <c r="K611" s="6" t="str">
        <f>IFERROR(__xludf.DUMMYFUNCTION("""COMPUTED_VALUE"""),"Fast Moving Consumer Goods")</f>
        <v>Fast Moving Consumer Goods</v>
      </c>
      <c r="L611" s="6" t="str">
        <f>IFERROR(__xludf.DUMMYFUNCTION("""COMPUTED_VALUE"""),"Agricultural Food &amp; other Products")</f>
        <v>Agricultural Food &amp; other Products</v>
      </c>
      <c r="M611" s="6" t="str">
        <f>IFERROR(__xludf.DUMMYFUNCTION("""COMPUTED_VALUE"""),"Sugar")</f>
        <v>Sugar</v>
      </c>
      <c r="N611" s="5">
        <f>IFERROR(__xludf.DUMMYFUNCTION("""COMPUTED_VALUE"""),7321.050025)</f>
        <v>7321.050025</v>
      </c>
      <c r="O611" s="6">
        <f t="shared" si="4"/>
        <v>44</v>
      </c>
      <c r="P611" s="6">
        <f t="shared" ref="P611:Q611" si="1224">COUNTIFS(L:L,L611)</f>
        <v>14</v>
      </c>
      <c r="Q611" s="24">
        <f t="shared" si="1224"/>
        <v>5</v>
      </c>
      <c r="R611" s="6" t="str">
        <f t="shared" si="6"/>
        <v>Fast Moving Consumer Goods</v>
      </c>
      <c r="S611" s="6" t="str">
        <f t="shared" si="7"/>
        <v>Fast Moving Consumer Goods</v>
      </c>
      <c r="T611" s="6">
        <f>IFERROR(__xludf.DUMMYFUNCTION("COUNTA(UNIQUE(query($A$2:$P$800,""select L where K='""&amp; K611&amp;""'"")))"),7.0)</f>
        <v>7</v>
      </c>
      <c r="U611" s="23">
        <f t="shared" si="8"/>
        <v>0.2386363636</v>
      </c>
      <c r="V611" s="23">
        <f t="shared" ref="V611:W611" si="1225">P611/O611</f>
        <v>0.3181818182</v>
      </c>
      <c r="W611" s="23">
        <f t="shared" si="1225"/>
        <v>0.3571428571</v>
      </c>
    </row>
    <row r="612">
      <c r="A612" s="6">
        <f>IFERROR(__xludf.DUMMYFUNCTION("""COMPUTED_VALUE"""),500336.0)</f>
        <v>500336</v>
      </c>
      <c r="B612" s="6" t="str">
        <f>IFERROR(__xludf.DUMMYFUNCTION("""COMPUTED_VALUE"""),"Surya Roshni Ltd.")</f>
        <v>Surya Roshni Ltd.</v>
      </c>
      <c r="C612" s="6" t="str">
        <f>IFERROR(__xludf.DUMMYFUNCTION("""COMPUTED_VALUE"""),"SURYAROSNI")</f>
        <v>SURYAROSNI</v>
      </c>
      <c r="D612" s="6" t="str">
        <f>IFERROR(__xludf.DUMMYFUNCTION("""COMPUTED_VALUE"""),"SURYA ROSHNI LTD.")</f>
        <v>SURYA ROSHNI LTD.</v>
      </c>
      <c r="E612" s="6" t="str">
        <f>IFERROR(__xludf.DUMMYFUNCTION("""COMPUTED_VALUE"""),"Active")</f>
        <v>Active</v>
      </c>
      <c r="F612" s="6" t="str">
        <f>IFERROR(__xludf.DUMMYFUNCTION("""COMPUTED_VALUE"""),"B")</f>
        <v>B</v>
      </c>
      <c r="G612" s="6">
        <f>IFERROR(__xludf.DUMMYFUNCTION("""COMPUTED_VALUE"""),5.0)</f>
        <v>5</v>
      </c>
      <c r="H612" s="6" t="str">
        <f>IFERROR(__xludf.DUMMYFUNCTION("""COMPUTED_VALUE"""),"INE335A01020")</f>
        <v>INE335A01020</v>
      </c>
      <c r="I612" s="6" t="str">
        <f>IFERROR(__xludf.DUMMYFUNCTION("""COMPUTED_VALUE"""),"Equity")</f>
        <v>Equity</v>
      </c>
      <c r="J612" s="6" t="str">
        <f>IFERROR(__xludf.DUMMYFUNCTION("""COMPUTED_VALUE"""),"Industrials")</f>
        <v>Industrials</v>
      </c>
      <c r="K612" s="6" t="str">
        <f>IFERROR(__xludf.DUMMYFUNCTION("""COMPUTED_VALUE"""),"Capital Goods")</f>
        <v>Capital Goods</v>
      </c>
      <c r="L612" s="6" t="str">
        <f>IFERROR(__xludf.DUMMYFUNCTION("""COMPUTED_VALUE"""),"Industrial Products")</f>
        <v>Industrial Products</v>
      </c>
      <c r="M612" s="6" t="str">
        <f>IFERROR(__xludf.DUMMYFUNCTION("""COMPUTED_VALUE"""),"Iron &amp; Steel Products")</f>
        <v>Iron &amp; Steel Products</v>
      </c>
      <c r="N612" s="5">
        <f>IFERROR(__xludf.DUMMYFUNCTION("""COMPUTED_VALUE"""),7277.0238305)</f>
        <v>7277.023831</v>
      </c>
      <c r="O612" s="6">
        <f t="shared" si="4"/>
        <v>110</v>
      </c>
      <c r="P612" s="6">
        <f t="shared" ref="P612:Q612" si="1226">COUNTIFS(L:L,L612)</f>
        <v>51</v>
      </c>
      <c r="Q612" s="24">
        <f t="shared" si="1226"/>
        <v>13</v>
      </c>
      <c r="R612" s="6" t="str">
        <f t="shared" si="6"/>
        <v>Industrial Products</v>
      </c>
      <c r="S612" s="6" t="str">
        <f t="shared" si="7"/>
        <v>Industrial Products</v>
      </c>
      <c r="T612" s="6">
        <f>IFERROR(__xludf.DUMMYFUNCTION("COUNTA(UNIQUE(query($A$2:$P$800,""select L where K='""&amp; K612&amp;""'"")))"),5.0)</f>
        <v>5</v>
      </c>
      <c r="U612" s="23">
        <f t="shared" si="8"/>
        <v>0.06818181818</v>
      </c>
      <c r="V612" s="23">
        <f t="shared" ref="V612:W612" si="1227">P612/O612</f>
        <v>0.4636363636</v>
      </c>
      <c r="W612" s="23">
        <f t="shared" si="1227"/>
        <v>0.2549019608</v>
      </c>
    </row>
    <row r="613">
      <c r="A613" s="6">
        <f>IFERROR(__xludf.DUMMYFUNCTION("""COMPUTED_VALUE"""),532856.0)</f>
        <v>532856</v>
      </c>
      <c r="B613" s="6" t="str">
        <f>IFERROR(__xludf.DUMMYFUNCTION("""COMPUTED_VALUE"""),"Time Technoplast Limited")</f>
        <v>Time Technoplast Limited</v>
      </c>
      <c r="C613" s="6" t="str">
        <f>IFERROR(__xludf.DUMMYFUNCTION("""COMPUTED_VALUE"""),"TIMETECHNO")</f>
        <v>TIMETECHNO</v>
      </c>
      <c r="D613" s="6" t="str">
        <f>IFERROR(__xludf.DUMMYFUNCTION("""COMPUTED_VALUE"""),"TIME TECHNOPLAST LTD.")</f>
        <v>TIME TECHNOPLAST LTD.</v>
      </c>
      <c r="E613" s="6" t="str">
        <f>IFERROR(__xludf.DUMMYFUNCTION("""COMPUTED_VALUE"""),"Active")</f>
        <v>Active</v>
      </c>
      <c r="F613" s="6" t="str">
        <f>IFERROR(__xludf.DUMMYFUNCTION("""COMPUTED_VALUE"""),"A")</f>
        <v>A</v>
      </c>
      <c r="G613" s="6">
        <f>IFERROR(__xludf.DUMMYFUNCTION("""COMPUTED_VALUE"""),1.0)</f>
        <v>1</v>
      </c>
      <c r="H613" s="6" t="str">
        <f>IFERROR(__xludf.DUMMYFUNCTION("""COMPUTED_VALUE"""),"INE508G01029")</f>
        <v>INE508G01029</v>
      </c>
      <c r="I613" s="6" t="str">
        <f>IFERROR(__xludf.DUMMYFUNCTION("""COMPUTED_VALUE"""),"Equity")</f>
        <v>Equity</v>
      </c>
      <c r="J613" s="6" t="str">
        <f>IFERROR(__xludf.DUMMYFUNCTION("""COMPUTED_VALUE"""),"Industrials")</f>
        <v>Industrials</v>
      </c>
      <c r="K613" s="6" t="str">
        <f>IFERROR(__xludf.DUMMYFUNCTION("""COMPUTED_VALUE"""),"Capital Goods")</f>
        <v>Capital Goods</v>
      </c>
      <c r="L613" s="6" t="str">
        <f>IFERROR(__xludf.DUMMYFUNCTION("""COMPUTED_VALUE"""),"Industrial Products")</f>
        <v>Industrial Products</v>
      </c>
      <c r="M613" s="6" t="str">
        <f>IFERROR(__xludf.DUMMYFUNCTION("""COMPUTED_VALUE"""),"Plastic Products - Industrial")</f>
        <v>Plastic Products - Industrial</v>
      </c>
      <c r="N613" s="5">
        <f>IFERROR(__xludf.DUMMYFUNCTION("""COMPUTED_VALUE"""),7274.3604976)</f>
        <v>7274.360498</v>
      </c>
      <c r="O613" s="6">
        <f t="shared" si="4"/>
        <v>110</v>
      </c>
      <c r="P613" s="6">
        <f t="shared" ref="P613:Q613" si="1228">COUNTIFS(L:L,L613)</f>
        <v>51</v>
      </c>
      <c r="Q613" s="24">
        <f t="shared" si="1228"/>
        <v>9</v>
      </c>
      <c r="R613" s="6" t="str">
        <f t="shared" si="6"/>
        <v>Industrial Products</v>
      </c>
      <c r="S613" s="6" t="str">
        <f t="shared" si="7"/>
        <v>Industrial Products</v>
      </c>
      <c r="T613" s="6">
        <f>IFERROR(__xludf.DUMMYFUNCTION("COUNTA(UNIQUE(query($A$2:$P$800,""select L where K='""&amp; K613&amp;""'"")))"),5.0)</f>
        <v>5</v>
      </c>
      <c r="U613" s="23">
        <f t="shared" si="8"/>
        <v>0.06818181818</v>
      </c>
      <c r="V613" s="23">
        <f t="shared" ref="V613:W613" si="1229">P613/O613</f>
        <v>0.4636363636</v>
      </c>
      <c r="W613" s="23">
        <f t="shared" si="1229"/>
        <v>0.1764705882</v>
      </c>
    </row>
    <row r="614">
      <c r="A614" s="6">
        <f>IFERROR(__xludf.DUMMYFUNCTION("""COMPUTED_VALUE"""),524404.0)</f>
        <v>524404</v>
      </c>
      <c r="B614" s="6" t="str">
        <f>IFERROR(__xludf.DUMMYFUNCTION("""COMPUTED_VALUE"""),"Marksans Pharma Ltd.")</f>
        <v>Marksans Pharma Ltd.</v>
      </c>
      <c r="C614" s="6" t="str">
        <f>IFERROR(__xludf.DUMMYFUNCTION("""COMPUTED_VALUE"""),"MARKSANS")</f>
        <v>MARKSANS</v>
      </c>
      <c r="D614" s="6" t="str">
        <f>IFERROR(__xludf.DUMMYFUNCTION("""COMPUTED_VALUE"""),"MARKSANS PHARMA LTD.")</f>
        <v>MARKSANS PHARMA LTD.</v>
      </c>
      <c r="E614" s="6" t="str">
        <f>IFERROR(__xludf.DUMMYFUNCTION("""COMPUTED_VALUE"""),"Active")</f>
        <v>Active</v>
      </c>
      <c r="F614" s="6" t="str">
        <f>IFERROR(__xludf.DUMMYFUNCTION("""COMPUTED_VALUE"""),"A")</f>
        <v>A</v>
      </c>
      <c r="G614" s="6">
        <f>IFERROR(__xludf.DUMMYFUNCTION("""COMPUTED_VALUE"""),1.0)</f>
        <v>1</v>
      </c>
      <c r="H614" s="6" t="str">
        <f>IFERROR(__xludf.DUMMYFUNCTION("""COMPUTED_VALUE"""),"INE750C01026")</f>
        <v>INE750C01026</v>
      </c>
      <c r="I614" s="6" t="str">
        <f>IFERROR(__xludf.DUMMYFUNCTION("""COMPUTED_VALUE"""),"Equity")</f>
        <v>Equity</v>
      </c>
      <c r="J614" s="6" t="str">
        <f>IFERROR(__xludf.DUMMYFUNCTION("""COMPUTED_VALUE"""),"Healthcare")</f>
        <v>Healthcare</v>
      </c>
      <c r="K614" s="6" t="str">
        <f>IFERROR(__xludf.DUMMYFUNCTION("""COMPUTED_VALUE"""),"Healthcare")</f>
        <v>Healthcare</v>
      </c>
      <c r="L614" s="6" t="str">
        <f>IFERROR(__xludf.DUMMYFUNCTION("""COMPUTED_VALUE"""),"Pharmaceuticals &amp; Biotechnology")</f>
        <v>Pharmaceuticals &amp; Biotechnology</v>
      </c>
      <c r="M614" s="6" t="str">
        <f>IFERROR(__xludf.DUMMYFUNCTION("""COMPUTED_VALUE"""),"Pharmaceuticals")</f>
        <v>Pharmaceuticals</v>
      </c>
      <c r="N614" s="5">
        <f>IFERROR(__xludf.DUMMYFUNCTION("""COMPUTED_VALUE"""),7269.1651348)</f>
        <v>7269.165135</v>
      </c>
      <c r="O614" s="6">
        <f t="shared" si="4"/>
        <v>62</v>
      </c>
      <c r="P614" s="6">
        <f t="shared" ref="P614:Q614" si="1230">COUNTIFS(L:L,L614)</f>
        <v>45</v>
      </c>
      <c r="Q614" s="24">
        <f t="shared" si="1230"/>
        <v>45</v>
      </c>
      <c r="R614" s="6" t="str">
        <f t="shared" si="6"/>
        <v>Healthcare</v>
      </c>
      <c r="S614" s="6" t="str">
        <f t="shared" si="7"/>
        <v>Healthcare</v>
      </c>
      <c r="T614" s="6">
        <f>IFERROR(__xludf.DUMMYFUNCTION("COUNTA(UNIQUE(query($A$2:$P$800,""select L where K='""&amp; K614&amp;""'"")))"),3.0)</f>
        <v>3</v>
      </c>
      <c r="U614" s="23">
        <f t="shared" si="8"/>
        <v>0.07258064516</v>
      </c>
      <c r="V614" s="23">
        <f t="shared" ref="V614:W614" si="1231">P614/O614</f>
        <v>0.7258064516</v>
      </c>
      <c r="W614" s="23">
        <f t="shared" si="1231"/>
        <v>1</v>
      </c>
    </row>
    <row r="615">
      <c r="A615" s="6">
        <f>IFERROR(__xludf.DUMMYFUNCTION("""COMPUTED_VALUE"""),532349.0)</f>
        <v>532349</v>
      </c>
      <c r="B615" s="6" t="str">
        <f>IFERROR(__xludf.DUMMYFUNCTION("""COMPUTED_VALUE"""),"Transport Corporation of India Ltd")</f>
        <v>Transport Corporation of India Ltd</v>
      </c>
      <c r="C615" s="6" t="str">
        <f>IFERROR(__xludf.DUMMYFUNCTION("""COMPUTED_VALUE"""),"TCI")</f>
        <v>TCI</v>
      </c>
      <c r="D615" s="6" t="str">
        <f>IFERROR(__xludf.DUMMYFUNCTION("""COMPUTED_VALUE"""),"TRANSPORT CORPORATION OF INDIA LTD.")</f>
        <v>TRANSPORT CORPORATION OF INDIA LTD.</v>
      </c>
      <c r="E615" s="6" t="str">
        <f>IFERROR(__xludf.DUMMYFUNCTION("""COMPUTED_VALUE"""),"Active")</f>
        <v>Active</v>
      </c>
      <c r="F615" s="6" t="str">
        <f>IFERROR(__xludf.DUMMYFUNCTION("""COMPUTED_VALUE"""),"A")</f>
        <v>A</v>
      </c>
      <c r="G615" s="6">
        <f>IFERROR(__xludf.DUMMYFUNCTION("""COMPUTED_VALUE"""),2.0)</f>
        <v>2</v>
      </c>
      <c r="H615" s="6" t="str">
        <f>IFERROR(__xludf.DUMMYFUNCTION("""COMPUTED_VALUE"""),"INE688A01022")</f>
        <v>INE688A01022</v>
      </c>
      <c r="I615" s="6" t="str">
        <f>IFERROR(__xludf.DUMMYFUNCTION("""COMPUTED_VALUE"""),"Equity")</f>
        <v>Equity</v>
      </c>
      <c r="J615" s="6" t="str">
        <f>IFERROR(__xludf.DUMMYFUNCTION("""COMPUTED_VALUE"""),"Services")</f>
        <v>Services</v>
      </c>
      <c r="K615" s="6" t="str">
        <f>IFERROR(__xludf.DUMMYFUNCTION("""COMPUTED_VALUE"""),"Services")</f>
        <v>Services</v>
      </c>
      <c r="L615" s="6" t="str">
        <f>IFERROR(__xludf.DUMMYFUNCTION("""COMPUTED_VALUE"""),"Transport Services")</f>
        <v>Transport Services</v>
      </c>
      <c r="M615" s="6" t="str">
        <f>IFERROR(__xludf.DUMMYFUNCTION("""COMPUTED_VALUE"""),"Logistics Solution Provider")</f>
        <v>Logistics Solution Provider</v>
      </c>
      <c r="N615" s="5">
        <f>IFERROR(__xludf.DUMMYFUNCTION("""COMPUTED_VALUE"""),7231.3170589)</f>
        <v>7231.317059</v>
      </c>
      <c r="O615" s="6">
        <f t="shared" si="4"/>
        <v>27</v>
      </c>
      <c r="P615" s="6">
        <f t="shared" ref="P615:Q615" si="1232">COUNTIFS(L:L,L615)</f>
        <v>12</v>
      </c>
      <c r="Q615" s="24">
        <f t="shared" si="1232"/>
        <v>9</v>
      </c>
      <c r="R615" s="6" t="str">
        <f t="shared" si="6"/>
        <v>Services</v>
      </c>
      <c r="S615" s="6" t="str">
        <f t="shared" si="7"/>
        <v>Services</v>
      </c>
      <c r="T615" s="6">
        <f>IFERROR(__xludf.DUMMYFUNCTION("COUNTA(UNIQUE(query($A$2:$P$800,""select L where K='""&amp; K615&amp;""'"")))"),3.0)</f>
        <v>3</v>
      </c>
      <c r="U615" s="23">
        <f t="shared" si="8"/>
        <v>0.1666666667</v>
      </c>
      <c r="V615" s="23">
        <f t="shared" ref="V615:W615" si="1233">P615/O615</f>
        <v>0.4444444444</v>
      </c>
      <c r="W615" s="23">
        <f t="shared" si="1233"/>
        <v>0.75</v>
      </c>
    </row>
    <row r="616">
      <c r="A616" s="6">
        <f>IFERROR(__xludf.DUMMYFUNCTION("""COMPUTED_VALUE"""),538730.0)</f>
        <v>538730</v>
      </c>
      <c r="B616" s="6" t="str">
        <f>IFERROR(__xludf.DUMMYFUNCTION("""COMPUTED_VALUE"""),"PDS LIMITED")</f>
        <v>PDS LIMITED</v>
      </c>
      <c r="C616" s="6" t="str">
        <f>IFERROR(__xludf.DUMMYFUNCTION("""COMPUTED_VALUE"""),"PDSL")</f>
        <v>PDSL</v>
      </c>
      <c r="D616" s="6" t="str">
        <f>IFERROR(__xludf.DUMMYFUNCTION("""COMPUTED_VALUE"""),"PDS Ltd")</f>
        <v>PDS Ltd</v>
      </c>
      <c r="E616" s="6" t="str">
        <f>IFERROR(__xludf.DUMMYFUNCTION("""COMPUTED_VALUE"""),"Active")</f>
        <v>Active</v>
      </c>
      <c r="F616" s="6" t="str">
        <f>IFERROR(__xludf.DUMMYFUNCTION("""COMPUTED_VALUE"""),"B")</f>
        <v>B</v>
      </c>
      <c r="G616" s="6">
        <f>IFERROR(__xludf.DUMMYFUNCTION("""COMPUTED_VALUE"""),2.0)</f>
        <v>2</v>
      </c>
      <c r="H616" s="6" t="str">
        <f>IFERROR(__xludf.DUMMYFUNCTION("""COMPUTED_VALUE"""),"INE111Q01021")</f>
        <v>INE111Q01021</v>
      </c>
      <c r="I616" s="6" t="str">
        <f>IFERROR(__xludf.DUMMYFUNCTION("""COMPUTED_VALUE"""),"Equity")</f>
        <v>Equity</v>
      </c>
      <c r="J616" s="6" t="str">
        <f>IFERROR(__xludf.DUMMYFUNCTION("""COMPUTED_VALUE"""),"Consumer Discretionary")</f>
        <v>Consumer Discretionary</v>
      </c>
      <c r="K616" s="6" t="str">
        <f>IFERROR(__xludf.DUMMYFUNCTION("""COMPUTED_VALUE"""),"Textiles")</f>
        <v>Textiles</v>
      </c>
      <c r="L616" s="6" t="str">
        <f>IFERROR(__xludf.DUMMYFUNCTION("""COMPUTED_VALUE"""),"Textiles &amp; Apparels")</f>
        <v>Textiles &amp; Apparels</v>
      </c>
      <c r="M616" s="6" t="str">
        <f>IFERROR(__xludf.DUMMYFUNCTION("""COMPUTED_VALUE"""),"Trading - Textile Products")</f>
        <v>Trading - Textile Products</v>
      </c>
      <c r="N616" s="5">
        <f>IFERROR(__xludf.DUMMYFUNCTION("""COMPUTED_VALUE"""),7226.1800299)</f>
        <v>7226.18003</v>
      </c>
      <c r="O616" s="6">
        <f t="shared" si="4"/>
        <v>13</v>
      </c>
      <c r="P616" s="6">
        <f t="shared" ref="P616:Q616" si="1234">COUNTIFS(L:L,L616)</f>
        <v>13</v>
      </c>
      <c r="Q616" s="24">
        <f t="shared" si="1234"/>
        <v>1</v>
      </c>
      <c r="R616" s="6" t="str">
        <f t="shared" si="6"/>
        <v>Textiles</v>
      </c>
      <c r="S616" s="6" t="str">
        <f t="shared" si="7"/>
        <v>Textiles</v>
      </c>
      <c r="T616" s="6">
        <f>IFERROR(__xludf.DUMMYFUNCTION("COUNTA(UNIQUE(query($A$2:$P$800,""select L where K='""&amp; K616&amp;""'"")))"),1.0)</f>
        <v>1</v>
      </c>
      <c r="U616" s="23">
        <f t="shared" si="8"/>
        <v>0.1153846154</v>
      </c>
      <c r="V616" s="23">
        <f t="shared" ref="V616:W616" si="1235">P616/O616</f>
        <v>1</v>
      </c>
      <c r="W616" s="23">
        <f t="shared" si="1235"/>
        <v>0.07692307692</v>
      </c>
    </row>
    <row r="617">
      <c r="A617" s="6">
        <f>IFERROR(__xludf.DUMMYFUNCTION("""COMPUTED_VALUE"""),538891.0)</f>
        <v>538891</v>
      </c>
      <c r="B617" s="6" t="str">
        <f>IFERROR(__xludf.DUMMYFUNCTION("""COMPUTED_VALUE"""),"MAGELLANIC CLOUD LIMITED")</f>
        <v>MAGELLANIC CLOUD LIMITED</v>
      </c>
      <c r="C617" s="6" t="str">
        <f>IFERROR(__xludf.DUMMYFUNCTION("""COMPUTED_VALUE"""),"MCLOUD")</f>
        <v>MCLOUD</v>
      </c>
      <c r="D617" s="6" t="str">
        <f>IFERROR(__xludf.DUMMYFUNCTION("""COMPUTED_VALUE"""),"Magellanic Cloud Ltd")</f>
        <v>Magellanic Cloud Ltd</v>
      </c>
      <c r="E617" s="6" t="str">
        <f>IFERROR(__xludf.DUMMYFUNCTION("""COMPUTED_VALUE"""),"Active")</f>
        <v>Active</v>
      </c>
      <c r="F617" s="6" t="str">
        <f>IFERROR(__xludf.DUMMYFUNCTION("""COMPUTED_VALUE"""),"B")</f>
        <v>B</v>
      </c>
      <c r="G617" s="6">
        <f>IFERROR(__xludf.DUMMYFUNCTION("""COMPUTED_VALUE"""),10.0)</f>
        <v>10</v>
      </c>
      <c r="H617" s="6" t="str">
        <f>IFERROR(__xludf.DUMMYFUNCTION("""COMPUTED_VALUE"""),"INE613C01018")</f>
        <v>INE613C01018</v>
      </c>
      <c r="I617" s="6" t="str">
        <f>IFERROR(__xludf.DUMMYFUNCTION("""COMPUTED_VALUE"""),"Equity")</f>
        <v>Equity</v>
      </c>
      <c r="J617" s="6" t="str">
        <f>IFERROR(__xludf.DUMMYFUNCTION("""COMPUTED_VALUE"""),"Information Technology")</f>
        <v>Information Technology</v>
      </c>
      <c r="K617" s="6" t="str">
        <f>IFERROR(__xludf.DUMMYFUNCTION("""COMPUTED_VALUE"""),"Information Technology")</f>
        <v>Information Technology</v>
      </c>
      <c r="L617" s="6" t="str">
        <f>IFERROR(__xludf.DUMMYFUNCTION("""COMPUTED_VALUE"""),"IT - Software")</f>
        <v>IT - Software</v>
      </c>
      <c r="M617" s="6" t="str">
        <f>IFERROR(__xludf.DUMMYFUNCTION("""COMPUTED_VALUE"""),"Computers - Software &amp; Consulting")</f>
        <v>Computers - Software &amp; Consulting</v>
      </c>
      <c r="N617" s="5">
        <f>IFERROR(__xludf.DUMMYFUNCTION("""COMPUTED_VALUE"""),7213.2392534)</f>
        <v>7213.239253</v>
      </c>
      <c r="O617" s="6">
        <f t="shared" si="4"/>
        <v>36</v>
      </c>
      <c r="P617" s="6">
        <f t="shared" ref="P617:Q617" si="1236">COUNTIFS(L:L,L617)</f>
        <v>27</v>
      </c>
      <c r="Q617" s="24">
        <f t="shared" si="1236"/>
        <v>22</v>
      </c>
      <c r="R617" s="6" t="str">
        <f t="shared" si="6"/>
        <v>Information Technology</v>
      </c>
      <c r="S617" s="6" t="str">
        <f t="shared" si="7"/>
        <v>Information Technology</v>
      </c>
      <c r="T617" s="6">
        <f>IFERROR(__xludf.DUMMYFUNCTION("COUNTA(UNIQUE(query($A$2:$P$800,""select L where K='""&amp; K617&amp;""'"")))"),3.0)</f>
        <v>3</v>
      </c>
      <c r="U617" s="23">
        <f t="shared" si="8"/>
        <v>0.125</v>
      </c>
      <c r="V617" s="23">
        <f t="shared" ref="V617:W617" si="1237">P617/O617</f>
        <v>0.75</v>
      </c>
      <c r="W617" s="23">
        <f t="shared" si="1237"/>
        <v>0.8148148148</v>
      </c>
    </row>
    <row r="618">
      <c r="A618" s="6">
        <f>IFERROR(__xludf.DUMMYFUNCTION("""COMPUTED_VALUE"""),543358.0)</f>
        <v>543358</v>
      </c>
      <c r="B618" s="6" t="str">
        <f>IFERROR(__xludf.DUMMYFUNCTION("""COMPUTED_VALUE"""),"Sansera Engineering Limited")</f>
        <v>Sansera Engineering Limited</v>
      </c>
      <c r="C618" s="6" t="str">
        <f>IFERROR(__xludf.DUMMYFUNCTION("""COMPUTED_VALUE"""),"SANSERA")</f>
        <v>SANSERA</v>
      </c>
      <c r="D618" s="6" t="str">
        <f>IFERROR(__xludf.DUMMYFUNCTION("""COMPUTED_VALUE"""),"Sansera Engineering Ltd")</f>
        <v>Sansera Engineering Ltd</v>
      </c>
      <c r="E618" s="6" t="str">
        <f>IFERROR(__xludf.DUMMYFUNCTION("""COMPUTED_VALUE"""),"Active")</f>
        <v>Active</v>
      </c>
      <c r="F618" s="6" t="str">
        <f>IFERROR(__xludf.DUMMYFUNCTION("""COMPUTED_VALUE"""),"A")</f>
        <v>A</v>
      </c>
      <c r="G618" s="6">
        <f>IFERROR(__xludf.DUMMYFUNCTION("""COMPUTED_VALUE"""),2.0)</f>
        <v>2</v>
      </c>
      <c r="H618" s="6" t="str">
        <f>IFERROR(__xludf.DUMMYFUNCTION("""COMPUTED_VALUE"""),"INE953O01021")</f>
        <v>INE953O01021</v>
      </c>
      <c r="I618" s="6" t="str">
        <f>IFERROR(__xludf.DUMMYFUNCTION("""COMPUTED_VALUE"""),"Equity")</f>
        <v>Equity</v>
      </c>
      <c r="J618" s="6" t="str">
        <f>IFERROR(__xludf.DUMMYFUNCTION("""COMPUTED_VALUE"""),"Consumer Discretionary")</f>
        <v>Consumer Discretionary</v>
      </c>
      <c r="K618" s="6" t="str">
        <f>IFERROR(__xludf.DUMMYFUNCTION("""COMPUTED_VALUE"""),"Automobile and Auto Components")</f>
        <v>Automobile and Auto Components</v>
      </c>
      <c r="L618" s="6" t="str">
        <f>IFERROR(__xludf.DUMMYFUNCTION("""COMPUTED_VALUE"""),"Auto Components")</f>
        <v>Auto Components</v>
      </c>
      <c r="M618" s="6" t="str">
        <f>IFERROR(__xludf.DUMMYFUNCTION("""COMPUTED_VALUE"""),"Auto Components &amp; Equipments")</f>
        <v>Auto Components &amp; Equipments</v>
      </c>
      <c r="N618" s="5">
        <f>IFERROR(__xludf.DUMMYFUNCTION("""COMPUTED_VALUE"""),7185.0438)</f>
        <v>7185.0438</v>
      </c>
      <c r="O618" s="6">
        <f t="shared" si="4"/>
        <v>47</v>
      </c>
      <c r="P618" s="6">
        <f t="shared" ref="P618:Q618" si="1238">COUNTIFS(L:L,L618)</f>
        <v>37</v>
      </c>
      <c r="Q618" s="24">
        <f t="shared" si="1238"/>
        <v>32</v>
      </c>
      <c r="R618" s="6" t="str">
        <f t="shared" si="6"/>
        <v>Automobile and Auto Components</v>
      </c>
      <c r="S618" s="6" t="str">
        <f t="shared" si="7"/>
        <v>Automobile and Auto Components</v>
      </c>
      <c r="T618" s="6">
        <f>IFERROR(__xludf.DUMMYFUNCTION("COUNTA(UNIQUE(query($A$2:$P$800,""select L where K='""&amp; K618&amp;""'"")))"),2.0)</f>
        <v>2</v>
      </c>
      <c r="U618" s="23">
        <f t="shared" si="8"/>
        <v>0.06382978723</v>
      </c>
      <c r="V618" s="23">
        <f t="shared" ref="V618:W618" si="1239">P618/O618</f>
        <v>0.7872340426</v>
      </c>
      <c r="W618" s="23">
        <f t="shared" si="1239"/>
        <v>0.8648648649</v>
      </c>
    </row>
    <row r="619">
      <c r="A619" s="6">
        <f>IFERROR(__xludf.DUMMYFUNCTION("""COMPUTED_VALUE"""),532509.0)</f>
        <v>532509</v>
      </c>
      <c r="B619" s="6" t="str">
        <f>IFERROR(__xludf.DUMMYFUNCTION("""COMPUTED_VALUE"""),"Suprajit Engineering Ltd.")</f>
        <v>Suprajit Engineering Ltd.</v>
      </c>
      <c r="C619" s="6" t="str">
        <f>IFERROR(__xludf.DUMMYFUNCTION("""COMPUTED_VALUE"""),"SUPRAJIT")</f>
        <v>SUPRAJIT</v>
      </c>
      <c r="D619" s="6" t="str">
        <f>IFERROR(__xludf.DUMMYFUNCTION("""COMPUTED_VALUE"""),"SUPRAJIT ENGINEERING LTD.-$")</f>
        <v>SUPRAJIT ENGINEERING LTD.-$</v>
      </c>
      <c r="E619" s="6" t="str">
        <f>IFERROR(__xludf.DUMMYFUNCTION("""COMPUTED_VALUE"""),"Active")</f>
        <v>Active</v>
      </c>
      <c r="F619" s="6" t="str">
        <f>IFERROR(__xludf.DUMMYFUNCTION("""COMPUTED_VALUE"""),"A")</f>
        <v>A</v>
      </c>
      <c r="G619" s="6">
        <f>IFERROR(__xludf.DUMMYFUNCTION("""COMPUTED_VALUE"""),1.0)</f>
        <v>1</v>
      </c>
      <c r="H619" s="6" t="str">
        <f>IFERROR(__xludf.DUMMYFUNCTION("""COMPUTED_VALUE"""),"INE399C01030")</f>
        <v>INE399C01030</v>
      </c>
      <c r="I619" s="6" t="str">
        <f>IFERROR(__xludf.DUMMYFUNCTION("""COMPUTED_VALUE"""),"Equity")</f>
        <v>Equity</v>
      </c>
      <c r="J619" s="6" t="str">
        <f>IFERROR(__xludf.DUMMYFUNCTION("""COMPUTED_VALUE"""),"Consumer Discretionary")</f>
        <v>Consumer Discretionary</v>
      </c>
      <c r="K619" s="6" t="str">
        <f>IFERROR(__xludf.DUMMYFUNCTION("""COMPUTED_VALUE"""),"Automobile and Auto Components")</f>
        <v>Automobile and Auto Components</v>
      </c>
      <c r="L619" s="6" t="str">
        <f>IFERROR(__xludf.DUMMYFUNCTION("""COMPUTED_VALUE"""),"Auto Components")</f>
        <v>Auto Components</v>
      </c>
      <c r="M619" s="6" t="str">
        <f>IFERROR(__xludf.DUMMYFUNCTION("""COMPUTED_VALUE"""),"Auto Components &amp; Equipments")</f>
        <v>Auto Components &amp; Equipments</v>
      </c>
      <c r="N619" s="5">
        <f>IFERROR(__xludf.DUMMYFUNCTION("""COMPUTED_VALUE"""),7142.308525)</f>
        <v>7142.308525</v>
      </c>
      <c r="O619" s="6">
        <f t="shared" si="4"/>
        <v>47</v>
      </c>
      <c r="P619" s="6">
        <f t="shared" ref="P619:Q619" si="1240">COUNTIFS(L:L,L619)</f>
        <v>37</v>
      </c>
      <c r="Q619" s="24">
        <f t="shared" si="1240"/>
        <v>32</v>
      </c>
      <c r="R619" s="6" t="str">
        <f t="shared" si="6"/>
        <v>Automobile and Auto Components</v>
      </c>
      <c r="S619" s="6" t="str">
        <f t="shared" si="7"/>
        <v>Automobile and Auto Components</v>
      </c>
      <c r="T619" s="6">
        <f>IFERROR(__xludf.DUMMYFUNCTION("COUNTA(UNIQUE(query($A$2:$P$800,""select L where K='""&amp; K619&amp;""'"")))"),2.0)</f>
        <v>2</v>
      </c>
      <c r="U619" s="23">
        <f t="shared" si="8"/>
        <v>0.06382978723</v>
      </c>
      <c r="V619" s="23">
        <f t="shared" ref="V619:W619" si="1241">P619/O619</f>
        <v>0.7872340426</v>
      </c>
      <c r="W619" s="23">
        <f t="shared" si="1241"/>
        <v>0.8648648649</v>
      </c>
    </row>
    <row r="620">
      <c r="A620" s="6">
        <f>IFERROR(__xludf.DUMMYFUNCTION("""COMPUTED_VALUE"""),505890.0)</f>
        <v>505890</v>
      </c>
      <c r="B620" s="6" t="str">
        <f>IFERROR(__xludf.DUMMYFUNCTION("""COMPUTED_VALUE"""),"Kennametal India Limtied")</f>
        <v>Kennametal India Limtied</v>
      </c>
      <c r="C620" s="6" t="str">
        <f>IFERROR(__xludf.DUMMYFUNCTION("""COMPUTED_VALUE"""),"KENNAMET")</f>
        <v>KENNAMET</v>
      </c>
      <c r="D620" s="6" t="str">
        <f>IFERROR(__xludf.DUMMYFUNCTION("""COMPUTED_VALUE"""),"KENNAMETAL INDIA LTD.-$")</f>
        <v>KENNAMETAL INDIA LTD.-$</v>
      </c>
      <c r="E620" s="6" t="str">
        <f>IFERROR(__xludf.DUMMYFUNCTION("""COMPUTED_VALUE"""),"Active")</f>
        <v>Active</v>
      </c>
      <c r="F620" s="6" t="str">
        <f>IFERROR(__xludf.DUMMYFUNCTION("""COMPUTED_VALUE"""),"B")</f>
        <v>B</v>
      </c>
      <c r="G620" s="6">
        <f>IFERROR(__xludf.DUMMYFUNCTION("""COMPUTED_VALUE"""),10.0)</f>
        <v>10</v>
      </c>
      <c r="H620" s="6" t="str">
        <f>IFERROR(__xludf.DUMMYFUNCTION("""COMPUTED_VALUE"""),"INE717A01029")</f>
        <v>INE717A01029</v>
      </c>
      <c r="I620" s="6" t="str">
        <f>IFERROR(__xludf.DUMMYFUNCTION("""COMPUTED_VALUE"""),"Equity")</f>
        <v>Equity</v>
      </c>
      <c r="J620" s="6" t="str">
        <f>IFERROR(__xludf.DUMMYFUNCTION("""COMPUTED_VALUE"""),"Industrials")</f>
        <v>Industrials</v>
      </c>
      <c r="K620" s="6" t="str">
        <f>IFERROR(__xludf.DUMMYFUNCTION("""COMPUTED_VALUE"""),"Capital Goods")</f>
        <v>Capital Goods</v>
      </c>
      <c r="L620" s="6" t="str">
        <f>IFERROR(__xludf.DUMMYFUNCTION("""COMPUTED_VALUE"""),"Industrial Manufacturing")</f>
        <v>Industrial Manufacturing</v>
      </c>
      <c r="M620" s="6" t="str">
        <f>IFERROR(__xludf.DUMMYFUNCTION("""COMPUTED_VALUE"""),"Industrial Products")</f>
        <v>Industrial Products</v>
      </c>
      <c r="N620" s="5">
        <f>IFERROR(__xludf.DUMMYFUNCTION("""COMPUTED_VALUE"""),7141.08996)</f>
        <v>7141.08996</v>
      </c>
      <c r="O620" s="6">
        <f t="shared" si="4"/>
        <v>110</v>
      </c>
      <c r="P620" s="6">
        <f t="shared" ref="P620:Q620" si="1242">COUNTIFS(L:L,L620)</f>
        <v>21</v>
      </c>
      <c r="Q620" s="24">
        <f t="shared" si="1242"/>
        <v>17</v>
      </c>
      <c r="R620" s="6" t="str">
        <f t="shared" si="6"/>
        <v>Industrial Manufacturing</v>
      </c>
      <c r="S620" s="6" t="str">
        <f t="shared" si="7"/>
        <v>Industrial Manufacturing</v>
      </c>
      <c r="T620" s="6">
        <f>IFERROR(__xludf.DUMMYFUNCTION("COUNTA(UNIQUE(query($A$2:$P$800,""select L where K='""&amp; K620&amp;""'"")))"),5.0)</f>
        <v>5</v>
      </c>
      <c r="U620" s="23">
        <f t="shared" si="8"/>
        <v>0.06818181818</v>
      </c>
      <c r="V620" s="23">
        <f t="shared" ref="V620:W620" si="1243">P620/O620</f>
        <v>0.1909090909</v>
      </c>
      <c r="W620" s="23">
        <f t="shared" si="1243"/>
        <v>0.8095238095</v>
      </c>
    </row>
    <row r="621">
      <c r="A621" s="6">
        <f>IFERROR(__xludf.DUMMYFUNCTION("""COMPUTED_VALUE"""),522163.0)</f>
        <v>522163</v>
      </c>
      <c r="B621" s="6" t="str">
        <f>IFERROR(__xludf.DUMMYFUNCTION("""COMPUTED_VALUE"""),"Diamond Power Infrastructure Limited")</f>
        <v>Diamond Power Infrastructure Limited</v>
      </c>
      <c r="C621" s="6" t="str">
        <f>IFERROR(__xludf.DUMMYFUNCTION("""COMPUTED_VALUE"""),"DIACABS")</f>
        <v>DIACABS</v>
      </c>
      <c r="D621" s="6" t="str">
        <f>IFERROR(__xludf.DUMMYFUNCTION("""COMPUTED_VALUE"""),"Diamond Power Infrastructure Limited-$")</f>
        <v>Diamond Power Infrastructure Limited-$</v>
      </c>
      <c r="E621" s="6" t="str">
        <f>IFERROR(__xludf.DUMMYFUNCTION("""COMPUTED_VALUE"""),"Active")</f>
        <v>Active</v>
      </c>
      <c r="F621" s="6" t="str">
        <f>IFERROR(__xludf.DUMMYFUNCTION("""COMPUTED_VALUE"""),"T")</f>
        <v>T</v>
      </c>
      <c r="G621" s="6">
        <f>IFERROR(__xludf.DUMMYFUNCTION("""COMPUTED_VALUE"""),10.0)</f>
        <v>10</v>
      </c>
      <c r="H621" s="6" t="str">
        <f>IFERROR(__xludf.DUMMYFUNCTION("""COMPUTED_VALUE"""),"INE989C01020")</f>
        <v>INE989C01020</v>
      </c>
      <c r="I621" s="6" t="str">
        <f>IFERROR(__xludf.DUMMYFUNCTION("""COMPUTED_VALUE"""),"Equity")</f>
        <v>Equity</v>
      </c>
      <c r="J621" s="6" t="str">
        <f>IFERROR(__xludf.DUMMYFUNCTION("""COMPUTED_VALUE"""),"Industrials")</f>
        <v>Industrials</v>
      </c>
      <c r="K621" s="6" t="str">
        <f>IFERROR(__xludf.DUMMYFUNCTION("""COMPUTED_VALUE"""),"Capital Goods")</f>
        <v>Capital Goods</v>
      </c>
      <c r="L621" s="6" t="str">
        <f>IFERROR(__xludf.DUMMYFUNCTION("""COMPUTED_VALUE"""),"Electrical Equipment")</f>
        <v>Electrical Equipment</v>
      </c>
      <c r="M621" s="6" t="str">
        <f>IFERROR(__xludf.DUMMYFUNCTION("""COMPUTED_VALUE"""),"Other Electrical Equipment")</f>
        <v>Other Electrical Equipment</v>
      </c>
      <c r="N621" s="5">
        <f>IFERROR(__xludf.DUMMYFUNCTION("""COMPUTED_VALUE"""),7067.508712)</f>
        <v>7067.508712</v>
      </c>
      <c r="O621" s="6">
        <f t="shared" si="4"/>
        <v>110</v>
      </c>
      <c r="P621" s="6">
        <f t="shared" ref="P621:Q621" si="1244">COUNTIFS(L:L,L621)</f>
        <v>22</v>
      </c>
      <c r="Q621" s="24">
        <f t="shared" si="1244"/>
        <v>5</v>
      </c>
      <c r="R621" s="6" t="str">
        <f t="shared" si="6"/>
        <v>Electrical Equipment</v>
      </c>
      <c r="S621" s="6" t="str">
        <f t="shared" si="7"/>
        <v>Electrical Equipment</v>
      </c>
      <c r="T621" s="6">
        <f>IFERROR(__xludf.DUMMYFUNCTION("COUNTA(UNIQUE(query($A$2:$P$800,""select L where K='""&amp; K621&amp;""'"")))"),5.0)</f>
        <v>5</v>
      </c>
      <c r="U621" s="23">
        <f t="shared" si="8"/>
        <v>0.06818181818</v>
      </c>
      <c r="V621" s="23">
        <f t="shared" ref="V621:W621" si="1245">P621/O621</f>
        <v>0.2</v>
      </c>
      <c r="W621" s="23">
        <f t="shared" si="1245"/>
        <v>0.2272727273</v>
      </c>
    </row>
    <row r="622">
      <c r="A622" s="6">
        <f>IFERROR(__xludf.DUMMYFUNCTION("""COMPUTED_VALUE"""),543277.0)</f>
        <v>543277</v>
      </c>
      <c r="B622" s="6" t="str">
        <f>IFERROR(__xludf.DUMMYFUNCTION("""COMPUTED_VALUE"""),"Laxmi Organic Industries Limited")</f>
        <v>Laxmi Organic Industries Limited</v>
      </c>
      <c r="C622" s="6" t="str">
        <f>IFERROR(__xludf.DUMMYFUNCTION("""COMPUTED_VALUE"""),"LXCHEM")</f>
        <v>LXCHEM</v>
      </c>
      <c r="D622" s="6" t="str">
        <f>IFERROR(__xludf.DUMMYFUNCTION("""COMPUTED_VALUE"""),"Laxmi Organic Industries Ltd")</f>
        <v>Laxmi Organic Industries Ltd</v>
      </c>
      <c r="E622" s="6" t="str">
        <f>IFERROR(__xludf.DUMMYFUNCTION("""COMPUTED_VALUE"""),"Active")</f>
        <v>Active</v>
      </c>
      <c r="F622" s="6" t="str">
        <f>IFERROR(__xludf.DUMMYFUNCTION("""COMPUTED_VALUE"""),"A")</f>
        <v>A</v>
      </c>
      <c r="G622" s="6">
        <f>IFERROR(__xludf.DUMMYFUNCTION("""COMPUTED_VALUE"""),2.0)</f>
        <v>2</v>
      </c>
      <c r="H622" s="6" t="str">
        <f>IFERROR(__xludf.DUMMYFUNCTION("""COMPUTED_VALUE"""),"INE576O01020")</f>
        <v>INE576O01020</v>
      </c>
      <c r="I622" s="6" t="str">
        <f>IFERROR(__xludf.DUMMYFUNCTION("""COMPUTED_VALUE"""),"Equity")</f>
        <v>Equity</v>
      </c>
      <c r="J622" s="6" t="str">
        <f>IFERROR(__xludf.DUMMYFUNCTION("""COMPUTED_VALUE"""),"Commodities")</f>
        <v>Commodities</v>
      </c>
      <c r="K622" s="6" t="str">
        <f>IFERROR(__xludf.DUMMYFUNCTION("""COMPUTED_VALUE"""),"Chemicals")</f>
        <v>Chemicals</v>
      </c>
      <c r="L622" s="6" t="str">
        <f>IFERROR(__xludf.DUMMYFUNCTION("""COMPUTED_VALUE"""),"Chemicals &amp; Petrochemicals")</f>
        <v>Chemicals &amp; Petrochemicals</v>
      </c>
      <c r="M622" s="6" t="str">
        <f>IFERROR(__xludf.DUMMYFUNCTION("""COMPUTED_VALUE"""),"Specialty Chemicals")</f>
        <v>Specialty Chemicals</v>
      </c>
      <c r="N622" s="5">
        <f>IFERROR(__xludf.DUMMYFUNCTION("""COMPUTED_VALUE"""),7027.6646091)</f>
        <v>7027.664609</v>
      </c>
      <c r="O622" s="6">
        <f t="shared" si="4"/>
        <v>52</v>
      </c>
      <c r="P622" s="6">
        <f t="shared" ref="P622:Q622" si="1246">COUNTIFS(L:L,L622)</f>
        <v>37</v>
      </c>
      <c r="Q622" s="24">
        <f t="shared" si="1246"/>
        <v>25</v>
      </c>
      <c r="R622" s="6" t="str">
        <f t="shared" si="6"/>
        <v>Chemicals</v>
      </c>
      <c r="S622" s="6" t="str">
        <f t="shared" si="7"/>
        <v>Chemicals</v>
      </c>
      <c r="T622" s="6">
        <f>IFERROR(__xludf.DUMMYFUNCTION("COUNTA(UNIQUE(query($A$2:$P$800,""select L where K='""&amp; K622&amp;""'"")))"),2.0)</f>
        <v>2</v>
      </c>
      <c r="U622" s="23">
        <f t="shared" si="8"/>
        <v>0.05769230769</v>
      </c>
      <c r="V622" s="23">
        <f t="shared" ref="V622:W622" si="1247">P622/O622</f>
        <v>0.7115384615</v>
      </c>
      <c r="W622" s="23">
        <f t="shared" si="1247"/>
        <v>0.6756756757</v>
      </c>
    </row>
    <row r="623">
      <c r="A623" s="6">
        <f>IFERROR(__xludf.DUMMYFUNCTION("""COMPUTED_VALUE"""),531543.0)</f>
        <v>531543</v>
      </c>
      <c r="B623" s="6" t="str">
        <f>IFERROR(__xludf.DUMMYFUNCTION("""COMPUTED_VALUE"""),"Jindal Worldwide Ltd.")</f>
        <v>Jindal Worldwide Ltd.</v>
      </c>
      <c r="C623" s="6" t="str">
        <f>IFERROR(__xludf.DUMMYFUNCTION("""COMPUTED_VALUE"""),"JINDWORLD")</f>
        <v>JINDWORLD</v>
      </c>
      <c r="D623" s="6" t="str">
        <f>IFERROR(__xludf.DUMMYFUNCTION("""COMPUTED_VALUE"""),"JINDAL WORLDWIDE LTD.")</f>
        <v>JINDAL WORLDWIDE LTD.</v>
      </c>
      <c r="E623" s="6" t="str">
        <f>IFERROR(__xludf.DUMMYFUNCTION("""COMPUTED_VALUE"""),"Active")</f>
        <v>Active</v>
      </c>
      <c r="F623" s="6" t="str">
        <f>IFERROR(__xludf.DUMMYFUNCTION("""COMPUTED_VALUE"""),"A")</f>
        <v>A</v>
      </c>
      <c r="G623" s="6">
        <f>IFERROR(__xludf.DUMMYFUNCTION("""COMPUTED_VALUE"""),1.0)</f>
        <v>1</v>
      </c>
      <c r="H623" s="6" t="str">
        <f>IFERROR(__xludf.DUMMYFUNCTION("""COMPUTED_VALUE"""),"INE247D01039")</f>
        <v>INE247D01039</v>
      </c>
      <c r="I623" s="6" t="str">
        <f>IFERROR(__xludf.DUMMYFUNCTION("""COMPUTED_VALUE"""),"Equity")</f>
        <v>Equity</v>
      </c>
      <c r="J623" s="6" t="str">
        <f>IFERROR(__xludf.DUMMYFUNCTION("""COMPUTED_VALUE"""),"Consumer Discretionary")</f>
        <v>Consumer Discretionary</v>
      </c>
      <c r="K623" s="6" t="str">
        <f>IFERROR(__xludf.DUMMYFUNCTION("""COMPUTED_VALUE"""),"Textiles")</f>
        <v>Textiles</v>
      </c>
      <c r="L623" s="6" t="str">
        <f>IFERROR(__xludf.DUMMYFUNCTION("""COMPUTED_VALUE"""),"Textiles &amp; Apparels")</f>
        <v>Textiles &amp; Apparels</v>
      </c>
      <c r="M623" s="6" t="str">
        <f>IFERROR(__xludf.DUMMYFUNCTION("""COMPUTED_VALUE"""),"Other Textile Products")</f>
        <v>Other Textile Products</v>
      </c>
      <c r="N623" s="5">
        <f>IFERROR(__xludf.DUMMYFUNCTION("""COMPUTED_VALUE"""),6996.4384484)</f>
        <v>6996.438448</v>
      </c>
      <c r="O623" s="6">
        <f t="shared" si="4"/>
        <v>13</v>
      </c>
      <c r="P623" s="6">
        <f t="shared" ref="P623:Q623" si="1248">COUNTIFS(L:L,L623)</f>
        <v>13</v>
      </c>
      <c r="Q623" s="24">
        <f t="shared" si="1248"/>
        <v>8</v>
      </c>
      <c r="R623" s="6" t="str">
        <f t="shared" si="6"/>
        <v>Textiles</v>
      </c>
      <c r="S623" s="6" t="str">
        <f t="shared" si="7"/>
        <v>Textiles</v>
      </c>
      <c r="T623" s="6">
        <f>IFERROR(__xludf.DUMMYFUNCTION("COUNTA(UNIQUE(query($A$2:$P$800,""select L where K='""&amp; K623&amp;""'"")))"),1.0)</f>
        <v>1</v>
      </c>
      <c r="U623" s="23">
        <f t="shared" si="8"/>
        <v>0.1153846154</v>
      </c>
      <c r="V623" s="23">
        <f t="shared" ref="V623:W623" si="1249">P623/O623</f>
        <v>1</v>
      </c>
      <c r="W623" s="23">
        <f t="shared" si="1249"/>
        <v>0.6153846154</v>
      </c>
    </row>
    <row r="624">
      <c r="A624" s="6">
        <f>IFERROR(__xludf.DUMMYFUNCTION("""COMPUTED_VALUE"""),544009.0)</f>
        <v>544009</v>
      </c>
      <c r="B624" s="6" t="str">
        <f>IFERROR(__xludf.DUMMYFUNCTION("""COMPUTED_VALUE"""),"Blue Jet Healthcare Limited")</f>
        <v>Blue Jet Healthcare Limited</v>
      </c>
      <c r="C624" s="6" t="str">
        <f>IFERROR(__xludf.DUMMYFUNCTION("""COMPUTED_VALUE"""),"BLUEJET")</f>
        <v>BLUEJET</v>
      </c>
      <c r="D624" s="6" t="str">
        <f>IFERROR(__xludf.DUMMYFUNCTION("""COMPUTED_VALUE"""),"Blue Jet Healthcare Ltd")</f>
        <v>Blue Jet Healthcare Ltd</v>
      </c>
      <c r="E624" s="6" t="str">
        <f>IFERROR(__xludf.DUMMYFUNCTION("""COMPUTED_VALUE"""),"Active")</f>
        <v>Active</v>
      </c>
      <c r="F624" s="6" t="str">
        <f>IFERROR(__xludf.DUMMYFUNCTION("""COMPUTED_VALUE"""),"B")</f>
        <v>B</v>
      </c>
      <c r="G624" s="6">
        <f>IFERROR(__xludf.DUMMYFUNCTION("""COMPUTED_VALUE"""),2.0)</f>
        <v>2</v>
      </c>
      <c r="H624" s="6" t="str">
        <f>IFERROR(__xludf.DUMMYFUNCTION("""COMPUTED_VALUE"""),"INE0KBH01020")</f>
        <v>INE0KBH01020</v>
      </c>
      <c r="I624" s="6" t="str">
        <f>IFERROR(__xludf.DUMMYFUNCTION("""COMPUTED_VALUE"""),"Equity")</f>
        <v>Equity</v>
      </c>
      <c r="J624" s="6" t="str">
        <f>IFERROR(__xludf.DUMMYFUNCTION("""COMPUTED_VALUE"""),"Healthcare")</f>
        <v>Healthcare</v>
      </c>
      <c r="K624" s="6" t="str">
        <f>IFERROR(__xludf.DUMMYFUNCTION("""COMPUTED_VALUE"""),"Healthcare")</f>
        <v>Healthcare</v>
      </c>
      <c r="L624" s="6" t="str">
        <f>IFERROR(__xludf.DUMMYFUNCTION("""COMPUTED_VALUE"""),"Pharmaceuticals &amp; Biotechnology")</f>
        <v>Pharmaceuticals &amp; Biotechnology</v>
      </c>
      <c r="M624" s="6" t="str">
        <f>IFERROR(__xludf.DUMMYFUNCTION("""COMPUTED_VALUE"""),"Pharmaceuticals")</f>
        <v>Pharmaceuticals</v>
      </c>
      <c r="N624" s="5">
        <f>IFERROR(__xludf.DUMMYFUNCTION("""COMPUTED_VALUE"""),6982.8393375)</f>
        <v>6982.839338</v>
      </c>
      <c r="O624" s="6">
        <f t="shared" si="4"/>
        <v>62</v>
      </c>
      <c r="P624" s="6">
        <f t="shared" ref="P624:Q624" si="1250">COUNTIFS(L:L,L624)</f>
        <v>45</v>
      </c>
      <c r="Q624" s="24">
        <f t="shared" si="1250"/>
        <v>45</v>
      </c>
      <c r="R624" s="6" t="str">
        <f t="shared" si="6"/>
        <v>Healthcare</v>
      </c>
      <c r="S624" s="6" t="str">
        <f t="shared" si="7"/>
        <v>Healthcare</v>
      </c>
      <c r="T624" s="6">
        <f>IFERROR(__xludf.DUMMYFUNCTION("COUNTA(UNIQUE(query($A$2:$P$800,""select L where K='""&amp; K624&amp;""'"")))"),3.0)</f>
        <v>3</v>
      </c>
      <c r="U624" s="23">
        <f t="shared" si="8"/>
        <v>0.07258064516</v>
      </c>
      <c r="V624" s="23">
        <f t="shared" ref="V624:W624" si="1251">P624/O624</f>
        <v>0.7258064516</v>
      </c>
      <c r="W624" s="23">
        <f t="shared" si="1251"/>
        <v>1</v>
      </c>
    </row>
    <row r="625">
      <c r="A625" s="6">
        <f>IFERROR(__xludf.DUMMYFUNCTION("""COMPUTED_VALUE"""),532218.0)</f>
        <v>532218</v>
      </c>
      <c r="B625" s="6" t="str">
        <f>IFERROR(__xludf.DUMMYFUNCTION("""COMPUTED_VALUE"""),"South Indian Bank Ltd.")</f>
        <v>South Indian Bank Ltd.</v>
      </c>
      <c r="C625" s="6" t="str">
        <f>IFERROR(__xludf.DUMMYFUNCTION("""COMPUTED_VALUE"""),"SOUTHBANK")</f>
        <v>SOUTHBANK</v>
      </c>
      <c r="D625" s="6" t="str">
        <f>IFERROR(__xludf.DUMMYFUNCTION("""COMPUTED_VALUE"""),"SOUTH INDIAN BANK LTD.")</f>
        <v>SOUTH INDIAN BANK LTD.</v>
      </c>
      <c r="E625" s="6" t="str">
        <f>IFERROR(__xludf.DUMMYFUNCTION("""COMPUTED_VALUE"""),"Active")</f>
        <v>Active</v>
      </c>
      <c r="F625" s="6" t="str">
        <f>IFERROR(__xludf.DUMMYFUNCTION("""COMPUTED_VALUE"""),"A")</f>
        <v>A</v>
      </c>
      <c r="G625" s="6">
        <f>IFERROR(__xludf.DUMMYFUNCTION("""COMPUTED_VALUE"""),1.0)</f>
        <v>1</v>
      </c>
      <c r="H625" s="6" t="str">
        <f>IFERROR(__xludf.DUMMYFUNCTION("""COMPUTED_VALUE"""),"INE683A01023")</f>
        <v>INE683A01023</v>
      </c>
      <c r="I625" s="6" t="str">
        <f>IFERROR(__xludf.DUMMYFUNCTION("""COMPUTED_VALUE"""),"Equity")</f>
        <v>Equity</v>
      </c>
      <c r="J625" s="6" t="str">
        <f>IFERROR(__xludf.DUMMYFUNCTION("""COMPUTED_VALUE"""),"Financial Services")</f>
        <v>Financial Services</v>
      </c>
      <c r="K625" s="6" t="str">
        <f>IFERROR(__xludf.DUMMYFUNCTION("""COMPUTED_VALUE"""),"Financial Services")</f>
        <v>Financial Services</v>
      </c>
      <c r="L625" s="6" t="str">
        <f>IFERROR(__xludf.DUMMYFUNCTION("""COMPUTED_VALUE"""),"Banks")</f>
        <v>Banks</v>
      </c>
      <c r="M625" s="6" t="str">
        <f>IFERROR(__xludf.DUMMYFUNCTION("""COMPUTED_VALUE"""),"Private Sector Bank")</f>
        <v>Private Sector Bank</v>
      </c>
      <c r="N625" s="5">
        <f>IFERROR(__xludf.DUMMYFUNCTION("""COMPUTED_VALUE"""),6980.2070715)</f>
        <v>6980.207072</v>
      </c>
      <c r="O625" s="6">
        <f t="shared" si="4"/>
        <v>123</v>
      </c>
      <c r="P625" s="6">
        <f t="shared" ref="P625:Q625" si="1252">COUNTIFS(L:L,L625)</f>
        <v>35</v>
      </c>
      <c r="Q625" s="24">
        <f t="shared" si="1252"/>
        <v>23</v>
      </c>
      <c r="R625" s="6" t="str">
        <f t="shared" si="6"/>
        <v>Banks</v>
      </c>
      <c r="S625" s="6" t="str">
        <f t="shared" si="7"/>
        <v>Banks</v>
      </c>
      <c r="T625" s="6">
        <f>IFERROR(__xludf.DUMMYFUNCTION("COUNTA(UNIQUE(query($A$2:$P$800,""select L where K='""&amp; K625&amp;""'"")))"),5.0)</f>
        <v>5</v>
      </c>
      <c r="U625" s="23">
        <f t="shared" si="8"/>
        <v>0.06097560976</v>
      </c>
      <c r="V625" s="23">
        <f t="shared" ref="V625:W625" si="1253">P625/O625</f>
        <v>0.2845528455</v>
      </c>
      <c r="W625" s="23">
        <f t="shared" si="1253"/>
        <v>0.6571428571</v>
      </c>
    </row>
    <row r="626">
      <c r="A626" s="6">
        <f>IFERROR(__xludf.DUMMYFUNCTION("""COMPUTED_VALUE"""),542484.0)</f>
        <v>542484</v>
      </c>
      <c r="B626" s="6" t="str">
        <f>IFERROR(__xludf.DUMMYFUNCTION("""COMPUTED_VALUE"""),"Arvind Fashions Limited")</f>
        <v>Arvind Fashions Limited</v>
      </c>
      <c r="C626" s="6" t="str">
        <f>IFERROR(__xludf.DUMMYFUNCTION("""COMPUTED_VALUE"""),"ARVINDFASN")</f>
        <v>ARVINDFASN</v>
      </c>
      <c r="D626" s="6" t="str">
        <f>IFERROR(__xludf.DUMMYFUNCTION("""COMPUTED_VALUE"""),"Arvind Fashions Ltd")</f>
        <v>Arvind Fashions Ltd</v>
      </c>
      <c r="E626" s="6" t="str">
        <f>IFERROR(__xludf.DUMMYFUNCTION("""COMPUTED_VALUE"""),"Active")</f>
        <v>Active</v>
      </c>
      <c r="F626" s="6" t="str">
        <f>IFERROR(__xludf.DUMMYFUNCTION("""COMPUTED_VALUE"""),"A")</f>
        <v>A</v>
      </c>
      <c r="G626" s="6">
        <f>IFERROR(__xludf.DUMMYFUNCTION("""COMPUTED_VALUE"""),4.0)</f>
        <v>4</v>
      </c>
      <c r="H626" s="6" t="str">
        <f>IFERROR(__xludf.DUMMYFUNCTION("""COMPUTED_VALUE"""),"INE955V01021")</f>
        <v>INE955V01021</v>
      </c>
      <c r="I626" s="6" t="str">
        <f>IFERROR(__xludf.DUMMYFUNCTION("""COMPUTED_VALUE"""),"Equity")</f>
        <v>Equity</v>
      </c>
      <c r="J626" s="6" t="str">
        <f>IFERROR(__xludf.DUMMYFUNCTION("""COMPUTED_VALUE"""),"Consumer Discretionary")</f>
        <v>Consumer Discretionary</v>
      </c>
      <c r="K626" s="6" t="str">
        <f>IFERROR(__xludf.DUMMYFUNCTION("""COMPUTED_VALUE"""),"Consumer Services")</f>
        <v>Consumer Services</v>
      </c>
      <c r="L626" s="6" t="str">
        <f>IFERROR(__xludf.DUMMYFUNCTION("""COMPUTED_VALUE"""),"Retailing")</f>
        <v>Retailing</v>
      </c>
      <c r="M626" s="6" t="str">
        <f>IFERROR(__xludf.DUMMYFUNCTION("""COMPUTED_VALUE"""),"Speciality Retail")</f>
        <v>Speciality Retail</v>
      </c>
      <c r="N626" s="5">
        <f>IFERROR(__xludf.DUMMYFUNCTION("""COMPUTED_VALUE"""),6965.9676739)</f>
        <v>6965.967674</v>
      </c>
      <c r="O626" s="6">
        <f t="shared" si="4"/>
        <v>37</v>
      </c>
      <c r="P626" s="6">
        <f t="shared" ref="P626:Q626" si="1254">COUNTIFS(L:L,L626)</f>
        <v>18</v>
      </c>
      <c r="Q626" s="24">
        <f t="shared" si="1254"/>
        <v>6</v>
      </c>
      <c r="R626" s="6" t="str">
        <f t="shared" si="6"/>
        <v>Retailing</v>
      </c>
      <c r="S626" s="6" t="str">
        <f t="shared" si="7"/>
        <v>Retailing</v>
      </c>
      <c r="T626" s="6">
        <f>IFERROR(__xludf.DUMMYFUNCTION("COUNTA(UNIQUE(query($A$2:$P$800,""select L where K='""&amp; K626&amp;""'"")))"),3.0)</f>
        <v>3</v>
      </c>
      <c r="U626" s="23">
        <f t="shared" si="8"/>
        <v>0.1216216216</v>
      </c>
      <c r="V626" s="23">
        <f t="shared" ref="V626:W626" si="1255">P626/O626</f>
        <v>0.4864864865</v>
      </c>
      <c r="W626" s="23">
        <f t="shared" si="1255"/>
        <v>0.3333333333</v>
      </c>
    </row>
    <row r="627">
      <c r="A627" s="6">
        <f>IFERROR(__xludf.DUMMYFUNCTION("""COMPUTED_VALUE"""),543533.0)</f>
        <v>543533</v>
      </c>
      <c r="B627" s="6" t="str">
        <f>IFERROR(__xludf.DUMMYFUNCTION("""COMPUTED_VALUE"""),"eMudhra Limited")</f>
        <v>eMudhra Limited</v>
      </c>
      <c r="C627" s="6" t="str">
        <f>IFERROR(__xludf.DUMMYFUNCTION("""COMPUTED_VALUE"""),"EMUDHRA")</f>
        <v>EMUDHRA</v>
      </c>
      <c r="D627" s="6" t="str">
        <f>IFERROR(__xludf.DUMMYFUNCTION("""COMPUTED_VALUE"""),"eMudhra Ltd")</f>
        <v>eMudhra Ltd</v>
      </c>
      <c r="E627" s="6" t="str">
        <f>IFERROR(__xludf.DUMMYFUNCTION("""COMPUTED_VALUE"""),"Active")</f>
        <v>Active</v>
      </c>
      <c r="F627" s="6" t="str">
        <f>IFERROR(__xludf.DUMMYFUNCTION("""COMPUTED_VALUE"""),"B")</f>
        <v>B</v>
      </c>
      <c r="G627" s="6">
        <f>IFERROR(__xludf.DUMMYFUNCTION("""COMPUTED_VALUE"""),5.0)</f>
        <v>5</v>
      </c>
      <c r="H627" s="6" t="str">
        <f>IFERROR(__xludf.DUMMYFUNCTION("""COMPUTED_VALUE"""),"INE01QM01018")</f>
        <v>INE01QM01018</v>
      </c>
      <c r="I627" s="6" t="str">
        <f>IFERROR(__xludf.DUMMYFUNCTION("""COMPUTED_VALUE"""),"Equity")</f>
        <v>Equity</v>
      </c>
      <c r="J627" s="6" t="str">
        <f>IFERROR(__xludf.DUMMYFUNCTION("""COMPUTED_VALUE"""),"Information Technology")</f>
        <v>Information Technology</v>
      </c>
      <c r="K627" s="6" t="str">
        <f>IFERROR(__xludf.DUMMYFUNCTION("""COMPUTED_VALUE"""),"Information Technology")</f>
        <v>Information Technology</v>
      </c>
      <c r="L627" s="6" t="str">
        <f>IFERROR(__xludf.DUMMYFUNCTION("""COMPUTED_VALUE"""),"IT - Services")</f>
        <v>IT - Services</v>
      </c>
      <c r="M627" s="6" t="str">
        <f>IFERROR(__xludf.DUMMYFUNCTION("""COMPUTED_VALUE"""),"IT Enabled Services")</f>
        <v>IT Enabled Services</v>
      </c>
      <c r="N627" s="5">
        <f>IFERROR(__xludf.DUMMYFUNCTION("""COMPUTED_VALUE"""),6962.4652478)</f>
        <v>6962.465248</v>
      </c>
      <c r="O627" s="6">
        <f t="shared" si="4"/>
        <v>36</v>
      </c>
      <c r="P627" s="6">
        <f t="shared" ref="P627:Q627" si="1256">COUNTIFS(L:L,L627)</f>
        <v>8</v>
      </c>
      <c r="Q627" s="24">
        <f t="shared" si="1256"/>
        <v>8</v>
      </c>
      <c r="R627" s="6" t="str">
        <f t="shared" si="6"/>
        <v>Information Technology</v>
      </c>
      <c r="S627" s="6" t="str">
        <f t="shared" si="7"/>
        <v>Information Technology</v>
      </c>
      <c r="T627" s="6">
        <f>IFERROR(__xludf.DUMMYFUNCTION("COUNTA(UNIQUE(query($A$2:$P$800,""select L where K='""&amp; K627&amp;""'"")))"),3.0)</f>
        <v>3</v>
      </c>
      <c r="U627" s="23">
        <f t="shared" si="8"/>
        <v>0.125</v>
      </c>
      <c r="V627" s="23">
        <f t="shared" ref="V627:W627" si="1257">P627/O627</f>
        <v>0.2222222222</v>
      </c>
      <c r="W627" s="23">
        <f t="shared" si="1257"/>
        <v>1</v>
      </c>
    </row>
    <row r="628">
      <c r="A628" s="6">
        <f>IFERROR(__xludf.DUMMYFUNCTION("""COMPUTED_VALUE"""),543532.0)</f>
        <v>543532</v>
      </c>
      <c r="B628" s="6" t="str">
        <f>IFERROR(__xludf.DUMMYFUNCTION("""COMPUTED_VALUE"""),"ETHOS LIMITED")</f>
        <v>ETHOS LIMITED</v>
      </c>
      <c r="C628" s="6" t="str">
        <f>IFERROR(__xludf.DUMMYFUNCTION("""COMPUTED_VALUE"""),"ETHOSLTD")</f>
        <v>ETHOSLTD</v>
      </c>
      <c r="D628" s="6" t="str">
        <f>IFERROR(__xludf.DUMMYFUNCTION("""COMPUTED_VALUE"""),"Ethos Ltd")</f>
        <v>Ethos Ltd</v>
      </c>
      <c r="E628" s="6" t="str">
        <f>IFERROR(__xludf.DUMMYFUNCTION("""COMPUTED_VALUE"""),"Active")</f>
        <v>Active</v>
      </c>
      <c r="F628" s="6" t="str">
        <f>IFERROR(__xludf.DUMMYFUNCTION("""COMPUTED_VALUE"""),"B")</f>
        <v>B</v>
      </c>
      <c r="G628" s="6">
        <f>IFERROR(__xludf.DUMMYFUNCTION("""COMPUTED_VALUE"""),10.0)</f>
        <v>10</v>
      </c>
      <c r="H628" s="6" t="str">
        <f>IFERROR(__xludf.DUMMYFUNCTION("""COMPUTED_VALUE"""),"INE04TZ01018")</f>
        <v>INE04TZ01018</v>
      </c>
      <c r="I628" s="6" t="str">
        <f>IFERROR(__xludf.DUMMYFUNCTION("""COMPUTED_VALUE"""),"Equity")</f>
        <v>Equity</v>
      </c>
      <c r="J628" s="6" t="str">
        <f>IFERROR(__xludf.DUMMYFUNCTION("""COMPUTED_VALUE"""),"Consumer Discretionary")</f>
        <v>Consumer Discretionary</v>
      </c>
      <c r="K628" s="6" t="str">
        <f>IFERROR(__xludf.DUMMYFUNCTION("""COMPUTED_VALUE"""),"Consumer Durables")</f>
        <v>Consumer Durables</v>
      </c>
      <c r="L628" s="6" t="str">
        <f>IFERROR(__xludf.DUMMYFUNCTION("""COMPUTED_VALUE"""),"Consumer Durables")</f>
        <v>Consumer Durables</v>
      </c>
      <c r="M628" s="6" t="str">
        <f>IFERROR(__xludf.DUMMYFUNCTION("""COMPUTED_VALUE"""),"Gems, Jewellery And Watches")</f>
        <v>Gems, Jewellery And Watches</v>
      </c>
      <c r="N628" s="5">
        <f>IFERROR(__xludf.DUMMYFUNCTION("""COMPUTED_VALUE"""),6953.7405103)</f>
        <v>6953.74051</v>
      </c>
      <c r="O628" s="6">
        <f t="shared" si="4"/>
        <v>42</v>
      </c>
      <c r="P628" s="6">
        <f t="shared" ref="P628:Q628" si="1258">COUNTIFS(L:L,L628)</f>
        <v>42</v>
      </c>
      <c r="Q628" s="24">
        <f t="shared" si="1258"/>
        <v>7</v>
      </c>
      <c r="R628" s="6" t="str">
        <f t="shared" si="6"/>
        <v>Consumer Durables</v>
      </c>
      <c r="S628" s="6" t="str">
        <f t="shared" si="7"/>
        <v>Consumer Durables</v>
      </c>
      <c r="T628" s="6">
        <f>IFERROR(__xludf.DUMMYFUNCTION("COUNTA(UNIQUE(query($A$2:$P$800,""select L where K='""&amp; K628&amp;""'"")))"),1.0)</f>
        <v>1</v>
      </c>
      <c r="U628" s="23">
        <f t="shared" si="8"/>
        <v>0.03571428571</v>
      </c>
      <c r="V628" s="23">
        <f t="shared" ref="V628:W628" si="1259">P628/O628</f>
        <v>1</v>
      </c>
      <c r="W628" s="23">
        <f t="shared" si="1259"/>
        <v>0.1666666667</v>
      </c>
    </row>
    <row r="629">
      <c r="A629" s="6">
        <f>IFERROR(__xludf.DUMMYFUNCTION("""COMPUTED_VALUE"""),543280.0)</f>
        <v>543280</v>
      </c>
      <c r="B629" s="6" t="str">
        <f>IFERROR(__xludf.DUMMYFUNCTION("""COMPUTED_VALUE"""),"Nazara Technologies Limited")</f>
        <v>Nazara Technologies Limited</v>
      </c>
      <c r="C629" s="6" t="str">
        <f>IFERROR(__xludf.DUMMYFUNCTION("""COMPUTED_VALUE"""),"NAZARA")</f>
        <v>NAZARA</v>
      </c>
      <c r="D629" s="6" t="str">
        <f>IFERROR(__xludf.DUMMYFUNCTION("""COMPUTED_VALUE"""),"Nazara Technologies Ltd")</f>
        <v>Nazara Technologies Ltd</v>
      </c>
      <c r="E629" s="6" t="str">
        <f>IFERROR(__xludf.DUMMYFUNCTION("""COMPUTED_VALUE"""),"Active")</f>
        <v>Active</v>
      </c>
      <c r="F629" s="6" t="str">
        <f>IFERROR(__xludf.DUMMYFUNCTION("""COMPUTED_VALUE"""),"A")</f>
        <v>A</v>
      </c>
      <c r="G629" s="6">
        <f>IFERROR(__xludf.DUMMYFUNCTION("""COMPUTED_VALUE"""),4.0)</f>
        <v>4</v>
      </c>
      <c r="H629" s="6" t="str">
        <f>IFERROR(__xludf.DUMMYFUNCTION("""COMPUTED_VALUE"""),"INE418L01021")</f>
        <v>INE418L01021</v>
      </c>
      <c r="I629" s="6" t="str">
        <f>IFERROR(__xludf.DUMMYFUNCTION("""COMPUTED_VALUE"""),"Equity")</f>
        <v>Equity</v>
      </c>
      <c r="J629" s="6" t="str">
        <f>IFERROR(__xludf.DUMMYFUNCTION("""COMPUTED_VALUE"""),"Consumer Discretionary")</f>
        <v>Consumer Discretionary</v>
      </c>
      <c r="K629" s="6" t="str">
        <f>IFERROR(__xludf.DUMMYFUNCTION("""COMPUTED_VALUE"""),"Media, Entertainment &amp; Publication")</f>
        <v>Media, Entertainment &amp; Publication</v>
      </c>
      <c r="L629" s="6" t="str">
        <f>IFERROR(__xludf.DUMMYFUNCTION("""COMPUTED_VALUE"""),"Entertainment")</f>
        <v>Entertainment</v>
      </c>
      <c r="M629" s="6" t="str">
        <f>IFERROR(__xludf.DUMMYFUNCTION("""COMPUTED_VALUE"""),"Digital Entertainment")</f>
        <v>Digital Entertainment</v>
      </c>
      <c r="N629" s="5">
        <f>IFERROR(__xludf.DUMMYFUNCTION("""COMPUTED_VALUE"""),6933.0388209)</f>
        <v>6933.038821</v>
      </c>
      <c r="O629" s="6">
        <f t="shared" si="4"/>
        <v>9</v>
      </c>
      <c r="P629" s="6">
        <f t="shared" ref="P629:Q629" si="1260">COUNTIFS(L:L,L629)</f>
        <v>8</v>
      </c>
      <c r="Q629" s="24">
        <f t="shared" si="1260"/>
        <v>1</v>
      </c>
      <c r="R629" s="6" t="str">
        <f t="shared" si="6"/>
        <v>Media, Entertainment &amp; Publication</v>
      </c>
      <c r="S629" s="6" t="str">
        <f t="shared" si="7"/>
        <v>Media, Entertainment &amp; Publication</v>
      </c>
      <c r="T629" s="6">
        <f>IFERROR(__xludf.DUMMYFUNCTION("COUNTA(UNIQUE(query($A$2:$P$800,""select L where K='""&amp; K629&amp;""'"")))"),2.0)</f>
        <v>2</v>
      </c>
      <c r="U629" s="23">
        <f t="shared" si="8"/>
        <v>0.3333333333</v>
      </c>
      <c r="V629" s="23">
        <f t="shared" ref="V629:W629" si="1261">P629/O629</f>
        <v>0.8888888889</v>
      </c>
      <c r="W629" s="23">
        <f t="shared" si="1261"/>
        <v>0.125</v>
      </c>
    </row>
    <row r="630">
      <c r="A630" s="6">
        <f>IFERROR(__xludf.DUMMYFUNCTION("""COMPUTED_VALUE"""),500135.0)</f>
        <v>500135</v>
      </c>
      <c r="B630" s="6" t="str">
        <f>IFERROR(__xludf.DUMMYFUNCTION("""COMPUTED_VALUE"""),"EPL LIMITED")</f>
        <v>EPL LIMITED</v>
      </c>
      <c r="C630" s="6" t="str">
        <f>IFERROR(__xludf.DUMMYFUNCTION("""COMPUTED_VALUE"""),"EPL")</f>
        <v>EPL</v>
      </c>
      <c r="D630" s="6" t="str">
        <f>IFERROR(__xludf.DUMMYFUNCTION("""COMPUTED_VALUE"""),"EPL Ltd")</f>
        <v>EPL Ltd</v>
      </c>
      <c r="E630" s="6" t="str">
        <f>IFERROR(__xludf.DUMMYFUNCTION("""COMPUTED_VALUE"""),"Active")</f>
        <v>Active</v>
      </c>
      <c r="F630" s="6" t="str">
        <f>IFERROR(__xludf.DUMMYFUNCTION("""COMPUTED_VALUE"""),"A")</f>
        <v>A</v>
      </c>
      <c r="G630" s="6">
        <f>IFERROR(__xludf.DUMMYFUNCTION("""COMPUTED_VALUE"""),2.0)</f>
        <v>2</v>
      </c>
      <c r="H630" s="6" t="str">
        <f>IFERROR(__xludf.DUMMYFUNCTION("""COMPUTED_VALUE"""),"INE255A01020")</f>
        <v>INE255A01020</v>
      </c>
      <c r="I630" s="6" t="str">
        <f>IFERROR(__xludf.DUMMYFUNCTION("""COMPUTED_VALUE"""),"Equity")</f>
        <v>Equity</v>
      </c>
      <c r="J630" s="6" t="str">
        <f>IFERROR(__xludf.DUMMYFUNCTION("""COMPUTED_VALUE"""),"Industrials")</f>
        <v>Industrials</v>
      </c>
      <c r="K630" s="6" t="str">
        <f>IFERROR(__xludf.DUMMYFUNCTION("""COMPUTED_VALUE"""),"Capital Goods")</f>
        <v>Capital Goods</v>
      </c>
      <c r="L630" s="6" t="str">
        <f>IFERROR(__xludf.DUMMYFUNCTION("""COMPUTED_VALUE"""),"Industrial Products")</f>
        <v>Industrial Products</v>
      </c>
      <c r="M630" s="6" t="str">
        <f>IFERROR(__xludf.DUMMYFUNCTION("""COMPUTED_VALUE"""),"Packaging")</f>
        <v>Packaging</v>
      </c>
      <c r="N630" s="5">
        <f>IFERROR(__xludf.DUMMYFUNCTION("""COMPUTED_VALUE"""),6925.7406772)</f>
        <v>6925.740677</v>
      </c>
      <c r="O630" s="6">
        <f t="shared" si="4"/>
        <v>110</v>
      </c>
      <c r="P630" s="6">
        <f t="shared" ref="P630:Q630" si="1262">COUNTIFS(L:L,L630)</f>
        <v>51</v>
      </c>
      <c r="Q630" s="24">
        <f t="shared" si="1262"/>
        <v>2</v>
      </c>
      <c r="R630" s="6" t="str">
        <f t="shared" si="6"/>
        <v>Industrial Products</v>
      </c>
      <c r="S630" s="6" t="str">
        <f t="shared" si="7"/>
        <v>Industrial Products</v>
      </c>
      <c r="T630" s="6">
        <f>IFERROR(__xludf.DUMMYFUNCTION("COUNTA(UNIQUE(query($A$2:$P$800,""select L where K='""&amp; K630&amp;""'"")))"),5.0)</f>
        <v>5</v>
      </c>
      <c r="U630" s="23">
        <f t="shared" si="8"/>
        <v>0.06818181818</v>
      </c>
      <c r="V630" s="23">
        <f t="shared" ref="V630:W630" si="1263">P630/O630</f>
        <v>0.4636363636</v>
      </c>
      <c r="W630" s="23">
        <f t="shared" si="1263"/>
        <v>0.03921568627</v>
      </c>
    </row>
    <row r="631">
      <c r="A631" s="6">
        <f>IFERROR(__xludf.DUMMYFUNCTION("""COMPUTED_VALUE"""),505714.0)</f>
        <v>505714</v>
      </c>
      <c r="B631" s="6" t="str">
        <f>IFERROR(__xludf.DUMMYFUNCTION("""COMPUTED_VALUE"""),"Gabriel India Ltd.")</f>
        <v>Gabriel India Ltd.</v>
      </c>
      <c r="C631" s="6" t="str">
        <f>IFERROR(__xludf.DUMMYFUNCTION("""COMPUTED_VALUE"""),"GABRIEL")</f>
        <v>GABRIEL</v>
      </c>
      <c r="D631" s="6" t="str">
        <f>IFERROR(__xludf.DUMMYFUNCTION("""COMPUTED_VALUE"""),"GABRIEL INDIA LTD.-$")</f>
        <v>GABRIEL INDIA LTD.-$</v>
      </c>
      <c r="E631" s="6" t="str">
        <f>IFERROR(__xludf.DUMMYFUNCTION("""COMPUTED_VALUE"""),"Active")</f>
        <v>Active</v>
      </c>
      <c r="F631" s="6" t="str">
        <f>IFERROR(__xludf.DUMMYFUNCTION("""COMPUTED_VALUE"""),"A")</f>
        <v>A</v>
      </c>
      <c r="G631" s="6">
        <f>IFERROR(__xludf.DUMMYFUNCTION("""COMPUTED_VALUE"""),1.0)</f>
        <v>1</v>
      </c>
      <c r="H631" s="6" t="str">
        <f>IFERROR(__xludf.DUMMYFUNCTION("""COMPUTED_VALUE"""),"INE524A01029")</f>
        <v>INE524A01029</v>
      </c>
      <c r="I631" s="6" t="str">
        <f>IFERROR(__xludf.DUMMYFUNCTION("""COMPUTED_VALUE"""),"Equity")</f>
        <v>Equity</v>
      </c>
      <c r="J631" s="6" t="str">
        <f>IFERROR(__xludf.DUMMYFUNCTION("""COMPUTED_VALUE"""),"Consumer Discretionary")</f>
        <v>Consumer Discretionary</v>
      </c>
      <c r="K631" s="6" t="str">
        <f>IFERROR(__xludf.DUMMYFUNCTION("""COMPUTED_VALUE"""),"Automobile and Auto Components")</f>
        <v>Automobile and Auto Components</v>
      </c>
      <c r="L631" s="6" t="str">
        <f>IFERROR(__xludf.DUMMYFUNCTION("""COMPUTED_VALUE"""),"Auto Components")</f>
        <v>Auto Components</v>
      </c>
      <c r="M631" s="6" t="str">
        <f>IFERROR(__xludf.DUMMYFUNCTION("""COMPUTED_VALUE"""),"Auto Components &amp; Equipments")</f>
        <v>Auto Components &amp; Equipments</v>
      </c>
      <c r="N631" s="5">
        <f>IFERROR(__xludf.DUMMYFUNCTION("""COMPUTED_VALUE"""),6924.1467525)</f>
        <v>6924.146753</v>
      </c>
      <c r="O631" s="6">
        <f t="shared" si="4"/>
        <v>47</v>
      </c>
      <c r="P631" s="6">
        <f t="shared" ref="P631:Q631" si="1264">COUNTIFS(L:L,L631)</f>
        <v>37</v>
      </c>
      <c r="Q631" s="24">
        <f t="shared" si="1264"/>
        <v>32</v>
      </c>
      <c r="R631" s="6" t="str">
        <f t="shared" si="6"/>
        <v>Automobile and Auto Components</v>
      </c>
      <c r="S631" s="6" t="str">
        <f t="shared" si="7"/>
        <v>Automobile and Auto Components</v>
      </c>
      <c r="T631" s="6">
        <f>IFERROR(__xludf.DUMMYFUNCTION("COUNTA(UNIQUE(query($A$2:$P$800,""select L where K='""&amp; K631&amp;""'"")))"),2.0)</f>
        <v>2</v>
      </c>
      <c r="U631" s="23">
        <f t="shared" si="8"/>
        <v>0.06382978723</v>
      </c>
      <c r="V631" s="23">
        <f t="shared" ref="V631:W631" si="1265">P631/O631</f>
        <v>0.7872340426</v>
      </c>
      <c r="W631" s="23">
        <f t="shared" si="1265"/>
        <v>0.8648648649</v>
      </c>
    </row>
    <row r="632">
      <c r="A632" s="6">
        <f>IFERROR(__xludf.DUMMYFUNCTION("""COMPUTED_VALUE"""),544008.0)</f>
        <v>544008</v>
      </c>
      <c r="B632" s="6" t="str">
        <f>IFERROR(__xludf.DUMMYFUNCTION("""COMPUTED_VALUE"""),"Max Estates Limited")</f>
        <v>Max Estates Limited</v>
      </c>
      <c r="C632" s="6" t="str">
        <f>IFERROR(__xludf.DUMMYFUNCTION("""COMPUTED_VALUE"""),"MAXESTATES")</f>
        <v>MAXESTATES</v>
      </c>
      <c r="D632" s="6" t="str">
        <f>IFERROR(__xludf.DUMMYFUNCTION("""COMPUTED_VALUE"""),"Max Estates Ltd")</f>
        <v>Max Estates Ltd</v>
      </c>
      <c r="E632" s="6" t="str">
        <f>IFERROR(__xludf.DUMMYFUNCTION("""COMPUTED_VALUE"""),"Active")</f>
        <v>Active</v>
      </c>
      <c r="F632" s="6" t="str">
        <f>IFERROR(__xludf.DUMMYFUNCTION("""COMPUTED_VALUE"""),"B")</f>
        <v>B</v>
      </c>
      <c r="G632" s="6">
        <f>IFERROR(__xludf.DUMMYFUNCTION("""COMPUTED_VALUE"""),10.0)</f>
        <v>10</v>
      </c>
      <c r="H632" s="6" t="str">
        <f>IFERROR(__xludf.DUMMYFUNCTION("""COMPUTED_VALUE"""),"INE03EI01018")</f>
        <v>INE03EI01018</v>
      </c>
      <c r="I632" s="6" t="str">
        <f>IFERROR(__xludf.DUMMYFUNCTION("""COMPUTED_VALUE"""),"Equity")</f>
        <v>Equity</v>
      </c>
      <c r="J632" s="6" t="str">
        <f>IFERROR(__xludf.DUMMYFUNCTION("""COMPUTED_VALUE"""),"Consumer Discretionary")</f>
        <v>Consumer Discretionary</v>
      </c>
      <c r="K632" s="6" t="str">
        <f>IFERROR(__xludf.DUMMYFUNCTION("""COMPUTED_VALUE"""),"Realty")</f>
        <v>Realty</v>
      </c>
      <c r="L632" s="6" t="str">
        <f>IFERROR(__xludf.DUMMYFUNCTION("""COMPUTED_VALUE"""),"Realty")</f>
        <v>Realty</v>
      </c>
      <c r="M632" s="6" t="str">
        <f>IFERROR(__xludf.DUMMYFUNCTION("""COMPUTED_VALUE"""),"Residential, Commercial Projects")</f>
        <v>Residential, Commercial Projects</v>
      </c>
      <c r="N632" s="5">
        <f>IFERROR(__xludf.DUMMYFUNCTION("""COMPUTED_VALUE"""),6923.0774433)</f>
        <v>6923.077443</v>
      </c>
      <c r="O632" s="6">
        <f t="shared" si="4"/>
        <v>20</v>
      </c>
      <c r="P632" s="6">
        <f t="shared" ref="P632:Q632" si="1266">COUNTIFS(L:L,L632)</f>
        <v>20</v>
      </c>
      <c r="Q632" s="24">
        <f t="shared" si="1266"/>
        <v>20</v>
      </c>
      <c r="R632" s="6" t="str">
        <f t="shared" si="6"/>
        <v>Realty</v>
      </c>
      <c r="S632" s="6" t="str">
        <f t="shared" si="7"/>
        <v>Realty</v>
      </c>
      <c r="T632" s="6">
        <f>IFERROR(__xludf.DUMMYFUNCTION("COUNTA(UNIQUE(query($A$2:$P$800,""select L where K='""&amp; K632&amp;""'"")))"),1.0)</f>
        <v>1</v>
      </c>
      <c r="U632" s="23">
        <f t="shared" si="8"/>
        <v>0.075</v>
      </c>
      <c r="V632" s="23">
        <f t="shared" ref="V632:W632" si="1267">P632/O632</f>
        <v>1</v>
      </c>
      <c r="W632" s="23">
        <f t="shared" si="1267"/>
        <v>1</v>
      </c>
    </row>
    <row r="633">
      <c r="A633" s="6">
        <f>IFERROR(__xludf.DUMMYFUNCTION("""COMPUTED_VALUE"""),544118.0)</f>
        <v>544118</v>
      </c>
      <c r="B633" s="6" t="str">
        <f>IFERROR(__xludf.DUMMYFUNCTION("""COMPUTED_VALUE"""),"JANA SMALL FINANCE BANK LIMITED")</f>
        <v>JANA SMALL FINANCE BANK LIMITED</v>
      </c>
      <c r="C633" s="6" t="str">
        <f>IFERROR(__xludf.DUMMYFUNCTION("""COMPUTED_VALUE"""),"JSFB")</f>
        <v>JSFB</v>
      </c>
      <c r="D633" s="6" t="str">
        <f>IFERROR(__xludf.DUMMYFUNCTION("""COMPUTED_VALUE"""),"Jana Small Finance Bank Ltd")</f>
        <v>Jana Small Finance Bank Ltd</v>
      </c>
      <c r="E633" s="6" t="str">
        <f>IFERROR(__xludf.DUMMYFUNCTION("""COMPUTED_VALUE"""),"Active")</f>
        <v>Active</v>
      </c>
      <c r="F633" s="6" t="str">
        <f>IFERROR(__xludf.DUMMYFUNCTION("""COMPUTED_VALUE"""),"B")</f>
        <v>B</v>
      </c>
      <c r="G633" s="6">
        <f>IFERROR(__xludf.DUMMYFUNCTION("""COMPUTED_VALUE"""),10.0)</f>
        <v>10</v>
      </c>
      <c r="H633" s="6" t="str">
        <f>IFERROR(__xludf.DUMMYFUNCTION("""COMPUTED_VALUE"""),"INE953L01027")</f>
        <v>INE953L01027</v>
      </c>
      <c r="I633" s="6" t="str">
        <f>IFERROR(__xludf.DUMMYFUNCTION("""COMPUTED_VALUE"""),"Equity")</f>
        <v>Equity</v>
      </c>
      <c r="J633" s="6" t="str">
        <f>IFERROR(__xludf.DUMMYFUNCTION("""COMPUTED_VALUE"""),"Financial Services")</f>
        <v>Financial Services</v>
      </c>
      <c r="K633" s="6" t="str">
        <f>IFERROR(__xludf.DUMMYFUNCTION("""COMPUTED_VALUE"""),"Financial Services")</f>
        <v>Financial Services</v>
      </c>
      <c r="L633" s="6" t="str">
        <f>IFERROR(__xludf.DUMMYFUNCTION("""COMPUTED_VALUE"""),"Banks")</f>
        <v>Banks</v>
      </c>
      <c r="M633" s="6" t="str">
        <f>IFERROR(__xludf.DUMMYFUNCTION("""COMPUTED_VALUE"""),"Private Sector Bank")</f>
        <v>Private Sector Bank</v>
      </c>
      <c r="N633" s="5">
        <f>IFERROR(__xludf.DUMMYFUNCTION("""COMPUTED_VALUE"""),6876.3866768)</f>
        <v>6876.386677</v>
      </c>
      <c r="O633" s="6">
        <f t="shared" si="4"/>
        <v>123</v>
      </c>
      <c r="P633" s="6">
        <f t="shared" ref="P633:Q633" si="1268">COUNTIFS(L:L,L633)</f>
        <v>35</v>
      </c>
      <c r="Q633" s="24">
        <f t="shared" si="1268"/>
        <v>23</v>
      </c>
      <c r="R633" s="6" t="str">
        <f t="shared" si="6"/>
        <v>Banks</v>
      </c>
      <c r="S633" s="6" t="str">
        <f t="shared" si="7"/>
        <v>Banks</v>
      </c>
      <c r="T633" s="6">
        <f>IFERROR(__xludf.DUMMYFUNCTION("COUNTA(UNIQUE(query($A$2:$P$800,""select L where K='""&amp; K633&amp;""'"")))"),5.0)</f>
        <v>5</v>
      </c>
      <c r="U633" s="23">
        <f t="shared" si="8"/>
        <v>0.06097560976</v>
      </c>
      <c r="V633" s="23">
        <f t="shared" ref="V633:W633" si="1269">P633/O633</f>
        <v>0.2845528455</v>
      </c>
      <c r="W633" s="23">
        <f t="shared" si="1269"/>
        <v>0.6571428571</v>
      </c>
    </row>
    <row r="634">
      <c r="A634" s="6">
        <f>IFERROR(__xludf.DUMMYFUNCTION("""COMPUTED_VALUE"""),512237.0)</f>
        <v>512237</v>
      </c>
      <c r="B634" s="6" t="str">
        <f>IFERROR(__xludf.DUMMYFUNCTION("""COMPUTED_VALUE"""),"Jai Corp Limited")</f>
        <v>Jai Corp Limited</v>
      </c>
      <c r="C634" s="6" t="str">
        <f>IFERROR(__xludf.DUMMYFUNCTION("""COMPUTED_VALUE"""),"JAICORPLTD")</f>
        <v>JAICORPLTD</v>
      </c>
      <c r="D634" s="6" t="str">
        <f>IFERROR(__xludf.DUMMYFUNCTION("""COMPUTED_VALUE"""),"JAI CORP LTD.")</f>
        <v>JAI CORP LTD.</v>
      </c>
      <c r="E634" s="6" t="str">
        <f>IFERROR(__xludf.DUMMYFUNCTION("""COMPUTED_VALUE"""),"Active")</f>
        <v>Active</v>
      </c>
      <c r="F634" s="6" t="str">
        <f>IFERROR(__xludf.DUMMYFUNCTION("""COMPUTED_VALUE"""),"A")</f>
        <v>A</v>
      </c>
      <c r="G634" s="6">
        <f>IFERROR(__xludf.DUMMYFUNCTION("""COMPUTED_VALUE"""),1.0)</f>
        <v>1</v>
      </c>
      <c r="H634" s="6" t="str">
        <f>IFERROR(__xludf.DUMMYFUNCTION("""COMPUTED_VALUE"""),"INE070D01027")</f>
        <v>INE070D01027</v>
      </c>
      <c r="I634" s="6" t="str">
        <f>IFERROR(__xludf.DUMMYFUNCTION("""COMPUTED_VALUE"""),"Equity")</f>
        <v>Equity</v>
      </c>
      <c r="J634" s="6" t="str">
        <f>IFERROR(__xludf.DUMMYFUNCTION("""COMPUTED_VALUE"""),"Industrials")</f>
        <v>Industrials</v>
      </c>
      <c r="K634" s="6" t="str">
        <f>IFERROR(__xludf.DUMMYFUNCTION("""COMPUTED_VALUE"""),"Capital Goods")</f>
        <v>Capital Goods</v>
      </c>
      <c r="L634" s="6" t="str">
        <f>IFERROR(__xludf.DUMMYFUNCTION("""COMPUTED_VALUE"""),"Industrial Products")</f>
        <v>Industrial Products</v>
      </c>
      <c r="M634" s="6" t="str">
        <f>IFERROR(__xludf.DUMMYFUNCTION("""COMPUTED_VALUE"""),"Plastic Products - Industrial")</f>
        <v>Plastic Products - Industrial</v>
      </c>
      <c r="N634" s="5">
        <f>IFERROR(__xludf.DUMMYFUNCTION("""COMPUTED_VALUE"""),6864.3956755)</f>
        <v>6864.395676</v>
      </c>
      <c r="O634" s="6">
        <f t="shared" si="4"/>
        <v>110</v>
      </c>
      <c r="P634" s="6">
        <f t="shared" ref="P634:Q634" si="1270">COUNTIFS(L:L,L634)</f>
        <v>51</v>
      </c>
      <c r="Q634" s="24">
        <f t="shared" si="1270"/>
        <v>9</v>
      </c>
      <c r="R634" s="6" t="str">
        <f t="shared" si="6"/>
        <v>Industrial Products</v>
      </c>
      <c r="S634" s="6" t="str">
        <f t="shared" si="7"/>
        <v>Industrial Products</v>
      </c>
      <c r="T634" s="6">
        <f>IFERROR(__xludf.DUMMYFUNCTION("COUNTA(UNIQUE(query($A$2:$P$800,""select L where K='""&amp; K634&amp;""'"")))"),5.0)</f>
        <v>5</v>
      </c>
      <c r="U634" s="23">
        <f t="shared" si="8"/>
        <v>0.06818181818</v>
      </c>
      <c r="V634" s="23">
        <f t="shared" ref="V634:W634" si="1271">P634/O634</f>
        <v>0.4636363636</v>
      </c>
      <c r="W634" s="23">
        <f t="shared" si="1271"/>
        <v>0.1764705882</v>
      </c>
    </row>
    <row r="635">
      <c r="A635" s="6">
        <f>IFERROR(__xludf.DUMMYFUNCTION("""COMPUTED_VALUE"""),543530.0)</f>
        <v>543530</v>
      </c>
      <c r="B635" s="6" t="str">
        <f>IFERROR(__xludf.DUMMYFUNCTION("""COMPUTED_VALUE"""),"Paradeep Phosphates Limited")</f>
        <v>Paradeep Phosphates Limited</v>
      </c>
      <c r="C635" s="6" t="str">
        <f>IFERROR(__xludf.DUMMYFUNCTION("""COMPUTED_VALUE"""),"PARADEEP")</f>
        <v>PARADEEP</v>
      </c>
      <c r="D635" s="6" t="str">
        <f>IFERROR(__xludf.DUMMYFUNCTION("""COMPUTED_VALUE"""),"Paradeep Phosphates Ltd")</f>
        <v>Paradeep Phosphates Ltd</v>
      </c>
      <c r="E635" s="6" t="str">
        <f>IFERROR(__xludf.DUMMYFUNCTION("""COMPUTED_VALUE"""),"Active")</f>
        <v>Active</v>
      </c>
      <c r="F635" s="6" t="str">
        <f>IFERROR(__xludf.DUMMYFUNCTION("""COMPUTED_VALUE"""),"A")</f>
        <v>A</v>
      </c>
      <c r="G635" s="6">
        <f>IFERROR(__xludf.DUMMYFUNCTION("""COMPUTED_VALUE"""),10.0)</f>
        <v>10</v>
      </c>
      <c r="H635" s="6" t="str">
        <f>IFERROR(__xludf.DUMMYFUNCTION("""COMPUTED_VALUE"""),"INE088F01024")</f>
        <v>INE088F01024</v>
      </c>
      <c r="I635" s="6" t="str">
        <f>IFERROR(__xludf.DUMMYFUNCTION("""COMPUTED_VALUE"""),"Equity")</f>
        <v>Equity</v>
      </c>
      <c r="J635" s="6" t="str">
        <f>IFERROR(__xludf.DUMMYFUNCTION("""COMPUTED_VALUE"""),"Commodities")</f>
        <v>Commodities</v>
      </c>
      <c r="K635" s="6" t="str">
        <f>IFERROR(__xludf.DUMMYFUNCTION("""COMPUTED_VALUE"""),"Chemicals")</f>
        <v>Chemicals</v>
      </c>
      <c r="L635" s="6" t="str">
        <f>IFERROR(__xludf.DUMMYFUNCTION("""COMPUTED_VALUE"""),"Fertilizers &amp; Agrochemicals")</f>
        <v>Fertilizers &amp; Agrochemicals</v>
      </c>
      <c r="M635" s="6" t="str">
        <f>IFERROR(__xludf.DUMMYFUNCTION("""COMPUTED_VALUE"""),"Fertilizers")</f>
        <v>Fertilizers</v>
      </c>
      <c r="N635" s="5">
        <f>IFERROR(__xludf.DUMMYFUNCTION("""COMPUTED_VALUE"""),6855.6370681)</f>
        <v>6855.637068</v>
      </c>
      <c r="O635" s="6">
        <f t="shared" si="4"/>
        <v>52</v>
      </c>
      <c r="P635" s="6">
        <f t="shared" ref="P635:Q635" si="1272">COUNTIFS(L:L,L635)</f>
        <v>15</v>
      </c>
      <c r="Q635" s="24">
        <f t="shared" si="1272"/>
        <v>8</v>
      </c>
      <c r="R635" s="6" t="str">
        <f t="shared" si="6"/>
        <v>Fertilizers &amp; Agrochemicals</v>
      </c>
      <c r="S635" s="6" t="str">
        <f t="shared" si="7"/>
        <v>Fertilizers &amp; Agrochemicals</v>
      </c>
      <c r="T635" s="6">
        <f>IFERROR(__xludf.DUMMYFUNCTION("COUNTA(UNIQUE(query($A$2:$P$800,""select L where K='""&amp; K635&amp;""'"")))"),2.0)</f>
        <v>2</v>
      </c>
      <c r="U635" s="23">
        <f t="shared" si="8"/>
        <v>0.05769230769</v>
      </c>
      <c r="V635" s="23">
        <f t="shared" ref="V635:W635" si="1273">P635/O635</f>
        <v>0.2884615385</v>
      </c>
      <c r="W635" s="23">
        <f t="shared" si="1273"/>
        <v>0.5333333333</v>
      </c>
    </row>
    <row r="636">
      <c r="A636" s="6">
        <f>IFERROR(__xludf.DUMMYFUNCTION("""COMPUTED_VALUE"""),543325.0)</f>
        <v>543325</v>
      </c>
      <c r="B636" s="6" t="str">
        <f>IFERROR(__xludf.DUMMYFUNCTION("""COMPUTED_VALUE"""),"Rolex Rings Limited")</f>
        <v>Rolex Rings Limited</v>
      </c>
      <c r="C636" s="6" t="str">
        <f>IFERROR(__xludf.DUMMYFUNCTION("""COMPUTED_VALUE"""),"ROLEXRINGS")</f>
        <v>ROLEXRINGS</v>
      </c>
      <c r="D636" s="6" t="str">
        <f>IFERROR(__xludf.DUMMYFUNCTION("""COMPUTED_VALUE"""),"Rolex Rings Ltd")</f>
        <v>Rolex Rings Ltd</v>
      </c>
      <c r="E636" s="6" t="str">
        <f>IFERROR(__xludf.DUMMYFUNCTION("""COMPUTED_VALUE"""),"Active")</f>
        <v>Active</v>
      </c>
      <c r="F636" s="6" t="str">
        <f>IFERROR(__xludf.DUMMYFUNCTION("""COMPUTED_VALUE"""),"A")</f>
        <v>A</v>
      </c>
      <c r="G636" s="6">
        <f>IFERROR(__xludf.DUMMYFUNCTION("""COMPUTED_VALUE"""),10.0)</f>
        <v>10</v>
      </c>
      <c r="H636" s="6" t="str">
        <f>IFERROR(__xludf.DUMMYFUNCTION("""COMPUTED_VALUE"""),"INE645S01016")</f>
        <v>INE645S01016</v>
      </c>
      <c r="I636" s="6" t="str">
        <f>IFERROR(__xludf.DUMMYFUNCTION("""COMPUTED_VALUE"""),"Equity")</f>
        <v>Equity</v>
      </c>
      <c r="J636" s="6" t="str">
        <f>IFERROR(__xludf.DUMMYFUNCTION("""COMPUTED_VALUE"""),"Consumer Discretionary")</f>
        <v>Consumer Discretionary</v>
      </c>
      <c r="K636" s="6" t="str">
        <f>IFERROR(__xludf.DUMMYFUNCTION("""COMPUTED_VALUE"""),"Automobile and Auto Components")</f>
        <v>Automobile and Auto Components</v>
      </c>
      <c r="L636" s="6" t="str">
        <f>IFERROR(__xludf.DUMMYFUNCTION("""COMPUTED_VALUE"""),"Auto Components")</f>
        <v>Auto Components</v>
      </c>
      <c r="M636" s="6" t="str">
        <f>IFERROR(__xludf.DUMMYFUNCTION("""COMPUTED_VALUE"""),"Auto Components &amp; Equipments")</f>
        <v>Auto Components &amp; Equipments</v>
      </c>
      <c r="N636" s="5">
        <f>IFERROR(__xludf.DUMMYFUNCTION("""COMPUTED_VALUE"""),6846.970732)</f>
        <v>6846.970732</v>
      </c>
      <c r="O636" s="6">
        <f t="shared" si="4"/>
        <v>47</v>
      </c>
      <c r="P636" s="6">
        <f t="shared" ref="P636:Q636" si="1274">COUNTIFS(L:L,L636)</f>
        <v>37</v>
      </c>
      <c r="Q636" s="24">
        <f t="shared" si="1274"/>
        <v>32</v>
      </c>
      <c r="R636" s="6" t="str">
        <f t="shared" si="6"/>
        <v>Automobile and Auto Components</v>
      </c>
      <c r="S636" s="6" t="str">
        <f t="shared" si="7"/>
        <v>Automobile and Auto Components</v>
      </c>
      <c r="T636" s="6">
        <f>IFERROR(__xludf.DUMMYFUNCTION("COUNTA(UNIQUE(query($A$2:$P$800,""select L where K='""&amp; K636&amp;""'"")))"),2.0)</f>
        <v>2</v>
      </c>
      <c r="U636" s="23">
        <f t="shared" si="8"/>
        <v>0.06382978723</v>
      </c>
      <c r="V636" s="23">
        <f t="shared" ref="V636:W636" si="1275">P636/O636</f>
        <v>0.7872340426</v>
      </c>
      <c r="W636" s="23">
        <f t="shared" si="1275"/>
        <v>0.8648648649</v>
      </c>
    </row>
    <row r="637">
      <c r="A637" s="6">
        <f>IFERROR(__xludf.DUMMYFUNCTION("""COMPUTED_VALUE"""),507880.0)</f>
        <v>507880</v>
      </c>
      <c r="B637" s="6" t="str">
        <f>IFERROR(__xludf.DUMMYFUNCTION("""COMPUTED_VALUE"""),"V.I.P. Industries Ltd.")</f>
        <v>V.I.P. Industries Ltd.</v>
      </c>
      <c r="C637" s="6" t="str">
        <f>IFERROR(__xludf.DUMMYFUNCTION("""COMPUTED_VALUE"""),"VIPIND")</f>
        <v>VIPIND</v>
      </c>
      <c r="D637" s="6" t="str">
        <f>IFERROR(__xludf.DUMMYFUNCTION("""COMPUTED_VALUE"""),"V.I.P.INDUSTRIES LTD.-$")</f>
        <v>V.I.P.INDUSTRIES LTD.-$</v>
      </c>
      <c r="E637" s="6" t="str">
        <f>IFERROR(__xludf.DUMMYFUNCTION("""COMPUTED_VALUE"""),"Active")</f>
        <v>Active</v>
      </c>
      <c r="F637" s="6" t="str">
        <f>IFERROR(__xludf.DUMMYFUNCTION("""COMPUTED_VALUE"""),"A")</f>
        <v>A</v>
      </c>
      <c r="G637" s="6">
        <f>IFERROR(__xludf.DUMMYFUNCTION("""COMPUTED_VALUE"""),2.0)</f>
        <v>2</v>
      </c>
      <c r="H637" s="6" t="str">
        <f>IFERROR(__xludf.DUMMYFUNCTION("""COMPUTED_VALUE"""),"INE054A01027")</f>
        <v>INE054A01027</v>
      </c>
      <c r="I637" s="6" t="str">
        <f>IFERROR(__xludf.DUMMYFUNCTION("""COMPUTED_VALUE"""),"Equity")</f>
        <v>Equity</v>
      </c>
      <c r="J637" s="6" t="str">
        <f>IFERROR(__xludf.DUMMYFUNCTION("""COMPUTED_VALUE"""),"Consumer Discretionary")</f>
        <v>Consumer Discretionary</v>
      </c>
      <c r="K637" s="6" t="str">
        <f>IFERROR(__xludf.DUMMYFUNCTION("""COMPUTED_VALUE"""),"Consumer Durables")</f>
        <v>Consumer Durables</v>
      </c>
      <c r="L637" s="6" t="str">
        <f>IFERROR(__xludf.DUMMYFUNCTION("""COMPUTED_VALUE"""),"Consumer Durables")</f>
        <v>Consumer Durables</v>
      </c>
      <c r="M637" s="6" t="str">
        <f>IFERROR(__xludf.DUMMYFUNCTION("""COMPUTED_VALUE"""),"Plastic Products - Consumer")</f>
        <v>Plastic Products - Consumer</v>
      </c>
      <c r="N637" s="5">
        <f>IFERROR(__xludf.DUMMYFUNCTION("""COMPUTED_VALUE"""),6789.5572844)</f>
        <v>6789.557284</v>
      </c>
      <c r="O637" s="6">
        <f t="shared" si="4"/>
        <v>42</v>
      </c>
      <c r="P637" s="6">
        <f t="shared" ref="P637:Q637" si="1276">COUNTIFS(L:L,L637)</f>
        <v>42</v>
      </c>
      <c r="Q637" s="24">
        <f t="shared" si="1276"/>
        <v>2</v>
      </c>
      <c r="R637" s="6" t="str">
        <f t="shared" si="6"/>
        <v>Consumer Durables</v>
      </c>
      <c r="S637" s="6" t="str">
        <f t="shared" si="7"/>
        <v>Consumer Durables</v>
      </c>
      <c r="T637" s="6">
        <f>IFERROR(__xludf.DUMMYFUNCTION("COUNTA(UNIQUE(query($A$2:$P$800,""select L where K='""&amp; K637&amp;""'"")))"),1.0)</f>
        <v>1</v>
      </c>
      <c r="U637" s="23">
        <f t="shared" si="8"/>
        <v>0.03571428571</v>
      </c>
      <c r="V637" s="23">
        <f t="shared" ref="V637:W637" si="1277">P637/O637</f>
        <v>1</v>
      </c>
      <c r="W637" s="23">
        <f t="shared" si="1277"/>
        <v>0.04761904762</v>
      </c>
    </row>
    <row r="638">
      <c r="A638" s="6">
        <f>IFERROR(__xludf.DUMMYFUNCTION("""COMPUTED_VALUE"""),500214.0)</f>
        <v>500214</v>
      </c>
      <c r="B638" s="6" t="str">
        <f>IFERROR(__xludf.DUMMYFUNCTION("""COMPUTED_VALUE"""),"Ion Exchange (India) Ltd")</f>
        <v>Ion Exchange (India) Ltd</v>
      </c>
      <c r="C638" s="6" t="str">
        <f>IFERROR(__xludf.DUMMYFUNCTION("""COMPUTED_VALUE"""),"IONEXCHANG")</f>
        <v>IONEXCHANG</v>
      </c>
      <c r="D638" s="6" t="str">
        <f>IFERROR(__xludf.DUMMYFUNCTION("""COMPUTED_VALUE"""),"ION EXCHANGE (INDIA) LTD.-$")</f>
        <v>ION EXCHANGE (INDIA) LTD.-$</v>
      </c>
      <c r="E638" s="6" t="str">
        <f>IFERROR(__xludf.DUMMYFUNCTION("""COMPUTED_VALUE"""),"Active")</f>
        <v>Active</v>
      </c>
      <c r="F638" s="6" t="str">
        <f>IFERROR(__xludf.DUMMYFUNCTION("""COMPUTED_VALUE"""),"A")</f>
        <v>A</v>
      </c>
      <c r="G638" s="6">
        <f>IFERROR(__xludf.DUMMYFUNCTION("""COMPUTED_VALUE"""),1.0)</f>
        <v>1</v>
      </c>
      <c r="H638" s="6" t="str">
        <f>IFERROR(__xludf.DUMMYFUNCTION("""COMPUTED_VALUE"""),"INE570A01022")</f>
        <v>INE570A01022</v>
      </c>
      <c r="I638" s="6" t="str">
        <f>IFERROR(__xludf.DUMMYFUNCTION("""COMPUTED_VALUE"""),"Equity")</f>
        <v>Equity</v>
      </c>
      <c r="J638" s="6" t="str">
        <f>IFERROR(__xludf.DUMMYFUNCTION("""COMPUTED_VALUE"""),"Utilities")</f>
        <v>Utilities</v>
      </c>
      <c r="K638" s="6" t="str">
        <f>IFERROR(__xludf.DUMMYFUNCTION("""COMPUTED_VALUE"""),"Utilities")</f>
        <v>Utilities</v>
      </c>
      <c r="L638" s="6" t="str">
        <f>IFERROR(__xludf.DUMMYFUNCTION("""COMPUTED_VALUE"""),"Other Utilities")</f>
        <v>Other Utilities</v>
      </c>
      <c r="M638" s="6" t="str">
        <f>IFERROR(__xludf.DUMMYFUNCTION("""COMPUTED_VALUE"""),"Water Supply &amp; Management")</f>
        <v>Water Supply &amp; Management</v>
      </c>
      <c r="N638" s="5">
        <f>IFERROR(__xludf.DUMMYFUNCTION("""COMPUTED_VALUE"""),6764.827595)</f>
        <v>6764.827595</v>
      </c>
      <c r="O638" s="6">
        <f t="shared" si="4"/>
        <v>3</v>
      </c>
      <c r="P638" s="6">
        <f t="shared" ref="P638:Q638" si="1278">COUNTIFS(L:L,L638)</f>
        <v>3</v>
      </c>
      <c r="Q638" s="24">
        <f t="shared" si="1278"/>
        <v>2</v>
      </c>
      <c r="R638" s="6" t="str">
        <f t="shared" si="6"/>
        <v>Utilities</v>
      </c>
      <c r="S638" s="6" t="str">
        <f t="shared" si="7"/>
        <v>Misc.</v>
      </c>
      <c r="T638" s="6">
        <f>IFERROR(__xludf.DUMMYFUNCTION("COUNTA(UNIQUE(query($A$2:$P$800,""select L where K='""&amp; K638&amp;""'"")))"),1.0)</f>
        <v>1</v>
      </c>
      <c r="U638" s="23">
        <f t="shared" si="8"/>
        <v>0.5</v>
      </c>
      <c r="V638" s="23">
        <f t="shared" ref="V638:W638" si="1279">P638/O638</f>
        <v>1</v>
      </c>
      <c r="W638" s="23">
        <f t="shared" si="1279"/>
        <v>0.6666666667</v>
      </c>
    </row>
    <row r="639">
      <c r="A639" s="6">
        <f>IFERROR(__xludf.DUMMYFUNCTION("""COMPUTED_VALUE"""),502219.0)</f>
        <v>502219</v>
      </c>
      <c r="B639" s="6" t="str">
        <f>IFERROR(__xludf.DUMMYFUNCTION("""COMPUTED_VALUE"""),"BOROSIL RENEWABLES LIMITED")</f>
        <v>BOROSIL RENEWABLES LIMITED</v>
      </c>
      <c r="C639" s="6" t="str">
        <f>IFERROR(__xludf.DUMMYFUNCTION("""COMPUTED_VALUE"""),"BORORENEW")</f>
        <v>BORORENEW</v>
      </c>
      <c r="D639" s="6" t="str">
        <f>IFERROR(__xludf.DUMMYFUNCTION("""COMPUTED_VALUE"""),"Borosil Renewables Ltd")</f>
        <v>Borosil Renewables Ltd</v>
      </c>
      <c r="E639" s="6" t="str">
        <f>IFERROR(__xludf.DUMMYFUNCTION("""COMPUTED_VALUE"""),"Active")</f>
        <v>Active</v>
      </c>
      <c r="F639" s="6" t="str">
        <f>IFERROR(__xludf.DUMMYFUNCTION("""COMPUTED_VALUE"""),"A")</f>
        <v>A</v>
      </c>
      <c r="G639" s="6">
        <f>IFERROR(__xludf.DUMMYFUNCTION("""COMPUTED_VALUE"""),1.0)</f>
        <v>1</v>
      </c>
      <c r="H639" s="6" t="str">
        <f>IFERROR(__xludf.DUMMYFUNCTION("""COMPUTED_VALUE"""),"INE666D01022")</f>
        <v>INE666D01022</v>
      </c>
      <c r="I639" s="6" t="str">
        <f>IFERROR(__xludf.DUMMYFUNCTION("""COMPUTED_VALUE"""),"Equity")</f>
        <v>Equity</v>
      </c>
      <c r="J639" s="6" t="str">
        <f>IFERROR(__xludf.DUMMYFUNCTION("""COMPUTED_VALUE"""),"Industrials")</f>
        <v>Industrials</v>
      </c>
      <c r="K639" s="6" t="str">
        <f>IFERROR(__xludf.DUMMYFUNCTION("""COMPUTED_VALUE"""),"Capital Goods")</f>
        <v>Capital Goods</v>
      </c>
      <c r="L639" s="6" t="str">
        <f>IFERROR(__xludf.DUMMYFUNCTION("""COMPUTED_VALUE"""),"Industrial Products")</f>
        <v>Industrial Products</v>
      </c>
      <c r="M639" s="6" t="str">
        <f>IFERROR(__xludf.DUMMYFUNCTION("""COMPUTED_VALUE"""),"Glass - Industrial")</f>
        <v>Glass - Industrial</v>
      </c>
      <c r="N639" s="5">
        <f>IFERROR(__xludf.DUMMYFUNCTION("""COMPUTED_VALUE"""),6713.1827001)</f>
        <v>6713.1827</v>
      </c>
      <c r="O639" s="6">
        <f t="shared" si="4"/>
        <v>110</v>
      </c>
      <c r="P639" s="6">
        <f t="shared" ref="P639:Q639" si="1280">COUNTIFS(L:L,L639)</f>
        <v>51</v>
      </c>
      <c r="Q639" s="24">
        <f t="shared" si="1280"/>
        <v>1</v>
      </c>
      <c r="R639" s="6" t="str">
        <f t="shared" si="6"/>
        <v>Industrial Products</v>
      </c>
      <c r="S639" s="6" t="str">
        <f t="shared" si="7"/>
        <v>Industrial Products</v>
      </c>
      <c r="T639" s="6">
        <f>IFERROR(__xludf.DUMMYFUNCTION("COUNTA(UNIQUE(query($A$2:$P$800,""select L where K='""&amp; K639&amp;""'"")))"),5.0)</f>
        <v>5</v>
      </c>
      <c r="U639" s="23">
        <f t="shared" si="8"/>
        <v>0.06818181818</v>
      </c>
      <c r="V639" s="23">
        <f t="shared" ref="V639:W639" si="1281">P639/O639</f>
        <v>0.4636363636</v>
      </c>
      <c r="W639" s="23">
        <f t="shared" si="1281"/>
        <v>0.01960784314</v>
      </c>
    </row>
    <row r="640">
      <c r="A640" s="6">
        <f>IFERROR(__xludf.DUMMYFUNCTION("""COMPUTED_VALUE"""),532374.0)</f>
        <v>532374</v>
      </c>
      <c r="B640" s="6" t="str">
        <f>IFERROR(__xludf.DUMMYFUNCTION("""COMPUTED_VALUE"""),"Sterlite Technologies Limited.")</f>
        <v>Sterlite Technologies Limited.</v>
      </c>
      <c r="C640" s="6" t="str">
        <f>IFERROR(__xludf.DUMMYFUNCTION("""COMPUTED_VALUE"""),"STLTECH")</f>
        <v>STLTECH</v>
      </c>
      <c r="D640" s="6" t="str">
        <f>IFERROR(__xludf.DUMMYFUNCTION("""COMPUTED_VALUE"""),"STERLITE TECHNOLOGIES LTD.")</f>
        <v>STERLITE TECHNOLOGIES LTD.</v>
      </c>
      <c r="E640" s="6" t="str">
        <f>IFERROR(__xludf.DUMMYFUNCTION("""COMPUTED_VALUE"""),"Active")</f>
        <v>Active</v>
      </c>
      <c r="F640" s="6" t="str">
        <f>IFERROR(__xludf.DUMMYFUNCTION("""COMPUTED_VALUE"""),"A")</f>
        <v>A</v>
      </c>
      <c r="G640" s="6">
        <f>IFERROR(__xludf.DUMMYFUNCTION("""COMPUTED_VALUE"""),2.0)</f>
        <v>2</v>
      </c>
      <c r="H640" s="6" t="str">
        <f>IFERROR(__xludf.DUMMYFUNCTION("""COMPUTED_VALUE"""),"INE089C01029")</f>
        <v>INE089C01029</v>
      </c>
      <c r="I640" s="6" t="str">
        <f>IFERROR(__xludf.DUMMYFUNCTION("""COMPUTED_VALUE"""),"Equity")</f>
        <v>Equity</v>
      </c>
      <c r="J640" s="6" t="str">
        <f>IFERROR(__xludf.DUMMYFUNCTION("""COMPUTED_VALUE"""),"Telecommunication")</f>
        <v>Telecommunication</v>
      </c>
      <c r="K640" s="6" t="str">
        <f>IFERROR(__xludf.DUMMYFUNCTION("""COMPUTED_VALUE"""),"Telecommunication")</f>
        <v>Telecommunication</v>
      </c>
      <c r="L640" s="6" t="str">
        <f>IFERROR(__xludf.DUMMYFUNCTION("""COMPUTED_VALUE"""),"Telecom - Equipment &amp; Accessories")</f>
        <v>Telecom - Equipment &amp; Accessories</v>
      </c>
      <c r="M640" s="6" t="str">
        <f>IFERROR(__xludf.DUMMYFUNCTION("""COMPUTED_VALUE"""),"Telecom - Equipment &amp; Accessories")</f>
        <v>Telecom - Equipment &amp; Accessories</v>
      </c>
      <c r="N640" s="5">
        <f>IFERROR(__xludf.DUMMYFUNCTION("""COMPUTED_VALUE"""),6656.7882669)</f>
        <v>6656.788267</v>
      </c>
      <c r="O640" s="6">
        <f t="shared" si="4"/>
        <v>14</v>
      </c>
      <c r="P640" s="6">
        <f t="shared" ref="P640:Q640" si="1282">COUNTIFS(L:L,L640)</f>
        <v>3</v>
      </c>
      <c r="Q640" s="24">
        <f t="shared" si="1282"/>
        <v>3</v>
      </c>
      <c r="R640" s="6" t="str">
        <f t="shared" si="6"/>
        <v>Telecommunication</v>
      </c>
      <c r="S640" s="6" t="str">
        <f t="shared" si="7"/>
        <v>Telecommunication</v>
      </c>
      <c r="T640" s="6">
        <f>IFERROR(__xludf.DUMMYFUNCTION("COUNTA(UNIQUE(query($A$2:$P$800,""select L where K='""&amp; K640&amp;""'"")))"),2.0)</f>
        <v>2</v>
      </c>
      <c r="U640" s="23">
        <f t="shared" si="8"/>
        <v>0.2142857143</v>
      </c>
      <c r="V640" s="23">
        <f t="shared" ref="V640:W640" si="1283">P640/O640</f>
        <v>0.2142857143</v>
      </c>
      <c r="W640" s="23">
        <f t="shared" si="1283"/>
        <v>1</v>
      </c>
    </row>
    <row r="641">
      <c r="A641" s="6">
        <f>IFERROR(__xludf.DUMMYFUNCTION("""COMPUTED_VALUE"""),532630.0)</f>
        <v>532630</v>
      </c>
      <c r="B641" s="6" t="str">
        <f>IFERROR(__xludf.DUMMYFUNCTION("""COMPUTED_VALUE"""),"Gokaldas Exports Ltd")</f>
        <v>Gokaldas Exports Ltd</v>
      </c>
      <c r="C641" s="6" t="str">
        <f>IFERROR(__xludf.DUMMYFUNCTION("""COMPUTED_VALUE"""),"GOKEX")</f>
        <v>GOKEX</v>
      </c>
      <c r="D641" s="6" t="str">
        <f>IFERROR(__xludf.DUMMYFUNCTION("""COMPUTED_VALUE"""),"GOKALDAS EXPORTS LTD.")</f>
        <v>GOKALDAS EXPORTS LTD.</v>
      </c>
      <c r="E641" s="6" t="str">
        <f>IFERROR(__xludf.DUMMYFUNCTION("""COMPUTED_VALUE"""),"Active")</f>
        <v>Active</v>
      </c>
      <c r="F641" s="6" t="str">
        <f>IFERROR(__xludf.DUMMYFUNCTION("""COMPUTED_VALUE"""),"A")</f>
        <v>A</v>
      </c>
      <c r="G641" s="6">
        <f>IFERROR(__xludf.DUMMYFUNCTION("""COMPUTED_VALUE"""),5.0)</f>
        <v>5</v>
      </c>
      <c r="H641" s="6" t="str">
        <f>IFERROR(__xludf.DUMMYFUNCTION("""COMPUTED_VALUE"""),"INE887G01027")</f>
        <v>INE887G01027</v>
      </c>
      <c r="I641" s="6" t="str">
        <f>IFERROR(__xludf.DUMMYFUNCTION("""COMPUTED_VALUE"""),"Equity")</f>
        <v>Equity</v>
      </c>
      <c r="J641" s="6" t="str">
        <f>IFERROR(__xludf.DUMMYFUNCTION("""COMPUTED_VALUE"""),"Consumer Discretionary")</f>
        <v>Consumer Discretionary</v>
      </c>
      <c r="K641" s="6" t="str">
        <f>IFERROR(__xludf.DUMMYFUNCTION("""COMPUTED_VALUE"""),"Textiles")</f>
        <v>Textiles</v>
      </c>
      <c r="L641" s="6" t="str">
        <f>IFERROR(__xludf.DUMMYFUNCTION("""COMPUTED_VALUE"""),"Textiles &amp; Apparels")</f>
        <v>Textiles &amp; Apparels</v>
      </c>
      <c r="M641" s="6" t="str">
        <f>IFERROR(__xludf.DUMMYFUNCTION("""COMPUTED_VALUE"""),"Garments &amp; Apparels")</f>
        <v>Garments &amp; Apparels</v>
      </c>
      <c r="N641" s="5">
        <f>IFERROR(__xludf.DUMMYFUNCTION("""COMPUTED_VALUE"""),6629.743379)</f>
        <v>6629.743379</v>
      </c>
      <c r="O641" s="6">
        <f t="shared" si="4"/>
        <v>13</v>
      </c>
      <c r="P641" s="6">
        <f t="shared" ref="P641:Q641" si="1284">COUNTIFS(L:L,L641)</f>
        <v>13</v>
      </c>
      <c r="Q641" s="24">
        <f t="shared" si="1284"/>
        <v>4</v>
      </c>
      <c r="R641" s="6" t="str">
        <f t="shared" si="6"/>
        <v>Textiles</v>
      </c>
      <c r="S641" s="6" t="str">
        <f t="shared" si="7"/>
        <v>Textiles</v>
      </c>
      <c r="T641" s="6">
        <f>IFERROR(__xludf.DUMMYFUNCTION("COUNTA(UNIQUE(query($A$2:$P$800,""select L where K='""&amp; K641&amp;""'"")))"),1.0)</f>
        <v>1</v>
      </c>
      <c r="U641" s="23">
        <f t="shared" si="8"/>
        <v>0.1153846154</v>
      </c>
      <c r="V641" s="23">
        <f t="shared" ref="V641:W641" si="1285">P641/O641</f>
        <v>1</v>
      </c>
      <c r="W641" s="23">
        <f t="shared" si="1285"/>
        <v>0.3076923077</v>
      </c>
    </row>
    <row r="642">
      <c r="A642" s="6">
        <f>IFERROR(__xludf.DUMMYFUNCTION("""COMPUTED_VALUE"""),532900.0)</f>
        <v>532900</v>
      </c>
      <c r="B642" s="6" t="str">
        <f>IFERROR(__xludf.DUMMYFUNCTION("""COMPUTED_VALUE"""),"PAISALO DIGITAL LIMITED")</f>
        <v>PAISALO DIGITAL LIMITED</v>
      </c>
      <c r="C642" s="6" t="str">
        <f>IFERROR(__xludf.DUMMYFUNCTION("""COMPUTED_VALUE"""),"PAISALO")</f>
        <v>PAISALO</v>
      </c>
      <c r="D642" s="6" t="str">
        <f>IFERROR(__xludf.DUMMYFUNCTION("""COMPUTED_VALUE"""),"Paisalo Digital Ltd")</f>
        <v>Paisalo Digital Ltd</v>
      </c>
      <c r="E642" s="6" t="str">
        <f>IFERROR(__xludf.DUMMYFUNCTION("""COMPUTED_VALUE"""),"Active")</f>
        <v>Active</v>
      </c>
      <c r="F642" s="6" t="str">
        <f>IFERROR(__xludf.DUMMYFUNCTION("""COMPUTED_VALUE"""),"A")</f>
        <v>A</v>
      </c>
      <c r="G642" s="6">
        <f>IFERROR(__xludf.DUMMYFUNCTION("""COMPUTED_VALUE"""),1.0)</f>
        <v>1</v>
      </c>
      <c r="H642" s="6" t="str">
        <f>IFERROR(__xludf.DUMMYFUNCTION("""COMPUTED_VALUE"""),"INE420C01059")</f>
        <v>INE420C01059</v>
      </c>
      <c r="I642" s="6" t="str">
        <f>IFERROR(__xludf.DUMMYFUNCTION("""COMPUTED_VALUE"""),"Equity")</f>
        <v>Equity</v>
      </c>
      <c r="J642" s="6" t="str">
        <f>IFERROR(__xludf.DUMMYFUNCTION("""COMPUTED_VALUE"""),"Financial Services")</f>
        <v>Financial Services</v>
      </c>
      <c r="K642" s="6" t="str">
        <f>IFERROR(__xludf.DUMMYFUNCTION("""COMPUTED_VALUE"""),"Financial Services")</f>
        <v>Financial Services</v>
      </c>
      <c r="L642" s="6" t="str">
        <f>IFERROR(__xludf.DUMMYFUNCTION("""COMPUTED_VALUE"""),"Finance")</f>
        <v>Finance</v>
      </c>
      <c r="M642" s="6" t="str">
        <f>IFERROR(__xludf.DUMMYFUNCTION("""COMPUTED_VALUE"""),"Non Banking Financial Company (NBFC)")</f>
        <v>Non Banking Financial Company (NBFC)</v>
      </c>
      <c r="N642" s="5">
        <f>IFERROR(__xludf.DUMMYFUNCTION("""COMPUTED_VALUE"""),6626.8057176)</f>
        <v>6626.805718</v>
      </c>
      <c r="O642" s="6">
        <f t="shared" si="4"/>
        <v>123</v>
      </c>
      <c r="P642" s="6">
        <f t="shared" ref="P642:Q642" si="1286">COUNTIFS(L:L,L642)</f>
        <v>56</v>
      </c>
      <c r="Q642" s="24">
        <f t="shared" si="1286"/>
        <v>21</v>
      </c>
      <c r="R642" s="6" t="str">
        <f t="shared" si="6"/>
        <v>Non Banking Financial Company (NBFC)</v>
      </c>
      <c r="S642" s="6" t="str">
        <f t="shared" si="7"/>
        <v>Non Banking Financial Company (NBFC)</v>
      </c>
      <c r="T642" s="6">
        <f>IFERROR(__xludf.DUMMYFUNCTION("COUNTA(UNIQUE(query($A$2:$P$800,""select L where K='""&amp; K642&amp;""'"")))"),5.0)</f>
        <v>5</v>
      </c>
      <c r="U642" s="23">
        <f t="shared" si="8"/>
        <v>0.06097560976</v>
      </c>
      <c r="V642" s="23">
        <f t="shared" ref="V642:W642" si="1287">P642/O642</f>
        <v>0.4552845528</v>
      </c>
      <c r="W642" s="23">
        <f t="shared" si="1287"/>
        <v>0.375</v>
      </c>
    </row>
    <row r="643">
      <c r="A643" s="6">
        <f>IFERROR(__xludf.DUMMYFUNCTION("""COMPUTED_VALUE"""),532804.0)</f>
        <v>532804</v>
      </c>
      <c r="B643" s="6" t="str">
        <f>IFERROR(__xludf.DUMMYFUNCTION("""COMPUTED_VALUE"""),"Technocraft Industries (India) Ltd.")</f>
        <v>Technocraft Industries (India) Ltd.</v>
      </c>
      <c r="C643" s="6" t="str">
        <f>IFERROR(__xludf.DUMMYFUNCTION("""COMPUTED_VALUE"""),"TIIL")</f>
        <v>TIIL</v>
      </c>
      <c r="D643" s="6" t="str">
        <f>IFERROR(__xludf.DUMMYFUNCTION("""COMPUTED_VALUE"""),"TECHNOCRAFT INDUSTRIES (INDIA) LTD.")</f>
        <v>TECHNOCRAFT INDUSTRIES (INDIA) LTD.</v>
      </c>
      <c r="E643" s="6" t="str">
        <f>IFERROR(__xludf.DUMMYFUNCTION("""COMPUTED_VALUE"""),"Active")</f>
        <v>Active</v>
      </c>
      <c r="F643" s="6" t="str">
        <f>IFERROR(__xludf.DUMMYFUNCTION("""COMPUTED_VALUE"""),"B")</f>
        <v>B</v>
      </c>
      <c r="G643" s="6">
        <f>IFERROR(__xludf.DUMMYFUNCTION("""COMPUTED_VALUE"""),10.0)</f>
        <v>10</v>
      </c>
      <c r="H643" s="6" t="str">
        <f>IFERROR(__xludf.DUMMYFUNCTION("""COMPUTED_VALUE"""),"INE545H01011")</f>
        <v>INE545H01011</v>
      </c>
      <c r="I643" s="6" t="str">
        <f>IFERROR(__xludf.DUMMYFUNCTION("""COMPUTED_VALUE"""),"Equity")</f>
        <v>Equity</v>
      </c>
      <c r="J643" s="6" t="str">
        <f>IFERROR(__xludf.DUMMYFUNCTION("""COMPUTED_VALUE"""),"Industrials")</f>
        <v>Industrials</v>
      </c>
      <c r="K643" s="6" t="str">
        <f>IFERROR(__xludf.DUMMYFUNCTION("""COMPUTED_VALUE"""),"Capital Goods")</f>
        <v>Capital Goods</v>
      </c>
      <c r="L643" s="6" t="str">
        <f>IFERROR(__xludf.DUMMYFUNCTION("""COMPUTED_VALUE"""),"Industrial Products")</f>
        <v>Industrial Products</v>
      </c>
      <c r="M643" s="6" t="str">
        <f>IFERROR(__xludf.DUMMYFUNCTION("""COMPUTED_VALUE"""),"Iron &amp; Steel Products")</f>
        <v>Iron &amp; Steel Products</v>
      </c>
      <c r="N643" s="5">
        <f>IFERROR(__xludf.DUMMYFUNCTION("""COMPUTED_VALUE"""),6617.7852323)</f>
        <v>6617.785232</v>
      </c>
      <c r="O643" s="6">
        <f t="shared" si="4"/>
        <v>110</v>
      </c>
      <c r="P643" s="6">
        <f t="shared" ref="P643:Q643" si="1288">COUNTIFS(L:L,L643)</f>
        <v>51</v>
      </c>
      <c r="Q643" s="24">
        <f t="shared" si="1288"/>
        <v>13</v>
      </c>
      <c r="R643" s="6" t="str">
        <f t="shared" si="6"/>
        <v>Industrial Products</v>
      </c>
      <c r="S643" s="6" t="str">
        <f t="shared" si="7"/>
        <v>Industrial Products</v>
      </c>
      <c r="T643" s="6">
        <f>IFERROR(__xludf.DUMMYFUNCTION("COUNTA(UNIQUE(query($A$2:$P$800,""select L where K='""&amp; K643&amp;""'"")))"),5.0)</f>
        <v>5</v>
      </c>
      <c r="U643" s="23">
        <f t="shared" si="8"/>
        <v>0.06818181818</v>
      </c>
      <c r="V643" s="23">
        <f t="shared" ref="V643:W643" si="1289">P643/O643</f>
        <v>0.4636363636</v>
      </c>
      <c r="W643" s="23">
        <f t="shared" si="1289"/>
        <v>0.2549019608</v>
      </c>
    </row>
    <row r="644">
      <c r="A644" s="6">
        <f>IFERROR(__xludf.DUMMYFUNCTION("""COMPUTED_VALUE"""),530813.0)</f>
        <v>530813</v>
      </c>
      <c r="B644" s="6" t="str">
        <f>IFERROR(__xludf.DUMMYFUNCTION("""COMPUTED_VALUE"""),"KRBL Ltd.")</f>
        <v>KRBL Ltd.</v>
      </c>
      <c r="C644" s="6" t="str">
        <f>IFERROR(__xludf.DUMMYFUNCTION("""COMPUTED_VALUE"""),"KRBL")</f>
        <v>KRBL</v>
      </c>
      <c r="D644" s="6" t="str">
        <f>IFERROR(__xludf.DUMMYFUNCTION("""COMPUTED_VALUE"""),"KRBL LTD.")</f>
        <v>KRBL LTD.</v>
      </c>
      <c r="E644" s="6" t="str">
        <f>IFERROR(__xludf.DUMMYFUNCTION("""COMPUTED_VALUE"""),"Active")</f>
        <v>Active</v>
      </c>
      <c r="F644" s="6" t="str">
        <f>IFERROR(__xludf.DUMMYFUNCTION("""COMPUTED_VALUE"""),"A")</f>
        <v>A</v>
      </c>
      <c r="G644" s="6">
        <f>IFERROR(__xludf.DUMMYFUNCTION("""COMPUTED_VALUE"""),1.0)</f>
        <v>1</v>
      </c>
      <c r="H644" s="6" t="str">
        <f>IFERROR(__xludf.DUMMYFUNCTION("""COMPUTED_VALUE"""),"INE001B01026")</f>
        <v>INE001B01026</v>
      </c>
      <c r="I644" s="6" t="str">
        <f>IFERROR(__xludf.DUMMYFUNCTION("""COMPUTED_VALUE"""),"Equity")</f>
        <v>Equity</v>
      </c>
      <c r="J644" s="6" t="str">
        <f>IFERROR(__xludf.DUMMYFUNCTION("""COMPUTED_VALUE"""),"Fast Moving Consumer Goods")</f>
        <v>Fast Moving Consumer Goods</v>
      </c>
      <c r="K644" s="6" t="str">
        <f>IFERROR(__xludf.DUMMYFUNCTION("""COMPUTED_VALUE"""),"Fast Moving Consumer Goods")</f>
        <v>Fast Moving Consumer Goods</v>
      </c>
      <c r="L644" s="6" t="str">
        <f>IFERROR(__xludf.DUMMYFUNCTION("""COMPUTED_VALUE"""),"Agricultural Food &amp; other Products")</f>
        <v>Agricultural Food &amp; other Products</v>
      </c>
      <c r="M644" s="6" t="str">
        <f>IFERROR(__xludf.DUMMYFUNCTION("""COMPUTED_VALUE"""),"Other Agricultural Products")</f>
        <v>Other Agricultural Products</v>
      </c>
      <c r="N644" s="5">
        <f>IFERROR(__xludf.DUMMYFUNCTION("""COMPUTED_VALUE"""),6579.384292)</f>
        <v>6579.384292</v>
      </c>
      <c r="O644" s="6">
        <f t="shared" si="4"/>
        <v>44</v>
      </c>
      <c r="P644" s="6">
        <f t="shared" ref="P644:Q644" si="1290">COUNTIFS(L:L,L644)</f>
        <v>14</v>
      </c>
      <c r="Q644" s="24">
        <f t="shared" si="1290"/>
        <v>4</v>
      </c>
      <c r="R644" s="6" t="str">
        <f t="shared" si="6"/>
        <v>Fast Moving Consumer Goods</v>
      </c>
      <c r="S644" s="6" t="str">
        <f t="shared" si="7"/>
        <v>Fast Moving Consumer Goods</v>
      </c>
      <c r="T644" s="6">
        <f>IFERROR(__xludf.DUMMYFUNCTION("COUNTA(UNIQUE(query($A$2:$P$800,""select L where K='""&amp; K644&amp;""'"")))"),7.0)</f>
        <v>7</v>
      </c>
      <c r="U644" s="23">
        <f t="shared" si="8"/>
        <v>0.2386363636</v>
      </c>
      <c r="V644" s="23">
        <f t="shared" ref="V644:W644" si="1291">P644/O644</f>
        <v>0.3181818182</v>
      </c>
      <c r="W644" s="23">
        <f t="shared" si="1291"/>
        <v>0.2857142857</v>
      </c>
    </row>
    <row r="645">
      <c r="A645" s="6">
        <f>IFERROR(__xludf.DUMMYFUNCTION("""COMPUTED_VALUE"""),506655.0)</f>
        <v>506655</v>
      </c>
      <c r="B645" s="6" t="str">
        <f>IFERROR(__xludf.DUMMYFUNCTION("""COMPUTED_VALUE"""),"Sudarshan Chemical Indus. Ltd.")</f>
        <v>Sudarshan Chemical Indus. Ltd.</v>
      </c>
      <c r="C645" s="6" t="str">
        <f>IFERROR(__xludf.DUMMYFUNCTION("""COMPUTED_VALUE"""),"SUDARSCHEM")</f>
        <v>SUDARSCHEM</v>
      </c>
      <c r="D645" s="6" t="str">
        <f>IFERROR(__xludf.DUMMYFUNCTION("""COMPUTED_VALUE"""),"SUDARSHAN CHEMICAL INDUSTRIES LTD.")</f>
        <v>SUDARSHAN CHEMICAL INDUSTRIES LTD.</v>
      </c>
      <c r="E645" s="6" t="str">
        <f>IFERROR(__xludf.DUMMYFUNCTION("""COMPUTED_VALUE"""),"Active")</f>
        <v>Active</v>
      </c>
      <c r="F645" s="6" t="str">
        <f>IFERROR(__xludf.DUMMYFUNCTION("""COMPUTED_VALUE"""),"A")</f>
        <v>A</v>
      </c>
      <c r="G645" s="6">
        <f>IFERROR(__xludf.DUMMYFUNCTION("""COMPUTED_VALUE"""),2.0)</f>
        <v>2</v>
      </c>
      <c r="H645" s="6" t="str">
        <f>IFERROR(__xludf.DUMMYFUNCTION("""COMPUTED_VALUE"""),"INE659A01023")</f>
        <v>INE659A01023</v>
      </c>
      <c r="I645" s="6" t="str">
        <f>IFERROR(__xludf.DUMMYFUNCTION("""COMPUTED_VALUE"""),"Equity")</f>
        <v>Equity</v>
      </c>
      <c r="J645" s="6" t="str">
        <f>IFERROR(__xludf.DUMMYFUNCTION("""COMPUTED_VALUE"""),"Commodities")</f>
        <v>Commodities</v>
      </c>
      <c r="K645" s="6" t="str">
        <f>IFERROR(__xludf.DUMMYFUNCTION("""COMPUTED_VALUE"""),"Chemicals")</f>
        <v>Chemicals</v>
      </c>
      <c r="L645" s="6" t="str">
        <f>IFERROR(__xludf.DUMMYFUNCTION("""COMPUTED_VALUE"""),"Chemicals &amp; Petrochemicals")</f>
        <v>Chemicals &amp; Petrochemicals</v>
      </c>
      <c r="M645" s="6" t="str">
        <f>IFERROR(__xludf.DUMMYFUNCTION("""COMPUTED_VALUE"""),"Dyes And Pigments")</f>
        <v>Dyes And Pigments</v>
      </c>
      <c r="N645" s="5">
        <f>IFERROR(__xludf.DUMMYFUNCTION("""COMPUTED_VALUE"""),6554.2739888)</f>
        <v>6554.273989</v>
      </c>
      <c r="O645" s="6">
        <f t="shared" si="4"/>
        <v>52</v>
      </c>
      <c r="P645" s="6">
        <f t="shared" ref="P645:Q645" si="1292">COUNTIFS(L:L,L645)</f>
        <v>37</v>
      </c>
      <c r="Q645" s="24">
        <f t="shared" si="1292"/>
        <v>1</v>
      </c>
      <c r="R645" s="6" t="str">
        <f t="shared" si="6"/>
        <v>Chemicals</v>
      </c>
      <c r="S645" s="6" t="str">
        <f t="shared" si="7"/>
        <v>Chemicals</v>
      </c>
      <c r="T645" s="6">
        <f>IFERROR(__xludf.DUMMYFUNCTION("COUNTA(UNIQUE(query($A$2:$P$800,""select L where K='""&amp; K645&amp;""'"")))"),2.0)</f>
        <v>2</v>
      </c>
      <c r="U645" s="23">
        <f t="shared" si="8"/>
        <v>0.05769230769</v>
      </c>
      <c r="V645" s="23">
        <f t="shared" ref="V645:W645" si="1293">P645/O645</f>
        <v>0.7115384615</v>
      </c>
      <c r="W645" s="23">
        <f t="shared" si="1293"/>
        <v>0.02702702703</v>
      </c>
    </row>
    <row r="646">
      <c r="A646" s="6">
        <f>IFERROR(__xludf.DUMMYFUNCTION("""COMPUTED_VALUE"""),543258.0)</f>
        <v>543258</v>
      </c>
      <c r="B646" s="6" t="str">
        <f>IFERROR(__xludf.DUMMYFUNCTION("""COMPUTED_VALUE"""),"Indigo Paints Limited")</f>
        <v>Indigo Paints Limited</v>
      </c>
      <c r="C646" s="6" t="str">
        <f>IFERROR(__xludf.DUMMYFUNCTION("""COMPUTED_VALUE"""),"INDIGOPNTS")</f>
        <v>INDIGOPNTS</v>
      </c>
      <c r="D646" s="6" t="str">
        <f>IFERROR(__xludf.DUMMYFUNCTION("""COMPUTED_VALUE"""),"Indigo Paints Ltd")</f>
        <v>Indigo Paints Ltd</v>
      </c>
      <c r="E646" s="6" t="str">
        <f>IFERROR(__xludf.DUMMYFUNCTION("""COMPUTED_VALUE"""),"Active")</f>
        <v>Active</v>
      </c>
      <c r="F646" s="6" t="str">
        <f>IFERROR(__xludf.DUMMYFUNCTION("""COMPUTED_VALUE"""),"A")</f>
        <v>A</v>
      </c>
      <c r="G646" s="6">
        <f>IFERROR(__xludf.DUMMYFUNCTION("""COMPUTED_VALUE"""),10.0)</f>
        <v>10</v>
      </c>
      <c r="H646" s="6" t="str">
        <f>IFERROR(__xludf.DUMMYFUNCTION("""COMPUTED_VALUE"""),"INE09VQ01012")</f>
        <v>INE09VQ01012</v>
      </c>
      <c r="I646" s="6" t="str">
        <f>IFERROR(__xludf.DUMMYFUNCTION("""COMPUTED_VALUE"""),"Equity")</f>
        <v>Equity</v>
      </c>
      <c r="J646" s="6" t="str">
        <f>IFERROR(__xludf.DUMMYFUNCTION("""COMPUTED_VALUE"""),"Consumer Discretionary")</f>
        <v>Consumer Discretionary</v>
      </c>
      <c r="K646" s="6" t="str">
        <f>IFERROR(__xludf.DUMMYFUNCTION("""COMPUTED_VALUE"""),"Consumer Durables")</f>
        <v>Consumer Durables</v>
      </c>
      <c r="L646" s="6" t="str">
        <f>IFERROR(__xludf.DUMMYFUNCTION("""COMPUTED_VALUE"""),"Consumer Durables")</f>
        <v>Consumer Durables</v>
      </c>
      <c r="M646" s="6" t="str">
        <f>IFERROR(__xludf.DUMMYFUNCTION("""COMPUTED_VALUE"""),"Paints")</f>
        <v>Paints</v>
      </c>
      <c r="N646" s="5">
        <f>IFERROR(__xludf.DUMMYFUNCTION("""COMPUTED_VALUE"""),6551.903372)</f>
        <v>6551.903372</v>
      </c>
      <c r="O646" s="6">
        <f t="shared" si="4"/>
        <v>42</v>
      </c>
      <c r="P646" s="6">
        <f t="shared" ref="P646:Q646" si="1294">COUNTIFS(L:L,L646)</f>
        <v>42</v>
      </c>
      <c r="Q646" s="24">
        <f t="shared" si="1294"/>
        <v>5</v>
      </c>
      <c r="R646" s="6" t="str">
        <f t="shared" si="6"/>
        <v>Consumer Durables</v>
      </c>
      <c r="S646" s="6" t="str">
        <f t="shared" si="7"/>
        <v>Consumer Durables</v>
      </c>
      <c r="T646" s="6">
        <f>IFERROR(__xludf.DUMMYFUNCTION("COUNTA(UNIQUE(query($A$2:$P$800,""select L where K='""&amp; K646&amp;""'"")))"),1.0)</f>
        <v>1</v>
      </c>
      <c r="U646" s="23">
        <f t="shared" si="8"/>
        <v>0.03571428571</v>
      </c>
      <c r="V646" s="23">
        <f t="shared" ref="V646:W646" si="1295">P646/O646</f>
        <v>1</v>
      </c>
      <c r="W646" s="23">
        <f t="shared" si="1295"/>
        <v>0.119047619</v>
      </c>
    </row>
    <row r="647">
      <c r="A647" s="6">
        <f>IFERROR(__xludf.DUMMYFUNCTION("""COMPUTED_VALUE"""),542773.0)</f>
        <v>542773</v>
      </c>
      <c r="B647" s="6" t="str">
        <f>IFERROR(__xludf.DUMMYFUNCTION("""COMPUTED_VALUE"""),"IIFL Securities Limited")</f>
        <v>IIFL Securities Limited</v>
      </c>
      <c r="C647" s="6" t="str">
        <f>IFERROR(__xludf.DUMMYFUNCTION("""COMPUTED_VALUE"""),"IIFLSEC")</f>
        <v>IIFLSEC</v>
      </c>
      <c r="D647" s="6" t="str">
        <f>IFERROR(__xludf.DUMMYFUNCTION("""COMPUTED_VALUE"""),"IIFL Securities Ltd")</f>
        <v>IIFL Securities Ltd</v>
      </c>
      <c r="E647" s="6" t="str">
        <f>IFERROR(__xludf.DUMMYFUNCTION("""COMPUTED_VALUE"""),"Active")</f>
        <v>Active</v>
      </c>
      <c r="F647" s="6" t="str">
        <f>IFERROR(__xludf.DUMMYFUNCTION("""COMPUTED_VALUE"""),"B")</f>
        <v>B</v>
      </c>
      <c r="G647" s="6">
        <f>IFERROR(__xludf.DUMMYFUNCTION("""COMPUTED_VALUE"""),2.0)</f>
        <v>2</v>
      </c>
      <c r="H647" s="6" t="str">
        <f>IFERROR(__xludf.DUMMYFUNCTION("""COMPUTED_VALUE"""),"INE489L01022")</f>
        <v>INE489L01022</v>
      </c>
      <c r="I647" s="6" t="str">
        <f>IFERROR(__xludf.DUMMYFUNCTION("""COMPUTED_VALUE"""),"Equity")</f>
        <v>Equity</v>
      </c>
      <c r="J647" s="6" t="str">
        <f>IFERROR(__xludf.DUMMYFUNCTION("""COMPUTED_VALUE"""),"Financial Services")</f>
        <v>Financial Services</v>
      </c>
      <c r="K647" s="6" t="str">
        <f>IFERROR(__xludf.DUMMYFUNCTION("""COMPUTED_VALUE"""),"Financial Services")</f>
        <v>Financial Services</v>
      </c>
      <c r="L647" s="6" t="str">
        <f>IFERROR(__xludf.DUMMYFUNCTION("""COMPUTED_VALUE"""),"Capital Markets")</f>
        <v>Capital Markets</v>
      </c>
      <c r="M647" s="6" t="str">
        <f>IFERROR(__xludf.DUMMYFUNCTION("""COMPUTED_VALUE"""),"Stockbroking &amp; Allied")</f>
        <v>Stockbroking &amp; Allied</v>
      </c>
      <c r="N647" s="5">
        <f>IFERROR(__xludf.DUMMYFUNCTION("""COMPUTED_VALUE"""),6547.3456561)</f>
        <v>6547.345656</v>
      </c>
      <c r="O647" s="6">
        <f t="shared" si="4"/>
        <v>123</v>
      </c>
      <c r="P647" s="6">
        <f t="shared" ref="P647:Q647" si="1296">COUNTIFS(L:L,L647)</f>
        <v>19</v>
      </c>
      <c r="Q647" s="24">
        <f t="shared" si="1296"/>
        <v>6</v>
      </c>
      <c r="R647" s="6" t="str">
        <f t="shared" si="6"/>
        <v>Capital Markets</v>
      </c>
      <c r="S647" s="6" t="str">
        <f t="shared" si="7"/>
        <v>Capital Markets</v>
      </c>
      <c r="T647" s="6">
        <f>IFERROR(__xludf.DUMMYFUNCTION("COUNTA(UNIQUE(query($A$2:$P$800,""select L where K='""&amp; K647&amp;""'"")))"),5.0)</f>
        <v>5</v>
      </c>
      <c r="U647" s="23">
        <f t="shared" si="8"/>
        <v>0.06097560976</v>
      </c>
      <c r="V647" s="23">
        <f t="shared" ref="V647:W647" si="1297">P647/O647</f>
        <v>0.1544715447</v>
      </c>
      <c r="W647" s="23">
        <f t="shared" si="1297"/>
        <v>0.3157894737</v>
      </c>
    </row>
    <row r="648">
      <c r="A648" s="6">
        <f>IFERROR(__xludf.DUMMYFUNCTION("""COMPUTED_VALUE"""),532940.0)</f>
        <v>532940</v>
      </c>
      <c r="B648" s="6" t="str">
        <f>IFERROR(__xludf.DUMMYFUNCTION("""COMPUTED_VALUE"""),"J. Kumar Infraprojects Limited")</f>
        <v>J. Kumar Infraprojects Limited</v>
      </c>
      <c r="C648" s="6" t="str">
        <f>IFERROR(__xludf.DUMMYFUNCTION("""COMPUTED_VALUE"""),"JKIL")</f>
        <v>JKIL</v>
      </c>
      <c r="D648" s="6" t="str">
        <f>IFERROR(__xludf.DUMMYFUNCTION("""COMPUTED_VALUE"""),"J.KUMAR INFRAPROJECTS LTD.")</f>
        <v>J.KUMAR INFRAPROJECTS LTD.</v>
      </c>
      <c r="E648" s="6" t="str">
        <f>IFERROR(__xludf.DUMMYFUNCTION("""COMPUTED_VALUE"""),"Active")</f>
        <v>Active</v>
      </c>
      <c r="F648" s="6" t="str">
        <f>IFERROR(__xludf.DUMMYFUNCTION("""COMPUTED_VALUE"""),"A")</f>
        <v>A</v>
      </c>
      <c r="G648" s="6">
        <f>IFERROR(__xludf.DUMMYFUNCTION("""COMPUTED_VALUE"""),5.0)</f>
        <v>5</v>
      </c>
      <c r="H648" s="6" t="str">
        <f>IFERROR(__xludf.DUMMYFUNCTION("""COMPUTED_VALUE"""),"INE576I01022")</f>
        <v>INE576I01022</v>
      </c>
      <c r="I648" s="6" t="str">
        <f>IFERROR(__xludf.DUMMYFUNCTION("""COMPUTED_VALUE"""),"Equity")</f>
        <v>Equity</v>
      </c>
      <c r="J648" s="6" t="str">
        <f>IFERROR(__xludf.DUMMYFUNCTION("""COMPUTED_VALUE"""),"Industrials")</f>
        <v>Industrials</v>
      </c>
      <c r="K648" s="6" t="str">
        <f>IFERROR(__xludf.DUMMYFUNCTION("""COMPUTED_VALUE"""),"Construction")</f>
        <v>Construction</v>
      </c>
      <c r="L648" s="6" t="str">
        <f>IFERROR(__xludf.DUMMYFUNCTION("""COMPUTED_VALUE"""),"Construction")</f>
        <v>Construction</v>
      </c>
      <c r="M648" s="6" t="str">
        <f>IFERROR(__xludf.DUMMYFUNCTION("""COMPUTED_VALUE"""),"Civil Construction")</f>
        <v>Civil Construction</v>
      </c>
      <c r="N648" s="5">
        <f>IFERROR(__xludf.DUMMYFUNCTION("""COMPUTED_VALUE"""),6515.1197896)</f>
        <v>6515.11979</v>
      </c>
      <c r="O648" s="6">
        <f t="shared" si="4"/>
        <v>27</v>
      </c>
      <c r="P648" s="6">
        <f t="shared" ref="P648:Q648" si="1298">COUNTIFS(L:L,L648)</f>
        <v>27</v>
      </c>
      <c r="Q648" s="24">
        <f t="shared" si="1298"/>
        <v>27</v>
      </c>
      <c r="R648" s="6" t="str">
        <f t="shared" si="6"/>
        <v>Construction</v>
      </c>
      <c r="S648" s="6" t="str">
        <f t="shared" si="7"/>
        <v>Construction</v>
      </c>
      <c r="T648" s="6">
        <f>IFERROR(__xludf.DUMMYFUNCTION("COUNTA(UNIQUE(query($A$2:$P$800,""select L where K='""&amp; K648&amp;""'"")))"),1.0)</f>
        <v>1</v>
      </c>
      <c r="U648" s="23">
        <f t="shared" si="8"/>
        <v>0.05555555556</v>
      </c>
      <c r="V648" s="23">
        <f t="shared" ref="V648:W648" si="1299">P648/O648</f>
        <v>1</v>
      </c>
      <c r="W648" s="23">
        <f t="shared" si="1299"/>
        <v>1</v>
      </c>
    </row>
    <row r="649">
      <c r="A649" s="6">
        <f>IFERROR(__xludf.DUMMYFUNCTION("""COMPUTED_VALUE"""),540673.0)</f>
        <v>540673</v>
      </c>
      <c r="B649" s="6" t="str">
        <f>IFERROR(__xludf.DUMMYFUNCTION("""COMPUTED_VALUE"""),"SIS LIMITED")</f>
        <v>SIS LIMITED</v>
      </c>
      <c r="C649" s="6" t="str">
        <f>IFERROR(__xludf.DUMMYFUNCTION("""COMPUTED_VALUE"""),"SIS")</f>
        <v>SIS</v>
      </c>
      <c r="D649" s="6" t="str">
        <f>IFERROR(__xludf.DUMMYFUNCTION("""COMPUTED_VALUE"""),"SIS Ltd")</f>
        <v>SIS Ltd</v>
      </c>
      <c r="E649" s="6" t="str">
        <f>IFERROR(__xludf.DUMMYFUNCTION("""COMPUTED_VALUE"""),"Active")</f>
        <v>Active</v>
      </c>
      <c r="F649" s="6" t="str">
        <f>IFERROR(__xludf.DUMMYFUNCTION("""COMPUTED_VALUE"""),"A")</f>
        <v>A</v>
      </c>
      <c r="G649" s="6">
        <f>IFERROR(__xludf.DUMMYFUNCTION("""COMPUTED_VALUE"""),5.0)</f>
        <v>5</v>
      </c>
      <c r="H649" s="6" t="str">
        <f>IFERROR(__xludf.DUMMYFUNCTION("""COMPUTED_VALUE"""),"INE285J01028")</f>
        <v>INE285J01028</v>
      </c>
      <c r="I649" s="6" t="str">
        <f>IFERROR(__xludf.DUMMYFUNCTION("""COMPUTED_VALUE"""),"Equity")</f>
        <v>Equity</v>
      </c>
      <c r="J649" s="6" t="str">
        <f>IFERROR(__xludf.DUMMYFUNCTION("""COMPUTED_VALUE"""),"Services")</f>
        <v>Services</v>
      </c>
      <c r="K649" s="6" t="str">
        <f>IFERROR(__xludf.DUMMYFUNCTION("""COMPUTED_VALUE"""),"Services")</f>
        <v>Services</v>
      </c>
      <c r="L649" s="6" t="str">
        <f>IFERROR(__xludf.DUMMYFUNCTION("""COMPUTED_VALUE"""),"Commercial Services &amp; Supplies")</f>
        <v>Commercial Services &amp; Supplies</v>
      </c>
      <c r="M649" s="6" t="str">
        <f>IFERROR(__xludf.DUMMYFUNCTION("""COMPUTED_VALUE"""),"Diversified Commercial Services")</f>
        <v>Diversified Commercial Services</v>
      </c>
      <c r="N649" s="5">
        <f>IFERROR(__xludf.DUMMYFUNCTION("""COMPUTED_VALUE"""),6493.0826828)</f>
        <v>6493.082683</v>
      </c>
      <c r="O649" s="6">
        <f t="shared" si="4"/>
        <v>27</v>
      </c>
      <c r="P649" s="6">
        <f t="shared" ref="P649:Q649" si="1300">COUNTIFS(L:L,L649)</f>
        <v>11</v>
      </c>
      <c r="Q649" s="24">
        <f t="shared" si="1300"/>
        <v>6</v>
      </c>
      <c r="R649" s="6" t="str">
        <f t="shared" si="6"/>
        <v>Services</v>
      </c>
      <c r="S649" s="6" t="str">
        <f t="shared" si="7"/>
        <v>Services</v>
      </c>
      <c r="T649" s="6">
        <f>IFERROR(__xludf.DUMMYFUNCTION("COUNTA(UNIQUE(query($A$2:$P$800,""select L where K='""&amp; K649&amp;""'"")))"),3.0)</f>
        <v>3</v>
      </c>
      <c r="U649" s="23">
        <f t="shared" si="8"/>
        <v>0.1666666667</v>
      </c>
      <c r="V649" s="23">
        <f t="shared" ref="V649:W649" si="1301">P649/O649</f>
        <v>0.4074074074</v>
      </c>
      <c r="W649" s="23">
        <f t="shared" si="1301"/>
        <v>0.5454545455</v>
      </c>
    </row>
    <row r="650">
      <c r="A650" s="6">
        <f>IFERROR(__xludf.DUMMYFUNCTION("""COMPUTED_VALUE"""),502937.0)</f>
        <v>502937</v>
      </c>
      <c r="B650" s="6" t="str">
        <f>IFERROR(__xludf.DUMMYFUNCTION("""COMPUTED_VALUE"""),"Kesoram Industries Ltd")</f>
        <v>Kesoram Industries Ltd</v>
      </c>
      <c r="C650" s="6" t="str">
        <f>IFERROR(__xludf.DUMMYFUNCTION("""COMPUTED_VALUE"""),"KESORAMIND")</f>
        <v>KESORAMIND</v>
      </c>
      <c r="D650" s="6" t="str">
        <f>IFERROR(__xludf.DUMMYFUNCTION("""COMPUTED_VALUE"""),"KESORAM INDUSTRIES LTD.")</f>
        <v>KESORAM INDUSTRIES LTD.</v>
      </c>
      <c r="E650" s="6" t="str">
        <f>IFERROR(__xludf.DUMMYFUNCTION("""COMPUTED_VALUE"""),"Active")</f>
        <v>Active</v>
      </c>
      <c r="F650" s="6" t="str">
        <f>IFERROR(__xludf.DUMMYFUNCTION("""COMPUTED_VALUE"""),"A")</f>
        <v>A</v>
      </c>
      <c r="G650" s="6">
        <f>IFERROR(__xludf.DUMMYFUNCTION("""COMPUTED_VALUE"""),10.0)</f>
        <v>10</v>
      </c>
      <c r="H650" s="6" t="str">
        <f>IFERROR(__xludf.DUMMYFUNCTION("""COMPUTED_VALUE"""),"INE087A01019")</f>
        <v>INE087A01019</v>
      </c>
      <c r="I650" s="6" t="str">
        <f>IFERROR(__xludf.DUMMYFUNCTION("""COMPUTED_VALUE"""),"Equity")</f>
        <v>Equity</v>
      </c>
      <c r="J650" s="6" t="str">
        <f>IFERROR(__xludf.DUMMYFUNCTION("""COMPUTED_VALUE"""),"Commodities")</f>
        <v>Commodities</v>
      </c>
      <c r="K650" s="6" t="str">
        <f>IFERROR(__xludf.DUMMYFUNCTION("""COMPUTED_VALUE"""),"Construction Materials")</f>
        <v>Construction Materials</v>
      </c>
      <c r="L650" s="6" t="str">
        <f>IFERROR(__xludf.DUMMYFUNCTION("""COMPUTED_VALUE"""),"Cement &amp; Cement Products")</f>
        <v>Cement &amp; Cement Products</v>
      </c>
      <c r="M650" s="6" t="str">
        <f>IFERROR(__xludf.DUMMYFUNCTION("""COMPUTED_VALUE"""),"Cement &amp; Cement Products")</f>
        <v>Cement &amp; Cement Products</v>
      </c>
      <c r="N650" s="5">
        <f>IFERROR(__xludf.DUMMYFUNCTION("""COMPUTED_VALUE"""),6479.7648587)</f>
        <v>6479.764859</v>
      </c>
      <c r="O650" s="6">
        <f t="shared" si="4"/>
        <v>17</v>
      </c>
      <c r="P650" s="6">
        <f t="shared" ref="P650:Q650" si="1302">COUNTIFS(L:L,L650)</f>
        <v>17</v>
      </c>
      <c r="Q650" s="24">
        <f t="shared" si="1302"/>
        <v>17</v>
      </c>
      <c r="R650" s="6" t="str">
        <f t="shared" si="6"/>
        <v>Construction Materials</v>
      </c>
      <c r="S650" s="6" t="str">
        <f t="shared" si="7"/>
        <v>Construction Materials</v>
      </c>
      <c r="T650" s="6">
        <f>IFERROR(__xludf.DUMMYFUNCTION("COUNTA(UNIQUE(query($A$2:$P$800,""select L where K='""&amp; K650&amp;""'"")))"),1.0)</f>
        <v>1</v>
      </c>
      <c r="U650" s="23">
        <f t="shared" si="8"/>
        <v>0.08823529412</v>
      </c>
      <c r="V650" s="23">
        <f t="shared" ref="V650:W650" si="1303">P650/O650</f>
        <v>1</v>
      </c>
      <c r="W650" s="23">
        <f t="shared" si="1303"/>
        <v>1</v>
      </c>
    </row>
    <row r="651">
      <c r="A651" s="6">
        <f>IFERROR(__xludf.DUMMYFUNCTION("""COMPUTED_VALUE"""),505355.0)</f>
        <v>505355</v>
      </c>
      <c r="B651" s="6" t="str">
        <f>IFERROR(__xludf.DUMMYFUNCTION("""COMPUTED_VALUE"""),"Nesco Ltd")</f>
        <v>Nesco Ltd</v>
      </c>
      <c r="C651" s="6" t="str">
        <f>IFERROR(__xludf.DUMMYFUNCTION("""COMPUTED_VALUE"""),"NESCO")</f>
        <v>NESCO</v>
      </c>
      <c r="D651" s="6" t="str">
        <f>IFERROR(__xludf.DUMMYFUNCTION("""COMPUTED_VALUE"""),"NESCO LTD.")</f>
        <v>NESCO LTD.</v>
      </c>
      <c r="E651" s="6" t="str">
        <f>IFERROR(__xludf.DUMMYFUNCTION("""COMPUTED_VALUE"""),"Active")</f>
        <v>Active</v>
      </c>
      <c r="F651" s="6" t="str">
        <f>IFERROR(__xludf.DUMMYFUNCTION("""COMPUTED_VALUE"""),"A")</f>
        <v>A</v>
      </c>
      <c r="G651" s="6">
        <f>IFERROR(__xludf.DUMMYFUNCTION("""COMPUTED_VALUE"""),2.0)</f>
        <v>2</v>
      </c>
      <c r="H651" s="6" t="str">
        <f>IFERROR(__xludf.DUMMYFUNCTION("""COMPUTED_VALUE"""),"INE317F01035")</f>
        <v>INE317F01035</v>
      </c>
      <c r="I651" s="6" t="str">
        <f>IFERROR(__xludf.DUMMYFUNCTION("""COMPUTED_VALUE"""),"Equity")</f>
        <v>Equity</v>
      </c>
      <c r="J651" s="6" t="str">
        <f>IFERROR(__xludf.DUMMYFUNCTION("""COMPUTED_VALUE"""),"Services")</f>
        <v>Services</v>
      </c>
      <c r="K651" s="6" t="str">
        <f>IFERROR(__xludf.DUMMYFUNCTION("""COMPUTED_VALUE"""),"Services")</f>
        <v>Services</v>
      </c>
      <c r="L651" s="6" t="str">
        <f>IFERROR(__xludf.DUMMYFUNCTION("""COMPUTED_VALUE"""),"Commercial Services &amp; Supplies")</f>
        <v>Commercial Services &amp; Supplies</v>
      </c>
      <c r="M651" s="6" t="str">
        <f>IFERROR(__xludf.DUMMYFUNCTION("""COMPUTED_VALUE"""),"Diversified Commercial Services")</f>
        <v>Diversified Commercial Services</v>
      </c>
      <c r="N651" s="5">
        <f>IFERROR(__xludf.DUMMYFUNCTION("""COMPUTED_VALUE"""),6474.1558281)</f>
        <v>6474.155828</v>
      </c>
      <c r="O651" s="6">
        <f t="shared" si="4"/>
        <v>27</v>
      </c>
      <c r="P651" s="6">
        <f t="shared" ref="P651:Q651" si="1304">COUNTIFS(L:L,L651)</f>
        <v>11</v>
      </c>
      <c r="Q651" s="24">
        <f t="shared" si="1304"/>
        <v>6</v>
      </c>
      <c r="R651" s="6" t="str">
        <f t="shared" si="6"/>
        <v>Services</v>
      </c>
      <c r="S651" s="6" t="str">
        <f t="shared" si="7"/>
        <v>Services</v>
      </c>
      <c r="T651" s="6">
        <f>IFERROR(__xludf.DUMMYFUNCTION("COUNTA(UNIQUE(query($A$2:$P$800,""select L where K='""&amp; K651&amp;""'"")))"),3.0)</f>
        <v>3</v>
      </c>
      <c r="U651" s="23">
        <f t="shared" si="8"/>
        <v>0.1666666667</v>
      </c>
      <c r="V651" s="23">
        <f t="shared" ref="V651:W651" si="1305">P651/O651</f>
        <v>0.4074074074</v>
      </c>
      <c r="W651" s="23">
        <f t="shared" si="1305"/>
        <v>0.5454545455</v>
      </c>
    </row>
    <row r="652">
      <c r="A652" s="6">
        <f>IFERROR(__xludf.DUMMYFUNCTION("""COMPUTED_VALUE"""),542867.0)</f>
        <v>542867</v>
      </c>
      <c r="B652" s="6" t="str">
        <f>IFERROR(__xludf.DUMMYFUNCTION("""COMPUTED_VALUE"""),"CSB Bank Limited")</f>
        <v>CSB Bank Limited</v>
      </c>
      <c r="C652" s="6" t="str">
        <f>IFERROR(__xludf.DUMMYFUNCTION("""COMPUTED_VALUE"""),"CSBBANK")</f>
        <v>CSBBANK</v>
      </c>
      <c r="D652" s="6" t="str">
        <f>IFERROR(__xludf.DUMMYFUNCTION("""COMPUTED_VALUE"""),"CSB Bank Ltd")</f>
        <v>CSB Bank Ltd</v>
      </c>
      <c r="E652" s="6" t="str">
        <f>IFERROR(__xludf.DUMMYFUNCTION("""COMPUTED_VALUE"""),"Active")</f>
        <v>Active</v>
      </c>
      <c r="F652" s="6" t="str">
        <f>IFERROR(__xludf.DUMMYFUNCTION("""COMPUTED_VALUE"""),"A")</f>
        <v>A</v>
      </c>
      <c r="G652" s="6">
        <f>IFERROR(__xludf.DUMMYFUNCTION("""COMPUTED_VALUE"""),10.0)</f>
        <v>10</v>
      </c>
      <c r="H652" s="6" t="str">
        <f>IFERROR(__xludf.DUMMYFUNCTION("""COMPUTED_VALUE"""),"INE679A01013")</f>
        <v>INE679A01013</v>
      </c>
      <c r="I652" s="6" t="str">
        <f>IFERROR(__xludf.DUMMYFUNCTION("""COMPUTED_VALUE"""),"Equity")</f>
        <v>Equity</v>
      </c>
      <c r="J652" s="6" t="str">
        <f>IFERROR(__xludf.DUMMYFUNCTION("""COMPUTED_VALUE"""),"Financial Services")</f>
        <v>Financial Services</v>
      </c>
      <c r="K652" s="6" t="str">
        <f>IFERROR(__xludf.DUMMYFUNCTION("""COMPUTED_VALUE"""),"Financial Services")</f>
        <v>Financial Services</v>
      </c>
      <c r="L652" s="6" t="str">
        <f>IFERROR(__xludf.DUMMYFUNCTION("""COMPUTED_VALUE"""),"Banks")</f>
        <v>Banks</v>
      </c>
      <c r="M652" s="6" t="str">
        <f>IFERROR(__xludf.DUMMYFUNCTION("""COMPUTED_VALUE"""),"Private Sector Bank")</f>
        <v>Private Sector Bank</v>
      </c>
      <c r="N652" s="5">
        <f>IFERROR(__xludf.DUMMYFUNCTION("""COMPUTED_VALUE"""),6466.7298394)</f>
        <v>6466.729839</v>
      </c>
      <c r="O652" s="6">
        <f t="shared" si="4"/>
        <v>123</v>
      </c>
      <c r="P652" s="6">
        <f t="shared" ref="P652:Q652" si="1306">COUNTIFS(L:L,L652)</f>
        <v>35</v>
      </c>
      <c r="Q652" s="24">
        <f t="shared" si="1306"/>
        <v>23</v>
      </c>
      <c r="R652" s="6" t="str">
        <f t="shared" si="6"/>
        <v>Banks</v>
      </c>
      <c r="S652" s="6" t="str">
        <f t="shared" si="7"/>
        <v>Banks</v>
      </c>
      <c r="T652" s="6">
        <f>IFERROR(__xludf.DUMMYFUNCTION("COUNTA(UNIQUE(query($A$2:$P$800,""select L where K='""&amp; K652&amp;""'"")))"),5.0)</f>
        <v>5</v>
      </c>
      <c r="U652" s="23">
        <f t="shared" si="8"/>
        <v>0.06097560976</v>
      </c>
      <c r="V652" s="23">
        <f t="shared" ref="V652:W652" si="1307">P652/O652</f>
        <v>0.2845528455</v>
      </c>
      <c r="W652" s="23">
        <f t="shared" si="1307"/>
        <v>0.6571428571</v>
      </c>
    </row>
    <row r="653">
      <c r="A653" s="6">
        <f>IFERROR(__xludf.DUMMYFUNCTION("""COMPUTED_VALUE"""),523630.0)</f>
        <v>523630</v>
      </c>
      <c r="B653" s="6" t="str">
        <f>IFERROR(__xludf.DUMMYFUNCTION("""COMPUTED_VALUE"""),"National Fertilizers Ltd.")</f>
        <v>National Fertilizers Ltd.</v>
      </c>
      <c r="C653" s="6" t="str">
        <f>IFERROR(__xludf.DUMMYFUNCTION("""COMPUTED_VALUE"""),"NFL")</f>
        <v>NFL</v>
      </c>
      <c r="D653" s="6" t="str">
        <f>IFERROR(__xludf.DUMMYFUNCTION("""COMPUTED_VALUE"""),"NATIONAL FERTILIZERS LTD.")</f>
        <v>NATIONAL FERTILIZERS LTD.</v>
      </c>
      <c r="E653" s="6" t="str">
        <f>IFERROR(__xludf.DUMMYFUNCTION("""COMPUTED_VALUE"""),"Active")</f>
        <v>Active</v>
      </c>
      <c r="F653" s="6" t="str">
        <f>IFERROR(__xludf.DUMMYFUNCTION("""COMPUTED_VALUE"""),"A")</f>
        <v>A</v>
      </c>
      <c r="G653" s="6">
        <f>IFERROR(__xludf.DUMMYFUNCTION("""COMPUTED_VALUE"""),10.0)</f>
        <v>10</v>
      </c>
      <c r="H653" s="6" t="str">
        <f>IFERROR(__xludf.DUMMYFUNCTION("""COMPUTED_VALUE"""),"INE870D01012")</f>
        <v>INE870D01012</v>
      </c>
      <c r="I653" s="6" t="str">
        <f>IFERROR(__xludf.DUMMYFUNCTION("""COMPUTED_VALUE"""),"Equity")</f>
        <v>Equity</v>
      </c>
      <c r="J653" s="6" t="str">
        <f>IFERROR(__xludf.DUMMYFUNCTION("""COMPUTED_VALUE"""),"Commodities")</f>
        <v>Commodities</v>
      </c>
      <c r="K653" s="6" t="str">
        <f>IFERROR(__xludf.DUMMYFUNCTION("""COMPUTED_VALUE"""),"Chemicals")</f>
        <v>Chemicals</v>
      </c>
      <c r="L653" s="6" t="str">
        <f>IFERROR(__xludf.DUMMYFUNCTION("""COMPUTED_VALUE"""),"Fertilizers &amp; Agrochemicals")</f>
        <v>Fertilizers &amp; Agrochemicals</v>
      </c>
      <c r="M653" s="6" t="str">
        <f>IFERROR(__xludf.DUMMYFUNCTION("""COMPUTED_VALUE"""),"Fertilizers")</f>
        <v>Fertilizers</v>
      </c>
      <c r="N653" s="5">
        <f>IFERROR(__xludf.DUMMYFUNCTION("""COMPUTED_VALUE"""),6450.9499192)</f>
        <v>6450.949919</v>
      </c>
      <c r="O653" s="6">
        <f t="shared" si="4"/>
        <v>52</v>
      </c>
      <c r="P653" s="6">
        <f t="shared" ref="P653:Q653" si="1308">COUNTIFS(L:L,L653)</f>
        <v>15</v>
      </c>
      <c r="Q653" s="24">
        <f t="shared" si="1308"/>
        <v>8</v>
      </c>
      <c r="R653" s="6" t="str">
        <f t="shared" si="6"/>
        <v>Fertilizers &amp; Agrochemicals</v>
      </c>
      <c r="S653" s="6" t="str">
        <f t="shared" si="7"/>
        <v>Fertilizers &amp; Agrochemicals</v>
      </c>
      <c r="T653" s="6">
        <f>IFERROR(__xludf.DUMMYFUNCTION("COUNTA(UNIQUE(query($A$2:$P$800,""select L where K='""&amp; K653&amp;""'"")))"),2.0)</f>
        <v>2</v>
      </c>
      <c r="U653" s="23">
        <f t="shared" si="8"/>
        <v>0.05769230769</v>
      </c>
      <c r="V653" s="23">
        <f t="shared" ref="V653:W653" si="1309">P653/O653</f>
        <v>0.2884615385</v>
      </c>
      <c r="W653" s="23">
        <f t="shared" si="1309"/>
        <v>0.5333333333</v>
      </c>
    </row>
    <row r="654">
      <c r="A654" s="6">
        <f>IFERROR(__xludf.DUMMYFUNCTION("""COMPUTED_VALUE"""),533271.0)</f>
        <v>533271</v>
      </c>
      <c r="B654" s="6" t="str">
        <f>IFERROR(__xludf.DUMMYFUNCTION("""COMPUTED_VALUE"""),"Ashoka Buildcon Limited")</f>
        <v>Ashoka Buildcon Limited</v>
      </c>
      <c r="C654" s="6" t="str">
        <f>IFERROR(__xludf.DUMMYFUNCTION("""COMPUTED_VALUE"""),"ASHOKA")</f>
        <v>ASHOKA</v>
      </c>
      <c r="D654" s="6" t="str">
        <f>IFERROR(__xludf.DUMMYFUNCTION("""COMPUTED_VALUE"""),"ASHOKA BUILDCON LTD.")</f>
        <v>ASHOKA BUILDCON LTD.</v>
      </c>
      <c r="E654" s="6" t="str">
        <f>IFERROR(__xludf.DUMMYFUNCTION("""COMPUTED_VALUE"""),"Active")</f>
        <v>Active</v>
      </c>
      <c r="F654" s="6" t="str">
        <f>IFERROR(__xludf.DUMMYFUNCTION("""COMPUTED_VALUE"""),"A")</f>
        <v>A</v>
      </c>
      <c r="G654" s="6">
        <f>IFERROR(__xludf.DUMMYFUNCTION("""COMPUTED_VALUE"""),5.0)</f>
        <v>5</v>
      </c>
      <c r="H654" s="6" t="str">
        <f>IFERROR(__xludf.DUMMYFUNCTION("""COMPUTED_VALUE"""),"INE442H01029")</f>
        <v>INE442H01029</v>
      </c>
      <c r="I654" s="6" t="str">
        <f>IFERROR(__xludf.DUMMYFUNCTION("""COMPUTED_VALUE"""),"Equity")</f>
        <v>Equity</v>
      </c>
      <c r="J654" s="6" t="str">
        <f>IFERROR(__xludf.DUMMYFUNCTION("""COMPUTED_VALUE"""),"Industrials")</f>
        <v>Industrials</v>
      </c>
      <c r="K654" s="6" t="str">
        <f>IFERROR(__xludf.DUMMYFUNCTION("""COMPUTED_VALUE"""),"Construction")</f>
        <v>Construction</v>
      </c>
      <c r="L654" s="6" t="str">
        <f>IFERROR(__xludf.DUMMYFUNCTION("""COMPUTED_VALUE"""),"Construction")</f>
        <v>Construction</v>
      </c>
      <c r="M654" s="6" t="str">
        <f>IFERROR(__xludf.DUMMYFUNCTION("""COMPUTED_VALUE"""),"Civil Construction")</f>
        <v>Civil Construction</v>
      </c>
      <c r="N654" s="5">
        <f>IFERROR(__xludf.DUMMYFUNCTION("""COMPUTED_VALUE"""),6450.6516)</f>
        <v>6450.6516</v>
      </c>
      <c r="O654" s="6">
        <f t="shared" si="4"/>
        <v>27</v>
      </c>
      <c r="P654" s="6">
        <f t="shared" ref="P654:Q654" si="1310">COUNTIFS(L:L,L654)</f>
        <v>27</v>
      </c>
      <c r="Q654" s="24">
        <f t="shared" si="1310"/>
        <v>27</v>
      </c>
      <c r="R654" s="6" t="str">
        <f t="shared" si="6"/>
        <v>Construction</v>
      </c>
      <c r="S654" s="6" t="str">
        <f t="shared" si="7"/>
        <v>Construction</v>
      </c>
      <c r="T654" s="6">
        <f>IFERROR(__xludf.DUMMYFUNCTION("COUNTA(UNIQUE(query($A$2:$P$800,""select L where K='""&amp; K654&amp;""'"")))"),1.0)</f>
        <v>1</v>
      </c>
      <c r="U654" s="23">
        <f t="shared" si="8"/>
        <v>0.05555555556</v>
      </c>
      <c r="V654" s="23">
        <f t="shared" ref="V654:W654" si="1311">P654/O654</f>
        <v>1</v>
      </c>
      <c r="W654" s="23">
        <f t="shared" si="1311"/>
        <v>1</v>
      </c>
    </row>
    <row r="655">
      <c r="A655" s="6">
        <f>IFERROR(__xludf.DUMMYFUNCTION("""COMPUTED_VALUE"""),505726.0)</f>
        <v>505726</v>
      </c>
      <c r="B655" s="6" t="str">
        <f>IFERROR(__xludf.DUMMYFUNCTION("""COMPUTED_VALUE"""),"IFB Industries Limited")</f>
        <v>IFB Industries Limited</v>
      </c>
      <c r="C655" s="6" t="str">
        <f>IFERROR(__xludf.DUMMYFUNCTION("""COMPUTED_VALUE"""),"IFBIND")</f>
        <v>IFBIND</v>
      </c>
      <c r="D655" s="6" t="str">
        <f>IFERROR(__xludf.DUMMYFUNCTION("""COMPUTED_VALUE"""),"IFB INDUSTRIES LTD.")</f>
        <v>IFB INDUSTRIES LTD.</v>
      </c>
      <c r="E655" s="6" t="str">
        <f>IFERROR(__xludf.DUMMYFUNCTION("""COMPUTED_VALUE"""),"Active")</f>
        <v>Active</v>
      </c>
      <c r="F655" s="6" t="str">
        <f>IFERROR(__xludf.DUMMYFUNCTION("""COMPUTED_VALUE"""),"B")</f>
        <v>B</v>
      </c>
      <c r="G655" s="6">
        <f>IFERROR(__xludf.DUMMYFUNCTION("""COMPUTED_VALUE"""),10.0)</f>
        <v>10</v>
      </c>
      <c r="H655" s="6" t="str">
        <f>IFERROR(__xludf.DUMMYFUNCTION("""COMPUTED_VALUE"""),"INE559A01017")</f>
        <v>INE559A01017</v>
      </c>
      <c r="I655" s="6" t="str">
        <f>IFERROR(__xludf.DUMMYFUNCTION("""COMPUTED_VALUE"""),"Equity")</f>
        <v>Equity</v>
      </c>
      <c r="J655" s="6" t="str">
        <f>IFERROR(__xludf.DUMMYFUNCTION("""COMPUTED_VALUE"""),"Consumer Discretionary")</f>
        <v>Consumer Discretionary</v>
      </c>
      <c r="K655" s="6" t="str">
        <f>IFERROR(__xludf.DUMMYFUNCTION("""COMPUTED_VALUE"""),"Consumer Durables")</f>
        <v>Consumer Durables</v>
      </c>
      <c r="L655" s="6" t="str">
        <f>IFERROR(__xludf.DUMMYFUNCTION("""COMPUTED_VALUE"""),"Consumer Durables")</f>
        <v>Consumer Durables</v>
      </c>
      <c r="M655" s="6" t="str">
        <f>IFERROR(__xludf.DUMMYFUNCTION("""COMPUTED_VALUE"""),"Household Appliances")</f>
        <v>Household Appliances</v>
      </c>
      <c r="N655" s="5">
        <f>IFERROR(__xludf.DUMMYFUNCTION("""COMPUTED_VALUE"""),6436.169856)</f>
        <v>6436.169856</v>
      </c>
      <c r="O655" s="6">
        <f t="shared" si="4"/>
        <v>42</v>
      </c>
      <c r="P655" s="6">
        <f t="shared" ref="P655:Q655" si="1312">COUNTIFS(L:L,L655)</f>
        <v>42</v>
      </c>
      <c r="Q655" s="24">
        <f t="shared" si="1312"/>
        <v>13</v>
      </c>
      <c r="R655" s="6" t="str">
        <f t="shared" si="6"/>
        <v>Consumer Durables</v>
      </c>
      <c r="S655" s="6" t="str">
        <f t="shared" si="7"/>
        <v>Consumer Durables</v>
      </c>
      <c r="T655" s="6">
        <f>IFERROR(__xludf.DUMMYFUNCTION("COUNTA(UNIQUE(query($A$2:$P$800,""select L where K='""&amp; K655&amp;""'"")))"),1.0)</f>
        <v>1</v>
      </c>
      <c r="U655" s="23">
        <f t="shared" si="8"/>
        <v>0.03571428571</v>
      </c>
      <c r="V655" s="23">
        <f t="shared" ref="V655:W655" si="1313">P655/O655</f>
        <v>1</v>
      </c>
      <c r="W655" s="23">
        <f t="shared" si="1313"/>
        <v>0.3095238095</v>
      </c>
    </row>
    <row r="656">
      <c r="A656" s="6">
        <f>IFERROR(__xludf.DUMMYFUNCTION("""COMPUTED_VALUE"""),500355.0)</f>
        <v>500355</v>
      </c>
      <c r="B656" s="6" t="str">
        <f>IFERROR(__xludf.DUMMYFUNCTION("""COMPUTED_VALUE"""),"Rallis India Ltd")</f>
        <v>Rallis India Ltd</v>
      </c>
      <c r="C656" s="6" t="str">
        <f>IFERROR(__xludf.DUMMYFUNCTION("""COMPUTED_VALUE"""),"RALLIS")</f>
        <v>RALLIS</v>
      </c>
      <c r="D656" s="6" t="str">
        <f>IFERROR(__xludf.DUMMYFUNCTION("""COMPUTED_VALUE"""),"RALLIS INDIA LTD.")</f>
        <v>RALLIS INDIA LTD.</v>
      </c>
      <c r="E656" s="6" t="str">
        <f>IFERROR(__xludf.DUMMYFUNCTION("""COMPUTED_VALUE"""),"Active")</f>
        <v>Active</v>
      </c>
      <c r="F656" s="6" t="str">
        <f>IFERROR(__xludf.DUMMYFUNCTION("""COMPUTED_VALUE"""),"A")</f>
        <v>A</v>
      </c>
      <c r="G656" s="6">
        <f>IFERROR(__xludf.DUMMYFUNCTION("""COMPUTED_VALUE"""),1.0)</f>
        <v>1</v>
      </c>
      <c r="H656" s="6" t="str">
        <f>IFERROR(__xludf.DUMMYFUNCTION("""COMPUTED_VALUE"""),"INE613A01020")</f>
        <v>INE613A01020</v>
      </c>
      <c r="I656" s="6" t="str">
        <f>IFERROR(__xludf.DUMMYFUNCTION("""COMPUTED_VALUE"""),"Equity")</f>
        <v>Equity</v>
      </c>
      <c r="J656" s="6" t="str">
        <f>IFERROR(__xludf.DUMMYFUNCTION("""COMPUTED_VALUE"""),"Commodities")</f>
        <v>Commodities</v>
      </c>
      <c r="K656" s="6" t="str">
        <f>IFERROR(__xludf.DUMMYFUNCTION("""COMPUTED_VALUE"""),"Chemicals")</f>
        <v>Chemicals</v>
      </c>
      <c r="L656" s="6" t="str">
        <f>IFERROR(__xludf.DUMMYFUNCTION("""COMPUTED_VALUE"""),"Fertilizers &amp; Agrochemicals")</f>
        <v>Fertilizers &amp; Agrochemicals</v>
      </c>
      <c r="M656" s="6" t="str">
        <f>IFERROR(__xludf.DUMMYFUNCTION("""COMPUTED_VALUE"""),"Pesticides &amp; Agrochemicals")</f>
        <v>Pesticides &amp; Agrochemicals</v>
      </c>
      <c r="N656" s="5">
        <f>IFERROR(__xludf.DUMMYFUNCTION("""COMPUTED_VALUE"""),6410.5104746)</f>
        <v>6410.510475</v>
      </c>
      <c r="O656" s="6">
        <f t="shared" si="4"/>
        <v>52</v>
      </c>
      <c r="P656" s="6">
        <f t="shared" ref="P656:Q656" si="1314">COUNTIFS(L:L,L656)</f>
        <v>15</v>
      </c>
      <c r="Q656" s="24">
        <f t="shared" si="1314"/>
        <v>7</v>
      </c>
      <c r="R656" s="6" t="str">
        <f t="shared" si="6"/>
        <v>Fertilizers &amp; Agrochemicals</v>
      </c>
      <c r="S656" s="6" t="str">
        <f t="shared" si="7"/>
        <v>Fertilizers &amp; Agrochemicals</v>
      </c>
      <c r="T656" s="6">
        <f>IFERROR(__xludf.DUMMYFUNCTION("COUNTA(UNIQUE(query($A$2:$P$800,""select L where K='""&amp; K656&amp;""'"")))"),2.0)</f>
        <v>2</v>
      </c>
      <c r="U656" s="23">
        <f t="shared" si="8"/>
        <v>0.05769230769</v>
      </c>
      <c r="V656" s="23">
        <f t="shared" ref="V656:W656" si="1315">P656/O656</f>
        <v>0.2884615385</v>
      </c>
      <c r="W656" s="23">
        <f t="shared" si="1315"/>
        <v>0.4666666667</v>
      </c>
    </row>
    <row r="657">
      <c r="A657" s="6">
        <f>IFERROR(__xludf.DUMMYFUNCTION("""COMPUTED_VALUE"""),532735.0)</f>
        <v>532735</v>
      </c>
      <c r="B657" s="6" t="str">
        <f>IFERROR(__xludf.DUMMYFUNCTION("""COMPUTED_VALUE"""),"R Systems International Limited")</f>
        <v>R Systems International Limited</v>
      </c>
      <c r="C657" s="6" t="str">
        <f>IFERROR(__xludf.DUMMYFUNCTION("""COMPUTED_VALUE"""),"RSYSTEMS")</f>
        <v>RSYSTEMS</v>
      </c>
      <c r="D657" s="6" t="str">
        <f>IFERROR(__xludf.DUMMYFUNCTION("""COMPUTED_VALUE"""),"R Systems International Limited")</f>
        <v>R Systems International Limited</v>
      </c>
      <c r="E657" s="6" t="str">
        <f>IFERROR(__xludf.DUMMYFUNCTION("""COMPUTED_VALUE"""),"Active")</f>
        <v>Active</v>
      </c>
      <c r="F657" s="6" t="str">
        <f>IFERROR(__xludf.DUMMYFUNCTION("""COMPUTED_VALUE"""),"B")</f>
        <v>B</v>
      </c>
      <c r="G657" s="6">
        <f>IFERROR(__xludf.DUMMYFUNCTION("""COMPUTED_VALUE"""),1.0)</f>
        <v>1</v>
      </c>
      <c r="H657" s="6" t="str">
        <f>IFERROR(__xludf.DUMMYFUNCTION("""COMPUTED_VALUE"""),"INE411H01032")</f>
        <v>INE411H01032</v>
      </c>
      <c r="I657" s="6" t="str">
        <f>IFERROR(__xludf.DUMMYFUNCTION("""COMPUTED_VALUE"""),"Equity")</f>
        <v>Equity</v>
      </c>
      <c r="J657" s="6" t="str">
        <f>IFERROR(__xludf.DUMMYFUNCTION("""COMPUTED_VALUE"""),"Information Technology")</f>
        <v>Information Technology</v>
      </c>
      <c r="K657" s="6" t="str">
        <f>IFERROR(__xludf.DUMMYFUNCTION("""COMPUTED_VALUE"""),"Information Technology")</f>
        <v>Information Technology</v>
      </c>
      <c r="L657" s="6" t="str">
        <f>IFERROR(__xludf.DUMMYFUNCTION("""COMPUTED_VALUE"""),"IT - Services")</f>
        <v>IT - Services</v>
      </c>
      <c r="M657" s="6" t="str">
        <f>IFERROR(__xludf.DUMMYFUNCTION("""COMPUTED_VALUE"""),"IT Enabled Services")</f>
        <v>IT Enabled Services</v>
      </c>
      <c r="N657" s="5">
        <f>IFERROR(__xludf.DUMMYFUNCTION("""COMPUTED_VALUE"""),6350.5686472)</f>
        <v>6350.568647</v>
      </c>
      <c r="O657" s="6">
        <f t="shared" si="4"/>
        <v>36</v>
      </c>
      <c r="P657" s="6">
        <f t="shared" ref="P657:Q657" si="1316">COUNTIFS(L:L,L657)</f>
        <v>8</v>
      </c>
      <c r="Q657" s="24">
        <f t="shared" si="1316"/>
        <v>8</v>
      </c>
      <c r="R657" s="6" t="str">
        <f t="shared" si="6"/>
        <v>Information Technology</v>
      </c>
      <c r="S657" s="6" t="str">
        <f t="shared" si="7"/>
        <v>Information Technology</v>
      </c>
      <c r="T657" s="6">
        <f>IFERROR(__xludf.DUMMYFUNCTION("COUNTA(UNIQUE(query($A$2:$P$800,""select L where K='""&amp; K657&amp;""'"")))"),3.0)</f>
        <v>3</v>
      </c>
      <c r="U657" s="23">
        <f t="shared" si="8"/>
        <v>0.125</v>
      </c>
      <c r="V657" s="23">
        <f t="shared" ref="V657:W657" si="1317">P657/O657</f>
        <v>0.2222222222</v>
      </c>
      <c r="W657" s="23">
        <f t="shared" si="1317"/>
        <v>1</v>
      </c>
    </row>
    <row r="658">
      <c r="A658" s="6">
        <f>IFERROR(__xludf.DUMMYFUNCTION("""COMPUTED_VALUE"""),538567.0)</f>
        <v>538567</v>
      </c>
      <c r="B658" s="6" t="str">
        <f>IFERROR(__xludf.DUMMYFUNCTION("""COMPUTED_VALUE"""),"Gulf Oil Lubricants India Limited")</f>
        <v>Gulf Oil Lubricants India Limited</v>
      </c>
      <c r="C658" s="6" t="str">
        <f>IFERROR(__xludf.DUMMYFUNCTION("""COMPUTED_VALUE"""),"GULFOILLUB")</f>
        <v>GULFOILLUB</v>
      </c>
      <c r="D658" s="6" t="str">
        <f>IFERROR(__xludf.DUMMYFUNCTION("""COMPUTED_VALUE"""),"Gulf Oil Lubricants India Ltd")</f>
        <v>Gulf Oil Lubricants India Ltd</v>
      </c>
      <c r="E658" s="6" t="str">
        <f>IFERROR(__xludf.DUMMYFUNCTION("""COMPUTED_VALUE"""),"Active")</f>
        <v>Active</v>
      </c>
      <c r="F658" s="6" t="str">
        <f>IFERROR(__xludf.DUMMYFUNCTION("""COMPUTED_VALUE"""),"B")</f>
        <v>B</v>
      </c>
      <c r="G658" s="6">
        <f>IFERROR(__xludf.DUMMYFUNCTION("""COMPUTED_VALUE"""),2.0)</f>
        <v>2</v>
      </c>
      <c r="H658" s="6" t="str">
        <f>IFERROR(__xludf.DUMMYFUNCTION("""COMPUTED_VALUE"""),"INE635Q01029")</f>
        <v>INE635Q01029</v>
      </c>
      <c r="I658" s="6" t="str">
        <f>IFERROR(__xludf.DUMMYFUNCTION("""COMPUTED_VALUE"""),"Equity")</f>
        <v>Equity</v>
      </c>
      <c r="J658" s="6" t="str">
        <f>IFERROR(__xludf.DUMMYFUNCTION("""COMPUTED_VALUE"""),"Energy")</f>
        <v>Energy</v>
      </c>
      <c r="K658" s="6" t="str">
        <f>IFERROR(__xludf.DUMMYFUNCTION("""COMPUTED_VALUE"""),"Oil, Gas &amp; Consumable, Fuels")</f>
        <v>Oil, Gas &amp; Consumable, Fuels</v>
      </c>
      <c r="L658" s="6" t="str">
        <f>IFERROR(__xludf.DUMMYFUNCTION("""COMPUTED_VALUE"""),"Petroleum Products")</f>
        <v>Petroleum Products</v>
      </c>
      <c r="M658" s="6" t="str">
        <f>IFERROR(__xludf.DUMMYFUNCTION("""COMPUTED_VALUE"""),"Lubricants")</f>
        <v>Lubricants</v>
      </c>
      <c r="N658" s="5">
        <f>IFERROR(__xludf.DUMMYFUNCTION("""COMPUTED_VALUE"""),6263.3895763)</f>
        <v>6263.389576</v>
      </c>
      <c r="O658" s="6">
        <f t="shared" si="4"/>
        <v>20</v>
      </c>
      <c r="P658" s="6">
        <f t="shared" ref="P658:Q658" si="1318">COUNTIFS(L:L,L658)</f>
        <v>8</v>
      </c>
      <c r="Q658" s="24">
        <f t="shared" si="1318"/>
        <v>2</v>
      </c>
      <c r="R658" s="6" t="str">
        <f t="shared" si="6"/>
        <v>Oil, Gas &amp; Consumable, Fuels</v>
      </c>
      <c r="S658" s="6" t="str">
        <f t="shared" si="7"/>
        <v>Oil, Gas &amp; Consumable, Fuels</v>
      </c>
      <c r="T658" s="6">
        <f>IFERROR(__xludf.DUMMYFUNCTION("COUNTA(UNIQUE(query($A$2:$P$800,""select L where K='""&amp; K658&amp;""'"")))"),4.0)</f>
        <v>4</v>
      </c>
      <c r="U658" s="23">
        <f t="shared" si="8"/>
        <v>0.3</v>
      </c>
      <c r="V658" s="23">
        <f t="shared" ref="V658:W658" si="1319">P658/O658</f>
        <v>0.4</v>
      </c>
      <c r="W658" s="23">
        <f t="shared" si="1319"/>
        <v>0.25</v>
      </c>
    </row>
    <row r="659">
      <c r="A659" s="6">
        <f>IFERROR(__xludf.DUMMYFUNCTION("""COMPUTED_VALUE"""),543620.0)</f>
        <v>543620</v>
      </c>
      <c r="B659" s="6" t="str">
        <f>IFERROR(__xludf.DUMMYFUNCTION("""COMPUTED_VALUE"""),"INSOLATION ENERGY LIMITED")</f>
        <v>INSOLATION ENERGY LIMITED</v>
      </c>
      <c r="C659" s="6" t="str">
        <f>IFERROR(__xludf.DUMMYFUNCTION("""COMPUTED_VALUE"""),"INA")</f>
        <v>INA</v>
      </c>
      <c r="D659" s="6" t="str">
        <f>IFERROR(__xludf.DUMMYFUNCTION("""COMPUTED_VALUE"""),"Insolation Energy Ltd")</f>
        <v>Insolation Energy Ltd</v>
      </c>
      <c r="E659" s="6" t="str">
        <f>IFERROR(__xludf.DUMMYFUNCTION("""COMPUTED_VALUE"""),"Active")</f>
        <v>Active</v>
      </c>
      <c r="F659" s="6" t="str">
        <f>IFERROR(__xludf.DUMMYFUNCTION("""COMPUTED_VALUE"""),"M")</f>
        <v>M</v>
      </c>
      <c r="G659" s="6">
        <f>IFERROR(__xludf.DUMMYFUNCTION("""COMPUTED_VALUE"""),10.0)</f>
        <v>10</v>
      </c>
      <c r="H659" s="6" t="str">
        <f>IFERROR(__xludf.DUMMYFUNCTION("""COMPUTED_VALUE"""),"INE0LGX01016")</f>
        <v>INE0LGX01016</v>
      </c>
      <c r="I659" s="6" t="str">
        <f>IFERROR(__xludf.DUMMYFUNCTION("""COMPUTED_VALUE"""),"Equity")</f>
        <v>Equity</v>
      </c>
      <c r="J659" s="6" t="str">
        <f>IFERROR(__xludf.DUMMYFUNCTION("""COMPUTED_VALUE"""),"Utilities")</f>
        <v>Utilities</v>
      </c>
      <c r="K659" s="6" t="str">
        <f>IFERROR(__xludf.DUMMYFUNCTION("""COMPUTED_VALUE"""),"Power")</f>
        <v>Power</v>
      </c>
      <c r="L659" s="6" t="str">
        <f>IFERROR(__xludf.DUMMYFUNCTION("""COMPUTED_VALUE"""),"Power")</f>
        <v>Power</v>
      </c>
      <c r="M659" s="6" t="str">
        <f>IFERROR(__xludf.DUMMYFUNCTION("""COMPUTED_VALUE"""),"Power Generation")</f>
        <v>Power Generation</v>
      </c>
      <c r="N659" s="5">
        <f>IFERROR(__xludf.DUMMYFUNCTION("""COMPUTED_VALUE"""),6255.8354533)</f>
        <v>6255.835453</v>
      </c>
      <c r="O659" s="6">
        <f t="shared" si="4"/>
        <v>22</v>
      </c>
      <c r="P659" s="6">
        <f t="shared" ref="P659:Q659" si="1320">COUNTIFS(L:L,L659)</f>
        <v>22</v>
      </c>
      <c r="Q659" s="24">
        <f t="shared" si="1320"/>
        <v>13</v>
      </c>
      <c r="R659" s="6" t="str">
        <f t="shared" si="6"/>
        <v>Power</v>
      </c>
      <c r="S659" s="6" t="str">
        <f t="shared" si="7"/>
        <v>Power</v>
      </c>
      <c r="T659" s="6">
        <f>IFERROR(__xludf.DUMMYFUNCTION("COUNTA(UNIQUE(query($A$2:$P$800,""select L where K='""&amp; K659&amp;""'"")))"),1.0)</f>
        <v>1</v>
      </c>
      <c r="U659" s="23">
        <f t="shared" si="8"/>
        <v>0.06818181818</v>
      </c>
      <c r="V659" s="23">
        <f t="shared" ref="V659:W659" si="1321">P659/O659</f>
        <v>1</v>
      </c>
      <c r="W659" s="23">
        <f t="shared" si="1321"/>
        <v>0.5909090909</v>
      </c>
    </row>
    <row r="660">
      <c r="A660" s="6">
        <f>IFERROR(__xludf.DUMMYFUNCTION("""COMPUTED_VALUE"""),543249.0)</f>
        <v>543249</v>
      </c>
      <c r="B660" s="6" t="str">
        <f>IFERROR(__xludf.DUMMYFUNCTION("""COMPUTED_VALUE"""),"TARC LIMITED")</f>
        <v>TARC LIMITED</v>
      </c>
      <c r="C660" s="6" t="str">
        <f>IFERROR(__xludf.DUMMYFUNCTION("""COMPUTED_VALUE"""),"TARC")</f>
        <v>TARC</v>
      </c>
      <c r="D660" s="6" t="str">
        <f>IFERROR(__xludf.DUMMYFUNCTION("""COMPUTED_VALUE"""),"Tarc Ltd")</f>
        <v>Tarc Ltd</v>
      </c>
      <c r="E660" s="6" t="str">
        <f>IFERROR(__xludf.DUMMYFUNCTION("""COMPUTED_VALUE"""),"Active")</f>
        <v>Active</v>
      </c>
      <c r="F660" s="6" t="str">
        <f>IFERROR(__xludf.DUMMYFUNCTION("""COMPUTED_VALUE"""),"B")</f>
        <v>B</v>
      </c>
      <c r="G660" s="6">
        <f>IFERROR(__xludf.DUMMYFUNCTION("""COMPUTED_VALUE"""),2.0)</f>
        <v>2</v>
      </c>
      <c r="H660" s="6" t="str">
        <f>IFERROR(__xludf.DUMMYFUNCTION("""COMPUTED_VALUE"""),"INE0EK901012")</f>
        <v>INE0EK901012</v>
      </c>
      <c r="I660" s="6" t="str">
        <f>IFERROR(__xludf.DUMMYFUNCTION("""COMPUTED_VALUE"""),"Equity")</f>
        <v>Equity</v>
      </c>
      <c r="J660" s="6" t="str">
        <f>IFERROR(__xludf.DUMMYFUNCTION("""COMPUTED_VALUE"""),"Consumer Discretionary")</f>
        <v>Consumer Discretionary</v>
      </c>
      <c r="K660" s="6" t="str">
        <f>IFERROR(__xludf.DUMMYFUNCTION("""COMPUTED_VALUE"""),"Realty")</f>
        <v>Realty</v>
      </c>
      <c r="L660" s="6" t="str">
        <f>IFERROR(__xludf.DUMMYFUNCTION("""COMPUTED_VALUE"""),"Realty")</f>
        <v>Realty</v>
      </c>
      <c r="M660" s="6" t="str">
        <f>IFERROR(__xludf.DUMMYFUNCTION("""COMPUTED_VALUE"""),"Residential, Commercial Projects")</f>
        <v>Residential, Commercial Projects</v>
      </c>
      <c r="N660" s="5">
        <f>IFERROR(__xludf.DUMMYFUNCTION("""COMPUTED_VALUE"""),6230.6504763)</f>
        <v>6230.650476</v>
      </c>
      <c r="O660" s="6">
        <f t="shared" si="4"/>
        <v>20</v>
      </c>
      <c r="P660" s="6">
        <f t="shared" ref="P660:Q660" si="1322">COUNTIFS(L:L,L660)</f>
        <v>20</v>
      </c>
      <c r="Q660" s="24">
        <f t="shared" si="1322"/>
        <v>20</v>
      </c>
      <c r="R660" s="6" t="str">
        <f t="shared" si="6"/>
        <v>Realty</v>
      </c>
      <c r="S660" s="6" t="str">
        <f t="shared" si="7"/>
        <v>Realty</v>
      </c>
      <c r="T660" s="6">
        <f>IFERROR(__xludf.DUMMYFUNCTION("COUNTA(UNIQUE(query($A$2:$P$800,""select L where K='""&amp; K660&amp;""'"")))"),1.0)</f>
        <v>1</v>
      </c>
      <c r="U660" s="23">
        <f t="shared" si="8"/>
        <v>0.075</v>
      </c>
      <c r="V660" s="23">
        <f t="shared" ref="V660:W660" si="1323">P660/O660</f>
        <v>1</v>
      </c>
      <c r="W660" s="23">
        <f t="shared" si="1323"/>
        <v>1</v>
      </c>
    </row>
    <row r="661">
      <c r="A661" s="6">
        <f>IFERROR(__xludf.DUMMYFUNCTION("""COMPUTED_VALUE"""),532524.0)</f>
        <v>532524</v>
      </c>
      <c r="B661" s="6" t="str">
        <f>IFERROR(__xludf.DUMMYFUNCTION("""COMPUTED_VALUE"""),"PTC India Ltd")</f>
        <v>PTC India Ltd</v>
      </c>
      <c r="C661" s="6" t="str">
        <f>IFERROR(__xludf.DUMMYFUNCTION("""COMPUTED_VALUE"""),"PTC")</f>
        <v>PTC</v>
      </c>
      <c r="D661" s="6" t="str">
        <f>IFERROR(__xludf.DUMMYFUNCTION("""COMPUTED_VALUE"""),"PTC INDIA LTD.")</f>
        <v>PTC INDIA LTD.</v>
      </c>
      <c r="E661" s="6" t="str">
        <f>IFERROR(__xludf.DUMMYFUNCTION("""COMPUTED_VALUE"""),"Active")</f>
        <v>Active</v>
      </c>
      <c r="F661" s="6" t="str">
        <f>IFERROR(__xludf.DUMMYFUNCTION("""COMPUTED_VALUE"""),"A")</f>
        <v>A</v>
      </c>
      <c r="G661" s="6">
        <f>IFERROR(__xludf.DUMMYFUNCTION("""COMPUTED_VALUE"""),10.0)</f>
        <v>10</v>
      </c>
      <c r="H661" s="6" t="str">
        <f>IFERROR(__xludf.DUMMYFUNCTION("""COMPUTED_VALUE"""),"INE877F01012")</f>
        <v>INE877F01012</v>
      </c>
      <c r="I661" s="6" t="str">
        <f>IFERROR(__xludf.DUMMYFUNCTION("""COMPUTED_VALUE"""),"Equity")</f>
        <v>Equity</v>
      </c>
      <c r="J661" s="6" t="str">
        <f>IFERROR(__xludf.DUMMYFUNCTION("""COMPUTED_VALUE"""),"Utilities")</f>
        <v>Utilities</v>
      </c>
      <c r="K661" s="6" t="str">
        <f>IFERROR(__xludf.DUMMYFUNCTION("""COMPUTED_VALUE"""),"Power")</f>
        <v>Power</v>
      </c>
      <c r="L661" s="6" t="str">
        <f>IFERROR(__xludf.DUMMYFUNCTION("""COMPUTED_VALUE"""),"Power")</f>
        <v>Power</v>
      </c>
      <c r="M661" s="6" t="str">
        <f>IFERROR(__xludf.DUMMYFUNCTION("""COMPUTED_VALUE"""),"Power Trading")</f>
        <v>Power Trading</v>
      </c>
      <c r="N661" s="5">
        <f>IFERROR(__xludf.DUMMYFUNCTION("""COMPUTED_VALUE"""),6224.8381198)</f>
        <v>6224.83812</v>
      </c>
      <c r="O661" s="6">
        <f t="shared" si="4"/>
        <v>22</v>
      </c>
      <c r="P661" s="6">
        <f t="shared" ref="P661:Q661" si="1324">COUNTIFS(L:L,L661)</f>
        <v>22</v>
      </c>
      <c r="Q661" s="24">
        <f t="shared" si="1324"/>
        <v>1</v>
      </c>
      <c r="R661" s="6" t="str">
        <f t="shared" si="6"/>
        <v>Power</v>
      </c>
      <c r="S661" s="6" t="str">
        <f t="shared" si="7"/>
        <v>Power</v>
      </c>
      <c r="T661" s="6">
        <f>IFERROR(__xludf.DUMMYFUNCTION("COUNTA(UNIQUE(query($A$2:$P$800,""select L where K='""&amp; K661&amp;""'"")))"),1.0)</f>
        <v>1</v>
      </c>
      <c r="U661" s="23">
        <f t="shared" si="8"/>
        <v>0.06818181818</v>
      </c>
      <c r="V661" s="23">
        <f t="shared" ref="V661:W661" si="1325">P661/O661</f>
        <v>1</v>
      </c>
      <c r="W661" s="23">
        <f t="shared" si="1325"/>
        <v>0.04545454545</v>
      </c>
    </row>
    <row r="662">
      <c r="A662" s="6">
        <f>IFERROR(__xludf.DUMMYFUNCTION("""COMPUTED_VALUE"""),524226.0)</f>
        <v>524226</v>
      </c>
      <c r="B662" s="6" t="str">
        <f>IFERROR(__xludf.DUMMYFUNCTION("""COMPUTED_VALUE"""),"Gujarat Ambuja Exports Ltd.")</f>
        <v>Gujarat Ambuja Exports Ltd.</v>
      </c>
      <c r="C662" s="6" t="str">
        <f>IFERROR(__xludf.DUMMYFUNCTION("""COMPUTED_VALUE"""),"GAEL")</f>
        <v>GAEL</v>
      </c>
      <c r="D662" s="6" t="str">
        <f>IFERROR(__xludf.DUMMYFUNCTION("""COMPUTED_VALUE"""),"GUJARAT AMBUJA EXPORTS LTD.")</f>
        <v>GUJARAT AMBUJA EXPORTS LTD.</v>
      </c>
      <c r="E662" s="6" t="str">
        <f>IFERROR(__xludf.DUMMYFUNCTION("""COMPUTED_VALUE"""),"Active")</f>
        <v>Active</v>
      </c>
      <c r="F662" s="6" t="str">
        <f>IFERROR(__xludf.DUMMYFUNCTION("""COMPUTED_VALUE"""),"A")</f>
        <v>A</v>
      </c>
      <c r="G662" s="6">
        <f>IFERROR(__xludf.DUMMYFUNCTION("""COMPUTED_VALUE"""),1.0)</f>
        <v>1</v>
      </c>
      <c r="H662" s="6" t="str">
        <f>IFERROR(__xludf.DUMMYFUNCTION("""COMPUTED_VALUE"""),"INE036B01030")</f>
        <v>INE036B01030</v>
      </c>
      <c r="I662" s="6" t="str">
        <f>IFERROR(__xludf.DUMMYFUNCTION("""COMPUTED_VALUE"""),"Equity")</f>
        <v>Equity</v>
      </c>
      <c r="J662" s="6" t="str">
        <f>IFERROR(__xludf.DUMMYFUNCTION("""COMPUTED_VALUE"""),"Fast Moving Consumer Goods")</f>
        <v>Fast Moving Consumer Goods</v>
      </c>
      <c r="K662" s="6" t="str">
        <f>IFERROR(__xludf.DUMMYFUNCTION("""COMPUTED_VALUE"""),"Fast Moving Consumer Goods")</f>
        <v>Fast Moving Consumer Goods</v>
      </c>
      <c r="L662" s="6" t="str">
        <f>IFERROR(__xludf.DUMMYFUNCTION("""COMPUTED_VALUE"""),"Agricultural Food &amp; other Products")</f>
        <v>Agricultural Food &amp; other Products</v>
      </c>
      <c r="M662" s="6" t="str">
        <f>IFERROR(__xludf.DUMMYFUNCTION("""COMPUTED_VALUE"""),"Other Agricultural Products")</f>
        <v>Other Agricultural Products</v>
      </c>
      <c r="N662" s="5">
        <f>IFERROR(__xludf.DUMMYFUNCTION("""COMPUTED_VALUE"""),6210.9435231)</f>
        <v>6210.943523</v>
      </c>
      <c r="O662" s="6">
        <f t="shared" si="4"/>
        <v>44</v>
      </c>
      <c r="P662" s="6">
        <f t="shared" ref="P662:Q662" si="1326">COUNTIFS(L:L,L662)</f>
        <v>14</v>
      </c>
      <c r="Q662" s="24">
        <f t="shared" si="1326"/>
        <v>4</v>
      </c>
      <c r="R662" s="6" t="str">
        <f t="shared" si="6"/>
        <v>Fast Moving Consumer Goods</v>
      </c>
      <c r="S662" s="6" t="str">
        <f t="shared" si="7"/>
        <v>Fast Moving Consumer Goods</v>
      </c>
      <c r="T662" s="6">
        <f>IFERROR(__xludf.DUMMYFUNCTION("COUNTA(UNIQUE(query($A$2:$P$800,""select L where K='""&amp; K662&amp;""'"")))"),7.0)</f>
        <v>7</v>
      </c>
      <c r="U662" s="23">
        <f t="shared" si="8"/>
        <v>0.2386363636</v>
      </c>
      <c r="V662" s="23">
        <f t="shared" ref="V662:W662" si="1327">P662/O662</f>
        <v>0.3181818182</v>
      </c>
      <c r="W662" s="23">
        <f t="shared" si="1327"/>
        <v>0.2857142857</v>
      </c>
    </row>
    <row r="663">
      <c r="A663" s="6">
        <f>IFERROR(__xludf.DUMMYFUNCTION("""COMPUTED_VALUE"""),535602.0)</f>
        <v>535602</v>
      </c>
      <c r="B663" s="6" t="str">
        <f>IFERROR(__xludf.DUMMYFUNCTION("""COMPUTED_VALUE"""),"Sharda Motor Industries Ltd")</f>
        <v>Sharda Motor Industries Ltd</v>
      </c>
      <c r="C663" s="6" t="str">
        <f>IFERROR(__xludf.DUMMYFUNCTION("""COMPUTED_VALUE"""),"SHARDAMOTR")</f>
        <v>SHARDAMOTR</v>
      </c>
      <c r="D663" s="6" t="str">
        <f>IFERROR(__xludf.DUMMYFUNCTION("""COMPUTED_VALUE"""),"Sharda Motor Industries Ltd")</f>
        <v>Sharda Motor Industries Ltd</v>
      </c>
      <c r="E663" s="6" t="str">
        <f>IFERROR(__xludf.DUMMYFUNCTION("""COMPUTED_VALUE"""),"Active")</f>
        <v>Active</v>
      </c>
      <c r="F663" s="6" t="str">
        <f>IFERROR(__xludf.DUMMYFUNCTION("""COMPUTED_VALUE"""),"B")</f>
        <v>B</v>
      </c>
      <c r="G663" s="6">
        <f>IFERROR(__xludf.DUMMYFUNCTION("""COMPUTED_VALUE"""),2.0)</f>
        <v>2</v>
      </c>
      <c r="H663" s="6" t="str">
        <f>IFERROR(__xludf.DUMMYFUNCTION("""COMPUTED_VALUE"""),"INE597I01028")</f>
        <v>INE597I01028</v>
      </c>
      <c r="I663" s="6" t="str">
        <f>IFERROR(__xludf.DUMMYFUNCTION("""COMPUTED_VALUE"""),"Equity")</f>
        <v>Equity</v>
      </c>
      <c r="J663" s="6" t="str">
        <f>IFERROR(__xludf.DUMMYFUNCTION("""COMPUTED_VALUE"""),"Consumer Discretionary")</f>
        <v>Consumer Discretionary</v>
      </c>
      <c r="K663" s="6" t="str">
        <f>IFERROR(__xludf.DUMMYFUNCTION("""COMPUTED_VALUE"""),"Automobile and Auto Components")</f>
        <v>Automobile and Auto Components</v>
      </c>
      <c r="L663" s="6" t="str">
        <f>IFERROR(__xludf.DUMMYFUNCTION("""COMPUTED_VALUE"""),"Auto Components")</f>
        <v>Auto Components</v>
      </c>
      <c r="M663" s="6" t="str">
        <f>IFERROR(__xludf.DUMMYFUNCTION("""COMPUTED_VALUE"""),"Auto Components &amp; Equipments")</f>
        <v>Auto Components &amp; Equipments</v>
      </c>
      <c r="N663" s="5">
        <f>IFERROR(__xludf.DUMMYFUNCTION("""COMPUTED_VALUE"""),6185.6551504)</f>
        <v>6185.65515</v>
      </c>
      <c r="O663" s="6">
        <f t="shared" si="4"/>
        <v>47</v>
      </c>
      <c r="P663" s="6">
        <f t="shared" ref="P663:Q663" si="1328">COUNTIFS(L:L,L663)</f>
        <v>37</v>
      </c>
      <c r="Q663" s="24">
        <f t="shared" si="1328"/>
        <v>32</v>
      </c>
      <c r="R663" s="6" t="str">
        <f t="shared" si="6"/>
        <v>Automobile and Auto Components</v>
      </c>
      <c r="S663" s="6" t="str">
        <f t="shared" si="7"/>
        <v>Automobile and Auto Components</v>
      </c>
      <c r="T663" s="6">
        <f>IFERROR(__xludf.DUMMYFUNCTION("COUNTA(UNIQUE(query($A$2:$P$800,""select L where K='""&amp; K663&amp;""'"")))"),2.0)</f>
        <v>2</v>
      </c>
      <c r="U663" s="23">
        <f t="shared" si="8"/>
        <v>0.06382978723</v>
      </c>
      <c r="V663" s="23">
        <f t="shared" ref="V663:W663" si="1329">P663/O663</f>
        <v>0.7872340426</v>
      </c>
      <c r="W663" s="23">
        <f t="shared" si="1329"/>
        <v>0.8648648649</v>
      </c>
    </row>
    <row r="664">
      <c r="A664" s="6">
        <f>IFERROR(__xludf.DUMMYFUNCTION("""COMPUTED_VALUE"""),542597.0)</f>
        <v>542597</v>
      </c>
      <c r="B664" s="6" t="str">
        <f>IFERROR(__xludf.DUMMYFUNCTION("""COMPUTED_VALUE"""),"MSTC Limited")</f>
        <v>MSTC Limited</v>
      </c>
      <c r="C664" s="6" t="str">
        <f>IFERROR(__xludf.DUMMYFUNCTION("""COMPUTED_VALUE"""),"MSTCLTD")</f>
        <v>MSTCLTD</v>
      </c>
      <c r="D664" s="6" t="str">
        <f>IFERROR(__xludf.DUMMYFUNCTION("""COMPUTED_VALUE"""),"MSTC Ltd")</f>
        <v>MSTC Ltd</v>
      </c>
      <c r="E664" s="6" t="str">
        <f>IFERROR(__xludf.DUMMYFUNCTION("""COMPUTED_VALUE"""),"Active")</f>
        <v>Active</v>
      </c>
      <c r="F664" s="6" t="str">
        <f>IFERROR(__xludf.DUMMYFUNCTION("""COMPUTED_VALUE"""),"A")</f>
        <v>A</v>
      </c>
      <c r="G664" s="6">
        <f>IFERROR(__xludf.DUMMYFUNCTION("""COMPUTED_VALUE"""),10.0)</f>
        <v>10</v>
      </c>
      <c r="H664" s="6" t="str">
        <f>IFERROR(__xludf.DUMMYFUNCTION("""COMPUTED_VALUE"""),"INE255X01014")</f>
        <v>INE255X01014</v>
      </c>
      <c r="I664" s="6" t="str">
        <f>IFERROR(__xludf.DUMMYFUNCTION("""COMPUTED_VALUE"""),"Equity")</f>
        <v>Equity</v>
      </c>
      <c r="J664" s="6" t="str">
        <f>IFERROR(__xludf.DUMMYFUNCTION("""COMPUTED_VALUE"""),"Services")</f>
        <v>Services</v>
      </c>
      <c r="K664" s="6" t="str">
        <f>IFERROR(__xludf.DUMMYFUNCTION("""COMPUTED_VALUE"""),"Services")</f>
        <v>Services</v>
      </c>
      <c r="L664" s="6" t="str">
        <f>IFERROR(__xludf.DUMMYFUNCTION("""COMPUTED_VALUE"""),"Commercial Services &amp; Supplies")</f>
        <v>Commercial Services &amp; Supplies</v>
      </c>
      <c r="M664" s="6" t="str">
        <f>IFERROR(__xludf.DUMMYFUNCTION("""COMPUTED_VALUE"""),"Trading &amp; Distributors")</f>
        <v>Trading &amp; Distributors</v>
      </c>
      <c r="N664" s="5">
        <f>IFERROR(__xludf.DUMMYFUNCTION("""COMPUTED_VALUE"""),6177.480861)</f>
        <v>6177.480861</v>
      </c>
      <c r="O664" s="6">
        <f t="shared" si="4"/>
        <v>27</v>
      </c>
      <c r="P664" s="6">
        <f t="shared" ref="P664:Q664" si="1330">COUNTIFS(L:L,L664)</f>
        <v>11</v>
      </c>
      <c r="Q664" s="24">
        <f t="shared" si="1330"/>
        <v>3</v>
      </c>
      <c r="R664" s="6" t="str">
        <f t="shared" si="6"/>
        <v>Services</v>
      </c>
      <c r="S664" s="6" t="str">
        <f t="shared" si="7"/>
        <v>Services</v>
      </c>
      <c r="T664" s="6">
        <f>IFERROR(__xludf.DUMMYFUNCTION("COUNTA(UNIQUE(query($A$2:$P$800,""select L where K='""&amp; K664&amp;""'"")))"),3.0)</f>
        <v>3</v>
      </c>
      <c r="U664" s="23">
        <f t="shared" si="8"/>
        <v>0.1666666667</v>
      </c>
      <c r="V664" s="23">
        <f t="shared" ref="V664:W664" si="1331">P664/O664</f>
        <v>0.4074074074</v>
      </c>
      <c r="W664" s="23">
        <f t="shared" si="1331"/>
        <v>0.2727272727</v>
      </c>
    </row>
    <row r="665">
      <c r="A665" s="6">
        <f>IFERROR(__xludf.DUMMYFUNCTION("""COMPUTED_VALUE"""),543952.0)</f>
        <v>543952</v>
      </c>
      <c r="B665" s="6" t="str">
        <f>IFERROR(__xludf.DUMMYFUNCTION("""COMPUTED_VALUE"""),"NIIT Learning Systems Limited")</f>
        <v>NIIT Learning Systems Limited</v>
      </c>
      <c r="C665" s="6" t="str">
        <f>IFERROR(__xludf.DUMMYFUNCTION("""COMPUTED_VALUE"""),"NIITMTS")</f>
        <v>NIITMTS</v>
      </c>
      <c r="D665" s="6" t="str">
        <f>IFERROR(__xludf.DUMMYFUNCTION("""COMPUTED_VALUE"""),"NIIT Learning Systems Ltd")</f>
        <v>NIIT Learning Systems Ltd</v>
      </c>
      <c r="E665" s="6" t="str">
        <f>IFERROR(__xludf.DUMMYFUNCTION("""COMPUTED_VALUE"""),"Active")</f>
        <v>Active</v>
      </c>
      <c r="F665" s="6" t="str">
        <f>IFERROR(__xludf.DUMMYFUNCTION("""COMPUTED_VALUE"""),"B")</f>
        <v>B</v>
      </c>
      <c r="G665" s="6">
        <f>IFERROR(__xludf.DUMMYFUNCTION("""COMPUTED_VALUE"""),2.0)</f>
        <v>2</v>
      </c>
      <c r="H665" s="6" t="str">
        <f>IFERROR(__xludf.DUMMYFUNCTION("""COMPUTED_VALUE"""),"INE342G01023")</f>
        <v>INE342G01023</v>
      </c>
      <c r="I665" s="6" t="str">
        <f>IFERROR(__xludf.DUMMYFUNCTION("""COMPUTED_VALUE"""),"Equity")</f>
        <v>Equity</v>
      </c>
      <c r="J665" s="6" t="str">
        <f>IFERROR(__xludf.DUMMYFUNCTION("""COMPUTED_VALUE"""),"Consumer Discretionary")</f>
        <v>Consumer Discretionary</v>
      </c>
      <c r="K665" s="6" t="str">
        <f>IFERROR(__xludf.DUMMYFUNCTION("""COMPUTED_VALUE"""),"Consumer Services")</f>
        <v>Consumer Services</v>
      </c>
      <c r="L665" s="6" t="str">
        <f>IFERROR(__xludf.DUMMYFUNCTION("""COMPUTED_VALUE"""),"Other Consumer Services")</f>
        <v>Other Consumer Services</v>
      </c>
      <c r="M665" s="6" t="str">
        <f>IFERROR(__xludf.DUMMYFUNCTION("""COMPUTED_VALUE"""),"Education")</f>
        <v>Education</v>
      </c>
      <c r="N665" s="5">
        <f>IFERROR(__xludf.DUMMYFUNCTION("""COMPUTED_VALUE"""),6130.19022)</f>
        <v>6130.19022</v>
      </c>
      <c r="O665" s="6">
        <f t="shared" si="4"/>
        <v>37</v>
      </c>
      <c r="P665" s="6">
        <f t="shared" ref="P665:Q665" si="1332">COUNTIFS(L:L,L665)</f>
        <v>1</v>
      </c>
      <c r="Q665" s="24">
        <f t="shared" si="1332"/>
        <v>1</v>
      </c>
      <c r="R665" s="6" t="str">
        <f t="shared" si="6"/>
        <v>Consumer Services</v>
      </c>
      <c r="S665" s="6" t="str">
        <f t="shared" si="7"/>
        <v>Misc.</v>
      </c>
      <c r="T665" s="6">
        <f>IFERROR(__xludf.DUMMYFUNCTION("COUNTA(UNIQUE(query($A$2:$P$800,""select L where K='""&amp; K665&amp;""'"")))"),3.0)</f>
        <v>3</v>
      </c>
      <c r="U665" s="23">
        <f t="shared" si="8"/>
        <v>0.1216216216</v>
      </c>
      <c r="V665" s="23">
        <f t="shared" ref="V665:W665" si="1333">P665/O665</f>
        <v>0.02702702703</v>
      </c>
      <c r="W665" s="23">
        <f t="shared" si="1333"/>
        <v>1</v>
      </c>
    </row>
    <row r="666">
      <c r="A666" s="6">
        <f>IFERROR(__xludf.DUMMYFUNCTION("""COMPUTED_VALUE"""),509966.0)</f>
        <v>509966</v>
      </c>
      <c r="B666" s="6" t="str">
        <f>IFERROR(__xludf.DUMMYFUNCTION("""COMPUTED_VALUE"""),"VST Industries Ltd.")</f>
        <v>VST Industries Ltd.</v>
      </c>
      <c r="C666" s="6" t="str">
        <f>IFERROR(__xludf.DUMMYFUNCTION("""COMPUTED_VALUE"""),"VSTIND")</f>
        <v>VSTIND</v>
      </c>
      <c r="D666" s="6" t="str">
        <f>IFERROR(__xludf.DUMMYFUNCTION("""COMPUTED_VALUE"""),"VST INDUSTRIES LTD.")</f>
        <v>VST INDUSTRIES LTD.</v>
      </c>
      <c r="E666" s="6" t="str">
        <f>IFERROR(__xludf.DUMMYFUNCTION("""COMPUTED_VALUE"""),"Active")</f>
        <v>Active</v>
      </c>
      <c r="F666" s="6" t="str">
        <f>IFERROR(__xludf.DUMMYFUNCTION("""COMPUTED_VALUE"""),"A")</f>
        <v>A</v>
      </c>
      <c r="G666" s="6">
        <f>IFERROR(__xludf.DUMMYFUNCTION("""COMPUTED_VALUE"""),10.0)</f>
        <v>10</v>
      </c>
      <c r="H666" s="6" t="str">
        <f>IFERROR(__xludf.DUMMYFUNCTION("""COMPUTED_VALUE"""),"INE710A01016")</f>
        <v>INE710A01016</v>
      </c>
      <c r="I666" s="6" t="str">
        <f>IFERROR(__xludf.DUMMYFUNCTION("""COMPUTED_VALUE"""),"Equity")</f>
        <v>Equity</v>
      </c>
      <c r="J666" s="6" t="str">
        <f>IFERROR(__xludf.DUMMYFUNCTION("""COMPUTED_VALUE"""),"Fast Moving Consumer Goods")</f>
        <v>Fast Moving Consumer Goods</v>
      </c>
      <c r="K666" s="6" t="str">
        <f>IFERROR(__xludf.DUMMYFUNCTION("""COMPUTED_VALUE"""),"Fast Moving Consumer Goods")</f>
        <v>Fast Moving Consumer Goods</v>
      </c>
      <c r="L666" s="6" t="str">
        <f>IFERROR(__xludf.DUMMYFUNCTION("""COMPUTED_VALUE"""),"Cigarettes &amp; Tobacco Products")</f>
        <v>Cigarettes &amp; Tobacco Products</v>
      </c>
      <c r="M666" s="6" t="str">
        <f>IFERROR(__xludf.DUMMYFUNCTION("""COMPUTED_VALUE"""),"Cigarettes &amp; Tobacco Products")</f>
        <v>Cigarettes &amp; Tobacco Products</v>
      </c>
      <c r="N666" s="5">
        <f>IFERROR(__xludf.DUMMYFUNCTION("""COMPUTED_VALUE"""),6104.9318668)</f>
        <v>6104.931867</v>
      </c>
      <c r="O666" s="6">
        <f t="shared" si="4"/>
        <v>44</v>
      </c>
      <c r="P666" s="6">
        <f t="shared" ref="P666:Q666" si="1334">COUNTIFS(L:L,L666)</f>
        <v>2</v>
      </c>
      <c r="Q666" s="24">
        <f t="shared" si="1334"/>
        <v>2</v>
      </c>
      <c r="R666" s="6" t="str">
        <f t="shared" si="6"/>
        <v>Fast Moving Consumer Goods</v>
      </c>
      <c r="S666" s="6" t="str">
        <f t="shared" si="7"/>
        <v>Fast Moving Consumer Goods</v>
      </c>
      <c r="T666" s="6">
        <f>IFERROR(__xludf.DUMMYFUNCTION("COUNTA(UNIQUE(query($A$2:$P$800,""select L where K='""&amp; K666&amp;""'"")))"),7.0)</f>
        <v>7</v>
      </c>
      <c r="U666" s="23">
        <f t="shared" si="8"/>
        <v>0.2386363636</v>
      </c>
      <c r="V666" s="23">
        <f t="shared" ref="V666:W666" si="1335">P666/O666</f>
        <v>0.04545454545</v>
      </c>
      <c r="W666" s="23">
        <f t="shared" si="1335"/>
        <v>1</v>
      </c>
    </row>
    <row r="667">
      <c r="A667" s="6">
        <f>IFERROR(__xludf.DUMMYFUNCTION("""COMPUTED_VALUE"""),519126.0)</f>
        <v>519126</v>
      </c>
      <c r="B667" s="6" t="str">
        <f>IFERROR(__xludf.DUMMYFUNCTION("""COMPUTED_VALUE"""),"Hindustan Foods Ltd.")</f>
        <v>Hindustan Foods Ltd.</v>
      </c>
      <c r="C667" s="6" t="str">
        <f>IFERROR(__xludf.DUMMYFUNCTION("""COMPUTED_VALUE"""),"HNDFDS")</f>
        <v>HNDFDS</v>
      </c>
      <c r="D667" s="6" t="str">
        <f>IFERROR(__xludf.DUMMYFUNCTION("""COMPUTED_VALUE"""),"HINDUSTAN FOODS LTD.")</f>
        <v>HINDUSTAN FOODS LTD.</v>
      </c>
      <c r="E667" s="6" t="str">
        <f>IFERROR(__xludf.DUMMYFUNCTION("""COMPUTED_VALUE"""),"Active")</f>
        <v>Active</v>
      </c>
      <c r="F667" s="6" t="str">
        <f>IFERROR(__xludf.DUMMYFUNCTION("""COMPUTED_VALUE"""),"A")</f>
        <v>A</v>
      </c>
      <c r="G667" s="6">
        <f>IFERROR(__xludf.DUMMYFUNCTION("""COMPUTED_VALUE"""),2.0)</f>
        <v>2</v>
      </c>
      <c r="H667" s="6" t="str">
        <f>IFERROR(__xludf.DUMMYFUNCTION("""COMPUTED_VALUE"""),"INE254N01026")</f>
        <v>INE254N01026</v>
      </c>
      <c r="I667" s="6" t="str">
        <f>IFERROR(__xludf.DUMMYFUNCTION("""COMPUTED_VALUE"""),"Equity")</f>
        <v>Equity</v>
      </c>
      <c r="J667" s="6" t="str">
        <f>IFERROR(__xludf.DUMMYFUNCTION("""COMPUTED_VALUE"""),"Fast Moving Consumer Goods")</f>
        <v>Fast Moving Consumer Goods</v>
      </c>
      <c r="K667" s="6" t="str">
        <f>IFERROR(__xludf.DUMMYFUNCTION("""COMPUTED_VALUE"""),"Fast Moving Consumer Goods")</f>
        <v>Fast Moving Consumer Goods</v>
      </c>
      <c r="L667" s="6" t="str">
        <f>IFERROR(__xludf.DUMMYFUNCTION("""COMPUTED_VALUE"""),"Diversified FMCG")</f>
        <v>Diversified FMCG</v>
      </c>
      <c r="M667" s="6" t="str">
        <f>IFERROR(__xludf.DUMMYFUNCTION("""COMPUTED_VALUE"""),"Diversified FMCG")</f>
        <v>Diversified FMCG</v>
      </c>
      <c r="N667" s="5">
        <f>IFERROR(__xludf.DUMMYFUNCTION("""COMPUTED_VALUE"""),6085.9466062)</f>
        <v>6085.946606</v>
      </c>
      <c r="O667" s="6">
        <f t="shared" si="4"/>
        <v>44</v>
      </c>
      <c r="P667" s="6">
        <f t="shared" ref="P667:Q667" si="1336">COUNTIFS(L:L,L667)</f>
        <v>3</v>
      </c>
      <c r="Q667" s="24">
        <f t="shared" si="1336"/>
        <v>3</v>
      </c>
      <c r="R667" s="6" t="str">
        <f t="shared" si="6"/>
        <v>Fast Moving Consumer Goods</v>
      </c>
      <c r="S667" s="6" t="str">
        <f t="shared" si="7"/>
        <v>Fast Moving Consumer Goods</v>
      </c>
      <c r="T667" s="6">
        <f>IFERROR(__xludf.DUMMYFUNCTION("COUNTA(UNIQUE(query($A$2:$P$800,""select L where K='""&amp; K667&amp;""'"")))"),7.0)</f>
        <v>7</v>
      </c>
      <c r="U667" s="23">
        <f t="shared" si="8"/>
        <v>0.2386363636</v>
      </c>
      <c r="V667" s="23">
        <f t="shared" ref="V667:W667" si="1337">P667/O667</f>
        <v>0.06818181818</v>
      </c>
      <c r="W667" s="23">
        <f t="shared" si="1337"/>
        <v>1</v>
      </c>
    </row>
    <row r="668">
      <c r="A668" s="6">
        <f>IFERROR(__xludf.DUMMYFUNCTION("""COMPUTED_VALUE"""),532553.0)</f>
        <v>532553</v>
      </c>
      <c r="B668" s="6" t="str">
        <f>IFERROR(__xludf.DUMMYFUNCTION("""COMPUTED_VALUE"""),"Welspun Enterprises Limited")</f>
        <v>Welspun Enterprises Limited</v>
      </c>
      <c r="C668" s="6" t="str">
        <f>IFERROR(__xludf.DUMMYFUNCTION("""COMPUTED_VALUE"""),"WELENT")</f>
        <v>WELENT</v>
      </c>
      <c r="D668" s="6" t="str">
        <f>IFERROR(__xludf.DUMMYFUNCTION("""COMPUTED_VALUE"""),"Welspun Enterprises Ltd")</f>
        <v>Welspun Enterprises Ltd</v>
      </c>
      <c r="E668" s="6" t="str">
        <f>IFERROR(__xludf.DUMMYFUNCTION("""COMPUTED_VALUE"""),"Active")</f>
        <v>Active</v>
      </c>
      <c r="F668" s="6" t="str">
        <f>IFERROR(__xludf.DUMMYFUNCTION("""COMPUTED_VALUE"""),"A")</f>
        <v>A</v>
      </c>
      <c r="G668" s="6">
        <f>IFERROR(__xludf.DUMMYFUNCTION("""COMPUTED_VALUE"""),10.0)</f>
        <v>10</v>
      </c>
      <c r="H668" s="6" t="str">
        <f>IFERROR(__xludf.DUMMYFUNCTION("""COMPUTED_VALUE"""),"INE625G01013")</f>
        <v>INE625G01013</v>
      </c>
      <c r="I668" s="6" t="str">
        <f>IFERROR(__xludf.DUMMYFUNCTION("""COMPUTED_VALUE"""),"Equity")</f>
        <v>Equity</v>
      </c>
      <c r="J668" s="6" t="str">
        <f>IFERROR(__xludf.DUMMYFUNCTION("""COMPUTED_VALUE"""),"Industrials")</f>
        <v>Industrials</v>
      </c>
      <c r="K668" s="6" t="str">
        <f>IFERROR(__xludf.DUMMYFUNCTION("""COMPUTED_VALUE"""),"Construction")</f>
        <v>Construction</v>
      </c>
      <c r="L668" s="6" t="str">
        <f>IFERROR(__xludf.DUMMYFUNCTION("""COMPUTED_VALUE"""),"Construction")</f>
        <v>Construction</v>
      </c>
      <c r="M668" s="6" t="str">
        <f>IFERROR(__xludf.DUMMYFUNCTION("""COMPUTED_VALUE"""),"Civil Construction")</f>
        <v>Civil Construction</v>
      </c>
      <c r="N668" s="5">
        <f>IFERROR(__xludf.DUMMYFUNCTION("""COMPUTED_VALUE"""),6072.7957994)</f>
        <v>6072.795799</v>
      </c>
      <c r="O668" s="6">
        <f t="shared" si="4"/>
        <v>27</v>
      </c>
      <c r="P668" s="6">
        <f t="shared" ref="P668:Q668" si="1338">COUNTIFS(L:L,L668)</f>
        <v>27</v>
      </c>
      <c r="Q668" s="24">
        <f t="shared" si="1338"/>
        <v>27</v>
      </c>
      <c r="R668" s="6" t="str">
        <f t="shared" si="6"/>
        <v>Construction</v>
      </c>
      <c r="S668" s="6" t="str">
        <f t="shared" si="7"/>
        <v>Construction</v>
      </c>
      <c r="T668" s="6">
        <f>IFERROR(__xludf.DUMMYFUNCTION("COUNTA(UNIQUE(query($A$2:$P$800,""select L where K='""&amp; K668&amp;""'"")))"),1.0)</f>
        <v>1</v>
      </c>
      <c r="U668" s="23">
        <f t="shared" si="8"/>
        <v>0.05555555556</v>
      </c>
      <c r="V668" s="23">
        <f t="shared" ref="V668:W668" si="1339">P668/O668</f>
        <v>1</v>
      </c>
      <c r="W668" s="23">
        <f t="shared" si="1339"/>
        <v>1</v>
      </c>
    </row>
    <row r="669">
      <c r="A669" s="6">
        <f>IFERROR(__xludf.DUMMYFUNCTION("""COMPUTED_VALUE"""),505255.0)</f>
        <v>505255</v>
      </c>
      <c r="B669" s="6" t="str">
        <f>IFERROR(__xludf.DUMMYFUNCTION("""COMPUTED_VALUE"""),"GMM Pfaudler Ltd.")</f>
        <v>GMM Pfaudler Ltd.</v>
      </c>
      <c r="C669" s="6" t="str">
        <f>IFERROR(__xludf.DUMMYFUNCTION("""COMPUTED_VALUE"""),"GMMPFAUDLR")</f>
        <v>GMMPFAUDLR</v>
      </c>
      <c r="D669" s="6" t="str">
        <f>IFERROR(__xludf.DUMMYFUNCTION("""COMPUTED_VALUE"""),"GMM PFAUDLER LTD.")</f>
        <v>GMM PFAUDLER LTD.</v>
      </c>
      <c r="E669" s="6" t="str">
        <f>IFERROR(__xludf.DUMMYFUNCTION("""COMPUTED_VALUE"""),"Active")</f>
        <v>Active</v>
      </c>
      <c r="F669" s="6" t="str">
        <f>IFERROR(__xludf.DUMMYFUNCTION("""COMPUTED_VALUE"""),"A")</f>
        <v>A</v>
      </c>
      <c r="G669" s="6">
        <f>IFERROR(__xludf.DUMMYFUNCTION("""COMPUTED_VALUE"""),2.0)</f>
        <v>2</v>
      </c>
      <c r="H669" s="6" t="str">
        <f>IFERROR(__xludf.DUMMYFUNCTION("""COMPUTED_VALUE"""),"INE541A01023")</f>
        <v>INE541A01023</v>
      </c>
      <c r="I669" s="6" t="str">
        <f>IFERROR(__xludf.DUMMYFUNCTION("""COMPUTED_VALUE"""),"Equity")</f>
        <v>Equity</v>
      </c>
      <c r="J669" s="6" t="str">
        <f>IFERROR(__xludf.DUMMYFUNCTION("""COMPUTED_VALUE"""),"Industrials")</f>
        <v>Industrials</v>
      </c>
      <c r="K669" s="6" t="str">
        <f>IFERROR(__xludf.DUMMYFUNCTION("""COMPUTED_VALUE"""),"Capital Goods")</f>
        <v>Capital Goods</v>
      </c>
      <c r="L669" s="6" t="str">
        <f>IFERROR(__xludf.DUMMYFUNCTION("""COMPUTED_VALUE"""),"Industrial Manufacturing")</f>
        <v>Industrial Manufacturing</v>
      </c>
      <c r="M669" s="6" t="str">
        <f>IFERROR(__xludf.DUMMYFUNCTION("""COMPUTED_VALUE"""),"Industrial Products")</f>
        <v>Industrial Products</v>
      </c>
      <c r="N669" s="5">
        <f>IFERROR(__xludf.DUMMYFUNCTION("""COMPUTED_VALUE"""),6056.8113003)</f>
        <v>6056.8113</v>
      </c>
      <c r="O669" s="6">
        <f t="shared" si="4"/>
        <v>110</v>
      </c>
      <c r="P669" s="6">
        <f t="shared" ref="P669:Q669" si="1340">COUNTIFS(L:L,L669)</f>
        <v>21</v>
      </c>
      <c r="Q669" s="24">
        <f t="shared" si="1340"/>
        <v>17</v>
      </c>
      <c r="R669" s="6" t="str">
        <f t="shared" si="6"/>
        <v>Industrial Manufacturing</v>
      </c>
      <c r="S669" s="6" t="str">
        <f t="shared" si="7"/>
        <v>Industrial Manufacturing</v>
      </c>
      <c r="T669" s="6">
        <f>IFERROR(__xludf.DUMMYFUNCTION("COUNTA(UNIQUE(query($A$2:$P$800,""select L where K='""&amp; K669&amp;""'"")))"),5.0)</f>
        <v>5</v>
      </c>
      <c r="U669" s="23">
        <f t="shared" si="8"/>
        <v>0.06818181818</v>
      </c>
      <c r="V669" s="23">
        <f t="shared" ref="V669:W669" si="1341">P669/O669</f>
        <v>0.1909090909</v>
      </c>
      <c r="W669" s="23">
        <f t="shared" si="1341"/>
        <v>0.8095238095</v>
      </c>
    </row>
    <row r="670">
      <c r="A670" s="6">
        <f>IFERROR(__xludf.DUMMYFUNCTION("""COMPUTED_VALUE"""),543933.0)</f>
        <v>543933</v>
      </c>
      <c r="B670" s="6" t="str">
        <f>IFERROR(__xludf.DUMMYFUNCTION("""COMPUTED_VALUE"""),"Cyient DLM Limited")</f>
        <v>Cyient DLM Limited</v>
      </c>
      <c r="C670" s="6" t="str">
        <f>IFERROR(__xludf.DUMMYFUNCTION("""COMPUTED_VALUE"""),"CYIENTDLM")</f>
        <v>CYIENTDLM</v>
      </c>
      <c r="D670" s="6" t="str">
        <f>IFERROR(__xludf.DUMMYFUNCTION("""COMPUTED_VALUE"""),"Cyient DLM Ltd")</f>
        <v>Cyient DLM Ltd</v>
      </c>
      <c r="E670" s="6" t="str">
        <f>IFERROR(__xludf.DUMMYFUNCTION("""COMPUTED_VALUE"""),"Active")</f>
        <v>Active</v>
      </c>
      <c r="F670" s="6" t="str">
        <f>IFERROR(__xludf.DUMMYFUNCTION("""COMPUTED_VALUE"""),"B")</f>
        <v>B</v>
      </c>
      <c r="G670" s="6">
        <f>IFERROR(__xludf.DUMMYFUNCTION("""COMPUTED_VALUE"""),10.0)</f>
        <v>10</v>
      </c>
      <c r="H670" s="6" t="str">
        <f>IFERROR(__xludf.DUMMYFUNCTION("""COMPUTED_VALUE"""),"INE055S01018")</f>
        <v>INE055S01018</v>
      </c>
      <c r="I670" s="6" t="str">
        <f>IFERROR(__xludf.DUMMYFUNCTION("""COMPUTED_VALUE"""),"Equity")</f>
        <v>Equity</v>
      </c>
      <c r="J670" s="6" t="str">
        <f>IFERROR(__xludf.DUMMYFUNCTION("""COMPUTED_VALUE"""),"Industrials")</f>
        <v>Industrials</v>
      </c>
      <c r="K670" s="6" t="str">
        <f>IFERROR(__xludf.DUMMYFUNCTION("""COMPUTED_VALUE"""),"Capital Goods")</f>
        <v>Capital Goods</v>
      </c>
      <c r="L670" s="6" t="str">
        <f>IFERROR(__xludf.DUMMYFUNCTION("""COMPUTED_VALUE"""),"Industrial Manufacturing")</f>
        <v>Industrial Manufacturing</v>
      </c>
      <c r="M670" s="6" t="str">
        <f>IFERROR(__xludf.DUMMYFUNCTION("""COMPUTED_VALUE"""),"Industrial Products")</f>
        <v>Industrial Products</v>
      </c>
      <c r="N670" s="5">
        <f>IFERROR(__xludf.DUMMYFUNCTION("""COMPUTED_VALUE"""),5987.447594)</f>
        <v>5987.447594</v>
      </c>
      <c r="O670" s="6">
        <f t="shared" si="4"/>
        <v>110</v>
      </c>
      <c r="P670" s="6">
        <f t="shared" ref="P670:Q670" si="1342">COUNTIFS(L:L,L670)</f>
        <v>21</v>
      </c>
      <c r="Q670" s="24">
        <f t="shared" si="1342"/>
        <v>17</v>
      </c>
      <c r="R670" s="6" t="str">
        <f t="shared" si="6"/>
        <v>Industrial Manufacturing</v>
      </c>
      <c r="S670" s="6" t="str">
        <f t="shared" si="7"/>
        <v>Industrial Manufacturing</v>
      </c>
      <c r="T670" s="6">
        <f>IFERROR(__xludf.DUMMYFUNCTION("COUNTA(UNIQUE(query($A$2:$P$800,""select L where K='""&amp; K670&amp;""'"")))"),5.0)</f>
        <v>5</v>
      </c>
      <c r="U670" s="23">
        <f t="shared" si="8"/>
        <v>0.06818181818</v>
      </c>
      <c r="V670" s="23">
        <f t="shared" ref="V670:W670" si="1343">P670/O670</f>
        <v>0.1909090909</v>
      </c>
      <c r="W670" s="23">
        <f t="shared" si="1343"/>
        <v>0.8095238095</v>
      </c>
    </row>
    <row r="671">
      <c r="A671" s="6">
        <f>IFERROR(__xludf.DUMMYFUNCTION("""COMPUTED_VALUE"""),500243.0)</f>
        <v>500243</v>
      </c>
      <c r="B671" s="6" t="str">
        <f>IFERROR(__xludf.DUMMYFUNCTION("""COMPUTED_VALUE"""),"Kirloskar Industries Ltd")</f>
        <v>Kirloskar Industries Ltd</v>
      </c>
      <c r="C671" s="6" t="str">
        <f>IFERROR(__xludf.DUMMYFUNCTION("""COMPUTED_VALUE"""),"KIRLOSIND")</f>
        <v>KIRLOSIND</v>
      </c>
      <c r="D671" s="6" t="str">
        <f>IFERROR(__xludf.DUMMYFUNCTION("""COMPUTED_VALUE"""),"Kirloskar Industries Ltd")</f>
        <v>Kirloskar Industries Ltd</v>
      </c>
      <c r="E671" s="6" t="str">
        <f>IFERROR(__xludf.DUMMYFUNCTION("""COMPUTED_VALUE"""),"Active")</f>
        <v>Active</v>
      </c>
      <c r="F671" s="6" t="str">
        <f>IFERROR(__xludf.DUMMYFUNCTION("""COMPUTED_VALUE"""),"B")</f>
        <v>B</v>
      </c>
      <c r="G671" s="6">
        <f>IFERROR(__xludf.DUMMYFUNCTION("""COMPUTED_VALUE"""),10.0)</f>
        <v>10</v>
      </c>
      <c r="H671" s="6" t="str">
        <f>IFERROR(__xludf.DUMMYFUNCTION("""COMPUTED_VALUE"""),"INE250A01039")</f>
        <v>INE250A01039</v>
      </c>
      <c r="I671" s="6" t="str">
        <f>IFERROR(__xludf.DUMMYFUNCTION("""COMPUTED_VALUE"""),"Equity")</f>
        <v>Equity</v>
      </c>
      <c r="J671" s="6" t="str">
        <f>IFERROR(__xludf.DUMMYFUNCTION("""COMPUTED_VALUE"""),"Industrials")</f>
        <v>Industrials</v>
      </c>
      <c r="K671" s="6" t="str">
        <f>IFERROR(__xludf.DUMMYFUNCTION("""COMPUTED_VALUE"""),"Capital Goods")</f>
        <v>Capital Goods</v>
      </c>
      <c r="L671" s="6" t="str">
        <f>IFERROR(__xludf.DUMMYFUNCTION("""COMPUTED_VALUE"""),"Industrial Products")</f>
        <v>Industrial Products</v>
      </c>
      <c r="M671" s="6" t="str">
        <f>IFERROR(__xludf.DUMMYFUNCTION("""COMPUTED_VALUE"""),"Other Industrial Products")</f>
        <v>Other Industrial Products</v>
      </c>
      <c r="N671" s="5">
        <f>IFERROR(__xludf.DUMMYFUNCTION("""COMPUTED_VALUE"""),5959.7322005)</f>
        <v>5959.732201</v>
      </c>
      <c r="O671" s="6">
        <f t="shared" si="4"/>
        <v>110</v>
      </c>
      <c r="P671" s="6">
        <f t="shared" ref="P671:Q671" si="1344">COUNTIFS(L:L,L671)</f>
        <v>51</v>
      </c>
      <c r="Q671" s="24">
        <f t="shared" si="1344"/>
        <v>5</v>
      </c>
      <c r="R671" s="6" t="str">
        <f t="shared" si="6"/>
        <v>Industrial Products</v>
      </c>
      <c r="S671" s="6" t="str">
        <f t="shared" si="7"/>
        <v>Industrial Products</v>
      </c>
      <c r="T671" s="6">
        <f>IFERROR(__xludf.DUMMYFUNCTION("COUNTA(UNIQUE(query($A$2:$P$800,""select L where K='""&amp; K671&amp;""'"")))"),5.0)</f>
        <v>5</v>
      </c>
      <c r="U671" s="23">
        <f t="shared" si="8"/>
        <v>0.06818181818</v>
      </c>
      <c r="V671" s="23">
        <f t="shared" ref="V671:W671" si="1345">P671/O671</f>
        <v>0.4636363636</v>
      </c>
      <c r="W671" s="23">
        <f t="shared" si="1345"/>
        <v>0.09803921569</v>
      </c>
    </row>
    <row r="672">
      <c r="A672" s="6">
        <f>IFERROR(__xludf.DUMMYFUNCTION("""COMPUTED_VALUE"""),540293.0)</f>
        <v>540293</v>
      </c>
      <c r="B672" s="6" t="str">
        <f>IFERROR(__xludf.DUMMYFUNCTION("""COMPUTED_VALUE"""),"Pricol Limited")</f>
        <v>Pricol Limited</v>
      </c>
      <c r="C672" s="6" t="str">
        <f>IFERROR(__xludf.DUMMYFUNCTION("""COMPUTED_VALUE"""),"PRICOLLTD")</f>
        <v>PRICOLLTD</v>
      </c>
      <c r="D672" s="6" t="str">
        <f>IFERROR(__xludf.DUMMYFUNCTION("""COMPUTED_VALUE"""),"Pricol Ltd")</f>
        <v>Pricol Ltd</v>
      </c>
      <c r="E672" s="6" t="str">
        <f>IFERROR(__xludf.DUMMYFUNCTION("""COMPUTED_VALUE"""),"Active")</f>
        <v>Active</v>
      </c>
      <c r="F672" s="6" t="str">
        <f>IFERROR(__xludf.DUMMYFUNCTION("""COMPUTED_VALUE"""),"A")</f>
        <v>A</v>
      </c>
      <c r="G672" s="6">
        <f>IFERROR(__xludf.DUMMYFUNCTION("""COMPUTED_VALUE"""),1.0)</f>
        <v>1</v>
      </c>
      <c r="H672" s="6" t="str">
        <f>IFERROR(__xludf.DUMMYFUNCTION("""COMPUTED_VALUE"""),"INE726V01018")</f>
        <v>INE726V01018</v>
      </c>
      <c r="I672" s="6" t="str">
        <f>IFERROR(__xludf.DUMMYFUNCTION("""COMPUTED_VALUE"""),"Equity")</f>
        <v>Equity</v>
      </c>
      <c r="J672" s="6" t="str">
        <f>IFERROR(__xludf.DUMMYFUNCTION("""COMPUTED_VALUE"""),"Consumer Discretionary")</f>
        <v>Consumer Discretionary</v>
      </c>
      <c r="K672" s="6" t="str">
        <f>IFERROR(__xludf.DUMMYFUNCTION("""COMPUTED_VALUE"""),"Automobile and Auto Components")</f>
        <v>Automobile and Auto Components</v>
      </c>
      <c r="L672" s="6" t="str">
        <f>IFERROR(__xludf.DUMMYFUNCTION("""COMPUTED_VALUE"""),"Auto Components")</f>
        <v>Auto Components</v>
      </c>
      <c r="M672" s="6" t="str">
        <f>IFERROR(__xludf.DUMMYFUNCTION("""COMPUTED_VALUE"""),"Auto Components &amp; Equipments")</f>
        <v>Auto Components &amp; Equipments</v>
      </c>
      <c r="N672" s="5">
        <f>IFERROR(__xludf.DUMMYFUNCTION("""COMPUTED_VALUE"""),5951.1884618)</f>
        <v>5951.188462</v>
      </c>
      <c r="O672" s="6">
        <f t="shared" si="4"/>
        <v>47</v>
      </c>
      <c r="P672" s="6">
        <f t="shared" ref="P672:Q672" si="1346">COUNTIFS(L:L,L672)</f>
        <v>37</v>
      </c>
      <c r="Q672" s="24">
        <f t="shared" si="1346"/>
        <v>32</v>
      </c>
      <c r="R672" s="6" t="str">
        <f t="shared" si="6"/>
        <v>Automobile and Auto Components</v>
      </c>
      <c r="S672" s="6" t="str">
        <f t="shared" si="7"/>
        <v>Automobile and Auto Components</v>
      </c>
      <c r="T672" s="6">
        <f>IFERROR(__xludf.DUMMYFUNCTION("COUNTA(UNIQUE(query($A$2:$P$800,""select L where K='""&amp; K672&amp;""'"")))"),2.0)</f>
        <v>2</v>
      </c>
      <c r="U672" s="23">
        <f t="shared" si="8"/>
        <v>0.06382978723</v>
      </c>
      <c r="V672" s="23">
        <f t="shared" ref="V672:W672" si="1347">P672/O672</f>
        <v>0.7872340426</v>
      </c>
      <c r="W672" s="23">
        <f t="shared" si="1347"/>
        <v>0.8648648649</v>
      </c>
    </row>
    <row r="673">
      <c r="A673" s="6" t="str">
        <f>IFERROR(__xludf.DUMMYFUNCTION("""COMPUTED_VALUE"""),"SUNDARMHLD")</f>
        <v>SUNDARMHLD</v>
      </c>
      <c r="B673" s="6" t="str">
        <f>IFERROR(__xludf.DUMMYFUNCTION("""COMPUTED_VALUE"""),"Sundaram Fin.Hol")</f>
        <v>Sundaram Fin.Hol</v>
      </c>
      <c r="C673" s="6" t="str">
        <f>IFERROR(__xludf.DUMMYFUNCTION("""COMPUTED_VALUE"""),"SUNDARMHLD")</f>
        <v>SUNDARMHLD</v>
      </c>
      <c r="D673" s="6" t="str">
        <f>IFERROR(__xludf.DUMMYFUNCTION("""COMPUTED_VALUE"""),"Sundaram Fin.Hol")</f>
        <v>Sundaram Fin.Hol</v>
      </c>
      <c r="E673" s="6" t="str">
        <f>IFERROR(__xludf.DUMMYFUNCTION("""COMPUTED_VALUE"""),"Active")</f>
        <v>Active</v>
      </c>
      <c r="F673" s="6"/>
      <c r="G673" s="6"/>
      <c r="H673" s="6" t="str">
        <f>IFERROR(__xludf.DUMMYFUNCTION("""COMPUTED_VALUE"""),"INE202Z01029")</f>
        <v>INE202Z01029</v>
      </c>
      <c r="I673" s="6" t="str">
        <f>IFERROR(__xludf.DUMMYFUNCTION("""COMPUTED_VALUE"""),"Equity")</f>
        <v>Equity</v>
      </c>
      <c r="J673" s="6" t="str">
        <f>IFERROR(__xludf.DUMMYFUNCTION("""COMPUTED_VALUE"""),"Financial Services")</f>
        <v>Financial Services</v>
      </c>
      <c r="K673" s="6" t="str">
        <f>IFERROR(__xludf.DUMMYFUNCTION("""COMPUTED_VALUE"""),"Financial Services")</f>
        <v>Financial Services</v>
      </c>
      <c r="L673" s="6" t="str">
        <f>IFERROR(__xludf.DUMMYFUNCTION("""COMPUTED_VALUE"""),"Finance")</f>
        <v>Finance</v>
      </c>
      <c r="M673" s="6" t="str">
        <f>IFERROR(__xludf.DUMMYFUNCTION("""COMPUTED_VALUE"""),"Non Banking Financial Company (NBFC)")</f>
        <v>Non Banking Financial Company (NBFC)</v>
      </c>
      <c r="N673" s="5">
        <f>IFERROR(__xludf.DUMMYFUNCTION("""COMPUTED_VALUE"""),5943.157295)</f>
        <v>5943.157295</v>
      </c>
      <c r="O673" s="6">
        <f t="shared" si="4"/>
        <v>123</v>
      </c>
      <c r="P673" s="6">
        <f t="shared" ref="P673:Q673" si="1348">COUNTIFS(L:L,L673)</f>
        <v>56</v>
      </c>
      <c r="Q673" s="24">
        <f t="shared" si="1348"/>
        <v>21</v>
      </c>
      <c r="R673" s="6" t="str">
        <f t="shared" si="6"/>
        <v>Non Banking Financial Company (NBFC)</v>
      </c>
      <c r="S673" s="6" t="str">
        <f t="shared" si="7"/>
        <v>Non Banking Financial Company (NBFC)</v>
      </c>
      <c r="T673" s="6">
        <f>IFERROR(__xludf.DUMMYFUNCTION("COUNTA(UNIQUE(query($A$2:$P$800,""select L where K='""&amp; K673&amp;""'"")))"),5.0)</f>
        <v>5</v>
      </c>
      <c r="U673" s="23">
        <f t="shared" si="8"/>
        <v>0.06097560976</v>
      </c>
      <c r="V673" s="23">
        <f t="shared" ref="V673:W673" si="1349">P673/O673</f>
        <v>0.4552845528</v>
      </c>
      <c r="W673" s="23">
        <f t="shared" si="1349"/>
        <v>0.375</v>
      </c>
    </row>
    <row r="674">
      <c r="A674" s="6">
        <f>IFERROR(__xludf.DUMMYFUNCTION("""COMPUTED_VALUE"""),543306.0)</f>
        <v>543306</v>
      </c>
      <c r="B674" s="6" t="str">
        <f>IFERROR(__xludf.DUMMYFUNCTION("""COMPUTED_VALUE"""),"Dodla Dairy Limited")</f>
        <v>Dodla Dairy Limited</v>
      </c>
      <c r="C674" s="6" t="str">
        <f>IFERROR(__xludf.DUMMYFUNCTION("""COMPUTED_VALUE"""),"DODLA")</f>
        <v>DODLA</v>
      </c>
      <c r="D674" s="6" t="str">
        <f>IFERROR(__xludf.DUMMYFUNCTION("""COMPUTED_VALUE"""),"Dodla Dairy Ltd")</f>
        <v>Dodla Dairy Ltd</v>
      </c>
      <c r="E674" s="6" t="str">
        <f>IFERROR(__xludf.DUMMYFUNCTION("""COMPUTED_VALUE"""),"Active")</f>
        <v>Active</v>
      </c>
      <c r="F674" s="6" t="str">
        <f>IFERROR(__xludf.DUMMYFUNCTION("""COMPUTED_VALUE"""),"B")</f>
        <v>B</v>
      </c>
      <c r="G674" s="6">
        <f>IFERROR(__xludf.DUMMYFUNCTION("""COMPUTED_VALUE"""),10.0)</f>
        <v>10</v>
      </c>
      <c r="H674" s="6" t="str">
        <f>IFERROR(__xludf.DUMMYFUNCTION("""COMPUTED_VALUE"""),"INE021O01019")</f>
        <v>INE021O01019</v>
      </c>
      <c r="I674" s="6" t="str">
        <f>IFERROR(__xludf.DUMMYFUNCTION("""COMPUTED_VALUE"""),"Equity")</f>
        <v>Equity</v>
      </c>
      <c r="J674" s="6" t="str">
        <f>IFERROR(__xludf.DUMMYFUNCTION("""COMPUTED_VALUE"""),"Fast Moving Consumer Goods")</f>
        <v>Fast Moving Consumer Goods</v>
      </c>
      <c r="K674" s="6" t="str">
        <f>IFERROR(__xludf.DUMMYFUNCTION("""COMPUTED_VALUE"""),"Fast Moving Consumer Goods")</f>
        <v>Fast Moving Consumer Goods</v>
      </c>
      <c r="L674" s="6" t="str">
        <f>IFERROR(__xludf.DUMMYFUNCTION("""COMPUTED_VALUE"""),"Food Products")</f>
        <v>Food Products</v>
      </c>
      <c r="M674" s="6" t="str">
        <f>IFERROR(__xludf.DUMMYFUNCTION("""COMPUTED_VALUE"""),"Dairy Products")</f>
        <v>Dairy Products</v>
      </c>
      <c r="N674" s="5">
        <f>IFERROR(__xludf.DUMMYFUNCTION("""COMPUTED_VALUE"""),5923.1400073)</f>
        <v>5923.140007</v>
      </c>
      <c r="O674" s="6">
        <f t="shared" si="4"/>
        <v>44</v>
      </c>
      <c r="P674" s="6">
        <f t="shared" ref="P674:Q674" si="1350">COUNTIFS(L:L,L674)</f>
        <v>11</v>
      </c>
      <c r="Q674" s="24">
        <f t="shared" si="1350"/>
        <v>3</v>
      </c>
      <c r="R674" s="6" t="str">
        <f t="shared" si="6"/>
        <v>Fast Moving Consumer Goods</v>
      </c>
      <c r="S674" s="6" t="str">
        <f t="shared" si="7"/>
        <v>Fast Moving Consumer Goods</v>
      </c>
      <c r="T674" s="6">
        <f>IFERROR(__xludf.DUMMYFUNCTION("COUNTA(UNIQUE(query($A$2:$P$800,""select L where K='""&amp; K674&amp;""'"")))"),7.0)</f>
        <v>7</v>
      </c>
      <c r="U674" s="23">
        <f t="shared" si="8"/>
        <v>0.2386363636</v>
      </c>
      <c r="V674" s="23">
        <f t="shared" ref="V674:W674" si="1351">P674/O674</f>
        <v>0.25</v>
      </c>
      <c r="W674" s="23">
        <f t="shared" si="1351"/>
        <v>0.2727272727</v>
      </c>
    </row>
    <row r="675">
      <c r="A675" s="6">
        <f>IFERROR(__xludf.DUMMYFUNCTION("""COMPUTED_VALUE"""),530117.0)</f>
        <v>530117</v>
      </c>
      <c r="B675" s="6" t="str">
        <f>IFERROR(__xludf.DUMMYFUNCTION("""COMPUTED_VALUE"""),"PRIVI SPECIALITY CHEMICALS LIMITED")</f>
        <v>PRIVI SPECIALITY CHEMICALS LIMITED</v>
      </c>
      <c r="C675" s="6" t="str">
        <f>IFERROR(__xludf.DUMMYFUNCTION("""COMPUTED_VALUE"""),"PRIVISCL")</f>
        <v>PRIVISCL</v>
      </c>
      <c r="D675" s="6" t="str">
        <f>IFERROR(__xludf.DUMMYFUNCTION("""COMPUTED_VALUE"""),"Privi Speciality Chemicals Ltd")</f>
        <v>Privi Speciality Chemicals Ltd</v>
      </c>
      <c r="E675" s="6" t="str">
        <f>IFERROR(__xludf.DUMMYFUNCTION("""COMPUTED_VALUE"""),"Active")</f>
        <v>Active</v>
      </c>
      <c r="F675" s="6" t="str">
        <f>IFERROR(__xludf.DUMMYFUNCTION("""COMPUTED_VALUE"""),"A")</f>
        <v>A</v>
      </c>
      <c r="G675" s="6">
        <f>IFERROR(__xludf.DUMMYFUNCTION("""COMPUTED_VALUE"""),10.0)</f>
        <v>10</v>
      </c>
      <c r="H675" s="6" t="str">
        <f>IFERROR(__xludf.DUMMYFUNCTION("""COMPUTED_VALUE"""),"INE959A01019")</f>
        <v>INE959A01019</v>
      </c>
      <c r="I675" s="6" t="str">
        <f>IFERROR(__xludf.DUMMYFUNCTION("""COMPUTED_VALUE"""),"Equity")</f>
        <v>Equity</v>
      </c>
      <c r="J675" s="6" t="str">
        <f>IFERROR(__xludf.DUMMYFUNCTION("""COMPUTED_VALUE"""),"Commodities")</f>
        <v>Commodities</v>
      </c>
      <c r="K675" s="6" t="str">
        <f>IFERROR(__xludf.DUMMYFUNCTION("""COMPUTED_VALUE"""),"Chemicals")</f>
        <v>Chemicals</v>
      </c>
      <c r="L675" s="6" t="str">
        <f>IFERROR(__xludf.DUMMYFUNCTION("""COMPUTED_VALUE"""),"Chemicals &amp; Petrochemicals")</f>
        <v>Chemicals &amp; Petrochemicals</v>
      </c>
      <c r="M675" s="6" t="str">
        <f>IFERROR(__xludf.DUMMYFUNCTION("""COMPUTED_VALUE"""),"Specialty Chemicals")</f>
        <v>Specialty Chemicals</v>
      </c>
      <c r="N675" s="5">
        <f>IFERROR(__xludf.DUMMYFUNCTION("""COMPUTED_VALUE"""),5909.5059493)</f>
        <v>5909.505949</v>
      </c>
      <c r="O675" s="6">
        <f t="shared" si="4"/>
        <v>52</v>
      </c>
      <c r="P675" s="6">
        <f t="shared" ref="P675:Q675" si="1352">COUNTIFS(L:L,L675)</f>
        <v>37</v>
      </c>
      <c r="Q675" s="24">
        <f t="shared" si="1352"/>
        <v>25</v>
      </c>
      <c r="R675" s="6" t="str">
        <f t="shared" si="6"/>
        <v>Chemicals</v>
      </c>
      <c r="S675" s="6" t="str">
        <f t="shared" si="7"/>
        <v>Chemicals</v>
      </c>
      <c r="T675" s="6">
        <f>IFERROR(__xludf.DUMMYFUNCTION("COUNTA(UNIQUE(query($A$2:$P$800,""select L where K='""&amp; K675&amp;""'"")))"),2.0)</f>
        <v>2</v>
      </c>
      <c r="U675" s="23">
        <f t="shared" si="8"/>
        <v>0.05769230769</v>
      </c>
      <c r="V675" s="23">
        <f t="shared" ref="V675:W675" si="1353">P675/O675</f>
        <v>0.7115384615</v>
      </c>
      <c r="W675" s="23">
        <f t="shared" si="1353"/>
        <v>0.6756756757</v>
      </c>
    </row>
    <row r="676">
      <c r="A676" s="6">
        <f>IFERROR(__xludf.DUMMYFUNCTION("""COMPUTED_VALUE"""),532749.0)</f>
        <v>532749</v>
      </c>
      <c r="B676" s="6" t="str">
        <f>IFERROR(__xludf.DUMMYFUNCTION("""COMPUTED_VALUE"""),"Allcargo Logistics Ltd")</f>
        <v>Allcargo Logistics Ltd</v>
      </c>
      <c r="C676" s="6" t="str">
        <f>IFERROR(__xludf.DUMMYFUNCTION("""COMPUTED_VALUE"""),"ALLCARGO")</f>
        <v>ALLCARGO</v>
      </c>
      <c r="D676" s="6" t="str">
        <f>IFERROR(__xludf.DUMMYFUNCTION("""COMPUTED_VALUE"""),"ALLCARGO LOGISTICS LTD.")</f>
        <v>ALLCARGO LOGISTICS LTD.</v>
      </c>
      <c r="E676" s="6" t="str">
        <f>IFERROR(__xludf.DUMMYFUNCTION("""COMPUTED_VALUE"""),"Active")</f>
        <v>Active</v>
      </c>
      <c r="F676" s="6" t="str">
        <f>IFERROR(__xludf.DUMMYFUNCTION("""COMPUTED_VALUE"""),"A")</f>
        <v>A</v>
      </c>
      <c r="G676" s="6">
        <f>IFERROR(__xludf.DUMMYFUNCTION("""COMPUTED_VALUE"""),2.0)</f>
        <v>2</v>
      </c>
      <c r="H676" s="6" t="str">
        <f>IFERROR(__xludf.DUMMYFUNCTION("""COMPUTED_VALUE"""),"INE418H01029")</f>
        <v>INE418H01029</v>
      </c>
      <c r="I676" s="6" t="str">
        <f>IFERROR(__xludf.DUMMYFUNCTION("""COMPUTED_VALUE"""),"Equity")</f>
        <v>Equity</v>
      </c>
      <c r="J676" s="6" t="str">
        <f>IFERROR(__xludf.DUMMYFUNCTION("""COMPUTED_VALUE"""),"Services")</f>
        <v>Services</v>
      </c>
      <c r="K676" s="6" t="str">
        <f>IFERROR(__xludf.DUMMYFUNCTION("""COMPUTED_VALUE"""),"Services")</f>
        <v>Services</v>
      </c>
      <c r="L676" s="6" t="str">
        <f>IFERROR(__xludf.DUMMYFUNCTION("""COMPUTED_VALUE"""),"Transport Services")</f>
        <v>Transport Services</v>
      </c>
      <c r="M676" s="6" t="str">
        <f>IFERROR(__xludf.DUMMYFUNCTION("""COMPUTED_VALUE"""),"Logistics Solution Provider")</f>
        <v>Logistics Solution Provider</v>
      </c>
      <c r="N676" s="5">
        <f>IFERROR(__xludf.DUMMYFUNCTION("""COMPUTED_VALUE"""),5908.484623)</f>
        <v>5908.484623</v>
      </c>
      <c r="O676" s="6">
        <f t="shared" si="4"/>
        <v>27</v>
      </c>
      <c r="P676" s="6">
        <f t="shared" ref="P676:Q676" si="1354">COUNTIFS(L:L,L676)</f>
        <v>12</v>
      </c>
      <c r="Q676" s="24">
        <f t="shared" si="1354"/>
        <v>9</v>
      </c>
      <c r="R676" s="6" t="str">
        <f t="shared" si="6"/>
        <v>Services</v>
      </c>
      <c r="S676" s="6" t="str">
        <f t="shared" si="7"/>
        <v>Services</v>
      </c>
      <c r="T676" s="6">
        <f>IFERROR(__xludf.DUMMYFUNCTION("COUNTA(UNIQUE(query($A$2:$P$800,""select L where K='""&amp; K676&amp;""'"")))"),3.0)</f>
        <v>3</v>
      </c>
      <c r="U676" s="23">
        <f t="shared" si="8"/>
        <v>0.1666666667</v>
      </c>
      <c r="V676" s="23">
        <f t="shared" ref="V676:W676" si="1355">P676/O676</f>
        <v>0.4444444444</v>
      </c>
      <c r="W676" s="23">
        <f t="shared" si="1355"/>
        <v>0.75</v>
      </c>
    </row>
    <row r="677">
      <c r="A677" s="6">
        <f>IFERROR(__xludf.DUMMYFUNCTION("""COMPUTED_VALUE"""),543270.0)</f>
        <v>543270</v>
      </c>
      <c r="B677" s="6" t="str">
        <f>IFERROR(__xludf.DUMMYFUNCTION("""COMPUTED_VALUE"""),"MTAR Technologies Limited")</f>
        <v>MTAR Technologies Limited</v>
      </c>
      <c r="C677" s="6" t="str">
        <f>IFERROR(__xludf.DUMMYFUNCTION("""COMPUTED_VALUE"""),"MTARTECH")</f>
        <v>MTARTECH</v>
      </c>
      <c r="D677" s="6" t="str">
        <f>IFERROR(__xludf.DUMMYFUNCTION("""COMPUTED_VALUE"""),"MTAR Technologies Ltd")</f>
        <v>MTAR Technologies Ltd</v>
      </c>
      <c r="E677" s="6" t="str">
        <f>IFERROR(__xludf.DUMMYFUNCTION("""COMPUTED_VALUE"""),"Active")</f>
        <v>Active</v>
      </c>
      <c r="F677" s="6" t="str">
        <f>IFERROR(__xludf.DUMMYFUNCTION("""COMPUTED_VALUE"""),"A")</f>
        <v>A</v>
      </c>
      <c r="G677" s="6">
        <f>IFERROR(__xludf.DUMMYFUNCTION("""COMPUTED_VALUE"""),10.0)</f>
        <v>10</v>
      </c>
      <c r="H677" s="6" t="str">
        <f>IFERROR(__xludf.DUMMYFUNCTION("""COMPUTED_VALUE"""),"INE864I01014")</f>
        <v>INE864I01014</v>
      </c>
      <c r="I677" s="6" t="str">
        <f>IFERROR(__xludf.DUMMYFUNCTION("""COMPUTED_VALUE"""),"Equity")</f>
        <v>Equity</v>
      </c>
      <c r="J677" s="6" t="str">
        <f>IFERROR(__xludf.DUMMYFUNCTION("""COMPUTED_VALUE"""),"Industrials")</f>
        <v>Industrials</v>
      </c>
      <c r="K677" s="6" t="str">
        <f>IFERROR(__xludf.DUMMYFUNCTION("""COMPUTED_VALUE"""),"Capital Goods")</f>
        <v>Capital Goods</v>
      </c>
      <c r="L677" s="6" t="str">
        <f>IFERROR(__xludf.DUMMYFUNCTION("""COMPUTED_VALUE"""),"Aerospace &amp; Defense")</f>
        <v>Aerospace &amp; Defense</v>
      </c>
      <c r="M677" s="6" t="str">
        <f>IFERROR(__xludf.DUMMYFUNCTION("""COMPUTED_VALUE"""),"Aerospace &amp; Defense")</f>
        <v>Aerospace &amp; Defense</v>
      </c>
      <c r="N677" s="5">
        <f>IFERROR(__xludf.DUMMYFUNCTION("""COMPUTED_VALUE"""),5899.1186475)</f>
        <v>5899.118648</v>
      </c>
      <c r="O677" s="6">
        <f t="shared" si="4"/>
        <v>110</v>
      </c>
      <c r="P677" s="6">
        <f t="shared" ref="P677:Q677" si="1356">COUNTIFS(L:L,L677)</f>
        <v>11</v>
      </c>
      <c r="Q677" s="24">
        <f t="shared" si="1356"/>
        <v>11</v>
      </c>
      <c r="R677" s="6" t="str">
        <f t="shared" si="6"/>
        <v>Capital Goods</v>
      </c>
      <c r="S677" s="6" t="str">
        <f t="shared" si="7"/>
        <v>Capital Goods</v>
      </c>
      <c r="T677" s="6">
        <f>IFERROR(__xludf.DUMMYFUNCTION("COUNTA(UNIQUE(query($A$2:$P$800,""select L where K='""&amp; K677&amp;""'"")))"),5.0)</f>
        <v>5</v>
      </c>
      <c r="U677" s="23">
        <f t="shared" si="8"/>
        <v>0.06818181818</v>
      </c>
      <c r="V677" s="23">
        <f t="shared" ref="V677:W677" si="1357">P677/O677</f>
        <v>0.1</v>
      </c>
      <c r="W677" s="23">
        <f t="shared" si="1357"/>
        <v>1</v>
      </c>
    </row>
    <row r="678">
      <c r="A678" s="6">
        <f>IFERROR(__xludf.DUMMYFUNCTION("""COMPUTED_VALUE"""),533553.0)</f>
        <v>533553</v>
      </c>
      <c r="B678" s="6" t="str">
        <f>IFERROR(__xludf.DUMMYFUNCTION("""COMPUTED_VALUE"""),"TD Power Systems Ltd")</f>
        <v>TD Power Systems Ltd</v>
      </c>
      <c r="C678" s="6" t="str">
        <f>IFERROR(__xludf.DUMMYFUNCTION("""COMPUTED_VALUE"""),"TDPOWERSYS")</f>
        <v>TDPOWERSYS</v>
      </c>
      <c r="D678" s="6" t="str">
        <f>IFERROR(__xludf.DUMMYFUNCTION("""COMPUTED_VALUE"""),"T D POWER SYSTEMS LTD.")</f>
        <v>T D POWER SYSTEMS LTD.</v>
      </c>
      <c r="E678" s="6" t="str">
        <f>IFERROR(__xludf.DUMMYFUNCTION("""COMPUTED_VALUE"""),"Active")</f>
        <v>Active</v>
      </c>
      <c r="F678" s="6" t="str">
        <f>IFERROR(__xludf.DUMMYFUNCTION("""COMPUTED_VALUE"""),"A")</f>
        <v>A</v>
      </c>
      <c r="G678" s="6">
        <f>IFERROR(__xludf.DUMMYFUNCTION("""COMPUTED_VALUE"""),2.0)</f>
        <v>2</v>
      </c>
      <c r="H678" s="6" t="str">
        <f>IFERROR(__xludf.DUMMYFUNCTION("""COMPUTED_VALUE"""),"INE419M01027")</f>
        <v>INE419M01027</v>
      </c>
      <c r="I678" s="6" t="str">
        <f>IFERROR(__xludf.DUMMYFUNCTION("""COMPUTED_VALUE"""),"Equity")</f>
        <v>Equity</v>
      </c>
      <c r="J678" s="6" t="str">
        <f>IFERROR(__xludf.DUMMYFUNCTION("""COMPUTED_VALUE"""),"Industrials")</f>
        <v>Industrials</v>
      </c>
      <c r="K678" s="6" t="str">
        <f>IFERROR(__xludf.DUMMYFUNCTION("""COMPUTED_VALUE"""),"Capital Goods")</f>
        <v>Capital Goods</v>
      </c>
      <c r="L678" s="6" t="str">
        <f>IFERROR(__xludf.DUMMYFUNCTION("""COMPUTED_VALUE"""),"Electrical Equipment")</f>
        <v>Electrical Equipment</v>
      </c>
      <c r="M678" s="6" t="str">
        <f>IFERROR(__xludf.DUMMYFUNCTION("""COMPUTED_VALUE"""),"Heavy Electrical Equipment")</f>
        <v>Heavy Electrical Equipment</v>
      </c>
      <c r="N678" s="5">
        <f>IFERROR(__xludf.DUMMYFUNCTION("""COMPUTED_VALUE"""),5871.24832)</f>
        <v>5871.24832</v>
      </c>
      <c r="O678" s="6">
        <f t="shared" si="4"/>
        <v>110</v>
      </c>
      <c r="P678" s="6">
        <f t="shared" ref="P678:Q678" si="1358">COUNTIFS(L:L,L678)</f>
        <v>22</v>
      </c>
      <c r="Q678" s="24">
        <f t="shared" si="1358"/>
        <v>17</v>
      </c>
      <c r="R678" s="6" t="str">
        <f t="shared" si="6"/>
        <v>Electrical Equipment</v>
      </c>
      <c r="S678" s="6" t="str">
        <f t="shared" si="7"/>
        <v>Electrical Equipment</v>
      </c>
      <c r="T678" s="6">
        <f>IFERROR(__xludf.DUMMYFUNCTION("COUNTA(UNIQUE(query($A$2:$P$800,""select L where K='""&amp; K678&amp;""'"")))"),5.0)</f>
        <v>5</v>
      </c>
      <c r="U678" s="23">
        <f t="shared" si="8"/>
        <v>0.06818181818</v>
      </c>
      <c r="V678" s="23">
        <f t="shared" ref="V678:W678" si="1359">P678/O678</f>
        <v>0.2</v>
      </c>
      <c r="W678" s="23">
        <f t="shared" si="1359"/>
        <v>0.7727272727</v>
      </c>
    </row>
    <row r="679">
      <c r="A679" s="6">
        <f>IFERROR(__xludf.DUMMYFUNCTION("""COMPUTED_VALUE"""),543332.0)</f>
        <v>543332</v>
      </c>
      <c r="B679" s="6" t="str">
        <f>IFERROR(__xludf.DUMMYFUNCTION("""COMPUTED_VALUE"""),"Epigral Limited")</f>
        <v>Epigral Limited</v>
      </c>
      <c r="C679" s="6" t="str">
        <f>IFERROR(__xludf.DUMMYFUNCTION("""COMPUTED_VALUE"""),"EPIGRAL")</f>
        <v>EPIGRAL</v>
      </c>
      <c r="D679" s="6" t="str">
        <f>IFERROR(__xludf.DUMMYFUNCTION("""COMPUTED_VALUE"""),"Epigral Ltd")</f>
        <v>Epigral Ltd</v>
      </c>
      <c r="E679" s="6" t="str">
        <f>IFERROR(__xludf.DUMMYFUNCTION("""COMPUTED_VALUE"""),"Active")</f>
        <v>Active</v>
      </c>
      <c r="F679" s="6" t="str">
        <f>IFERROR(__xludf.DUMMYFUNCTION("""COMPUTED_VALUE"""),"A")</f>
        <v>A</v>
      </c>
      <c r="G679" s="6">
        <f>IFERROR(__xludf.DUMMYFUNCTION("""COMPUTED_VALUE"""),10.0)</f>
        <v>10</v>
      </c>
      <c r="H679" s="6" t="str">
        <f>IFERROR(__xludf.DUMMYFUNCTION("""COMPUTED_VALUE"""),"INE071N01016")</f>
        <v>INE071N01016</v>
      </c>
      <c r="I679" s="6" t="str">
        <f>IFERROR(__xludf.DUMMYFUNCTION("""COMPUTED_VALUE"""),"Equity")</f>
        <v>Equity</v>
      </c>
      <c r="J679" s="6" t="str">
        <f>IFERROR(__xludf.DUMMYFUNCTION("""COMPUTED_VALUE"""),"Commodities")</f>
        <v>Commodities</v>
      </c>
      <c r="K679" s="6" t="str">
        <f>IFERROR(__xludf.DUMMYFUNCTION("""COMPUTED_VALUE"""),"Chemicals")</f>
        <v>Chemicals</v>
      </c>
      <c r="L679" s="6" t="str">
        <f>IFERROR(__xludf.DUMMYFUNCTION("""COMPUTED_VALUE"""),"Chemicals &amp; Petrochemicals")</f>
        <v>Chemicals &amp; Petrochemicals</v>
      </c>
      <c r="M679" s="6" t="str">
        <f>IFERROR(__xludf.DUMMYFUNCTION("""COMPUTED_VALUE"""),"Specialty Chemicals")</f>
        <v>Specialty Chemicals</v>
      </c>
      <c r="N679" s="5">
        <f>IFERROR(__xludf.DUMMYFUNCTION("""COMPUTED_VALUE"""),5841.3537354)</f>
        <v>5841.353735</v>
      </c>
      <c r="O679" s="6">
        <f t="shared" si="4"/>
        <v>52</v>
      </c>
      <c r="P679" s="6">
        <f t="shared" ref="P679:Q679" si="1360">COUNTIFS(L:L,L679)</f>
        <v>37</v>
      </c>
      <c r="Q679" s="24">
        <f t="shared" si="1360"/>
        <v>25</v>
      </c>
      <c r="R679" s="6" t="str">
        <f t="shared" si="6"/>
        <v>Chemicals</v>
      </c>
      <c r="S679" s="6" t="str">
        <f t="shared" si="7"/>
        <v>Chemicals</v>
      </c>
      <c r="T679" s="6">
        <f>IFERROR(__xludf.DUMMYFUNCTION("COUNTA(UNIQUE(query($A$2:$P$800,""select L where K='""&amp; K679&amp;""'"")))"),2.0)</f>
        <v>2</v>
      </c>
      <c r="U679" s="23">
        <f t="shared" si="8"/>
        <v>0.05769230769</v>
      </c>
      <c r="V679" s="23">
        <f t="shared" ref="V679:W679" si="1361">P679/O679</f>
        <v>0.7115384615</v>
      </c>
      <c r="W679" s="23">
        <f t="shared" si="1361"/>
        <v>0.6756756757</v>
      </c>
    </row>
    <row r="680">
      <c r="A680" s="6">
        <f>IFERROR(__xludf.DUMMYFUNCTION("""COMPUTED_VALUE"""),532922.0)</f>
        <v>532922</v>
      </c>
      <c r="B680" s="6" t="str">
        <f>IFERROR(__xludf.DUMMYFUNCTION("""COMPUTED_VALUE"""),"Edelweiss Financial Services Ltd.")</f>
        <v>Edelweiss Financial Services Ltd.</v>
      </c>
      <c r="C680" s="6" t="str">
        <f>IFERROR(__xludf.DUMMYFUNCTION("""COMPUTED_VALUE"""),"EDELWEISS")</f>
        <v>EDELWEISS</v>
      </c>
      <c r="D680" s="6" t="str">
        <f>IFERROR(__xludf.DUMMYFUNCTION("""COMPUTED_VALUE"""),"Edelweiss Financial Services Ltd.")</f>
        <v>Edelweiss Financial Services Ltd.</v>
      </c>
      <c r="E680" s="6" t="str">
        <f>IFERROR(__xludf.DUMMYFUNCTION("""COMPUTED_VALUE"""),"Active")</f>
        <v>Active</v>
      </c>
      <c r="F680" s="6" t="str">
        <f>IFERROR(__xludf.DUMMYFUNCTION("""COMPUTED_VALUE"""),"A")</f>
        <v>A</v>
      </c>
      <c r="G680" s="6">
        <f>IFERROR(__xludf.DUMMYFUNCTION("""COMPUTED_VALUE"""),1.0)</f>
        <v>1</v>
      </c>
      <c r="H680" s="6" t="str">
        <f>IFERROR(__xludf.DUMMYFUNCTION("""COMPUTED_VALUE"""),"INE532F01054")</f>
        <v>INE532F01054</v>
      </c>
      <c r="I680" s="6" t="str">
        <f>IFERROR(__xludf.DUMMYFUNCTION("""COMPUTED_VALUE"""),"Equity")</f>
        <v>Equity</v>
      </c>
      <c r="J680" s="6" t="str">
        <f>IFERROR(__xludf.DUMMYFUNCTION("""COMPUTED_VALUE"""),"Financial Services")</f>
        <v>Financial Services</v>
      </c>
      <c r="K680" s="6" t="str">
        <f>IFERROR(__xludf.DUMMYFUNCTION("""COMPUTED_VALUE"""),"Financial Services")</f>
        <v>Financial Services</v>
      </c>
      <c r="L680" s="6" t="str">
        <f>IFERROR(__xludf.DUMMYFUNCTION("""COMPUTED_VALUE"""),"Finance")</f>
        <v>Finance</v>
      </c>
      <c r="M680" s="6" t="str">
        <f>IFERROR(__xludf.DUMMYFUNCTION("""COMPUTED_VALUE"""),"Holding Company")</f>
        <v>Holding Company</v>
      </c>
      <c r="N680" s="5">
        <f>IFERROR(__xludf.DUMMYFUNCTION("""COMPUTED_VALUE"""),5813.2605457)</f>
        <v>5813.260546</v>
      </c>
      <c r="O680" s="6">
        <f t="shared" si="4"/>
        <v>123</v>
      </c>
      <c r="P680" s="6">
        <f t="shared" ref="P680:Q680" si="1362">COUNTIFS(L:L,L680)</f>
        <v>56</v>
      </c>
      <c r="Q680" s="24">
        <f t="shared" si="1362"/>
        <v>8</v>
      </c>
      <c r="R680" s="6" t="str">
        <f t="shared" si="6"/>
        <v>Finance</v>
      </c>
      <c r="S680" s="6" t="str">
        <f t="shared" si="7"/>
        <v>Finance</v>
      </c>
      <c r="T680" s="6">
        <f>IFERROR(__xludf.DUMMYFUNCTION("COUNTA(UNIQUE(query($A$2:$P$800,""select L where K='""&amp; K680&amp;""'"")))"),5.0)</f>
        <v>5</v>
      </c>
      <c r="U680" s="23">
        <f t="shared" si="8"/>
        <v>0.06097560976</v>
      </c>
      <c r="V680" s="23">
        <f t="shared" ref="V680:W680" si="1363">P680/O680</f>
        <v>0.4552845528</v>
      </c>
      <c r="W680" s="23">
        <f t="shared" si="1363"/>
        <v>0.1428571429</v>
      </c>
    </row>
    <row r="681">
      <c r="A681" s="6">
        <f>IFERROR(__xludf.DUMMYFUNCTION("""COMPUTED_VALUE"""),500463.0)</f>
        <v>500463</v>
      </c>
      <c r="B681" s="6" t="str">
        <f>IFERROR(__xludf.DUMMYFUNCTION("""COMPUTED_VALUE"""),"BLACK BOX LIMITED")</f>
        <v>BLACK BOX LIMITED</v>
      </c>
      <c r="C681" s="6" t="str">
        <f>IFERROR(__xludf.DUMMYFUNCTION("""COMPUTED_VALUE"""),"BBOX")</f>
        <v>BBOX</v>
      </c>
      <c r="D681" s="6" t="str">
        <f>IFERROR(__xludf.DUMMYFUNCTION("""COMPUTED_VALUE"""),"Black Box Ltd")</f>
        <v>Black Box Ltd</v>
      </c>
      <c r="E681" s="6" t="str">
        <f>IFERROR(__xludf.DUMMYFUNCTION("""COMPUTED_VALUE"""),"Active")</f>
        <v>Active</v>
      </c>
      <c r="F681" s="6" t="str">
        <f>IFERROR(__xludf.DUMMYFUNCTION("""COMPUTED_VALUE"""),"B")</f>
        <v>B</v>
      </c>
      <c r="G681" s="6">
        <f>IFERROR(__xludf.DUMMYFUNCTION("""COMPUTED_VALUE"""),2.0)</f>
        <v>2</v>
      </c>
      <c r="H681" s="6" t="str">
        <f>IFERROR(__xludf.DUMMYFUNCTION("""COMPUTED_VALUE"""),"INE676A01027")</f>
        <v>INE676A01027</v>
      </c>
      <c r="I681" s="6" t="str">
        <f>IFERROR(__xludf.DUMMYFUNCTION("""COMPUTED_VALUE"""),"Equity")</f>
        <v>Equity</v>
      </c>
      <c r="J681" s="6" t="str">
        <f>IFERROR(__xludf.DUMMYFUNCTION("""COMPUTED_VALUE"""),"Information Technology")</f>
        <v>Information Technology</v>
      </c>
      <c r="K681" s="6" t="str">
        <f>IFERROR(__xludf.DUMMYFUNCTION("""COMPUTED_VALUE"""),"Information Technology")</f>
        <v>Information Technology</v>
      </c>
      <c r="L681" s="6" t="str">
        <f>IFERROR(__xludf.DUMMYFUNCTION("""COMPUTED_VALUE"""),"IT - Services")</f>
        <v>IT - Services</v>
      </c>
      <c r="M681" s="6" t="str">
        <f>IFERROR(__xludf.DUMMYFUNCTION("""COMPUTED_VALUE"""),"IT Enabled Services")</f>
        <v>IT Enabled Services</v>
      </c>
      <c r="N681" s="5">
        <f>IFERROR(__xludf.DUMMYFUNCTION("""COMPUTED_VALUE"""),5809.9796)</f>
        <v>5809.9796</v>
      </c>
      <c r="O681" s="6">
        <f t="shared" si="4"/>
        <v>36</v>
      </c>
      <c r="P681" s="6">
        <f t="shared" ref="P681:Q681" si="1364">COUNTIFS(L:L,L681)</f>
        <v>8</v>
      </c>
      <c r="Q681" s="24">
        <f t="shared" si="1364"/>
        <v>8</v>
      </c>
      <c r="R681" s="6" t="str">
        <f t="shared" si="6"/>
        <v>Information Technology</v>
      </c>
      <c r="S681" s="6" t="str">
        <f t="shared" si="7"/>
        <v>Information Technology</v>
      </c>
      <c r="T681" s="6">
        <f>IFERROR(__xludf.DUMMYFUNCTION("COUNTA(UNIQUE(query($A$2:$P$800,""select L where K='""&amp; K681&amp;""'"")))"),3.0)</f>
        <v>3</v>
      </c>
      <c r="U681" s="23">
        <f t="shared" si="8"/>
        <v>0.125</v>
      </c>
      <c r="V681" s="23">
        <f t="shared" ref="V681:W681" si="1365">P681/O681</f>
        <v>0.2222222222</v>
      </c>
      <c r="W681" s="23">
        <f t="shared" si="1365"/>
        <v>1</v>
      </c>
    </row>
    <row r="682">
      <c r="A682" s="6">
        <f>IFERROR(__xludf.DUMMYFUNCTION("""COMPUTED_VALUE"""),534976.0)</f>
        <v>534976</v>
      </c>
      <c r="B682" s="6" t="str">
        <f>IFERROR(__xludf.DUMMYFUNCTION("""COMPUTED_VALUE"""),"V-Mart Retail Limited")</f>
        <v>V-Mart Retail Limited</v>
      </c>
      <c r="C682" s="6" t="str">
        <f>IFERROR(__xludf.DUMMYFUNCTION("""COMPUTED_VALUE"""),"VMART")</f>
        <v>VMART</v>
      </c>
      <c r="D682" s="6" t="str">
        <f>IFERROR(__xludf.DUMMYFUNCTION("""COMPUTED_VALUE"""),"V-MART RETAIL LTD.")</f>
        <v>V-MART RETAIL LTD.</v>
      </c>
      <c r="E682" s="6" t="str">
        <f>IFERROR(__xludf.DUMMYFUNCTION("""COMPUTED_VALUE"""),"Active")</f>
        <v>Active</v>
      </c>
      <c r="F682" s="6" t="str">
        <f>IFERROR(__xludf.DUMMYFUNCTION("""COMPUTED_VALUE"""),"A")</f>
        <v>A</v>
      </c>
      <c r="G682" s="6">
        <f>IFERROR(__xludf.DUMMYFUNCTION("""COMPUTED_VALUE"""),10.0)</f>
        <v>10</v>
      </c>
      <c r="H682" s="6" t="str">
        <f>IFERROR(__xludf.DUMMYFUNCTION("""COMPUTED_VALUE"""),"INE665J01013")</f>
        <v>INE665J01013</v>
      </c>
      <c r="I682" s="6" t="str">
        <f>IFERROR(__xludf.DUMMYFUNCTION("""COMPUTED_VALUE"""),"Equity")</f>
        <v>Equity</v>
      </c>
      <c r="J682" s="6" t="str">
        <f>IFERROR(__xludf.DUMMYFUNCTION("""COMPUTED_VALUE"""),"Consumer Discretionary")</f>
        <v>Consumer Discretionary</v>
      </c>
      <c r="K682" s="6" t="str">
        <f>IFERROR(__xludf.DUMMYFUNCTION("""COMPUTED_VALUE"""),"Consumer Services")</f>
        <v>Consumer Services</v>
      </c>
      <c r="L682" s="6" t="str">
        <f>IFERROR(__xludf.DUMMYFUNCTION("""COMPUTED_VALUE"""),"Retailing")</f>
        <v>Retailing</v>
      </c>
      <c r="M682" s="6" t="str">
        <f>IFERROR(__xludf.DUMMYFUNCTION("""COMPUTED_VALUE"""),"Diversified Retail")</f>
        <v>Diversified Retail</v>
      </c>
      <c r="N682" s="5">
        <f>IFERROR(__xludf.DUMMYFUNCTION("""COMPUTED_VALUE"""),5777.56205)</f>
        <v>5777.56205</v>
      </c>
      <c r="O682" s="6">
        <f t="shared" si="4"/>
        <v>37</v>
      </c>
      <c r="P682" s="6">
        <f t="shared" ref="P682:Q682" si="1366">COUNTIFS(L:L,L682)</f>
        <v>18</v>
      </c>
      <c r="Q682" s="24">
        <f t="shared" si="1366"/>
        <v>4</v>
      </c>
      <c r="R682" s="6" t="str">
        <f t="shared" si="6"/>
        <v>Retailing</v>
      </c>
      <c r="S682" s="6" t="str">
        <f t="shared" si="7"/>
        <v>Retailing</v>
      </c>
      <c r="T682" s="6">
        <f>IFERROR(__xludf.DUMMYFUNCTION("COUNTA(UNIQUE(query($A$2:$P$800,""select L where K='""&amp; K682&amp;""'"")))"),3.0)</f>
        <v>3</v>
      </c>
      <c r="U682" s="23">
        <f t="shared" si="8"/>
        <v>0.1216216216</v>
      </c>
      <c r="V682" s="23">
        <f t="shared" ref="V682:W682" si="1367">P682/O682</f>
        <v>0.4864864865</v>
      </c>
      <c r="W682" s="23">
        <f t="shared" si="1367"/>
        <v>0.2222222222</v>
      </c>
    </row>
    <row r="683">
      <c r="A683" s="6">
        <f>IFERROR(__xludf.DUMMYFUNCTION("""COMPUTED_VALUE"""),530001.0)</f>
        <v>530001</v>
      </c>
      <c r="B683" s="6" t="str">
        <f>IFERROR(__xludf.DUMMYFUNCTION("""COMPUTED_VALUE"""),"Gujarat Alkalis &amp; Chemicals Ltd.")</f>
        <v>Gujarat Alkalis &amp; Chemicals Ltd.</v>
      </c>
      <c r="C683" s="6" t="str">
        <f>IFERROR(__xludf.DUMMYFUNCTION("""COMPUTED_VALUE"""),"GUJALKALI")</f>
        <v>GUJALKALI</v>
      </c>
      <c r="D683" s="6" t="str">
        <f>IFERROR(__xludf.DUMMYFUNCTION("""COMPUTED_VALUE"""),"GUJARAT ALKALIES &amp; CHEMICALS LTD.")</f>
        <v>GUJARAT ALKALIES &amp; CHEMICALS LTD.</v>
      </c>
      <c r="E683" s="6" t="str">
        <f>IFERROR(__xludf.DUMMYFUNCTION("""COMPUTED_VALUE"""),"Active")</f>
        <v>Active</v>
      </c>
      <c r="F683" s="6" t="str">
        <f>IFERROR(__xludf.DUMMYFUNCTION("""COMPUTED_VALUE"""),"A")</f>
        <v>A</v>
      </c>
      <c r="G683" s="6">
        <f>IFERROR(__xludf.DUMMYFUNCTION("""COMPUTED_VALUE"""),10.0)</f>
        <v>10</v>
      </c>
      <c r="H683" s="6" t="str">
        <f>IFERROR(__xludf.DUMMYFUNCTION("""COMPUTED_VALUE"""),"INE186A01019")</f>
        <v>INE186A01019</v>
      </c>
      <c r="I683" s="6" t="str">
        <f>IFERROR(__xludf.DUMMYFUNCTION("""COMPUTED_VALUE"""),"Equity")</f>
        <v>Equity</v>
      </c>
      <c r="J683" s="6" t="str">
        <f>IFERROR(__xludf.DUMMYFUNCTION("""COMPUTED_VALUE"""),"Commodities")</f>
        <v>Commodities</v>
      </c>
      <c r="K683" s="6" t="str">
        <f>IFERROR(__xludf.DUMMYFUNCTION("""COMPUTED_VALUE"""),"Chemicals")</f>
        <v>Chemicals</v>
      </c>
      <c r="L683" s="6" t="str">
        <f>IFERROR(__xludf.DUMMYFUNCTION("""COMPUTED_VALUE"""),"Chemicals &amp; Petrochemicals")</f>
        <v>Chemicals &amp; Petrochemicals</v>
      </c>
      <c r="M683" s="6" t="str">
        <f>IFERROR(__xludf.DUMMYFUNCTION("""COMPUTED_VALUE"""),"Commodity Chemicals")</f>
        <v>Commodity Chemicals</v>
      </c>
      <c r="N683" s="5">
        <f>IFERROR(__xludf.DUMMYFUNCTION("""COMPUTED_VALUE"""),5765.309352)</f>
        <v>5765.309352</v>
      </c>
      <c r="O683" s="6">
        <f t="shared" si="4"/>
        <v>52</v>
      </c>
      <c r="P683" s="6">
        <f t="shared" ref="P683:Q683" si="1368">COUNTIFS(L:L,L683)</f>
        <v>37</v>
      </c>
      <c r="Q683" s="24">
        <f t="shared" si="1368"/>
        <v>6</v>
      </c>
      <c r="R683" s="6" t="str">
        <f t="shared" si="6"/>
        <v>Chemicals</v>
      </c>
      <c r="S683" s="6" t="str">
        <f t="shared" si="7"/>
        <v>Chemicals</v>
      </c>
      <c r="T683" s="6">
        <f>IFERROR(__xludf.DUMMYFUNCTION("COUNTA(UNIQUE(query($A$2:$P$800,""select L where K='""&amp; K683&amp;""'"")))"),2.0)</f>
        <v>2</v>
      </c>
      <c r="U683" s="23">
        <f t="shared" si="8"/>
        <v>0.05769230769</v>
      </c>
      <c r="V683" s="23">
        <f t="shared" ref="V683:W683" si="1369">P683/O683</f>
        <v>0.7115384615</v>
      </c>
      <c r="W683" s="23">
        <f t="shared" si="1369"/>
        <v>0.1621621622</v>
      </c>
    </row>
    <row r="684">
      <c r="A684" s="6">
        <f>IFERROR(__xludf.DUMMYFUNCTION("""COMPUTED_VALUE"""),533151.0)</f>
        <v>533151</v>
      </c>
      <c r="B684" s="6" t="str">
        <f>IFERROR(__xludf.DUMMYFUNCTION("""COMPUTED_VALUE"""),"D.B.Corp Limited")</f>
        <v>D.B.Corp Limited</v>
      </c>
      <c r="C684" s="6" t="str">
        <f>IFERROR(__xludf.DUMMYFUNCTION("""COMPUTED_VALUE"""),"DBCORP")</f>
        <v>DBCORP</v>
      </c>
      <c r="D684" s="6" t="str">
        <f>IFERROR(__xludf.DUMMYFUNCTION("""COMPUTED_VALUE"""),"D B Corp Ltd")</f>
        <v>D B Corp Ltd</v>
      </c>
      <c r="E684" s="6" t="str">
        <f>IFERROR(__xludf.DUMMYFUNCTION("""COMPUTED_VALUE"""),"Active")</f>
        <v>Active</v>
      </c>
      <c r="F684" s="6" t="str">
        <f>IFERROR(__xludf.DUMMYFUNCTION("""COMPUTED_VALUE"""),"B")</f>
        <v>B</v>
      </c>
      <c r="G684" s="6">
        <f>IFERROR(__xludf.DUMMYFUNCTION("""COMPUTED_VALUE"""),10.0)</f>
        <v>10</v>
      </c>
      <c r="H684" s="6" t="str">
        <f>IFERROR(__xludf.DUMMYFUNCTION("""COMPUTED_VALUE"""),"INE950I01011")</f>
        <v>INE950I01011</v>
      </c>
      <c r="I684" s="6" t="str">
        <f>IFERROR(__xludf.DUMMYFUNCTION("""COMPUTED_VALUE"""),"Equity")</f>
        <v>Equity</v>
      </c>
      <c r="J684" s="6" t="str">
        <f>IFERROR(__xludf.DUMMYFUNCTION("""COMPUTED_VALUE"""),"Consumer Discretionary")</f>
        <v>Consumer Discretionary</v>
      </c>
      <c r="K684" s="6" t="str">
        <f>IFERROR(__xludf.DUMMYFUNCTION("""COMPUTED_VALUE"""),"Media, Entertainment &amp; Publication")</f>
        <v>Media, Entertainment &amp; Publication</v>
      </c>
      <c r="L684" s="6" t="str">
        <f>IFERROR(__xludf.DUMMYFUNCTION("""COMPUTED_VALUE"""),"Media")</f>
        <v>Media</v>
      </c>
      <c r="M684" s="6" t="str">
        <f>IFERROR(__xludf.DUMMYFUNCTION("""COMPUTED_VALUE"""),"Print Media")</f>
        <v>Print Media</v>
      </c>
      <c r="N684" s="5">
        <f>IFERROR(__xludf.DUMMYFUNCTION("""COMPUTED_VALUE"""),5745.0781937)</f>
        <v>5745.078194</v>
      </c>
      <c r="O684" s="6">
        <f t="shared" si="4"/>
        <v>9</v>
      </c>
      <c r="P684" s="6">
        <f t="shared" ref="P684:Q684" si="1370">COUNTIFS(L:L,L684)</f>
        <v>1</v>
      </c>
      <c r="Q684" s="24">
        <f t="shared" si="1370"/>
        <v>1</v>
      </c>
      <c r="R684" s="6" t="str">
        <f t="shared" si="6"/>
        <v>Media, Entertainment &amp; Publication</v>
      </c>
      <c r="S684" s="6" t="str">
        <f t="shared" si="7"/>
        <v>Media, Entertainment &amp; Publication</v>
      </c>
      <c r="T684" s="6">
        <f>IFERROR(__xludf.DUMMYFUNCTION("COUNTA(UNIQUE(query($A$2:$P$800,""select L where K='""&amp; K684&amp;""'"")))"),2.0)</f>
        <v>2</v>
      </c>
      <c r="U684" s="23">
        <f t="shared" si="8"/>
        <v>0.3333333333</v>
      </c>
      <c r="V684" s="23">
        <f t="shared" ref="V684:W684" si="1371">P684/O684</f>
        <v>0.1111111111</v>
      </c>
      <c r="W684" s="23">
        <f t="shared" si="1371"/>
        <v>1</v>
      </c>
    </row>
    <row r="685">
      <c r="A685" s="6">
        <f>IFERROR(__xludf.DUMMYFUNCTION("""COMPUTED_VALUE"""),541301.0)</f>
        <v>541301</v>
      </c>
      <c r="B685" s="6" t="str">
        <f>IFERROR(__xludf.DUMMYFUNCTION("""COMPUTED_VALUE"""),"Orient Electric Limited")</f>
        <v>Orient Electric Limited</v>
      </c>
      <c r="C685" s="6" t="str">
        <f>IFERROR(__xludf.DUMMYFUNCTION("""COMPUTED_VALUE"""),"ORIENTELEC")</f>
        <v>ORIENTELEC</v>
      </c>
      <c r="D685" s="6" t="str">
        <f>IFERROR(__xludf.DUMMYFUNCTION("""COMPUTED_VALUE"""),"Orient Electric Ltd")</f>
        <v>Orient Electric Ltd</v>
      </c>
      <c r="E685" s="6" t="str">
        <f>IFERROR(__xludf.DUMMYFUNCTION("""COMPUTED_VALUE"""),"Active")</f>
        <v>Active</v>
      </c>
      <c r="F685" s="6" t="str">
        <f>IFERROR(__xludf.DUMMYFUNCTION("""COMPUTED_VALUE"""),"A")</f>
        <v>A</v>
      </c>
      <c r="G685" s="6">
        <f>IFERROR(__xludf.DUMMYFUNCTION("""COMPUTED_VALUE"""),1.0)</f>
        <v>1</v>
      </c>
      <c r="H685" s="6" t="str">
        <f>IFERROR(__xludf.DUMMYFUNCTION("""COMPUTED_VALUE"""),"INE142Z01019")</f>
        <v>INE142Z01019</v>
      </c>
      <c r="I685" s="6" t="str">
        <f>IFERROR(__xludf.DUMMYFUNCTION("""COMPUTED_VALUE"""),"Equity")</f>
        <v>Equity</v>
      </c>
      <c r="J685" s="6" t="str">
        <f>IFERROR(__xludf.DUMMYFUNCTION("""COMPUTED_VALUE"""),"Consumer Discretionary")</f>
        <v>Consumer Discretionary</v>
      </c>
      <c r="K685" s="6" t="str">
        <f>IFERROR(__xludf.DUMMYFUNCTION("""COMPUTED_VALUE"""),"Consumer Durables")</f>
        <v>Consumer Durables</v>
      </c>
      <c r="L685" s="6" t="str">
        <f>IFERROR(__xludf.DUMMYFUNCTION("""COMPUTED_VALUE"""),"Consumer Durables")</f>
        <v>Consumer Durables</v>
      </c>
      <c r="M685" s="6" t="str">
        <f>IFERROR(__xludf.DUMMYFUNCTION("""COMPUTED_VALUE"""),"Household Appliances")</f>
        <v>Household Appliances</v>
      </c>
      <c r="N685" s="5">
        <f>IFERROR(__xludf.DUMMYFUNCTION("""COMPUTED_VALUE"""),5713.8801352)</f>
        <v>5713.880135</v>
      </c>
      <c r="O685" s="6">
        <f t="shared" si="4"/>
        <v>42</v>
      </c>
      <c r="P685" s="6">
        <f t="shared" ref="P685:Q685" si="1372">COUNTIFS(L:L,L685)</f>
        <v>42</v>
      </c>
      <c r="Q685" s="24">
        <f t="shared" si="1372"/>
        <v>13</v>
      </c>
      <c r="R685" s="6" t="str">
        <f t="shared" si="6"/>
        <v>Consumer Durables</v>
      </c>
      <c r="S685" s="6" t="str">
        <f t="shared" si="7"/>
        <v>Consumer Durables</v>
      </c>
      <c r="T685" s="6">
        <f>IFERROR(__xludf.DUMMYFUNCTION("COUNTA(UNIQUE(query($A$2:$P$800,""select L where K='""&amp; K685&amp;""'"")))"),1.0)</f>
        <v>1</v>
      </c>
      <c r="U685" s="23">
        <f t="shared" si="8"/>
        <v>0.03571428571</v>
      </c>
      <c r="V685" s="23">
        <f t="shared" ref="V685:W685" si="1373">P685/O685</f>
        <v>1</v>
      </c>
      <c r="W685" s="23">
        <f t="shared" si="1373"/>
        <v>0.3095238095</v>
      </c>
    </row>
    <row r="686">
      <c r="A686" s="6">
        <f>IFERROR(__xludf.DUMMYFUNCTION("""COMPUTED_VALUE"""),532835.0)</f>
        <v>532835</v>
      </c>
      <c r="B686" s="6" t="str">
        <f>IFERROR(__xludf.DUMMYFUNCTION("""COMPUTED_VALUE"""),"ICRA Limited")</f>
        <v>ICRA Limited</v>
      </c>
      <c r="C686" s="6" t="str">
        <f>IFERROR(__xludf.DUMMYFUNCTION("""COMPUTED_VALUE"""),"ICRA")</f>
        <v>ICRA</v>
      </c>
      <c r="D686" s="6" t="str">
        <f>IFERROR(__xludf.DUMMYFUNCTION("""COMPUTED_VALUE"""),"ICRA LTD.")</f>
        <v>ICRA LTD.</v>
      </c>
      <c r="E686" s="6" t="str">
        <f>IFERROR(__xludf.DUMMYFUNCTION("""COMPUTED_VALUE"""),"Active")</f>
        <v>Active</v>
      </c>
      <c r="F686" s="6" t="str">
        <f>IFERROR(__xludf.DUMMYFUNCTION("""COMPUTED_VALUE"""),"A")</f>
        <v>A</v>
      </c>
      <c r="G686" s="6">
        <f>IFERROR(__xludf.DUMMYFUNCTION("""COMPUTED_VALUE"""),10.0)</f>
        <v>10</v>
      </c>
      <c r="H686" s="6" t="str">
        <f>IFERROR(__xludf.DUMMYFUNCTION("""COMPUTED_VALUE"""),"INE725G01011")</f>
        <v>INE725G01011</v>
      </c>
      <c r="I686" s="6" t="str">
        <f>IFERROR(__xludf.DUMMYFUNCTION("""COMPUTED_VALUE"""),"Equity")</f>
        <v>Equity</v>
      </c>
      <c r="J686" s="6" t="str">
        <f>IFERROR(__xludf.DUMMYFUNCTION("""COMPUTED_VALUE"""),"Financial Services")</f>
        <v>Financial Services</v>
      </c>
      <c r="K686" s="6" t="str">
        <f>IFERROR(__xludf.DUMMYFUNCTION("""COMPUTED_VALUE"""),"Financial Services")</f>
        <v>Financial Services</v>
      </c>
      <c r="L686" s="6" t="str">
        <f>IFERROR(__xludf.DUMMYFUNCTION("""COMPUTED_VALUE"""),"Capital Markets")</f>
        <v>Capital Markets</v>
      </c>
      <c r="M686" s="6" t="str">
        <f>IFERROR(__xludf.DUMMYFUNCTION("""COMPUTED_VALUE"""),"Ratings")</f>
        <v>Ratings</v>
      </c>
      <c r="N686" s="5">
        <f>IFERROR(__xludf.DUMMYFUNCTION("""COMPUTED_VALUE"""),5691.8488617)</f>
        <v>5691.848862</v>
      </c>
      <c r="O686" s="6">
        <f t="shared" si="4"/>
        <v>123</v>
      </c>
      <c r="P686" s="6">
        <f t="shared" ref="P686:Q686" si="1374">COUNTIFS(L:L,L686)</f>
        <v>19</v>
      </c>
      <c r="Q686" s="24">
        <f t="shared" si="1374"/>
        <v>1</v>
      </c>
      <c r="R686" s="6" t="str">
        <f t="shared" si="6"/>
        <v>Capital Markets</v>
      </c>
      <c r="S686" s="6" t="str">
        <f t="shared" si="7"/>
        <v>Capital Markets</v>
      </c>
      <c r="T686" s="6">
        <f>IFERROR(__xludf.DUMMYFUNCTION("COUNTA(UNIQUE(query($A$2:$P$800,""select L where K='""&amp; K686&amp;""'"")))"),5.0)</f>
        <v>5</v>
      </c>
      <c r="U686" s="23">
        <f t="shared" si="8"/>
        <v>0.06097560976</v>
      </c>
      <c r="V686" s="23">
        <f t="shared" ref="V686:W686" si="1375">P686/O686</f>
        <v>0.1544715447</v>
      </c>
      <c r="W686" s="23">
        <f t="shared" si="1375"/>
        <v>0.05263157895</v>
      </c>
    </row>
    <row r="687">
      <c r="A687" s="6">
        <f>IFERROR(__xludf.DUMMYFUNCTION("""COMPUTED_VALUE"""),544133.0)</f>
        <v>544133</v>
      </c>
      <c r="B687" s="6" t="str">
        <f>IFERROR(__xludf.DUMMYFUNCTION("""COMPUTED_VALUE"""),"EXICOM TELE-SYSTEMS LIMITED")</f>
        <v>EXICOM TELE-SYSTEMS LIMITED</v>
      </c>
      <c r="C687" s="6" t="str">
        <f>IFERROR(__xludf.DUMMYFUNCTION("""COMPUTED_VALUE"""),"EXICOM")</f>
        <v>EXICOM</v>
      </c>
      <c r="D687" s="6" t="str">
        <f>IFERROR(__xludf.DUMMYFUNCTION("""COMPUTED_VALUE"""),"Exicom Tele-Systems Ltd")</f>
        <v>Exicom Tele-Systems Ltd</v>
      </c>
      <c r="E687" s="6" t="str">
        <f>IFERROR(__xludf.DUMMYFUNCTION("""COMPUTED_VALUE"""),"Active")</f>
        <v>Active</v>
      </c>
      <c r="F687" s="6" t="str">
        <f>IFERROR(__xludf.DUMMYFUNCTION("""COMPUTED_VALUE"""),"B")</f>
        <v>B</v>
      </c>
      <c r="G687" s="6">
        <f>IFERROR(__xludf.DUMMYFUNCTION("""COMPUTED_VALUE"""),10.0)</f>
        <v>10</v>
      </c>
      <c r="H687" s="6" t="str">
        <f>IFERROR(__xludf.DUMMYFUNCTION("""COMPUTED_VALUE"""),"INE777F01014")</f>
        <v>INE777F01014</v>
      </c>
      <c r="I687" s="6" t="str">
        <f>IFERROR(__xludf.DUMMYFUNCTION("""COMPUTED_VALUE"""),"Equity")</f>
        <v>Equity</v>
      </c>
      <c r="J687" s="6" t="str">
        <f>IFERROR(__xludf.DUMMYFUNCTION("""COMPUTED_VALUE"""),"Industrials")</f>
        <v>Industrials</v>
      </c>
      <c r="K687" s="6" t="str">
        <f>IFERROR(__xludf.DUMMYFUNCTION("""COMPUTED_VALUE"""),"Capital Goods")</f>
        <v>Capital Goods</v>
      </c>
      <c r="L687" s="6" t="str">
        <f>IFERROR(__xludf.DUMMYFUNCTION("""COMPUTED_VALUE"""),"Electrical Equipment")</f>
        <v>Electrical Equipment</v>
      </c>
      <c r="M687" s="6" t="str">
        <f>IFERROR(__xludf.DUMMYFUNCTION("""COMPUTED_VALUE"""),"Heavy Electrical Equipment")</f>
        <v>Heavy Electrical Equipment</v>
      </c>
      <c r="N687" s="5">
        <f>IFERROR(__xludf.DUMMYFUNCTION("""COMPUTED_VALUE"""),5690.46132)</f>
        <v>5690.46132</v>
      </c>
      <c r="O687" s="6">
        <f t="shared" si="4"/>
        <v>110</v>
      </c>
      <c r="P687" s="6">
        <f t="shared" ref="P687:Q687" si="1376">COUNTIFS(L:L,L687)</f>
        <v>22</v>
      </c>
      <c r="Q687" s="24">
        <f t="shared" si="1376"/>
        <v>17</v>
      </c>
      <c r="R687" s="6" t="str">
        <f t="shared" si="6"/>
        <v>Electrical Equipment</v>
      </c>
      <c r="S687" s="6" t="str">
        <f t="shared" si="7"/>
        <v>Electrical Equipment</v>
      </c>
      <c r="T687" s="6">
        <f>IFERROR(__xludf.DUMMYFUNCTION("COUNTA(UNIQUE(query($A$2:$P$800,""select L where K='""&amp; K687&amp;""'"")))"),5.0)</f>
        <v>5</v>
      </c>
      <c r="U687" s="23">
        <f t="shared" si="8"/>
        <v>0.06818181818</v>
      </c>
      <c r="V687" s="23">
        <f t="shared" ref="V687:W687" si="1377">P687/O687</f>
        <v>0.2</v>
      </c>
      <c r="W687" s="23">
        <f t="shared" si="1377"/>
        <v>0.7727272727</v>
      </c>
    </row>
    <row r="688">
      <c r="A688" s="6">
        <f>IFERROR(__xludf.DUMMYFUNCTION("""COMPUTED_VALUE"""),543971.0)</f>
        <v>543971</v>
      </c>
      <c r="B688" s="6" t="str">
        <f>IFERROR(__xludf.DUMMYFUNCTION("""COMPUTED_VALUE"""),"Bondada Engineering Limited")</f>
        <v>Bondada Engineering Limited</v>
      </c>
      <c r="C688" s="6" t="str">
        <f>IFERROR(__xludf.DUMMYFUNCTION("""COMPUTED_VALUE"""),"BONDADA")</f>
        <v>BONDADA</v>
      </c>
      <c r="D688" s="6" t="str">
        <f>IFERROR(__xludf.DUMMYFUNCTION("""COMPUTED_VALUE"""),"Bondada Engineering Ltd")</f>
        <v>Bondada Engineering Ltd</v>
      </c>
      <c r="E688" s="6" t="str">
        <f>IFERROR(__xludf.DUMMYFUNCTION("""COMPUTED_VALUE"""),"Active")</f>
        <v>Active</v>
      </c>
      <c r="F688" s="6" t="str">
        <f>IFERROR(__xludf.DUMMYFUNCTION("""COMPUTED_VALUE"""),"MT")</f>
        <v>MT</v>
      </c>
      <c r="G688" s="6">
        <f>IFERROR(__xludf.DUMMYFUNCTION("""COMPUTED_VALUE"""),10.0)</f>
        <v>10</v>
      </c>
      <c r="H688" s="6" t="str">
        <f>IFERROR(__xludf.DUMMYFUNCTION("""COMPUTED_VALUE"""),"INE0Q8P01011")</f>
        <v>INE0Q8P01011</v>
      </c>
      <c r="I688" s="6" t="str">
        <f>IFERROR(__xludf.DUMMYFUNCTION("""COMPUTED_VALUE"""),"Equity")</f>
        <v>Equity</v>
      </c>
      <c r="J688" s="6" t="str">
        <f>IFERROR(__xludf.DUMMYFUNCTION("""COMPUTED_VALUE"""),"Telecommunication")</f>
        <v>Telecommunication</v>
      </c>
      <c r="K688" s="6" t="str">
        <f>IFERROR(__xludf.DUMMYFUNCTION("""COMPUTED_VALUE"""),"Telecommunication")</f>
        <v>Telecommunication</v>
      </c>
      <c r="L688" s="6" t="str">
        <f>IFERROR(__xludf.DUMMYFUNCTION("""COMPUTED_VALUE"""),"Telecom - Services")</f>
        <v>Telecom - Services</v>
      </c>
      <c r="M688" s="6" t="str">
        <f>IFERROR(__xludf.DUMMYFUNCTION("""COMPUTED_VALUE"""),"Telecom - Infrastructure")</f>
        <v>Telecom - Infrastructure</v>
      </c>
      <c r="N688" s="5">
        <f>IFERROR(__xludf.DUMMYFUNCTION("""COMPUTED_VALUE"""),5675.913073)</f>
        <v>5675.913073</v>
      </c>
      <c r="O688" s="6">
        <f t="shared" si="4"/>
        <v>14</v>
      </c>
      <c r="P688" s="6">
        <f t="shared" ref="P688:Q688" si="1378">COUNTIFS(L:L,L688)</f>
        <v>11</v>
      </c>
      <c r="Q688" s="24">
        <f t="shared" si="1378"/>
        <v>4</v>
      </c>
      <c r="R688" s="6" t="str">
        <f t="shared" si="6"/>
        <v>Telecommunication</v>
      </c>
      <c r="S688" s="6" t="str">
        <f t="shared" si="7"/>
        <v>Telecommunication</v>
      </c>
      <c r="T688" s="6">
        <f>IFERROR(__xludf.DUMMYFUNCTION("COUNTA(UNIQUE(query($A$2:$P$800,""select L where K='""&amp; K688&amp;""'"")))"),2.0)</f>
        <v>2</v>
      </c>
      <c r="U688" s="23">
        <f t="shared" si="8"/>
        <v>0.2142857143</v>
      </c>
      <c r="V688" s="23">
        <f t="shared" ref="V688:W688" si="1379">P688/O688</f>
        <v>0.7857142857</v>
      </c>
      <c r="W688" s="23">
        <f t="shared" si="1379"/>
        <v>0.3636363636</v>
      </c>
    </row>
    <row r="689">
      <c r="A689" s="6">
        <f>IFERROR(__xludf.DUMMYFUNCTION("""COMPUTED_VALUE"""),524372.0)</f>
        <v>524372</v>
      </c>
      <c r="B689" s="6" t="str">
        <f>IFERROR(__xludf.DUMMYFUNCTION("""COMPUTED_VALUE"""),"Orchid Pharma Limited")</f>
        <v>Orchid Pharma Limited</v>
      </c>
      <c r="C689" s="6" t="str">
        <f>IFERROR(__xludf.DUMMYFUNCTION("""COMPUTED_VALUE"""),"ORCHPHARMA")</f>
        <v>ORCHPHARMA</v>
      </c>
      <c r="D689" s="6" t="str">
        <f>IFERROR(__xludf.DUMMYFUNCTION("""COMPUTED_VALUE"""),"Orchid Pharma Ltd")</f>
        <v>Orchid Pharma Ltd</v>
      </c>
      <c r="E689" s="6" t="str">
        <f>IFERROR(__xludf.DUMMYFUNCTION("""COMPUTED_VALUE"""),"Active")</f>
        <v>Active</v>
      </c>
      <c r="F689" s="6" t="str">
        <f>IFERROR(__xludf.DUMMYFUNCTION("""COMPUTED_VALUE"""),"B")</f>
        <v>B</v>
      </c>
      <c r="G689" s="6">
        <f>IFERROR(__xludf.DUMMYFUNCTION("""COMPUTED_VALUE"""),10.0)</f>
        <v>10</v>
      </c>
      <c r="H689" s="6" t="str">
        <f>IFERROR(__xludf.DUMMYFUNCTION("""COMPUTED_VALUE"""),"INE191A01027")</f>
        <v>INE191A01027</v>
      </c>
      <c r="I689" s="6" t="str">
        <f>IFERROR(__xludf.DUMMYFUNCTION("""COMPUTED_VALUE"""),"Equity")</f>
        <v>Equity</v>
      </c>
      <c r="J689" s="6" t="str">
        <f>IFERROR(__xludf.DUMMYFUNCTION("""COMPUTED_VALUE"""),"Healthcare")</f>
        <v>Healthcare</v>
      </c>
      <c r="K689" s="6" t="str">
        <f>IFERROR(__xludf.DUMMYFUNCTION("""COMPUTED_VALUE"""),"Healthcare")</f>
        <v>Healthcare</v>
      </c>
      <c r="L689" s="6" t="str">
        <f>IFERROR(__xludf.DUMMYFUNCTION("""COMPUTED_VALUE"""),"Pharmaceuticals &amp; Biotechnology")</f>
        <v>Pharmaceuticals &amp; Biotechnology</v>
      </c>
      <c r="M689" s="6" t="str">
        <f>IFERROR(__xludf.DUMMYFUNCTION("""COMPUTED_VALUE"""),"Pharmaceuticals")</f>
        <v>Pharmaceuticals</v>
      </c>
      <c r="N689" s="5">
        <f>IFERROR(__xludf.DUMMYFUNCTION("""COMPUTED_VALUE"""),5673.3453018)</f>
        <v>5673.345302</v>
      </c>
      <c r="O689" s="6">
        <f t="shared" si="4"/>
        <v>62</v>
      </c>
      <c r="P689" s="6">
        <f t="shared" ref="P689:Q689" si="1380">COUNTIFS(L:L,L689)</f>
        <v>45</v>
      </c>
      <c r="Q689" s="24">
        <f t="shared" si="1380"/>
        <v>45</v>
      </c>
      <c r="R689" s="6" t="str">
        <f t="shared" si="6"/>
        <v>Healthcare</v>
      </c>
      <c r="S689" s="6" t="str">
        <f t="shared" si="7"/>
        <v>Healthcare</v>
      </c>
      <c r="T689" s="6">
        <f>IFERROR(__xludf.DUMMYFUNCTION("COUNTA(UNIQUE(query($A$2:$P$800,""select L where K='""&amp; K689&amp;""'"")))"),3.0)</f>
        <v>3</v>
      </c>
      <c r="U689" s="23">
        <f t="shared" si="8"/>
        <v>0.07258064516</v>
      </c>
      <c r="V689" s="23">
        <f t="shared" ref="V689:W689" si="1381">P689/O689</f>
        <v>0.7258064516</v>
      </c>
      <c r="W689" s="23">
        <f t="shared" si="1381"/>
        <v>1</v>
      </c>
    </row>
    <row r="690">
      <c r="A690" s="6">
        <f>IFERROR(__xludf.DUMMYFUNCTION("""COMPUTED_VALUE"""),530549.0)</f>
        <v>530549</v>
      </c>
      <c r="B690" s="6" t="str">
        <f>IFERROR(__xludf.DUMMYFUNCTION("""COMPUTED_VALUE"""),"Shilpa Medicare Ltd.")</f>
        <v>Shilpa Medicare Ltd.</v>
      </c>
      <c r="C690" s="6" t="str">
        <f>IFERROR(__xludf.DUMMYFUNCTION("""COMPUTED_VALUE"""),"SHILPAMED")</f>
        <v>SHILPAMED</v>
      </c>
      <c r="D690" s="6" t="str">
        <f>IFERROR(__xludf.DUMMYFUNCTION("""COMPUTED_VALUE"""),"SHILPA MEDICARE LTD.")</f>
        <v>SHILPA MEDICARE LTD.</v>
      </c>
      <c r="E690" s="6" t="str">
        <f>IFERROR(__xludf.DUMMYFUNCTION("""COMPUTED_VALUE"""),"Active")</f>
        <v>Active</v>
      </c>
      <c r="F690" s="6" t="str">
        <f>IFERROR(__xludf.DUMMYFUNCTION("""COMPUTED_VALUE"""),"A")</f>
        <v>A</v>
      </c>
      <c r="G690" s="6">
        <f>IFERROR(__xludf.DUMMYFUNCTION("""COMPUTED_VALUE"""),1.0)</f>
        <v>1</v>
      </c>
      <c r="H690" s="6" t="str">
        <f>IFERROR(__xludf.DUMMYFUNCTION("""COMPUTED_VALUE"""),"INE790G01031")</f>
        <v>INE790G01031</v>
      </c>
      <c r="I690" s="6" t="str">
        <f>IFERROR(__xludf.DUMMYFUNCTION("""COMPUTED_VALUE"""),"Equity")</f>
        <v>Equity</v>
      </c>
      <c r="J690" s="6" t="str">
        <f>IFERROR(__xludf.DUMMYFUNCTION("""COMPUTED_VALUE"""),"Healthcare")</f>
        <v>Healthcare</v>
      </c>
      <c r="K690" s="6" t="str">
        <f>IFERROR(__xludf.DUMMYFUNCTION("""COMPUTED_VALUE"""),"Healthcare")</f>
        <v>Healthcare</v>
      </c>
      <c r="L690" s="6" t="str">
        <f>IFERROR(__xludf.DUMMYFUNCTION("""COMPUTED_VALUE"""),"Pharmaceuticals &amp; Biotechnology")</f>
        <v>Pharmaceuticals &amp; Biotechnology</v>
      </c>
      <c r="M690" s="6" t="str">
        <f>IFERROR(__xludf.DUMMYFUNCTION("""COMPUTED_VALUE"""),"Pharmaceuticals")</f>
        <v>Pharmaceuticals</v>
      </c>
      <c r="N690" s="5">
        <f>IFERROR(__xludf.DUMMYFUNCTION("""COMPUTED_VALUE"""),5667.0684378)</f>
        <v>5667.068438</v>
      </c>
      <c r="O690" s="6">
        <f t="shared" si="4"/>
        <v>62</v>
      </c>
      <c r="P690" s="6">
        <f t="shared" ref="P690:Q690" si="1382">COUNTIFS(L:L,L690)</f>
        <v>45</v>
      </c>
      <c r="Q690" s="24">
        <f t="shared" si="1382"/>
        <v>45</v>
      </c>
      <c r="R690" s="6" t="str">
        <f t="shared" si="6"/>
        <v>Healthcare</v>
      </c>
      <c r="S690" s="6" t="str">
        <f t="shared" si="7"/>
        <v>Healthcare</v>
      </c>
      <c r="T690" s="6">
        <f>IFERROR(__xludf.DUMMYFUNCTION("COUNTA(UNIQUE(query($A$2:$P$800,""select L where K='""&amp; K690&amp;""'"")))"),3.0)</f>
        <v>3</v>
      </c>
      <c r="U690" s="23">
        <f t="shared" si="8"/>
        <v>0.07258064516</v>
      </c>
      <c r="V690" s="23">
        <f t="shared" ref="V690:W690" si="1383">P690/O690</f>
        <v>0.7258064516</v>
      </c>
      <c r="W690" s="23">
        <f t="shared" si="1383"/>
        <v>1</v>
      </c>
    </row>
    <row r="691">
      <c r="A691" s="6">
        <f>IFERROR(__xludf.DUMMYFUNCTION("""COMPUTED_VALUE"""),543942.0)</f>
        <v>543942</v>
      </c>
      <c r="B691" s="6" t="str">
        <f>IFERROR(__xludf.DUMMYFUNCTION("""COMPUTED_VALUE"""),"UTKARSH SMALL FINANCE BANK LIMITED")</f>
        <v>UTKARSH SMALL FINANCE BANK LIMITED</v>
      </c>
      <c r="C691" s="6" t="str">
        <f>IFERROR(__xludf.DUMMYFUNCTION("""COMPUTED_VALUE"""),"UTKARSHBNK")</f>
        <v>UTKARSHBNK</v>
      </c>
      <c r="D691" s="6" t="str">
        <f>IFERROR(__xludf.DUMMYFUNCTION("""COMPUTED_VALUE"""),"Utkarsh Small Finance Bank Ltd")</f>
        <v>Utkarsh Small Finance Bank Ltd</v>
      </c>
      <c r="E691" s="6" t="str">
        <f>IFERROR(__xludf.DUMMYFUNCTION("""COMPUTED_VALUE"""),"Active")</f>
        <v>Active</v>
      </c>
      <c r="F691" s="6" t="str">
        <f>IFERROR(__xludf.DUMMYFUNCTION("""COMPUTED_VALUE"""),"B")</f>
        <v>B</v>
      </c>
      <c r="G691" s="6">
        <f>IFERROR(__xludf.DUMMYFUNCTION("""COMPUTED_VALUE"""),10.0)</f>
        <v>10</v>
      </c>
      <c r="H691" s="6" t="str">
        <f>IFERROR(__xludf.DUMMYFUNCTION("""COMPUTED_VALUE"""),"INE735W01017")</f>
        <v>INE735W01017</v>
      </c>
      <c r="I691" s="6" t="str">
        <f>IFERROR(__xludf.DUMMYFUNCTION("""COMPUTED_VALUE"""),"Equity")</f>
        <v>Equity</v>
      </c>
      <c r="J691" s="6" t="str">
        <f>IFERROR(__xludf.DUMMYFUNCTION("""COMPUTED_VALUE"""),"Financial Services")</f>
        <v>Financial Services</v>
      </c>
      <c r="K691" s="6" t="str">
        <f>IFERROR(__xludf.DUMMYFUNCTION("""COMPUTED_VALUE"""),"Financial Services")</f>
        <v>Financial Services</v>
      </c>
      <c r="L691" s="6" t="str">
        <f>IFERROR(__xludf.DUMMYFUNCTION("""COMPUTED_VALUE"""),"Banks")</f>
        <v>Banks</v>
      </c>
      <c r="M691" s="6" t="str">
        <f>IFERROR(__xludf.DUMMYFUNCTION("""COMPUTED_VALUE"""),"Private Sector Bank")</f>
        <v>Private Sector Bank</v>
      </c>
      <c r="N691" s="5">
        <f>IFERROR(__xludf.DUMMYFUNCTION("""COMPUTED_VALUE"""),5628.2993202)</f>
        <v>5628.29932</v>
      </c>
      <c r="O691" s="6">
        <f t="shared" si="4"/>
        <v>123</v>
      </c>
      <c r="P691" s="6">
        <f t="shared" ref="P691:Q691" si="1384">COUNTIFS(L:L,L691)</f>
        <v>35</v>
      </c>
      <c r="Q691" s="24">
        <f t="shared" si="1384"/>
        <v>23</v>
      </c>
      <c r="R691" s="6" t="str">
        <f t="shared" si="6"/>
        <v>Banks</v>
      </c>
      <c r="S691" s="6" t="str">
        <f t="shared" si="7"/>
        <v>Banks</v>
      </c>
      <c r="T691" s="6">
        <f>IFERROR(__xludf.DUMMYFUNCTION("COUNTA(UNIQUE(query($A$2:$P$800,""select L where K='""&amp; K691&amp;""'"")))"),5.0)</f>
        <v>5</v>
      </c>
      <c r="U691" s="23">
        <f t="shared" si="8"/>
        <v>0.06097560976</v>
      </c>
      <c r="V691" s="23">
        <f t="shared" ref="V691:W691" si="1385">P691/O691</f>
        <v>0.2845528455</v>
      </c>
      <c r="W691" s="23">
        <f t="shared" si="1385"/>
        <v>0.6571428571</v>
      </c>
    </row>
    <row r="692">
      <c r="A692" s="6">
        <f>IFERROR(__xludf.DUMMYFUNCTION("""COMPUTED_VALUE"""),535754.0)</f>
        <v>535754</v>
      </c>
      <c r="B692" s="6" t="str">
        <f>IFERROR(__xludf.DUMMYFUNCTION("""COMPUTED_VALUE"""),"ORIENT CEMENT LIMITED")</f>
        <v>ORIENT CEMENT LIMITED</v>
      </c>
      <c r="C692" s="6" t="str">
        <f>IFERROR(__xludf.DUMMYFUNCTION("""COMPUTED_VALUE"""),"ORIENTCEM")</f>
        <v>ORIENTCEM</v>
      </c>
      <c r="D692" s="6" t="str">
        <f>IFERROR(__xludf.DUMMYFUNCTION("""COMPUTED_VALUE"""),"Orient Cement Ltd")</f>
        <v>Orient Cement Ltd</v>
      </c>
      <c r="E692" s="6" t="str">
        <f>IFERROR(__xludf.DUMMYFUNCTION("""COMPUTED_VALUE"""),"Active")</f>
        <v>Active</v>
      </c>
      <c r="F692" s="6" t="str">
        <f>IFERROR(__xludf.DUMMYFUNCTION("""COMPUTED_VALUE"""),"A")</f>
        <v>A</v>
      </c>
      <c r="G692" s="6">
        <f>IFERROR(__xludf.DUMMYFUNCTION("""COMPUTED_VALUE"""),1.0)</f>
        <v>1</v>
      </c>
      <c r="H692" s="6" t="str">
        <f>IFERROR(__xludf.DUMMYFUNCTION("""COMPUTED_VALUE"""),"INE876N01018")</f>
        <v>INE876N01018</v>
      </c>
      <c r="I692" s="6" t="str">
        <f>IFERROR(__xludf.DUMMYFUNCTION("""COMPUTED_VALUE"""),"Equity")</f>
        <v>Equity</v>
      </c>
      <c r="J692" s="6" t="str">
        <f>IFERROR(__xludf.DUMMYFUNCTION("""COMPUTED_VALUE"""),"Commodities")</f>
        <v>Commodities</v>
      </c>
      <c r="K692" s="6" t="str">
        <f>IFERROR(__xludf.DUMMYFUNCTION("""COMPUTED_VALUE"""),"Construction Materials")</f>
        <v>Construction Materials</v>
      </c>
      <c r="L692" s="6" t="str">
        <f>IFERROR(__xludf.DUMMYFUNCTION("""COMPUTED_VALUE"""),"Cement &amp; Cement Products")</f>
        <v>Cement &amp; Cement Products</v>
      </c>
      <c r="M692" s="6" t="str">
        <f>IFERROR(__xludf.DUMMYFUNCTION("""COMPUTED_VALUE"""),"Cement &amp; Cement Products")</f>
        <v>Cement &amp; Cement Products</v>
      </c>
      <c r="N692" s="5">
        <f>IFERROR(__xludf.DUMMYFUNCTION("""COMPUTED_VALUE"""),5628.2410938)</f>
        <v>5628.241094</v>
      </c>
      <c r="O692" s="6">
        <f t="shared" si="4"/>
        <v>17</v>
      </c>
      <c r="P692" s="6">
        <f t="shared" ref="P692:Q692" si="1386">COUNTIFS(L:L,L692)</f>
        <v>17</v>
      </c>
      <c r="Q692" s="24">
        <f t="shared" si="1386"/>
        <v>17</v>
      </c>
      <c r="R692" s="6" t="str">
        <f t="shared" si="6"/>
        <v>Construction Materials</v>
      </c>
      <c r="S692" s="6" t="str">
        <f t="shared" si="7"/>
        <v>Construction Materials</v>
      </c>
      <c r="T692" s="6">
        <f>IFERROR(__xludf.DUMMYFUNCTION("COUNTA(UNIQUE(query($A$2:$P$800,""select L where K='""&amp; K692&amp;""'"")))"),1.0)</f>
        <v>1</v>
      </c>
      <c r="U692" s="23">
        <f t="shared" si="8"/>
        <v>0.08823529412</v>
      </c>
      <c r="V692" s="23">
        <f t="shared" ref="V692:W692" si="1387">P692/O692</f>
        <v>1</v>
      </c>
      <c r="W692" s="23">
        <f t="shared" si="1387"/>
        <v>1</v>
      </c>
    </row>
    <row r="693">
      <c r="A693" s="6">
        <f>IFERROR(__xludf.DUMMYFUNCTION("""COMPUTED_VALUE"""),540725.0)</f>
        <v>540725</v>
      </c>
      <c r="B693" s="6" t="str">
        <f>IFERROR(__xludf.DUMMYFUNCTION("""COMPUTED_VALUE"""),"Share India Securities Limited")</f>
        <v>Share India Securities Limited</v>
      </c>
      <c r="C693" s="6" t="str">
        <f>IFERROR(__xludf.DUMMYFUNCTION("""COMPUTED_VALUE"""),"SHAREINDIA")</f>
        <v>SHAREINDIA</v>
      </c>
      <c r="D693" s="6" t="str">
        <f>IFERROR(__xludf.DUMMYFUNCTION("""COMPUTED_VALUE"""),"Share India Securities Ltd")</f>
        <v>Share India Securities Ltd</v>
      </c>
      <c r="E693" s="6" t="str">
        <f>IFERROR(__xludf.DUMMYFUNCTION("""COMPUTED_VALUE"""),"Active")</f>
        <v>Active</v>
      </c>
      <c r="F693" s="6" t="str">
        <f>IFERROR(__xludf.DUMMYFUNCTION("""COMPUTED_VALUE"""),"A")</f>
        <v>A</v>
      </c>
      <c r="G693" s="6">
        <f>IFERROR(__xludf.DUMMYFUNCTION("""COMPUTED_VALUE"""),2.0)</f>
        <v>2</v>
      </c>
      <c r="H693" s="6" t="str">
        <f>IFERROR(__xludf.DUMMYFUNCTION("""COMPUTED_VALUE"""),"INE932X01026")</f>
        <v>INE932X01026</v>
      </c>
      <c r="I693" s="6" t="str">
        <f>IFERROR(__xludf.DUMMYFUNCTION("""COMPUTED_VALUE"""),"Equity")</f>
        <v>Equity</v>
      </c>
      <c r="J693" s="6" t="str">
        <f>IFERROR(__xludf.DUMMYFUNCTION("""COMPUTED_VALUE"""),"Financial Services")</f>
        <v>Financial Services</v>
      </c>
      <c r="K693" s="6" t="str">
        <f>IFERROR(__xludf.DUMMYFUNCTION("""COMPUTED_VALUE"""),"Financial Services")</f>
        <v>Financial Services</v>
      </c>
      <c r="L693" s="6" t="str">
        <f>IFERROR(__xludf.DUMMYFUNCTION("""COMPUTED_VALUE"""),"Capital Markets")</f>
        <v>Capital Markets</v>
      </c>
      <c r="M693" s="6" t="str">
        <f>IFERROR(__xludf.DUMMYFUNCTION("""COMPUTED_VALUE"""),"Stockbroking &amp; Allied")</f>
        <v>Stockbroking &amp; Allied</v>
      </c>
      <c r="N693" s="5">
        <f>IFERROR(__xludf.DUMMYFUNCTION("""COMPUTED_VALUE"""),5608.2144383)</f>
        <v>5608.214438</v>
      </c>
      <c r="O693" s="6">
        <f t="shared" si="4"/>
        <v>123</v>
      </c>
      <c r="P693" s="6">
        <f t="shared" ref="P693:Q693" si="1388">COUNTIFS(L:L,L693)</f>
        <v>19</v>
      </c>
      <c r="Q693" s="24">
        <f t="shared" si="1388"/>
        <v>6</v>
      </c>
      <c r="R693" s="6" t="str">
        <f t="shared" si="6"/>
        <v>Capital Markets</v>
      </c>
      <c r="S693" s="6" t="str">
        <f t="shared" si="7"/>
        <v>Capital Markets</v>
      </c>
      <c r="T693" s="6">
        <f>IFERROR(__xludf.DUMMYFUNCTION("COUNTA(UNIQUE(query($A$2:$P$800,""select L where K='""&amp; K693&amp;""'"")))"),5.0)</f>
        <v>5</v>
      </c>
      <c r="U693" s="23">
        <f t="shared" si="8"/>
        <v>0.06097560976</v>
      </c>
      <c r="V693" s="23">
        <f t="shared" ref="V693:W693" si="1389">P693/O693</f>
        <v>0.1544715447</v>
      </c>
      <c r="W693" s="23">
        <f t="shared" si="1389"/>
        <v>0.3157894737</v>
      </c>
    </row>
    <row r="694">
      <c r="A694" s="6">
        <f>IFERROR(__xludf.DUMMYFUNCTION("""COMPUTED_VALUE"""),539883.0)</f>
        <v>539883</v>
      </c>
      <c r="B694" s="6" t="str">
        <f>IFERROR(__xludf.DUMMYFUNCTION("""COMPUTED_VALUE"""),"Pilani Investment And Industries Corporation Limited")</f>
        <v>Pilani Investment And Industries Corporation Limited</v>
      </c>
      <c r="C694" s="6" t="str">
        <f>IFERROR(__xludf.DUMMYFUNCTION("""COMPUTED_VALUE"""),"PILANIINVS")</f>
        <v>PILANIINVS</v>
      </c>
      <c r="D694" s="6" t="str">
        <f>IFERROR(__xludf.DUMMYFUNCTION("""COMPUTED_VALUE"""),"Pilani Investment and Industries Corporation Ltd")</f>
        <v>Pilani Investment and Industries Corporation Ltd</v>
      </c>
      <c r="E694" s="6" t="str">
        <f>IFERROR(__xludf.DUMMYFUNCTION("""COMPUTED_VALUE"""),"Active")</f>
        <v>Active</v>
      </c>
      <c r="F694" s="6" t="str">
        <f>IFERROR(__xludf.DUMMYFUNCTION("""COMPUTED_VALUE"""),"B")</f>
        <v>B</v>
      </c>
      <c r="G694" s="6">
        <f>IFERROR(__xludf.DUMMYFUNCTION("""COMPUTED_VALUE"""),10.0)</f>
        <v>10</v>
      </c>
      <c r="H694" s="6" t="str">
        <f>IFERROR(__xludf.DUMMYFUNCTION("""COMPUTED_VALUE"""),"INE417C01014")</f>
        <v>INE417C01014</v>
      </c>
      <c r="I694" s="6" t="str">
        <f>IFERROR(__xludf.DUMMYFUNCTION("""COMPUTED_VALUE"""),"Equity")</f>
        <v>Equity</v>
      </c>
      <c r="J694" s="6" t="str">
        <f>IFERROR(__xludf.DUMMYFUNCTION("""COMPUTED_VALUE"""),"Financial Services")</f>
        <v>Financial Services</v>
      </c>
      <c r="K694" s="6" t="str">
        <f>IFERROR(__xludf.DUMMYFUNCTION("""COMPUTED_VALUE"""),"Financial Services")</f>
        <v>Financial Services</v>
      </c>
      <c r="L694" s="6" t="str">
        <f>IFERROR(__xludf.DUMMYFUNCTION("""COMPUTED_VALUE"""),"Finance")</f>
        <v>Finance</v>
      </c>
      <c r="M694" s="6" t="str">
        <f>IFERROR(__xludf.DUMMYFUNCTION("""COMPUTED_VALUE"""),"Holding Company")</f>
        <v>Holding Company</v>
      </c>
      <c r="N694" s="5">
        <f>IFERROR(__xludf.DUMMYFUNCTION("""COMPUTED_VALUE"""),5572.58725)</f>
        <v>5572.58725</v>
      </c>
      <c r="O694" s="6">
        <f t="shared" si="4"/>
        <v>123</v>
      </c>
      <c r="P694" s="6">
        <f t="shared" ref="P694:Q694" si="1390">COUNTIFS(L:L,L694)</f>
        <v>56</v>
      </c>
      <c r="Q694" s="24">
        <f t="shared" si="1390"/>
        <v>8</v>
      </c>
      <c r="R694" s="6" t="str">
        <f t="shared" si="6"/>
        <v>Finance</v>
      </c>
      <c r="S694" s="6" t="str">
        <f t="shared" si="7"/>
        <v>Finance</v>
      </c>
      <c r="T694" s="6">
        <f>IFERROR(__xludf.DUMMYFUNCTION("COUNTA(UNIQUE(query($A$2:$P$800,""select L where K='""&amp; K694&amp;""'"")))"),5.0)</f>
        <v>5</v>
      </c>
      <c r="U694" s="23">
        <f t="shared" si="8"/>
        <v>0.06097560976</v>
      </c>
      <c r="V694" s="23">
        <f t="shared" ref="V694:W694" si="1391">P694/O694</f>
        <v>0.4552845528</v>
      </c>
      <c r="W694" s="23">
        <f t="shared" si="1391"/>
        <v>0.1428571429</v>
      </c>
    </row>
    <row r="695">
      <c r="A695" s="6">
        <f>IFERROR(__xludf.DUMMYFUNCTION("""COMPUTED_VALUE"""),543748.0)</f>
        <v>543748</v>
      </c>
      <c r="B695" s="6" t="str">
        <f>IFERROR(__xludf.DUMMYFUNCTION("""COMPUTED_VALUE"""),"Aarti Pharmalabs Limited")</f>
        <v>Aarti Pharmalabs Limited</v>
      </c>
      <c r="C695" s="6" t="str">
        <f>IFERROR(__xludf.DUMMYFUNCTION("""COMPUTED_VALUE"""),"AARTIPHARM")</f>
        <v>AARTIPHARM</v>
      </c>
      <c r="D695" s="6" t="str">
        <f>IFERROR(__xludf.DUMMYFUNCTION("""COMPUTED_VALUE"""),"Aarti Pharmalabs Ltd")</f>
        <v>Aarti Pharmalabs Ltd</v>
      </c>
      <c r="E695" s="6" t="str">
        <f>IFERROR(__xludf.DUMMYFUNCTION("""COMPUTED_VALUE"""),"Active")</f>
        <v>Active</v>
      </c>
      <c r="F695" s="6" t="str">
        <f>IFERROR(__xludf.DUMMYFUNCTION("""COMPUTED_VALUE"""),"A")</f>
        <v>A</v>
      </c>
      <c r="G695" s="6">
        <f>IFERROR(__xludf.DUMMYFUNCTION("""COMPUTED_VALUE"""),5.0)</f>
        <v>5</v>
      </c>
      <c r="H695" s="6" t="str">
        <f>IFERROR(__xludf.DUMMYFUNCTION("""COMPUTED_VALUE"""),"INE0LRU01027")</f>
        <v>INE0LRU01027</v>
      </c>
      <c r="I695" s="6" t="str">
        <f>IFERROR(__xludf.DUMMYFUNCTION("""COMPUTED_VALUE"""),"Equity")</f>
        <v>Equity</v>
      </c>
      <c r="J695" s="6" t="str">
        <f>IFERROR(__xludf.DUMMYFUNCTION("""COMPUTED_VALUE"""),"Healthcare")</f>
        <v>Healthcare</v>
      </c>
      <c r="K695" s="6" t="str">
        <f>IFERROR(__xludf.DUMMYFUNCTION("""COMPUTED_VALUE"""),"Healthcare")</f>
        <v>Healthcare</v>
      </c>
      <c r="L695" s="6" t="str">
        <f>IFERROR(__xludf.DUMMYFUNCTION("""COMPUTED_VALUE"""),"Pharmaceuticals &amp; Biotechnology")</f>
        <v>Pharmaceuticals &amp; Biotechnology</v>
      </c>
      <c r="M695" s="6" t="str">
        <f>IFERROR(__xludf.DUMMYFUNCTION("""COMPUTED_VALUE"""),"Pharmaceuticals")</f>
        <v>Pharmaceuticals</v>
      </c>
      <c r="N695" s="5">
        <f>IFERROR(__xludf.DUMMYFUNCTION("""COMPUTED_VALUE"""),5564.7466552)</f>
        <v>5564.746655</v>
      </c>
      <c r="O695" s="6">
        <f t="shared" si="4"/>
        <v>62</v>
      </c>
      <c r="P695" s="6">
        <f t="shared" ref="P695:Q695" si="1392">COUNTIFS(L:L,L695)</f>
        <v>45</v>
      </c>
      <c r="Q695" s="24">
        <f t="shared" si="1392"/>
        <v>45</v>
      </c>
      <c r="R695" s="6" t="str">
        <f t="shared" si="6"/>
        <v>Healthcare</v>
      </c>
      <c r="S695" s="6" t="str">
        <f t="shared" si="7"/>
        <v>Healthcare</v>
      </c>
      <c r="T695" s="6">
        <f>IFERROR(__xludf.DUMMYFUNCTION("COUNTA(UNIQUE(query($A$2:$P$800,""select L where K='""&amp; K695&amp;""'"")))"),3.0)</f>
        <v>3</v>
      </c>
      <c r="U695" s="23">
        <f t="shared" si="8"/>
        <v>0.07258064516</v>
      </c>
      <c r="V695" s="23">
        <f t="shared" ref="V695:W695" si="1393">P695/O695</f>
        <v>0.7258064516</v>
      </c>
      <c r="W695" s="23">
        <f t="shared" si="1393"/>
        <v>1</v>
      </c>
    </row>
    <row r="696">
      <c r="A696" s="6">
        <f>IFERROR(__xludf.DUMMYFUNCTION("""COMPUTED_VALUE"""),540205.0)</f>
        <v>540205</v>
      </c>
      <c r="B696" s="6" t="str">
        <f>IFERROR(__xludf.DUMMYFUNCTION("""COMPUTED_VALUE"""),"Aditya Vision Limited")</f>
        <v>Aditya Vision Limited</v>
      </c>
      <c r="C696" s="6" t="str">
        <f>IFERROR(__xludf.DUMMYFUNCTION("""COMPUTED_VALUE"""),"AVL")</f>
        <v>AVL</v>
      </c>
      <c r="D696" s="6" t="str">
        <f>IFERROR(__xludf.DUMMYFUNCTION("""COMPUTED_VALUE"""),"Aditya Vision Ltd")</f>
        <v>Aditya Vision Ltd</v>
      </c>
      <c r="E696" s="6" t="str">
        <f>IFERROR(__xludf.DUMMYFUNCTION("""COMPUTED_VALUE"""),"Active")</f>
        <v>Active</v>
      </c>
      <c r="F696" s="6" t="str">
        <f>IFERROR(__xludf.DUMMYFUNCTION("""COMPUTED_VALUE"""),"B")</f>
        <v>B</v>
      </c>
      <c r="G696" s="6">
        <f>IFERROR(__xludf.DUMMYFUNCTION("""COMPUTED_VALUE"""),10.0)</f>
        <v>10</v>
      </c>
      <c r="H696" s="6" t="str">
        <f>IFERROR(__xludf.DUMMYFUNCTION("""COMPUTED_VALUE"""),"INE679V01019")</f>
        <v>INE679V01019</v>
      </c>
      <c r="I696" s="6" t="str">
        <f>IFERROR(__xludf.DUMMYFUNCTION("""COMPUTED_VALUE"""),"Equity")</f>
        <v>Equity</v>
      </c>
      <c r="J696" s="6" t="str">
        <f>IFERROR(__xludf.DUMMYFUNCTION("""COMPUTED_VALUE"""),"Consumer Discretionary")</f>
        <v>Consumer Discretionary</v>
      </c>
      <c r="K696" s="6" t="str">
        <f>IFERROR(__xludf.DUMMYFUNCTION("""COMPUTED_VALUE"""),"Consumer Services")</f>
        <v>Consumer Services</v>
      </c>
      <c r="L696" s="6" t="str">
        <f>IFERROR(__xludf.DUMMYFUNCTION("""COMPUTED_VALUE"""),"Retailing")</f>
        <v>Retailing</v>
      </c>
      <c r="M696" s="6" t="str">
        <f>IFERROR(__xludf.DUMMYFUNCTION("""COMPUTED_VALUE"""),"Speciality Retail")</f>
        <v>Speciality Retail</v>
      </c>
      <c r="N696" s="5">
        <f>IFERROR(__xludf.DUMMYFUNCTION("""COMPUTED_VALUE"""),5560.9778371)</f>
        <v>5560.977837</v>
      </c>
      <c r="O696" s="6">
        <f t="shared" si="4"/>
        <v>37</v>
      </c>
      <c r="P696" s="6">
        <f t="shared" ref="P696:Q696" si="1394">COUNTIFS(L:L,L696)</f>
        <v>18</v>
      </c>
      <c r="Q696" s="24">
        <f t="shared" si="1394"/>
        <v>6</v>
      </c>
      <c r="R696" s="6" t="str">
        <f t="shared" si="6"/>
        <v>Retailing</v>
      </c>
      <c r="S696" s="6" t="str">
        <f t="shared" si="7"/>
        <v>Retailing</v>
      </c>
      <c r="T696" s="6">
        <f>IFERROR(__xludf.DUMMYFUNCTION("COUNTA(UNIQUE(query($A$2:$P$800,""select L where K='""&amp; K696&amp;""'"")))"),3.0)</f>
        <v>3</v>
      </c>
      <c r="U696" s="23">
        <f t="shared" si="8"/>
        <v>0.1216216216</v>
      </c>
      <c r="V696" s="23">
        <f t="shared" ref="V696:W696" si="1395">P696/O696</f>
        <v>0.4864864865</v>
      </c>
      <c r="W696" s="23">
        <f t="shared" si="1395"/>
        <v>0.3333333333</v>
      </c>
    </row>
    <row r="697">
      <c r="A697" s="6">
        <f>IFERROR(__xludf.DUMMYFUNCTION("""COMPUTED_VALUE"""),543367.0)</f>
        <v>543367</v>
      </c>
      <c r="B697" s="6" t="str">
        <f>IFERROR(__xludf.DUMMYFUNCTION("""COMPUTED_VALUE"""),"Paras Defence and Space Technologies Limited")</f>
        <v>Paras Defence and Space Technologies Limited</v>
      </c>
      <c r="C697" s="6" t="str">
        <f>IFERROR(__xludf.DUMMYFUNCTION("""COMPUTED_VALUE"""),"PARAS")</f>
        <v>PARAS</v>
      </c>
      <c r="D697" s="6" t="str">
        <f>IFERROR(__xludf.DUMMYFUNCTION("""COMPUTED_VALUE"""),"Paras Defence and Space Technologies Ltd")</f>
        <v>Paras Defence and Space Technologies Ltd</v>
      </c>
      <c r="E697" s="6" t="str">
        <f>IFERROR(__xludf.DUMMYFUNCTION("""COMPUTED_VALUE"""),"Active")</f>
        <v>Active</v>
      </c>
      <c r="F697" s="6" t="str">
        <f>IFERROR(__xludf.DUMMYFUNCTION("""COMPUTED_VALUE"""),"A")</f>
        <v>A</v>
      </c>
      <c r="G697" s="6">
        <f>IFERROR(__xludf.DUMMYFUNCTION("""COMPUTED_VALUE"""),10.0)</f>
        <v>10</v>
      </c>
      <c r="H697" s="6" t="str">
        <f>IFERROR(__xludf.DUMMYFUNCTION("""COMPUTED_VALUE"""),"INE045601015")</f>
        <v>INE045601015</v>
      </c>
      <c r="I697" s="6" t="str">
        <f>IFERROR(__xludf.DUMMYFUNCTION("""COMPUTED_VALUE"""),"Equity")</f>
        <v>Equity</v>
      </c>
      <c r="J697" s="6" t="str">
        <f>IFERROR(__xludf.DUMMYFUNCTION("""COMPUTED_VALUE"""),"Industrials")</f>
        <v>Industrials</v>
      </c>
      <c r="K697" s="6" t="str">
        <f>IFERROR(__xludf.DUMMYFUNCTION("""COMPUTED_VALUE"""),"Capital Goods")</f>
        <v>Capital Goods</v>
      </c>
      <c r="L697" s="6" t="str">
        <f>IFERROR(__xludf.DUMMYFUNCTION("""COMPUTED_VALUE"""),"Aerospace &amp; Defense")</f>
        <v>Aerospace &amp; Defense</v>
      </c>
      <c r="M697" s="6" t="str">
        <f>IFERROR(__xludf.DUMMYFUNCTION("""COMPUTED_VALUE"""),"Aerospace &amp; Defense")</f>
        <v>Aerospace &amp; Defense</v>
      </c>
      <c r="N697" s="5">
        <f>IFERROR(__xludf.DUMMYFUNCTION("""COMPUTED_VALUE"""),5544.673416)</f>
        <v>5544.673416</v>
      </c>
      <c r="O697" s="6">
        <f t="shared" si="4"/>
        <v>110</v>
      </c>
      <c r="P697" s="6">
        <f t="shared" ref="P697:Q697" si="1396">COUNTIFS(L:L,L697)</f>
        <v>11</v>
      </c>
      <c r="Q697" s="24">
        <f t="shared" si="1396"/>
        <v>11</v>
      </c>
      <c r="R697" s="6" t="str">
        <f t="shared" si="6"/>
        <v>Capital Goods</v>
      </c>
      <c r="S697" s="6" t="str">
        <f t="shared" si="7"/>
        <v>Capital Goods</v>
      </c>
      <c r="T697" s="6">
        <f>IFERROR(__xludf.DUMMYFUNCTION("COUNTA(UNIQUE(query($A$2:$P$800,""select L where K='""&amp; K697&amp;""'"")))"),5.0)</f>
        <v>5</v>
      </c>
      <c r="U697" s="23">
        <f t="shared" si="8"/>
        <v>0.06818181818</v>
      </c>
      <c r="V697" s="23">
        <f t="shared" ref="V697:W697" si="1397">P697/O697</f>
        <v>0.1</v>
      </c>
      <c r="W697" s="23">
        <f t="shared" si="1397"/>
        <v>1</v>
      </c>
    </row>
    <row r="698">
      <c r="A698" s="6">
        <f>IFERROR(__xludf.DUMMYFUNCTION("""COMPUTED_VALUE"""),543349.0)</f>
        <v>543349</v>
      </c>
      <c r="B698" s="6" t="str">
        <f>IFERROR(__xludf.DUMMYFUNCTION("""COMPUTED_VALUE"""),"Ami Organics Limited")</f>
        <v>Ami Organics Limited</v>
      </c>
      <c r="C698" s="6" t="str">
        <f>IFERROR(__xludf.DUMMYFUNCTION("""COMPUTED_VALUE"""),"AMIORG")</f>
        <v>AMIORG</v>
      </c>
      <c r="D698" s="6" t="str">
        <f>IFERROR(__xludf.DUMMYFUNCTION("""COMPUTED_VALUE"""),"Ami Organics Ltd")</f>
        <v>Ami Organics Ltd</v>
      </c>
      <c r="E698" s="6" t="str">
        <f>IFERROR(__xludf.DUMMYFUNCTION("""COMPUTED_VALUE"""),"Active")</f>
        <v>Active</v>
      </c>
      <c r="F698" s="6" t="str">
        <f>IFERROR(__xludf.DUMMYFUNCTION("""COMPUTED_VALUE"""),"A")</f>
        <v>A</v>
      </c>
      <c r="G698" s="6">
        <f>IFERROR(__xludf.DUMMYFUNCTION("""COMPUTED_VALUE"""),10.0)</f>
        <v>10</v>
      </c>
      <c r="H698" s="6" t="str">
        <f>IFERROR(__xludf.DUMMYFUNCTION("""COMPUTED_VALUE"""),"INE00FF01017")</f>
        <v>INE00FF01017</v>
      </c>
      <c r="I698" s="6" t="str">
        <f>IFERROR(__xludf.DUMMYFUNCTION("""COMPUTED_VALUE"""),"Equity")</f>
        <v>Equity</v>
      </c>
      <c r="J698" s="6" t="str">
        <f>IFERROR(__xludf.DUMMYFUNCTION("""COMPUTED_VALUE"""),"Healthcare")</f>
        <v>Healthcare</v>
      </c>
      <c r="K698" s="6" t="str">
        <f>IFERROR(__xludf.DUMMYFUNCTION("""COMPUTED_VALUE"""),"Healthcare")</f>
        <v>Healthcare</v>
      </c>
      <c r="L698" s="6" t="str">
        <f>IFERROR(__xludf.DUMMYFUNCTION("""COMPUTED_VALUE"""),"Pharmaceuticals &amp; Biotechnology")</f>
        <v>Pharmaceuticals &amp; Biotechnology</v>
      </c>
      <c r="M698" s="6" t="str">
        <f>IFERROR(__xludf.DUMMYFUNCTION("""COMPUTED_VALUE"""),"Pharmaceuticals")</f>
        <v>Pharmaceuticals</v>
      </c>
      <c r="N698" s="5">
        <f>IFERROR(__xludf.DUMMYFUNCTION("""COMPUTED_VALUE"""),5535.95694)</f>
        <v>5535.95694</v>
      </c>
      <c r="O698" s="6">
        <f t="shared" si="4"/>
        <v>62</v>
      </c>
      <c r="P698" s="6">
        <f t="shared" ref="P698:Q698" si="1398">COUNTIFS(L:L,L698)</f>
        <v>45</v>
      </c>
      <c r="Q698" s="24">
        <f t="shared" si="1398"/>
        <v>45</v>
      </c>
      <c r="R698" s="6" t="str">
        <f t="shared" si="6"/>
        <v>Healthcare</v>
      </c>
      <c r="S698" s="6" t="str">
        <f t="shared" si="7"/>
        <v>Healthcare</v>
      </c>
      <c r="T698" s="6">
        <f>IFERROR(__xludf.DUMMYFUNCTION("COUNTA(UNIQUE(query($A$2:$P$800,""select L where K='""&amp; K698&amp;""'"")))"),3.0)</f>
        <v>3</v>
      </c>
      <c r="U698" s="23">
        <f t="shared" si="8"/>
        <v>0.07258064516</v>
      </c>
      <c r="V698" s="23">
        <f t="shared" ref="V698:W698" si="1399">P698/O698</f>
        <v>0.7258064516</v>
      </c>
      <c r="W698" s="23">
        <f t="shared" si="1399"/>
        <v>1</v>
      </c>
    </row>
    <row r="699">
      <c r="A699" s="6">
        <f>IFERROR(__xludf.DUMMYFUNCTION("""COMPUTED_VALUE"""),500655.0)</f>
        <v>500655</v>
      </c>
      <c r="B699" s="6" t="str">
        <f>IFERROR(__xludf.DUMMYFUNCTION("""COMPUTED_VALUE"""),"GARWARE HI-TECH FILMS LIMITED")</f>
        <v>GARWARE HI-TECH FILMS LIMITED</v>
      </c>
      <c r="C699" s="6" t="str">
        <f>IFERROR(__xludf.DUMMYFUNCTION("""COMPUTED_VALUE"""),"GRWRHITECH")</f>
        <v>GRWRHITECH</v>
      </c>
      <c r="D699" s="6" t="str">
        <f>IFERROR(__xludf.DUMMYFUNCTION("""COMPUTED_VALUE"""),"Garware Hi-Tech Films Ltd")</f>
        <v>Garware Hi-Tech Films Ltd</v>
      </c>
      <c r="E699" s="6" t="str">
        <f>IFERROR(__xludf.DUMMYFUNCTION("""COMPUTED_VALUE"""),"Active")</f>
        <v>Active</v>
      </c>
      <c r="F699" s="6" t="str">
        <f>IFERROR(__xludf.DUMMYFUNCTION("""COMPUTED_VALUE"""),"B")</f>
        <v>B</v>
      </c>
      <c r="G699" s="6">
        <f>IFERROR(__xludf.DUMMYFUNCTION("""COMPUTED_VALUE"""),10.0)</f>
        <v>10</v>
      </c>
      <c r="H699" s="6" t="str">
        <f>IFERROR(__xludf.DUMMYFUNCTION("""COMPUTED_VALUE"""),"INE291A01017")</f>
        <v>INE291A01017</v>
      </c>
      <c r="I699" s="6" t="str">
        <f>IFERROR(__xludf.DUMMYFUNCTION("""COMPUTED_VALUE"""),"Equity")</f>
        <v>Equity</v>
      </c>
      <c r="J699" s="6" t="str">
        <f>IFERROR(__xludf.DUMMYFUNCTION("""COMPUTED_VALUE"""),"Industrials")</f>
        <v>Industrials</v>
      </c>
      <c r="K699" s="6" t="str">
        <f>IFERROR(__xludf.DUMMYFUNCTION("""COMPUTED_VALUE"""),"Capital Goods")</f>
        <v>Capital Goods</v>
      </c>
      <c r="L699" s="6" t="str">
        <f>IFERROR(__xludf.DUMMYFUNCTION("""COMPUTED_VALUE"""),"Industrial Products")</f>
        <v>Industrial Products</v>
      </c>
      <c r="M699" s="6" t="str">
        <f>IFERROR(__xludf.DUMMYFUNCTION("""COMPUTED_VALUE"""),"Plastic Products - Industrial")</f>
        <v>Plastic Products - Industrial</v>
      </c>
      <c r="N699" s="5">
        <f>IFERROR(__xludf.DUMMYFUNCTION("""COMPUTED_VALUE"""),5531.32944)</f>
        <v>5531.32944</v>
      </c>
      <c r="O699" s="6">
        <f t="shared" si="4"/>
        <v>110</v>
      </c>
      <c r="P699" s="6">
        <f t="shared" ref="P699:Q699" si="1400">COUNTIFS(L:L,L699)</f>
        <v>51</v>
      </c>
      <c r="Q699" s="24">
        <f t="shared" si="1400"/>
        <v>9</v>
      </c>
      <c r="R699" s="6" t="str">
        <f t="shared" si="6"/>
        <v>Industrial Products</v>
      </c>
      <c r="S699" s="6" t="str">
        <f t="shared" si="7"/>
        <v>Industrial Products</v>
      </c>
      <c r="T699" s="6">
        <f>IFERROR(__xludf.DUMMYFUNCTION("COUNTA(UNIQUE(query($A$2:$P$800,""select L where K='""&amp; K699&amp;""'"")))"),5.0)</f>
        <v>5</v>
      </c>
      <c r="U699" s="23">
        <f t="shared" si="8"/>
        <v>0.06818181818</v>
      </c>
      <c r="V699" s="23">
        <f t="shared" ref="V699:W699" si="1401">P699/O699</f>
        <v>0.4636363636</v>
      </c>
      <c r="W699" s="23">
        <f t="shared" si="1401"/>
        <v>0.1764705882</v>
      </c>
    </row>
    <row r="700">
      <c r="A700" s="6">
        <f>IFERROR(__xludf.DUMMYFUNCTION("""COMPUTED_VALUE"""),503960.0)</f>
        <v>503960</v>
      </c>
      <c r="B700" s="6" t="str">
        <f>IFERROR(__xludf.DUMMYFUNCTION("""COMPUTED_VALUE"""),"Bharat Bijlee Ltd.")</f>
        <v>Bharat Bijlee Ltd.</v>
      </c>
      <c r="C700" s="6" t="str">
        <f>IFERROR(__xludf.DUMMYFUNCTION("""COMPUTED_VALUE"""),"BBL")</f>
        <v>BBL</v>
      </c>
      <c r="D700" s="6" t="str">
        <f>IFERROR(__xludf.DUMMYFUNCTION("""COMPUTED_VALUE"""),"BHARAT BIJLEE LTD.-$")</f>
        <v>BHARAT BIJLEE LTD.-$</v>
      </c>
      <c r="E700" s="6" t="str">
        <f>IFERROR(__xludf.DUMMYFUNCTION("""COMPUTED_VALUE"""),"Active")</f>
        <v>Active</v>
      </c>
      <c r="F700" s="6" t="str">
        <f>IFERROR(__xludf.DUMMYFUNCTION("""COMPUTED_VALUE"""),"A")</f>
        <v>A</v>
      </c>
      <c r="G700" s="6">
        <f>IFERROR(__xludf.DUMMYFUNCTION("""COMPUTED_VALUE"""),5.0)</f>
        <v>5</v>
      </c>
      <c r="H700" s="6" t="str">
        <f>IFERROR(__xludf.DUMMYFUNCTION("""COMPUTED_VALUE"""),"INE464A01036")</f>
        <v>INE464A01036</v>
      </c>
      <c r="I700" s="6" t="str">
        <f>IFERROR(__xludf.DUMMYFUNCTION("""COMPUTED_VALUE"""),"Equity")</f>
        <v>Equity</v>
      </c>
      <c r="J700" s="6" t="str">
        <f>IFERROR(__xludf.DUMMYFUNCTION("""COMPUTED_VALUE"""),"Industrials")</f>
        <v>Industrials</v>
      </c>
      <c r="K700" s="6" t="str">
        <f>IFERROR(__xludf.DUMMYFUNCTION("""COMPUTED_VALUE"""),"Capital Goods")</f>
        <v>Capital Goods</v>
      </c>
      <c r="L700" s="6" t="str">
        <f>IFERROR(__xludf.DUMMYFUNCTION("""COMPUTED_VALUE"""),"Electrical Equipment")</f>
        <v>Electrical Equipment</v>
      </c>
      <c r="M700" s="6" t="str">
        <f>IFERROR(__xludf.DUMMYFUNCTION("""COMPUTED_VALUE"""),"Other Electrical Equipment")</f>
        <v>Other Electrical Equipment</v>
      </c>
      <c r="N700" s="5">
        <f>IFERROR(__xludf.DUMMYFUNCTION("""COMPUTED_VALUE"""),5488.233244)</f>
        <v>5488.233244</v>
      </c>
      <c r="O700" s="6">
        <f t="shared" si="4"/>
        <v>110</v>
      </c>
      <c r="P700" s="6">
        <f t="shared" ref="P700:Q700" si="1402">COUNTIFS(L:L,L700)</f>
        <v>22</v>
      </c>
      <c r="Q700" s="24">
        <f t="shared" si="1402"/>
        <v>5</v>
      </c>
      <c r="R700" s="6" t="str">
        <f t="shared" si="6"/>
        <v>Electrical Equipment</v>
      </c>
      <c r="S700" s="6" t="str">
        <f t="shared" si="7"/>
        <v>Electrical Equipment</v>
      </c>
      <c r="T700" s="6">
        <f>IFERROR(__xludf.DUMMYFUNCTION("COUNTA(UNIQUE(query($A$2:$P$800,""select L where K='""&amp; K700&amp;""'"")))"),5.0)</f>
        <v>5</v>
      </c>
      <c r="U700" s="23">
        <f t="shared" si="8"/>
        <v>0.06818181818</v>
      </c>
      <c r="V700" s="23">
        <f t="shared" ref="V700:W700" si="1403">P700/O700</f>
        <v>0.2</v>
      </c>
      <c r="W700" s="23">
        <f t="shared" si="1403"/>
        <v>0.2272727273</v>
      </c>
    </row>
    <row r="701">
      <c r="A701" s="6">
        <f>IFERROR(__xludf.DUMMYFUNCTION("""COMPUTED_VALUE"""),500339.0)</f>
        <v>500339</v>
      </c>
      <c r="B701" s="6" t="str">
        <f>IFERROR(__xludf.DUMMYFUNCTION("""COMPUTED_VALUE"""),"Rain Industries Limited")</f>
        <v>Rain Industries Limited</v>
      </c>
      <c r="C701" s="6" t="str">
        <f>IFERROR(__xludf.DUMMYFUNCTION("""COMPUTED_VALUE"""),"RAIN")</f>
        <v>RAIN</v>
      </c>
      <c r="D701" s="6" t="str">
        <f>IFERROR(__xludf.DUMMYFUNCTION("""COMPUTED_VALUE"""),"Rain Industries Ltd")</f>
        <v>Rain Industries Ltd</v>
      </c>
      <c r="E701" s="6" t="str">
        <f>IFERROR(__xludf.DUMMYFUNCTION("""COMPUTED_VALUE"""),"Active")</f>
        <v>Active</v>
      </c>
      <c r="F701" s="6" t="str">
        <f>IFERROR(__xludf.DUMMYFUNCTION("""COMPUTED_VALUE"""),"A")</f>
        <v>A</v>
      </c>
      <c r="G701" s="6">
        <f>IFERROR(__xludf.DUMMYFUNCTION("""COMPUTED_VALUE"""),2.0)</f>
        <v>2</v>
      </c>
      <c r="H701" s="6" t="str">
        <f>IFERROR(__xludf.DUMMYFUNCTION("""COMPUTED_VALUE"""),"INE855B01025")</f>
        <v>INE855B01025</v>
      </c>
      <c r="I701" s="6" t="str">
        <f>IFERROR(__xludf.DUMMYFUNCTION("""COMPUTED_VALUE"""),"Equity")</f>
        <v>Equity</v>
      </c>
      <c r="J701" s="6" t="str">
        <f>IFERROR(__xludf.DUMMYFUNCTION("""COMPUTED_VALUE"""),"Commodities")</f>
        <v>Commodities</v>
      </c>
      <c r="K701" s="6" t="str">
        <f>IFERROR(__xludf.DUMMYFUNCTION("""COMPUTED_VALUE"""),"Chemicals")</f>
        <v>Chemicals</v>
      </c>
      <c r="L701" s="6" t="str">
        <f>IFERROR(__xludf.DUMMYFUNCTION("""COMPUTED_VALUE"""),"Chemicals &amp; Petrochemicals")</f>
        <v>Chemicals &amp; Petrochemicals</v>
      </c>
      <c r="M701" s="6" t="str">
        <f>IFERROR(__xludf.DUMMYFUNCTION("""COMPUTED_VALUE"""),"Petrochemicals")</f>
        <v>Petrochemicals</v>
      </c>
      <c r="N701" s="5">
        <f>IFERROR(__xludf.DUMMYFUNCTION("""COMPUTED_VALUE"""),5479.8563501)</f>
        <v>5479.85635</v>
      </c>
      <c r="O701" s="6">
        <f t="shared" si="4"/>
        <v>52</v>
      </c>
      <c r="P701" s="6">
        <f t="shared" ref="P701:Q701" si="1404">COUNTIFS(L:L,L701)</f>
        <v>37</v>
      </c>
      <c r="Q701" s="24">
        <f t="shared" si="1404"/>
        <v>2</v>
      </c>
      <c r="R701" s="6" t="str">
        <f t="shared" si="6"/>
        <v>Chemicals</v>
      </c>
      <c r="S701" s="6" t="str">
        <f t="shared" si="7"/>
        <v>Chemicals</v>
      </c>
      <c r="T701" s="6">
        <f>IFERROR(__xludf.DUMMYFUNCTION("COUNTA(UNIQUE(query($A$2:$P$800,""select L where K='""&amp; K701&amp;""'"")))"),2.0)</f>
        <v>2</v>
      </c>
      <c r="U701" s="23">
        <f t="shared" si="8"/>
        <v>0.05769230769</v>
      </c>
      <c r="V701" s="23">
        <f t="shared" ref="V701:W701" si="1405">P701/O701</f>
        <v>0.7115384615</v>
      </c>
      <c r="W701" s="23">
        <f t="shared" si="1405"/>
        <v>0.05405405405</v>
      </c>
    </row>
    <row r="702">
      <c r="A702" s="6">
        <f>IFERROR(__xludf.DUMMYFUNCTION("""COMPUTED_VALUE"""),500171.0)</f>
        <v>500171</v>
      </c>
      <c r="B702" s="6" t="str">
        <f>IFERROR(__xludf.DUMMYFUNCTION("""COMPUTED_VALUE"""),"GHCL Ltd.")</f>
        <v>GHCL Ltd.</v>
      </c>
      <c r="C702" s="6" t="str">
        <f>IFERROR(__xludf.DUMMYFUNCTION("""COMPUTED_VALUE"""),"GHCL")</f>
        <v>GHCL</v>
      </c>
      <c r="D702" s="6" t="str">
        <f>IFERROR(__xludf.DUMMYFUNCTION("""COMPUTED_VALUE"""),"GHCL LTD.")</f>
        <v>GHCL LTD.</v>
      </c>
      <c r="E702" s="6" t="str">
        <f>IFERROR(__xludf.DUMMYFUNCTION("""COMPUTED_VALUE"""),"Active")</f>
        <v>Active</v>
      </c>
      <c r="F702" s="6" t="str">
        <f>IFERROR(__xludf.DUMMYFUNCTION("""COMPUTED_VALUE"""),"A")</f>
        <v>A</v>
      </c>
      <c r="G702" s="6">
        <f>IFERROR(__xludf.DUMMYFUNCTION("""COMPUTED_VALUE"""),10.0)</f>
        <v>10</v>
      </c>
      <c r="H702" s="6" t="str">
        <f>IFERROR(__xludf.DUMMYFUNCTION("""COMPUTED_VALUE"""),"INE539A01019")</f>
        <v>INE539A01019</v>
      </c>
      <c r="I702" s="6" t="str">
        <f>IFERROR(__xludf.DUMMYFUNCTION("""COMPUTED_VALUE"""),"Equity")</f>
        <v>Equity</v>
      </c>
      <c r="J702" s="6" t="str">
        <f>IFERROR(__xludf.DUMMYFUNCTION("""COMPUTED_VALUE"""),"Commodities")</f>
        <v>Commodities</v>
      </c>
      <c r="K702" s="6" t="str">
        <f>IFERROR(__xludf.DUMMYFUNCTION("""COMPUTED_VALUE"""),"Chemicals")</f>
        <v>Chemicals</v>
      </c>
      <c r="L702" s="6" t="str">
        <f>IFERROR(__xludf.DUMMYFUNCTION("""COMPUTED_VALUE"""),"Chemicals &amp; Petrochemicals")</f>
        <v>Chemicals &amp; Petrochemicals</v>
      </c>
      <c r="M702" s="6" t="str">
        <f>IFERROR(__xludf.DUMMYFUNCTION("""COMPUTED_VALUE"""),"Commodity Chemicals")</f>
        <v>Commodity Chemicals</v>
      </c>
      <c r="N702" s="5">
        <f>IFERROR(__xludf.DUMMYFUNCTION("""COMPUTED_VALUE"""),5470.7231383)</f>
        <v>5470.723138</v>
      </c>
      <c r="O702" s="6">
        <f t="shared" si="4"/>
        <v>52</v>
      </c>
      <c r="P702" s="6">
        <f t="shared" ref="P702:Q702" si="1406">COUNTIFS(L:L,L702)</f>
        <v>37</v>
      </c>
      <c r="Q702" s="24">
        <f t="shared" si="1406"/>
        <v>6</v>
      </c>
      <c r="R702" s="6" t="str">
        <f t="shared" si="6"/>
        <v>Chemicals</v>
      </c>
      <c r="S702" s="6" t="str">
        <f t="shared" si="7"/>
        <v>Chemicals</v>
      </c>
      <c r="T702" s="6">
        <f>IFERROR(__xludf.DUMMYFUNCTION("COUNTA(UNIQUE(query($A$2:$P$800,""select L where K='""&amp; K702&amp;""'"")))"),2.0)</f>
        <v>2</v>
      </c>
      <c r="U702" s="23">
        <f t="shared" si="8"/>
        <v>0.05769230769</v>
      </c>
      <c r="V702" s="23">
        <f t="shared" ref="V702:W702" si="1407">P702/O702</f>
        <v>0.7115384615</v>
      </c>
      <c r="W702" s="23">
        <f t="shared" si="1407"/>
        <v>0.1621621622</v>
      </c>
    </row>
    <row r="703">
      <c r="A703" s="6">
        <f>IFERROR(__xludf.DUMMYFUNCTION("""COMPUTED_VALUE"""),543242.0)</f>
        <v>543242</v>
      </c>
      <c r="B703" s="6" t="str">
        <f>IFERROR(__xludf.DUMMYFUNCTION("""COMPUTED_VALUE"""),"Hemisphere Properties India Limited")</f>
        <v>Hemisphere Properties India Limited</v>
      </c>
      <c r="C703" s="6" t="str">
        <f>IFERROR(__xludf.DUMMYFUNCTION("""COMPUTED_VALUE"""),"HEMIPROP")</f>
        <v>HEMIPROP</v>
      </c>
      <c r="D703" s="6" t="str">
        <f>IFERROR(__xludf.DUMMYFUNCTION("""COMPUTED_VALUE"""),"Hemisphere Properties India Ltd")</f>
        <v>Hemisphere Properties India Ltd</v>
      </c>
      <c r="E703" s="6" t="str">
        <f>IFERROR(__xludf.DUMMYFUNCTION("""COMPUTED_VALUE"""),"Active")</f>
        <v>Active</v>
      </c>
      <c r="F703" s="6" t="str">
        <f>IFERROR(__xludf.DUMMYFUNCTION("""COMPUTED_VALUE"""),"B")</f>
        <v>B</v>
      </c>
      <c r="G703" s="6">
        <f>IFERROR(__xludf.DUMMYFUNCTION("""COMPUTED_VALUE"""),10.0)</f>
        <v>10</v>
      </c>
      <c r="H703" s="6" t="str">
        <f>IFERROR(__xludf.DUMMYFUNCTION("""COMPUTED_VALUE"""),"INE0AJG01018")</f>
        <v>INE0AJG01018</v>
      </c>
      <c r="I703" s="6" t="str">
        <f>IFERROR(__xludf.DUMMYFUNCTION("""COMPUTED_VALUE"""),"Equity")</f>
        <v>Equity</v>
      </c>
      <c r="J703" s="6" t="str">
        <f>IFERROR(__xludf.DUMMYFUNCTION("""COMPUTED_VALUE"""),"Services")</f>
        <v>Services</v>
      </c>
      <c r="K703" s="6" t="str">
        <f>IFERROR(__xludf.DUMMYFUNCTION("""COMPUTED_VALUE"""),"Services")</f>
        <v>Services</v>
      </c>
      <c r="L703" s="6" t="str">
        <f>IFERROR(__xludf.DUMMYFUNCTION("""COMPUTED_VALUE"""),"Commercial Services &amp; Supplies")</f>
        <v>Commercial Services &amp; Supplies</v>
      </c>
      <c r="M703" s="6" t="str">
        <f>IFERROR(__xludf.DUMMYFUNCTION("""COMPUTED_VALUE"""),"Diversified Commercial Services")</f>
        <v>Diversified Commercial Services</v>
      </c>
      <c r="N703" s="5">
        <f>IFERROR(__xludf.DUMMYFUNCTION("""COMPUTED_VALUE"""),5445.3753189)</f>
        <v>5445.375319</v>
      </c>
      <c r="O703" s="6">
        <f t="shared" si="4"/>
        <v>27</v>
      </c>
      <c r="P703" s="6">
        <f t="shared" ref="P703:Q703" si="1408">COUNTIFS(L:L,L703)</f>
        <v>11</v>
      </c>
      <c r="Q703" s="24">
        <f t="shared" si="1408"/>
        <v>6</v>
      </c>
      <c r="R703" s="6" t="str">
        <f t="shared" si="6"/>
        <v>Services</v>
      </c>
      <c r="S703" s="6" t="str">
        <f t="shared" si="7"/>
        <v>Services</v>
      </c>
      <c r="T703" s="6">
        <f>IFERROR(__xludf.DUMMYFUNCTION("COUNTA(UNIQUE(query($A$2:$P$800,""select L where K='""&amp; K703&amp;""'"")))"),3.0)</f>
        <v>3</v>
      </c>
      <c r="U703" s="23">
        <f t="shared" si="8"/>
        <v>0.1666666667</v>
      </c>
      <c r="V703" s="23">
        <f t="shared" ref="V703:W703" si="1409">P703/O703</f>
        <v>0.4074074074</v>
      </c>
      <c r="W703" s="23">
        <f t="shared" si="1409"/>
        <v>0.5454545455</v>
      </c>
    </row>
    <row r="704">
      <c r="A704" s="6">
        <f>IFERROR(__xludf.DUMMYFUNCTION("""COMPUTED_VALUE"""),523398.0)</f>
        <v>523398</v>
      </c>
      <c r="B704" s="6" t="str">
        <f>IFERROR(__xludf.DUMMYFUNCTION("""COMPUTED_VALUE"""),"Johnson Controls-Hitachi Air Conditioning India Ltd.")</f>
        <v>Johnson Controls-Hitachi Air Conditioning India Ltd.</v>
      </c>
      <c r="C704" s="6" t="str">
        <f>IFERROR(__xludf.DUMMYFUNCTION("""COMPUTED_VALUE"""),"JCHAC")</f>
        <v>JCHAC</v>
      </c>
      <c r="D704" s="6" t="str">
        <f>IFERROR(__xludf.DUMMYFUNCTION("""COMPUTED_VALUE"""),"Johnson Controls-Hitachi Air Conditioning India Ltd")</f>
        <v>Johnson Controls-Hitachi Air Conditioning India Ltd</v>
      </c>
      <c r="E704" s="6" t="str">
        <f>IFERROR(__xludf.DUMMYFUNCTION("""COMPUTED_VALUE"""),"Active")</f>
        <v>Active</v>
      </c>
      <c r="F704" s="6" t="str">
        <f>IFERROR(__xludf.DUMMYFUNCTION("""COMPUTED_VALUE"""),"B")</f>
        <v>B</v>
      </c>
      <c r="G704" s="6">
        <f>IFERROR(__xludf.DUMMYFUNCTION("""COMPUTED_VALUE"""),10.0)</f>
        <v>10</v>
      </c>
      <c r="H704" s="6" t="str">
        <f>IFERROR(__xludf.DUMMYFUNCTION("""COMPUTED_VALUE"""),"INE782A01015")</f>
        <v>INE782A01015</v>
      </c>
      <c r="I704" s="6" t="str">
        <f>IFERROR(__xludf.DUMMYFUNCTION("""COMPUTED_VALUE"""),"Equity")</f>
        <v>Equity</v>
      </c>
      <c r="J704" s="6" t="str">
        <f>IFERROR(__xludf.DUMMYFUNCTION("""COMPUTED_VALUE"""),"Consumer Discretionary")</f>
        <v>Consumer Discretionary</v>
      </c>
      <c r="K704" s="6" t="str">
        <f>IFERROR(__xludf.DUMMYFUNCTION("""COMPUTED_VALUE"""),"Consumer Durables")</f>
        <v>Consumer Durables</v>
      </c>
      <c r="L704" s="6" t="str">
        <f>IFERROR(__xludf.DUMMYFUNCTION("""COMPUTED_VALUE"""),"Consumer Durables")</f>
        <v>Consumer Durables</v>
      </c>
      <c r="M704" s="6" t="str">
        <f>IFERROR(__xludf.DUMMYFUNCTION("""COMPUTED_VALUE"""),"Household Appliances")</f>
        <v>Household Appliances</v>
      </c>
      <c r="N704" s="5">
        <f>IFERROR(__xludf.DUMMYFUNCTION("""COMPUTED_VALUE"""),5435.94645)</f>
        <v>5435.94645</v>
      </c>
      <c r="O704" s="6">
        <f t="shared" si="4"/>
        <v>42</v>
      </c>
      <c r="P704" s="6">
        <f t="shared" ref="P704:Q704" si="1410">COUNTIFS(L:L,L704)</f>
        <v>42</v>
      </c>
      <c r="Q704" s="24">
        <f t="shared" si="1410"/>
        <v>13</v>
      </c>
      <c r="R704" s="6" t="str">
        <f t="shared" si="6"/>
        <v>Consumer Durables</v>
      </c>
      <c r="S704" s="6" t="str">
        <f t="shared" si="7"/>
        <v>Consumer Durables</v>
      </c>
      <c r="T704" s="6">
        <f>IFERROR(__xludf.DUMMYFUNCTION("COUNTA(UNIQUE(query($A$2:$P$800,""select L where K='""&amp; K704&amp;""'"")))"),1.0)</f>
        <v>1</v>
      </c>
      <c r="U704" s="23">
        <f t="shared" si="8"/>
        <v>0.03571428571</v>
      </c>
      <c r="V704" s="23">
        <f t="shared" ref="V704:W704" si="1411">P704/O704</f>
        <v>1</v>
      </c>
      <c r="W704" s="23">
        <f t="shared" si="1411"/>
        <v>0.3095238095</v>
      </c>
    </row>
    <row r="705">
      <c r="A705" s="6">
        <f>IFERROR(__xludf.DUMMYFUNCTION("""COMPUTED_VALUE"""),532407.0)</f>
        <v>532407</v>
      </c>
      <c r="B705" s="6" t="str">
        <f>IFERROR(__xludf.DUMMYFUNCTION("""COMPUTED_VALUE"""),"MOSCHIP TECHNOLOGIES LIMITED")</f>
        <v>MOSCHIP TECHNOLOGIES LIMITED</v>
      </c>
      <c r="C705" s="6" t="str">
        <f>IFERROR(__xludf.DUMMYFUNCTION("""COMPUTED_VALUE"""),"MOSCHIP")</f>
        <v>MOSCHIP</v>
      </c>
      <c r="D705" s="6" t="str">
        <f>IFERROR(__xludf.DUMMYFUNCTION("""COMPUTED_VALUE"""),"Moschip Technologies Ltd")</f>
        <v>Moschip Technologies Ltd</v>
      </c>
      <c r="E705" s="6" t="str">
        <f>IFERROR(__xludf.DUMMYFUNCTION("""COMPUTED_VALUE"""),"Active")</f>
        <v>Active</v>
      </c>
      <c r="F705" s="6" t="str">
        <f>IFERROR(__xludf.DUMMYFUNCTION("""COMPUTED_VALUE"""),"T")</f>
        <v>T</v>
      </c>
      <c r="G705" s="6">
        <f>IFERROR(__xludf.DUMMYFUNCTION("""COMPUTED_VALUE"""),2.0)</f>
        <v>2</v>
      </c>
      <c r="H705" s="6" t="str">
        <f>IFERROR(__xludf.DUMMYFUNCTION("""COMPUTED_VALUE"""),"INE935B01025")</f>
        <v>INE935B01025</v>
      </c>
      <c r="I705" s="6" t="str">
        <f>IFERROR(__xludf.DUMMYFUNCTION("""COMPUTED_VALUE"""),"Equity")</f>
        <v>Equity</v>
      </c>
      <c r="J705" s="6" t="str">
        <f>IFERROR(__xludf.DUMMYFUNCTION("""COMPUTED_VALUE"""),"Information Technology")</f>
        <v>Information Technology</v>
      </c>
      <c r="K705" s="6" t="str">
        <f>IFERROR(__xludf.DUMMYFUNCTION("""COMPUTED_VALUE"""),"Information Technology")</f>
        <v>Information Technology</v>
      </c>
      <c r="L705" s="6" t="str">
        <f>IFERROR(__xludf.DUMMYFUNCTION("""COMPUTED_VALUE"""),"IT - Software")</f>
        <v>IT - Software</v>
      </c>
      <c r="M705" s="6" t="str">
        <f>IFERROR(__xludf.DUMMYFUNCTION("""COMPUTED_VALUE"""),"Software Products")</f>
        <v>Software Products</v>
      </c>
      <c r="N705" s="5">
        <f>IFERROR(__xludf.DUMMYFUNCTION("""COMPUTED_VALUE"""),5380.877134)</f>
        <v>5380.877134</v>
      </c>
      <c r="O705" s="6">
        <f t="shared" si="4"/>
        <v>36</v>
      </c>
      <c r="P705" s="6">
        <f t="shared" ref="P705:Q705" si="1412">COUNTIFS(L:L,L705)</f>
        <v>27</v>
      </c>
      <c r="Q705" s="24">
        <f t="shared" si="1412"/>
        <v>5</v>
      </c>
      <c r="R705" s="6" t="str">
        <f t="shared" si="6"/>
        <v>Information Technology</v>
      </c>
      <c r="S705" s="6" t="str">
        <f t="shared" si="7"/>
        <v>Information Technology</v>
      </c>
      <c r="T705" s="6">
        <f>IFERROR(__xludf.DUMMYFUNCTION("COUNTA(UNIQUE(query($A$2:$P$800,""select L where K='""&amp; K705&amp;""'"")))"),3.0)</f>
        <v>3</v>
      </c>
      <c r="U705" s="23">
        <f t="shared" si="8"/>
        <v>0.125</v>
      </c>
      <c r="V705" s="23">
        <f t="shared" ref="V705:W705" si="1413">P705/O705</f>
        <v>0.75</v>
      </c>
      <c r="W705" s="23">
        <f t="shared" si="1413"/>
        <v>0.1851851852</v>
      </c>
    </row>
    <row r="706">
      <c r="A706" s="6">
        <f>IFERROR(__xludf.DUMMYFUNCTION("""COMPUTED_VALUE"""),540749.0)</f>
        <v>540749</v>
      </c>
      <c r="B706" s="6" t="str">
        <f>IFERROR(__xludf.DUMMYFUNCTION("""COMPUTED_VALUE"""),"MAS Financial Services Limited")</f>
        <v>MAS Financial Services Limited</v>
      </c>
      <c r="C706" s="6" t="str">
        <f>IFERROR(__xludf.DUMMYFUNCTION("""COMPUTED_VALUE"""),"MASFIN")</f>
        <v>MASFIN</v>
      </c>
      <c r="D706" s="6" t="str">
        <f>IFERROR(__xludf.DUMMYFUNCTION("""COMPUTED_VALUE"""),"MAS Financial Services Ltd")</f>
        <v>MAS Financial Services Ltd</v>
      </c>
      <c r="E706" s="6" t="str">
        <f>IFERROR(__xludf.DUMMYFUNCTION("""COMPUTED_VALUE"""),"Active")</f>
        <v>Active</v>
      </c>
      <c r="F706" s="6" t="str">
        <f>IFERROR(__xludf.DUMMYFUNCTION("""COMPUTED_VALUE"""),"A")</f>
        <v>A</v>
      </c>
      <c r="G706" s="6">
        <f>IFERROR(__xludf.DUMMYFUNCTION("""COMPUTED_VALUE"""),10.0)</f>
        <v>10</v>
      </c>
      <c r="H706" s="6" t="str">
        <f>IFERROR(__xludf.DUMMYFUNCTION("""COMPUTED_VALUE"""),"INE348L01012")</f>
        <v>INE348L01012</v>
      </c>
      <c r="I706" s="6" t="str">
        <f>IFERROR(__xludf.DUMMYFUNCTION("""COMPUTED_VALUE"""),"Equity")</f>
        <v>Equity</v>
      </c>
      <c r="J706" s="6" t="str">
        <f>IFERROR(__xludf.DUMMYFUNCTION("""COMPUTED_VALUE"""),"Financial Services")</f>
        <v>Financial Services</v>
      </c>
      <c r="K706" s="6" t="str">
        <f>IFERROR(__xludf.DUMMYFUNCTION("""COMPUTED_VALUE"""),"Financial Services")</f>
        <v>Financial Services</v>
      </c>
      <c r="L706" s="6" t="str">
        <f>IFERROR(__xludf.DUMMYFUNCTION("""COMPUTED_VALUE"""),"Finance")</f>
        <v>Finance</v>
      </c>
      <c r="M706" s="6" t="str">
        <f>IFERROR(__xludf.DUMMYFUNCTION("""COMPUTED_VALUE"""),"Non Banking Financial Company (NBFC)")</f>
        <v>Non Banking Financial Company (NBFC)</v>
      </c>
      <c r="N706" s="5">
        <f>IFERROR(__xludf.DUMMYFUNCTION("""COMPUTED_VALUE"""),5370.9854337)</f>
        <v>5370.985434</v>
      </c>
      <c r="O706" s="6">
        <f t="shared" si="4"/>
        <v>123</v>
      </c>
      <c r="P706" s="6">
        <f t="shared" ref="P706:Q706" si="1414">COUNTIFS(L:L,L706)</f>
        <v>56</v>
      </c>
      <c r="Q706" s="24">
        <f t="shared" si="1414"/>
        <v>21</v>
      </c>
      <c r="R706" s="6" t="str">
        <f t="shared" si="6"/>
        <v>Non Banking Financial Company (NBFC)</v>
      </c>
      <c r="S706" s="6" t="str">
        <f t="shared" si="7"/>
        <v>Non Banking Financial Company (NBFC)</v>
      </c>
      <c r="T706" s="6">
        <f>IFERROR(__xludf.DUMMYFUNCTION("COUNTA(UNIQUE(query($A$2:$P$800,""select L where K='""&amp; K706&amp;""'"")))"),5.0)</f>
        <v>5</v>
      </c>
      <c r="U706" s="23">
        <f t="shared" si="8"/>
        <v>0.06097560976</v>
      </c>
      <c r="V706" s="23">
        <f t="shared" ref="V706:W706" si="1415">P706/O706</f>
        <v>0.4552845528</v>
      </c>
      <c r="W706" s="23">
        <f t="shared" si="1415"/>
        <v>0.375</v>
      </c>
    </row>
    <row r="707">
      <c r="A707" s="6">
        <f>IFERROR(__xludf.DUMMYFUNCTION("""COMPUTED_VALUE"""),543401.0)</f>
        <v>543401</v>
      </c>
      <c r="B707" s="6" t="str">
        <f>IFERROR(__xludf.DUMMYFUNCTION("""COMPUTED_VALUE"""),"Go Fashion (India) Limited")</f>
        <v>Go Fashion (India) Limited</v>
      </c>
      <c r="C707" s="6" t="str">
        <f>IFERROR(__xludf.DUMMYFUNCTION("""COMPUTED_VALUE"""),"GOCOLORS")</f>
        <v>GOCOLORS</v>
      </c>
      <c r="D707" s="6" t="str">
        <f>IFERROR(__xludf.DUMMYFUNCTION("""COMPUTED_VALUE"""),"Go Fashion (India) Ltd")</f>
        <v>Go Fashion (India) Ltd</v>
      </c>
      <c r="E707" s="6" t="str">
        <f>IFERROR(__xludf.DUMMYFUNCTION("""COMPUTED_VALUE"""),"Active")</f>
        <v>Active</v>
      </c>
      <c r="F707" s="6" t="str">
        <f>IFERROR(__xludf.DUMMYFUNCTION("""COMPUTED_VALUE"""),"A")</f>
        <v>A</v>
      </c>
      <c r="G707" s="6">
        <f>IFERROR(__xludf.DUMMYFUNCTION("""COMPUTED_VALUE"""),10.0)</f>
        <v>10</v>
      </c>
      <c r="H707" s="6" t="str">
        <f>IFERROR(__xludf.DUMMYFUNCTION("""COMPUTED_VALUE"""),"INE0BJS01011")</f>
        <v>INE0BJS01011</v>
      </c>
      <c r="I707" s="6" t="str">
        <f>IFERROR(__xludf.DUMMYFUNCTION("""COMPUTED_VALUE"""),"Equity")</f>
        <v>Equity</v>
      </c>
      <c r="J707" s="6" t="str">
        <f>IFERROR(__xludf.DUMMYFUNCTION("""COMPUTED_VALUE"""),"Consumer Discretionary")</f>
        <v>Consumer Discretionary</v>
      </c>
      <c r="K707" s="6" t="str">
        <f>IFERROR(__xludf.DUMMYFUNCTION("""COMPUTED_VALUE"""),"Consumer Services")</f>
        <v>Consumer Services</v>
      </c>
      <c r="L707" s="6" t="str">
        <f>IFERROR(__xludf.DUMMYFUNCTION("""COMPUTED_VALUE"""),"Retailing")</f>
        <v>Retailing</v>
      </c>
      <c r="M707" s="6" t="str">
        <f>IFERROR(__xludf.DUMMYFUNCTION("""COMPUTED_VALUE"""),"Speciality Retail")</f>
        <v>Speciality Retail</v>
      </c>
      <c r="N707" s="5">
        <f>IFERROR(__xludf.DUMMYFUNCTION("""COMPUTED_VALUE"""),5351.9022815)</f>
        <v>5351.902282</v>
      </c>
      <c r="O707" s="6">
        <f t="shared" si="4"/>
        <v>37</v>
      </c>
      <c r="P707" s="6">
        <f t="shared" ref="P707:Q707" si="1416">COUNTIFS(L:L,L707)</f>
        <v>18</v>
      </c>
      <c r="Q707" s="24">
        <f t="shared" si="1416"/>
        <v>6</v>
      </c>
      <c r="R707" s="6" t="str">
        <f t="shared" si="6"/>
        <v>Retailing</v>
      </c>
      <c r="S707" s="6" t="str">
        <f t="shared" si="7"/>
        <v>Retailing</v>
      </c>
      <c r="T707" s="6">
        <f>IFERROR(__xludf.DUMMYFUNCTION("COUNTA(UNIQUE(query($A$2:$P$800,""select L where K='""&amp; K707&amp;""'"")))"),3.0)</f>
        <v>3</v>
      </c>
      <c r="U707" s="23">
        <f t="shared" si="8"/>
        <v>0.1216216216</v>
      </c>
      <c r="V707" s="23">
        <f t="shared" ref="V707:W707" si="1417">P707/O707</f>
        <v>0.4864864865</v>
      </c>
      <c r="W707" s="23">
        <f t="shared" si="1417"/>
        <v>0.3333333333</v>
      </c>
    </row>
    <row r="708">
      <c r="A708" s="6">
        <f>IFERROR(__xludf.DUMMYFUNCTION("""COMPUTED_VALUE"""),520057.0)</f>
        <v>520057</v>
      </c>
      <c r="B708" s="6" t="str">
        <f>IFERROR(__xludf.DUMMYFUNCTION("""COMPUTED_VALUE"""),"JTEKT India Limited")</f>
        <v>JTEKT India Limited</v>
      </c>
      <c r="C708" s="6" t="str">
        <f>IFERROR(__xludf.DUMMYFUNCTION("""COMPUTED_VALUE"""),"JTEKTINDIA")</f>
        <v>JTEKTINDIA</v>
      </c>
      <c r="D708" s="6" t="str">
        <f>IFERROR(__xludf.DUMMYFUNCTION("""COMPUTED_VALUE"""),"Jtekt India Ltd")</f>
        <v>Jtekt India Ltd</v>
      </c>
      <c r="E708" s="6" t="str">
        <f>IFERROR(__xludf.DUMMYFUNCTION("""COMPUTED_VALUE"""),"Active")</f>
        <v>Active</v>
      </c>
      <c r="F708" s="6" t="str">
        <f>IFERROR(__xludf.DUMMYFUNCTION("""COMPUTED_VALUE"""),"B")</f>
        <v>B</v>
      </c>
      <c r="G708" s="6">
        <f>IFERROR(__xludf.DUMMYFUNCTION("""COMPUTED_VALUE"""),1.0)</f>
        <v>1</v>
      </c>
      <c r="H708" s="6" t="str">
        <f>IFERROR(__xludf.DUMMYFUNCTION("""COMPUTED_VALUE"""),"INE643A01035")</f>
        <v>INE643A01035</v>
      </c>
      <c r="I708" s="6" t="str">
        <f>IFERROR(__xludf.DUMMYFUNCTION("""COMPUTED_VALUE"""),"Equity")</f>
        <v>Equity</v>
      </c>
      <c r="J708" s="6" t="str">
        <f>IFERROR(__xludf.DUMMYFUNCTION("""COMPUTED_VALUE"""),"Consumer Discretionary")</f>
        <v>Consumer Discretionary</v>
      </c>
      <c r="K708" s="6" t="str">
        <f>IFERROR(__xludf.DUMMYFUNCTION("""COMPUTED_VALUE"""),"Automobile and Auto Components")</f>
        <v>Automobile and Auto Components</v>
      </c>
      <c r="L708" s="6" t="str">
        <f>IFERROR(__xludf.DUMMYFUNCTION("""COMPUTED_VALUE"""),"Auto Components")</f>
        <v>Auto Components</v>
      </c>
      <c r="M708" s="6" t="str">
        <f>IFERROR(__xludf.DUMMYFUNCTION("""COMPUTED_VALUE"""),"Auto Components &amp; Equipments")</f>
        <v>Auto Components &amp; Equipments</v>
      </c>
      <c r="N708" s="5">
        <f>IFERROR(__xludf.DUMMYFUNCTION("""COMPUTED_VALUE"""),5342.2217485)</f>
        <v>5342.221749</v>
      </c>
      <c r="O708" s="6">
        <f t="shared" si="4"/>
        <v>47</v>
      </c>
      <c r="P708" s="6">
        <f t="shared" ref="P708:Q708" si="1418">COUNTIFS(L:L,L708)</f>
        <v>37</v>
      </c>
      <c r="Q708" s="24">
        <f t="shared" si="1418"/>
        <v>32</v>
      </c>
      <c r="R708" s="6" t="str">
        <f t="shared" si="6"/>
        <v>Automobile and Auto Components</v>
      </c>
      <c r="S708" s="6" t="str">
        <f t="shared" si="7"/>
        <v>Automobile and Auto Components</v>
      </c>
      <c r="T708" s="6">
        <f>IFERROR(__xludf.DUMMYFUNCTION("COUNTA(UNIQUE(query($A$2:$P$800,""select L where K='""&amp; K708&amp;""'"")))"),2.0)</f>
        <v>2</v>
      </c>
      <c r="U708" s="23">
        <f t="shared" si="8"/>
        <v>0.06382978723</v>
      </c>
      <c r="V708" s="23">
        <f t="shared" ref="V708:W708" si="1419">P708/O708</f>
        <v>0.7872340426</v>
      </c>
      <c r="W708" s="23">
        <f t="shared" si="1419"/>
        <v>0.8648648649</v>
      </c>
    </row>
    <row r="709">
      <c r="A709" s="6">
        <f>IFERROR(__xludf.DUMMYFUNCTION("""COMPUTED_VALUE"""),539787.0)</f>
        <v>539787</v>
      </c>
      <c r="B709" s="6" t="str">
        <f>IFERROR(__xludf.DUMMYFUNCTION("""COMPUTED_VALUE"""),"HealthCare Global Enterprises Limited")</f>
        <v>HealthCare Global Enterprises Limited</v>
      </c>
      <c r="C709" s="6" t="str">
        <f>IFERROR(__xludf.DUMMYFUNCTION("""COMPUTED_VALUE"""),"HCG")</f>
        <v>HCG</v>
      </c>
      <c r="D709" s="6" t="str">
        <f>IFERROR(__xludf.DUMMYFUNCTION("""COMPUTED_VALUE"""),"HealthCare Global Enterprises Ltd")</f>
        <v>HealthCare Global Enterprises Ltd</v>
      </c>
      <c r="E709" s="6" t="str">
        <f>IFERROR(__xludf.DUMMYFUNCTION("""COMPUTED_VALUE"""),"Active")</f>
        <v>Active</v>
      </c>
      <c r="F709" s="6" t="str">
        <f>IFERROR(__xludf.DUMMYFUNCTION("""COMPUTED_VALUE"""),"B")</f>
        <v>B</v>
      </c>
      <c r="G709" s="6">
        <f>IFERROR(__xludf.DUMMYFUNCTION("""COMPUTED_VALUE"""),10.0)</f>
        <v>10</v>
      </c>
      <c r="H709" s="6" t="str">
        <f>IFERROR(__xludf.DUMMYFUNCTION("""COMPUTED_VALUE"""),"INE075I01017")</f>
        <v>INE075I01017</v>
      </c>
      <c r="I709" s="6" t="str">
        <f>IFERROR(__xludf.DUMMYFUNCTION("""COMPUTED_VALUE"""),"Equity")</f>
        <v>Equity</v>
      </c>
      <c r="J709" s="6" t="str">
        <f>IFERROR(__xludf.DUMMYFUNCTION("""COMPUTED_VALUE"""),"Healthcare")</f>
        <v>Healthcare</v>
      </c>
      <c r="K709" s="6" t="str">
        <f>IFERROR(__xludf.DUMMYFUNCTION("""COMPUTED_VALUE"""),"Healthcare")</f>
        <v>Healthcare</v>
      </c>
      <c r="L709" s="6" t="str">
        <f>IFERROR(__xludf.DUMMYFUNCTION("""COMPUTED_VALUE"""),"Healthcare Services")</f>
        <v>Healthcare Services</v>
      </c>
      <c r="M709" s="6" t="str">
        <f>IFERROR(__xludf.DUMMYFUNCTION("""COMPUTED_VALUE"""),"Hospital")</f>
        <v>Hospital</v>
      </c>
      <c r="N709" s="5">
        <f>IFERROR(__xludf.DUMMYFUNCTION("""COMPUTED_VALUE"""),5326.7661886)</f>
        <v>5326.766189</v>
      </c>
      <c r="O709" s="6">
        <f t="shared" si="4"/>
        <v>62</v>
      </c>
      <c r="P709" s="6">
        <f t="shared" ref="P709:Q709" si="1420">COUNTIFS(L:L,L709)</f>
        <v>16</v>
      </c>
      <c r="Q709" s="24">
        <f t="shared" si="1420"/>
        <v>11</v>
      </c>
      <c r="R709" s="6" t="str">
        <f t="shared" si="6"/>
        <v>Healthcare Services</v>
      </c>
      <c r="S709" s="6" t="str">
        <f t="shared" si="7"/>
        <v>Healthcare Services</v>
      </c>
      <c r="T709" s="6">
        <f>IFERROR(__xludf.DUMMYFUNCTION("COUNTA(UNIQUE(query($A$2:$P$800,""select L where K='""&amp; K709&amp;""'"")))"),3.0)</f>
        <v>3</v>
      </c>
      <c r="U709" s="23">
        <f t="shared" si="8"/>
        <v>0.07258064516</v>
      </c>
      <c r="V709" s="23">
        <f t="shared" ref="V709:W709" si="1421">P709/O709</f>
        <v>0.2580645161</v>
      </c>
      <c r="W709" s="23">
        <f t="shared" si="1421"/>
        <v>0.6875</v>
      </c>
    </row>
    <row r="710">
      <c r="A710" s="6">
        <f>IFERROR(__xludf.DUMMYFUNCTION("""COMPUTED_VALUE"""),532375.0)</f>
        <v>532375</v>
      </c>
      <c r="B710" s="6" t="str">
        <f>IFERROR(__xludf.DUMMYFUNCTION("""COMPUTED_VALUE"""),"Tips Industries Limited")</f>
        <v>Tips Industries Limited</v>
      </c>
      <c r="C710" s="6" t="str">
        <f>IFERROR(__xludf.DUMMYFUNCTION("""COMPUTED_VALUE"""),"TIPSINDLTD")</f>
        <v>TIPSINDLTD</v>
      </c>
      <c r="D710" s="6" t="str">
        <f>IFERROR(__xludf.DUMMYFUNCTION("""COMPUTED_VALUE"""),"TIPS INDUSTRIES LTD.")</f>
        <v>TIPS INDUSTRIES LTD.</v>
      </c>
      <c r="E710" s="6" t="str">
        <f>IFERROR(__xludf.DUMMYFUNCTION("""COMPUTED_VALUE"""),"Active")</f>
        <v>Active</v>
      </c>
      <c r="F710" s="6" t="str">
        <f>IFERROR(__xludf.DUMMYFUNCTION("""COMPUTED_VALUE"""),"B")</f>
        <v>B</v>
      </c>
      <c r="G710" s="6">
        <f>IFERROR(__xludf.DUMMYFUNCTION("""COMPUTED_VALUE"""),1.0)</f>
        <v>1</v>
      </c>
      <c r="H710" s="6" t="str">
        <f>IFERROR(__xludf.DUMMYFUNCTION("""COMPUTED_VALUE"""),"INE716B01029")</f>
        <v>INE716B01029</v>
      </c>
      <c r="I710" s="6" t="str">
        <f>IFERROR(__xludf.DUMMYFUNCTION("""COMPUTED_VALUE"""),"Equity")</f>
        <v>Equity</v>
      </c>
      <c r="J710" s="6" t="str">
        <f>IFERROR(__xludf.DUMMYFUNCTION("""COMPUTED_VALUE"""),"Consumer Discretionary")</f>
        <v>Consumer Discretionary</v>
      </c>
      <c r="K710" s="6" t="str">
        <f>IFERROR(__xludf.DUMMYFUNCTION("""COMPUTED_VALUE"""),"Media, Entertainment &amp; Publication")</f>
        <v>Media, Entertainment &amp; Publication</v>
      </c>
      <c r="L710" s="6" t="str">
        <f>IFERROR(__xludf.DUMMYFUNCTION("""COMPUTED_VALUE"""),"Entertainment")</f>
        <v>Entertainment</v>
      </c>
      <c r="M710" s="6" t="str">
        <f>IFERROR(__xludf.DUMMYFUNCTION("""COMPUTED_VALUE"""),"Media &amp; Entertainment")</f>
        <v>Media &amp; Entertainment</v>
      </c>
      <c r="N710" s="5">
        <f>IFERROR(__xludf.DUMMYFUNCTION("""COMPUTED_VALUE"""),5308.3718501)</f>
        <v>5308.37185</v>
      </c>
      <c r="O710" s="6">
        <f t="shared" si="4"/>
        <v>9</v>
      </c>
      <c r="P710" s="6">
        <f t="shared" ref="P710:Q710" si="1422">COUNTIFS(L:L,L710)</f>
        <v>8</v>
      </c>
      <c r="Q710" s="24">
        <f t="shared" si="1422"/>
        <v>3</v>
      </c>
      <c r="R710" s="6" t="str">
        <f t="shared" si="6"/>
        <v>Media, Entertainment &amp; Publication</v>
      </c>
      <c r="S710" s="6" t="str">
        <f t="shared" si="7"/>
        <v>Media, Entertainment &amp; Publication</v>
      </c>
      <c r="T710" s="6">
        <f>IFERROR(__xludf.DUMMYFUNCTION("COUNTA(UNIQUE(query($A$2:$P$800,""select L where K='""&amp; K710&amp;""'"")))"),2.0)</f>
        <v>2</v>
      </c>
      <c r="U710" s="23">
        <f t="shared" si="8"/>
        <v>0.3333333333</v>
      </c>
      <c r="V710" s="23">
        <f t="shared" ref="V710:W710" si="1423">P710/O710</f>
        <v>0.8888888889</v>
      </c>
      <c r="W710" s="23">
        <f t="shared" si="1423"/>
        <v>0.375</v>
      </c>
    </row>
    <row r="711">
      <c r="A711" s="6">
        <f>IFERROR(__xludf.DUMMYFUNCTION("""COMPUTED_VALUE"""),543667.0)</f>
        <v>543667</v>
      </c>
      <c r="B711" s="6" t="str">
        <f>IFERROR(__xludf.DUMMYFUNCTION("""COMPUTED_VALUE"""),"INOX GREEN ENERGY SERVICES LIMITED")</f>
        <v>INOX GREEN ENERGY SERVICES LIMITED</v>
      </c>
      <c r="C711" s="6" t="str">
        <f>IFERROR(__xludf.DUMMYFUNCTION("""COMPUTED_VALUE"""),"INOXGREEN")</f>
        <v>INOXGREEN</v>
      </c>
      <c r="D711" s="6" t="str">
        <f>IFERROR(__xludf.DUMMYFUNCTION("""COMPUTED_VALUE"""),"Inox Green Energy Services Ltd")</f>
        <v>Inox Green Energy Services Ltd</v>
      </c>
      <c r="E711" s="6" t="str">
        <f>IFERROR(__xludf.DUMMYFUNCTION("""COMPUTED_VALUE"""),"Active")</f>
        <v>Active</v>
      </c>
      <c r="F711" s="6" t="str">
        <f>IFERROR(__xludf.DUMMYFUNCTION("""COMPUTED_VALUE"""),"B")</f>
        <v>B</v>
      </c>
      <c r="G711" s="6">
        <f>IFERROR(__xludf.DUMMYFUNCTION("""COMPUTED_VALUE"""),10.0)</f>
        <v>10</v>
      </c>
      <c r="H711" s="6" t="str">
        <f>IFERROR(__xludf.DUMMYFUNCTION("""COMPUTED_VALUE"""),"INE510W01014")</f>
        <v>INE510W01014</v>
      </c>
      <c r="I711" s="6" t="str">
        <f>IFERROR(__xludf.DUMMYFUNCTION("""COMPUTED_VALUE"""),"Equity")</f>
        <v>Equity</v>
      </c>
      <c r="J711" s="6" t="str">
        <f>IFERROR(__xludf.DUMMYFUNCTION("""COMPUTED_VALUE"""),"Utilities")</f>
        <v>Utilities</v>
      </c>
      <c r="K711" s="6" t="str">
        <f>IFERROR(__xludf.DUMMYFUNCTION("""COMPUTED_VALUE"""),"Utilities")</f>
        <v>Utilities</v>
      </c>
      <c r="L711" s="6" t="str">
        <f>IFERROR(__xludf.DUMMYFUNCTION("""COMPUTED_VALUE"""),"Other Utilities")</f>
        <v>Other Utilities</v>
      </c>
      <c r="M711" s="6" t="str">
        <f>IFERROR(__xludf.DUMMYFUNCTION("""COMPUTED_VALUE"""),"Other Utilities")</f>
        <v>Other Utilities</v>
      </c>
      <c r="N711" s="5">
        <f>IFERROR(__xludf.DUMMYFUNCTION("""COMPUTED_VALUE"""),5304.5612242)</f>
        <v>5304.561224</v>
      </c>
      <c r="O711" s="6">
        <f t="shared" si="4"/>
        <v>3</v>
      </c>
      <c r="P711" s="6">
        <f t="shared" ref="P711:Q711" si="1424">COUNTIFS(L:L,L711)</f>
        <v>3</v>
      </c>
      <c r="Q711" s="24">
        <f t="shared" si="1424"/>
        <v>1</v>
      </c>
      <c r="R711" s="6" t="str">
        <f t="shared" si="6"/>
        <v>Utilities</v>
      </c>
      <c r="S711" s="6" t="str">
        <f t="shared" si="7"/>
        <v>Misc.</v>
      </c>
      <c r="T711" s="6">
        <f>IFERROR(__xludf.DUMMYFUNCTION("COUNTA(UNIQUE(query($A$2:$P$800,""select L where K='""&amp; K711&amp;""'"")))"),1.0)</f>
        <v>1</v>
      </c>
      <c r="U711" s="23">
        <f t="shared" si="8"/>
        <v>0.5</v>
      </c>
      <c r="V711" s="23">
        <f t="shared" ref="V711:W711" si="1425">P711/O711</f>
        <v>1</v>
      </c>
      <c r="W711" s="23">
        <f t="shared" si="1425"/>
        <v>0.3333333333</v>
      </c>
    </row>
    <row r="712">
      <c r="A712" s="6">
        <f>IFERROR(__xludf.DUMMYFUNCTION("""COMPUTED_VALUE"""),531120.0)</f>
        <v>531120</v>
      </c>
      <c r="B712" s="6" t="str">
        <f>IFERROR(__xludf.DUMMYFUNCTION("""COMPUTED_VALUE"""),"Patel Engineering Ltd")</f>
        <v>Patel Engineering Ltd</v>
      </c>
      <c r="C712" s="6" t="str">
        <f>IFERROR(__xludf.DUMMYFUNCTION("""COMPUTED_VALUE"""),"PATELENG")</f>
        <v>PATELENG</v>
      </c>
      <c r="D712" s="6" t="str">
        <f>IFERROR(__xludf.DUMMYFUNCTION("""COMPUTED_VALUE"""),"PATEL ENGINEERING LTD.-$")</f>
        <v>PATEL ENGINEERING LTD.-$</v>
      </c>
      <c r="E712" s="6" t="str">
        <f>IFERROR(__xludf.DUMMYFUNCTION("""COMPUTED_VALUE"""),"Active")</f>
        <v>Active</v>
      </c>
      <c r="F712" s="6" t="str">
        <f>IFERROR(__xludf.DUMMYFUNCTION("""COMPUTED_VALUE"""),"A")</f>
        <v>A</v>
      </c>
      <c r="G712" s="6">
        <f>IFERROR(__xludf.DUMMYFUNCTION("""COMPUTED_VALUE"""),1.0)</f>
        <v>1</v>
      </c>
      <c r="H712" s="6" t="str">
        <f>IFERROR(__xludf.DUMMYFUNCTION("""COMPUTED_VALUE"""),"INE244B01030")</f>
        <v>INE244B01030</v>
      </c>
      <c r="I712" s="6" t="str">
        <f>IFERROR(__xludf.DUMMYFUNCTION("""COMPUTED_VALUE"""),"Equity")</f>
        <v>Equity</v>
      </c>
      <c r="J712" s="6" t="str">
        <f>IFERROR(__xludf.DUMMYFUNCTION("""COMPUTED_VALUE"""),"Industrials")</f>
        <v>Industrials</v>
      </c>
      <c r="K712" s="6" t="str">
        <f>IFERROR(__xludf.DUMMYFUNCTION("""COMPUTED_VALUE"""),"Construction")</f>
        <v>Construction</v>
      </c>
      <c r="L712" s="6" t="str">
        <f>IFERROR(__xludf.DUMMYFUNCTION("""COMPUTED_VALUE"""),"Construction")</f>
        <v>Construction</v>
      </c>
      <c r="M712" s="6" t="str">
        <f>IFERROR(__xludf.DUMMYFUNCTION("""COMPUTED_VALUE"""),"Civil Construction")</f>
        <v>Civil Construction</v>
      </c>
      <c r="N712" s="5">
        <f>IFERROR(__xludf.DUMMYFUNCTION("""COMPUTED_VALUE"""),5302.264444)</f>
        <v>5302.264444</v>
      </c>
      <c r="O712" s="6">
        <f t="shared" si="4"/>
        <v>27</v>
      </c>
      <c r="P712" s="6">
        <f t="shared" ref="P712:Q712" si="1426">COUNTIFS(L:L,L712)</f>
        <v>27</v>
      </c>
      <c r="Q712" s="24">
        <f t="shared" si="1426"/>
        <v>27</v>
      </c>
      <c r="R712" s="6" t="str">
        <f t="shared" si="6"/>
        <v>Construction</v>
      </c>
      <c r="S712" s="6" t="str">
        <f t="shared" si="7"/>
        <v>Construction</v>
      </c>
      <c r="T712" s="6">
        <f>IFERROR(__xludf.DUMMYFUNCTION("COUNTA(UNIQUE(query($A$2:$P$800,""select L where K='""&amp; K712&amp;""'"")))"),1.0)</f>
        <v>1</v>
      </c>
      <c r="U712" s="23">
        <f t="shared" si="8"/>
        <v>0.05555555556</v>
      </c>
      <c r="V712" s="23">
        <f t="shared" ref="V712:W712" si="1427">P712/O712</f>
        <v>1</v>
      </c>
      <c r="W712" s="23">
        <f t="shared" si="1427"/>
        <v>1</v>
      </c>
    </row>
    <row r="713">
      <c r="A713" s="6">
        <f>IFERROR(__xludf.DUMMYFUNCTION("""COMPUTED_VALUE"""),500032.0)</f>
        <v>500032</v>
      </c>
      <c r="B713" s="6" t="str">
        <f>IFERROR(__xludf.DUMMYFUNCTION("""COMPUTED_VALUE"""),"Bajaj Hindusthan Sugar Limited")</f>
        <v>Bajaj Hindusthan Sugar Limited</v>
      </c>
      <c r="C713" s="6" t="str">
        <f>IFERROR(__xludf.DUMMYFUNCTION("""COMPUTED_VALUE"""),"BAJAJHIND")</f>
        <v>BAJAJHIND</v>
      </c>
      <c r="D713" s="6" t="str">
        <f>IFERROR(__xludf.DUMMYFUNCTION("""COMPUTED_VALUE"""),"Bajaj Hindusthan Sugar Limited")</f>
        <v>Bajaj Hindusthan Sugar Limited</v>
      </c>
      <c r="E713" s="6" t="str">
        <f>IFERROR(__xludf.DUMMYFUNCTION("""COMPUTED_VALUE"""),"Active")</f>
        <v>Active</v>
      </c>
      <c r="F713" s="6" t="str">
        <f>IFERROR(__xludf.DUMMYFUNCTION("""COMPUTED_VALUE"""),"A")</f>
        <v>A</v>
      </c>
      <c r="G713" s="6">
        <f>IFERROR(__xludf.DUMMYFUNCTION("""COMPUTED_VALUE"""),1.0)</f>
        <v>1</v>
      </c>
      <c r="H713" s="6" t="str">
        <f>IFERROR(__xludf.DUMMYFUNCTION("""COMPUTED_VALUE"""),"INE306A01021")</f>
        <v>INE306A01021</v>
      </c>
      <c r="I713" s="6" t="str">
        <f>IFERROR(__xludf.DUMMYFUNCTION("""COMPUTED_VALUE"""),"Equity")</f>
        <v>Equity</v>
      </c>
      <c r="J713" s="6" t="str">
        <f>IFERROR(__xludf.DUMMYFUNCTION("""COMPUTED_VALUE"""),"Fast Moving Consumer Goods")</f>
        <v>Fast Moving Consumer Goods</v>
      </c>
      <c r="K713" s="6" t="str">
        <f>IFERROR(__xludf.DUMMYFUNCTION("""COMPUTED_VALUE"""),"Fast Moving Consumer Goods")</f>
        <v>Fast Moving Consumer Goods</v>
      </c>
      <c r="L713" s="6" t="str">
        <f>IFERROR(__xludf.DUMMYFUNCTION("""COMPUTED_VALUE"""),"Agricultural Food &amp; other Products")</f>
        <v>Agricultural Food &amp; other Products</v>
      </c>
      <c r="M713" s="6" t="str">
        <f>IFERROR(__xludf.DUMMYFUNCTION("""COMPUTED_VALUE"""),"Sugar")</f>
        <v>Sugar</v>
      </c>
      <c r="N713" s="5">
        <f>IFERROR(__xludf.DUMMYFUNCTION("""COMPUTED_VALUE"""),5251.3504289)</f>
        <v>5251.350429</v>
      </c>
      <c r="O713" s="6">
        <f t="shared" si="4"/>
        <v>44</v>
      </c>
      <c r="P713" s="6">
        <f t="shared" ref="P713:Q713" si="1428">COUNTIFS(L:L,L713)</f>
        <v>14</v>
      </c>
      <c r="Q713" s="24">
        <f t="shared" si="1428"/>
        <v>5</v>
      </c>
      <c r="R713" s="6" t="str">
        <f t="shared" si="6"/>
        <v>Fast Moving Consumer Goods</v>
      </c>
      <c r="S713" s="6" t="str">
        <f t="shared" si="7"/>
        <v>Fast Moving Consumer Goods</v>
      </c>
      <c r="T713" s="6">
        <f>IFERROR(__xludf.DUMMYFUNCTION("COUNTA(UNIQUE(query($A$2:$P$800,""select L where K='""&amp; K713&amp;""'"")))"),7.0)</f>
        <v>7</v>
      </c>
      <c r="U713" s="23">
        <f t="shared" si="8"/>
        <v>0.2386363636</v>
      </c>
      <c r="V713" s="23">
        <f t="shared" ref="V713:W713" si="1429">P713/O713</f>
        <v>0.3181818182</v>
      </c>
      <c r="W713" s="23">
        <f t="shared" si="1429"/>
        <v>0.3571428571</v>
      </c>
    </row>
    <row r="714">
      <c r="A714" s="6">
        <f>IFERROR(__xludf.DUMMYFUNCTION("""COMPUTED_VALUE"""),519552.0)</f>
        <v>519552</v>
      </c>
      <c r="B714" s="6" t="str">
        <f>IFERROR(__xludf.DUMMYFUNCTION("""COMPUTED_VALUE"""),"Heritage Foods Limited")</f>
        <v>Heritage Foods Limited</v>
      </c>
      <c r="C714" s="6" t="str">
        <f>IFERROR(__xludf.DUMMYFUNCTION("""COMPUTED_VALUE"""),"HERITGFOOD")</f>
        <v>HERITGFOOD</v>
      </c>
      <c r="D714" s="6" t="str">
        <f>IFERROR(__xludf.DUMMYFUNCTION("""COMPUTED_VALUE"""),"Heritage Foods Limited")</f>
        <v>Heritage Foods Limited</v>
      </c>
      <c r="E714" s="6" t="str">
        <f>IFERROR(__xludf.DUMMYFUNCTION("""COMPUTED_VALUE"""),"Active")</f>
        <v>Active</v>
      </c>
      <c r="F714" s="6" t="str">
        <f>IFERROR(__xludf.DUMMYFUNCTION("""COMPUTED_VALUE"""),"B")</f>
        <v>B</v>
      </c>
      <c r="G714" s="6">
        <f>IFERROR(__xludf.DUMMYFUNCTION("""COMPUTED_VALUE"""),5.0)</f>
        <v>5</v>
      </c>
      <c r="H714" s="6" t="str">
        <f>IFERROR(__xludf.DUMMYFUNCTION("""COMPUTED_VALUE"""),"INE978A01027")</f>
        <v>INE978A01027</v>
      </c>
      <c r="I714" s="6" t="str">
        <f>IFERROR(__xludf.DUMMYFUNCTION("""COMPUTED_VALUE"""),"Equity")</f>
        <v>Equity</v>
      </c>
      <c r="J714" s="6" t="str">
        <f>IFERROR(__xludf.DUMMYFUNCTION("""COMPUTED_VALUE"""),"Fast Moving Consumer Goods")</f>
        <v>Fast Moving Consumer Goods</v>
      </c>
      <c r="K714" s="6" t="str">
        <f>IFERROR(__xludf.DUMMYFUNCTION("""COMPUTED_VALUE"""),"Fast Moving Consumer Goods")</f>
        <v>Fast Moving Consumer Goods</v>
      </c>
      <c r="L714" s="6" t="str">
        <f>IFERROR(__xludf.DUMMYFUNCTION("""COMPUTED_VALUE"""),"Food Products")</f>
        <v>Food Products</v>
      </c>
      <c r="M714" s="6" t="str">
        <f>IFERROR(__xludf.DUMMYFUNCTION("""COMPUTED_VALUE"""),"Dairy Products")</f>
        <v>Dairy Products</v>
      </c>
      <c r="N714" s="5">
        <f>IFERROR(__xludf.DUMMYFUNCTION("""COMPUTED_VALUE"""),5225.8662664)</f>
        <v>5225.866266</v>
      </c>
      <c r="O714" s="6">
        <f t="shared" si="4"/>
        <v>44</v>
      </c>
      <c r="P714" s="6">
        <f t="shared" ref="P714:Q714" si="1430">COUNTIFS(L:L,L714)</f>
        <v>11</v>
      </c>
      <c r="Q714" s="24">
        <f t="shared" si="1430"/>
        <v>3</v>
      </c>
      <c r="R714" s="6" t="str">
        <f t="shared" si="6"/>
        <v>Fast Moving Consumer Goods</v>
      </c>
      <c r="S714" s="6" t="str">
        <f t="shared" si="7"/>
        <v>Fast Moving Consumer Goods</v>
      </c>
      <c r="T714" s="6">
        <f>IFERROR(__xludf.DUMMYFUNCTION("COUNTA(UNIQUE(query($A$2:$P$800,""select L where K='""&amp; K714&amp;""'"")))"),7.0)</f>
        <v>7</v>
      </c>
      <c r="U714" s="23">
        <f t="shared" si="8"/>
        <v>0.2386363636</v>
      </c>
      <c r="V714" s="23">
        <f t="shared" ref="V714:W714" si="1431">P714/O714</f>
        <v>0.25</v>
      </c>
      <c r="W714" s="23">
        <f t="shared" si="1431"/>
        <v>0.2727272727</v>
      </c>
    </row>
    <row r="715">
      <c r="A715" s="6">
        <f>IFERROR(__xludf.DUMMYFUNCTION("""COMPUTED_VALUE"""),538268.0)</f>
        <v>538268</v>
      </c>
      <c r="B715" s="6" t="str">
        <f>IFERROR(__xludf.DUMMYFUNCTION("""COMPUTED_VALUE"""),"Wonderla Holidays Limited")</f>
        <v>Wonderla Holidays Limited</v>
      </c>
      <c r="C715" s="6" t="str">
        <f>IFERROR(__xludf.DUMMYFUNCTION("""COMPUTED_VALUE"""),"WONDERLA")</f>
        <v>WONDERLA</v>
      </c>
      <c r="D715" s="6" t="str">
        <f>IFERROR(__xludf.DUMMYFUNCTION("""COMPUTED_VALUE"""),"Wonderla Holidays Ltd")</f>
        <v>Wonderla Holidays Ltd</v>
      </c>
      <c r="E715" s="6" t="str">
        <f>IFERROR(__xludf.DUMMYFUNCTION("""COMPUTED_VALUE"""),"Active")</f>
        <v>Active</v>
      </c>
      <c r="F715" s="6" t="str">
        <f>IFERROR(__xludf.DUMMYFUNCTION("""COMPUTED_VALUE"""),"A")</f>
        <v>A</v>
      </c>
      <c r="G715" s="6">
        <f>IFERROR(__xludf.DUMMYFUNCTION("""COMPUTED_VALUE"""),10.0)</f>
        <v>10</v>
      </c>
      <c r="H715" s="6" t="str">
        <f>IFERROR(__xludf.DUMMYFUNCTION("""COMPUTED_VALUE"""),"INE066O01014")</f>
        <v>INE066O01014</v>
      </c>
      <c r="I715" s="6" t="str">
        <f>IFERROR(__xludf.DUMMYFUNCTION("""COMPUTED_VALUE"""),"Equity")</f>
        <v>Equity</v>
      </c>
      <c r="J715" s="6" t="str">
        <f>IFERROR(__xludf.DUMMYFUNCTION("""COMPUTED_VALUE"""),"Consumer Discretionary")</f>
        <v>Consumer Discretionary</v>
      </c>
      <c r="K715" s="6" t="str">
        <f>IFERROR(__xludf.DUMMYFUNCTION("""COMPUTED_VALUE"""),"Consumer Services")</f>
        <v>Consumer Services</v>
      </c>
      <c r="L715" s="6" t="str">
        <f>IFERROR(__xludf.DUMMYFUNCTION("""COMPUTED_VALUE"""),"Leisure Services")</f>
        <v>Leisure Services</v>
      </c>
      <c r="M715" s="6" t="str">
        <f>IFERROR(__xludf.DUMMYFUNCTION("""COMPUTED_VALUE"""),"Amusement Parks/ Other Recreation")</f>
        <v>Amusement Parks/ Other Recreation</v>
      </c>
      <c r="N715" s="5">
        <f>IFERROR(__xludf.DUMMYFUNCTION("""COMPUTED_VALUE"""),5173.6396949)</f>
        <v>5173.639695</v>
      </c>
      <c r="O715" s="6">
        <f t="shared" si="4"/>
        <v>37</v>
      </c>
      <c r="P715" s="6">
        <f t="shared" ref="P715:Q715" si="1432">COUNTIFS(L:L,L715)</f>
        <v>18</v>
      </c>
      <c r="Q715" s="24">
        <f t="shared" si="1432"/>
        <v>1</v>
      </c>
      <c r="R715" s="6" t="str">
        <f t="shared" si="6"/>
        <v>Leisure Services</v>
      </c>
      <c r="S715" s="6" t="str">
        <f t="shared" si="7"/>
        <v>Leisure Services</v>
      </c>
      <c r="T715" s="6">
        <f>IFERROR(__xludf.DUMMYFUNCTION("COUNTA(UNIQUE(query($A$2:$P$800,""select L where K='""&amp; K715&amp;""'"")))"),3.0)</f>
        <v>3</v>
      </c>
      <c r="U715" s="23">
        <f t="shared" si="8"/>
        <v>0.1216216216</v>
      </c>
      <c r="V715" s="23">
        <f t="shared" ref="V715:W715" si="1433">P715/O715</f>
        <v>0.4864864865</v>
      </c>
      <c r="W715" s="23">
        <f t="shared" si="1433"/>
        <v>0.05555555556</v>
      </c>
    </row>
    <row r="716">
      <c r="A716" s="6">
        <f>IFERROR(__xludf.DUMMYFUNCTION("""COMPUTED_VALUE"""),543490.0)</f>
        <v>543490</v>
      </c>
      <c r="B716" s="6" t="str">
        <f>IFERROR(__xludf.DUMMYFUNCTION("""COMPUTED_VALUE"""),"GMR Power and Urban Infra Limited")</f>
        <v>GMR Power and Urban Infra Limited</v>
      </c>
      <c r="C716" s="6" t="str">
        <f>IFERROR(__xludf.DUMMYFUNCTION("""COMPUTED_VALUE"""),"GMRP&amp;UI")</f>
        <v>GMRP&amp;UI</v>
      </c>
      <c r="D716" s="6" t="str">
        <f>IFERROR(__xludf.DUMMYFUNCTION("""COMPUTED_VALUE"""),"GMR Power and Urban Infra Ltd")</f>
        <v>GMR Power and Urban Infra Ltd</v>
      </c>
      <c r="E716" s="6" t="str">
        <f>IFERROR(__xludf.DUMMYFUNCTION("""COMPUTED_VALUE"""),"Active")</f>
        <v>Active</v>
      </c>
      <c r="F716" s="6" t="str">
        <f>IFERROR(__xludf.DUMMYFUNCTION("""COMPUTED_VALUE"""),"B")</f>
        <v>B</v>
      </c>
      <c r="G716" s="6">
        <f>IFERROR(__xludf.DUMMYFUNCTION("""COMPUTED_VALUE"""),5.0)</f>
        <v>5</v>
      </c>
      <c r="H716" s="6" t="str">
        <f>IFERROR(__xludf.DUMMYFUNCTION("""COMPUTED_VALUE"""),"INE0CU601026")</f>
        <v>INE0CU601026</v>
      </c>
      <c r="I716" s="6" t="str">
        <f>IFERROR(__xludf.DUMMYFUNCTION("""COMPUTED_VALUE"""),"Equity")</f>
        <v>Equity</v>
      </c>
      <c r="J716" s="6" t="str">
        <f>IFERROR(__xludf.DUMMYFUNCTION("""COMPUTED_VALUE"""),"Utilities")</f>
        <v>Utilities</v>
      </c>
      <c r="K716" s="6" t="str">
        <f>IFERROR(__xludf.DUMMYFUNCTION("""COMPUTED_VALUE"""),"Power")</f>
        <v>Power</v>
      </c>
      <c r="L716" s="6" t="str">
        <f>IFERROR(__xludf.DUMMYFUNCTION("""COMPUTED_VALUE"""),"Power")</f>
        <v>Power</v>
      </c>
      <c r="M716" s="6" t="str">
        <f>IFERROR(__xludf.DUMMYFUNCTION("""COMPUTED_VALUE"""),"Power Generation")</f>
        <v>Power Generation</v>
      </c>
      <c r="N716" s="5">
        <f>IFERROR(__xludf.DUMMYFUNCTION("""COMPUTED_VALUE"""),5173.6191596)</f>
        <v>5173.61916</v>
      </c>
      <c r="O716" s="6">
        <f t="shared" si="4"/>
        <v>22</v>
      </c>
      <c r="P716" s="6">
        <f t="shared" ref="P716:Q716" si="1434">COUNTIFS(L:L,L716)</f>
        <v>22</v>
      </c>
      <c r="Q716" s="24">
        <f t="shared" si="1434"/>
        <v>13</v>
      </c>
      <c r="R716" s="6" t="str">
        <f t="shared" si="6"/>
        <v>Power</v>
      </c>
      <c r="S716" s="6" t="str">
        <f t="shared" si="7"/>
        <v>Power</v>
      </c>
      <c r="T716" s="6">
        <f>IFERROR(__xludf.DUMMYFUNCTION("COUNTA(UNIQUE(query($A$2:$P$800,""select L where K='""&amp; K716&amp;""'"")))"),1.0)</f>
        <v>1</v>
      </c>
      <c r="U716" s="23">
        <f t="shared" si="8"/>
        <v>0.06818181818</v>
      </c>
      <c r="V716" s="23">
        <f t="shared" ref="V716:W716" si="1435">P716/O716</f>
        <v>1</v>
      </c>
      <c r="W716" s="23">
        <f t="shared" si="1435"/>
        <v>0.5909090909</v>
      </c>
    </row>
    <row r="717">
      <c r="A717" s="6">
        <f>IFERROR(__xludf.DUMMYFUNCTION("""COMPUTED_VALUE"""),542759.0)</f>
        <v>542759</v>
      </c>
      <c r="B717" s="6" t="str">
        <f>IFERROR(__xludf.DUMMYFUNCTION("""COMPUTED_VALUE"""),"Spandana Sphoorty Financial Limited")</f>
        <v>Spandana Sphoorty Financial Limited</v>
      </c>
      <c r="C717" s="6" t="str">
        <f>IFERROR(__xludf.DUMMYFUNCTION("""COMPUTED_VALUE"""),"SPANDANA")</f>
        <v>SPANDANA</v>
      </c>
      <c r="D717" s="6" t="str">
        <f>IFERROR(__xludf.DUMMYFUNCTION("""COMPUTED_VALUE"""),"Spandana Sphoorty Financial Ltd")</f>
        <v>Spandana Sphoorty Financial Ltd</v>
      </c>
      <c r="E717" s="6" t="str">
        <f>IFERROR(__xludf.DUMMYFUNCTION("""COMPUTED_VALUE"""),"Active")</f>
        <v>Active</v>
      </c>
      <c r="F717" s="6" t="str">
        <f>IFERROR(__xludf.DUMMYFUNCTION("""COMPUTED_VALUE"""),"A")</f>
        <v>A</v>
      </c>
      <c r="G717" s="6">
        <f>IFERROR(__xludf.DUMMYFUNCTION("""COMPUTED_VALUE"""),10.0)</f>
        <v>10</v>
      </c>
      <c r="H717" s="6" t="str">
        <f>IFERROR(__xludf.DUMMYFUNCTION("""COMPUTED_VALUE"""),"INE572J01011")</f>
        <v>INE572J01011</v>
      </c>
      <c r="I717" s="6" t="str">
        <f>IFERROR(__xludf.DUMMYFUNCTION("""COMPUTED_VALUE"""),"Equity")</f>
        <v>Equity</v>
      </c>
      <c r="J717" s="6" t="str">
        <f>IFERROR(__xludf.DUMMYFUNCTION("""COMPUTED_VALUE"""),"Financial Services")</f>
        <v>Financial Services</v>
      </c>
      <c r="K717" s="6" t="str">
        <f>IFERROR(__xludf.DUMMYFUNCTION("""COMPUTED_VALUE"""),"Financial Services")</f>
        <v>Financial Services</v>
      </c>
      <c r="L717" s="6" t="str">
        <f>IFERROR(__xludf.DUMMYFUNCTION("""COMPUTED_VALUE"""),"Finance")</f>
        <v>Finance</v>
      </c>
      <c r="M717" s="6" t="str">
        <f>IFERROR(__xludf.DUMMYFUNCTION("""COMPUTED_VALUE"""),"Microfinance Institutions")</f>
        <v>Microfinance Institutions</v>
      </c>
      <c r="N717" s="5">
        <f>IFERROR(__xludf.DUMMYFUNCTION("""COMPUTED_VALUE"""),5087.9411091)</f>
        <v>5087.941109</v>
      </c>
      <c r="O717" s="6">
        <f t="shared" si="4"/>
        <v>123</v>
      </c>
      <c r="P717" s="6">
        <f t="shared" ref="P717:Q717" si="1436">COUNTIFS(L:L,L717)</f>
        <v>56</v>
      </c>
      <c r="Q717" s="24">
        <f t="shared" si="1436"/>
        <v>3</v>
      </c>
      <c r="R717" s="6" t="str">
        <f t="shared" si="6"/>
        <v>Finance</v>
      </c>
      <c r="S717" s="6" t="str">
        <f t="shared" si="7"/>
        <v>Finance</v>
      </c>
      <c r="T717" s="6">
        <f>IFERROR(__xludf.DUMMYFUNCTION("COUNTA(UNIQUE(query($A$2:$P$800,""select L where K='""&amp; K717&amp;""'"")))"),5.0)</f>
        <v>5</v>
      </c>
      <c r="U717" s="23">
        <f t="shared" si="8"/>
        <v>0.06097560976</v>
      </c>
      <c r="V717" s="23">
        <f t="shared" ref="V717:W717" si="1437">P717/O717</f>
        <v>0.4552845528</v>
      </c>
      <c r="W717" s="23">
        <f t="shared" si="1437"/>
        <v>0.05357142857</v>
      </c>
    </row>
    <row r="718">
      <c r="A718" s="6">
        <f>IFERROR(__xludf.DUMMYFUNCTION("""COMPUTED_VALUE"""),539118.0)</f>
        <v>539118</v>
      </c>
      <c r="B718" s="6" t="str">
        <f>IFERROR(__xludf.DUMMYFUNCTION("""COMPUTED_VALUE"""),"VRL Logistics Limited")</f>
        <v>VRL Logistics Limited</v>
      </c>
      <c r="C718" s="6" t="str">
        <f>IFERROR(__xludf.DUMMYFUNCTION("""COMPUTED_VALUE"""),"VRLLOG")</f>
        <v>VRLLOG</v>
      </c>
      <c r="D718" s="6" t="str">
        <f>IFERROR(__xludf.DUMMYFUNCTION("""COMPUTED_VALUE"""),"VRL Logistics Ltd")</f>
        <v>VRL Logistics Ltd</v>
      </c>
      <c r="E718" s="6" t="str">
        <f>IFERROR(__xludf.DUMMYFUNCTION("""COMPUTED_VALUE"""),"Active")</f>
        <v>Active</v>
      </c>
      <c r="F718" s="6" t="str">
        <f>IFERROR(__xludf.DUMMYFUNCTION("""COMPUTED_VALUE"""),"A")</f>
        <v>A</v>
      </c>
      <c r="G718" s="6">
        <f>IFERROR(__xludf.DUMMYFUNCTION("""COMPUTED_VALUE"""),10.0)</f>
        <v>10</v>
      </c>
      <c r="H718" s="6" t="str">
        <f>IFERROR(__xludf.DUMMYFUNCTION("""COMPUTED_VALUE"""),"INE366I01010")</f>
        <v>INE366I01010</v>
      </c>
      <c r="I718" s="6" t="str">
        <f>IFERROR(__xludf.DUMMYFUNCTION("""COMPUTED_VALUE"""),"Equity")</f>
        <v>Equity</v>
      </c>
      <c r="J718" s="6" t="str">
        <f>IFERROR(__xludf.DUMMYFUNCTION("""COMPUTED_VALUE"""),"Services")</f>
        <v>Services</v>
      </c>
      <c r="K718" s="6" t="str">
        <f>IFERROR(__xludf.DUMMYFUNCTION("""COMPUTED_VALUE"""),"Services")</f>
        <v>Services</v>
      </c>
      <c r="L718" s="6" t="str">
        <f>IFERROR(__xludf.DUMMYFUNCTION("""COMPUTED_VALUE"""),"Transport Services")</f>
        <v>Transport Services</v>
      </c>
      <c r="M718" s="6" t="str">
        <f>IFERROR(__xludf.DUMMYFUNCTION("""COMPUTED_VALUE"""),"Logistics Solution Provider")</f>
        <v>Logistics Solution Provider</v>
      </c>
      <c r="N718" s="5">
        <f>IFERROR(__xludf.DUMMYFUNCTION("""COMPUTED_VALUE"""),5077.2823128)</f>
        <v>5077.282313</v>
      </c>
      <c r="O718" s="6">
        <f t="shared" si="4"/>
        <v>27</v>
      </c>
      <c r="P718" s="6">
        <f t="shared" ref="P718:Q718" si="1438">COUNTIFS(L:L,L718)</f>
        <v>12</v>
      </c>
      <c r="Q718" s="24">
        <f t="shared" si="1438"/>
        <v>9</v>
      </c>
      <c r="R718" s="6" t="str">
        <f t="shared" si="6"/>
        <v>Services</v>
      </c>
      <c r="S718" s="6" t="str">
        <f t="shared" si="7"/>
        <v>Services</v>
      </c>
      <c r="T718" s="6">
        <f>IFERROR(__xludf.DUMMYFUNCTION("COUNTA(UNIQUE(query($A$2:$P$800,""select L where K='""&amp; K718&amp;""'"")))"),3.0)</f>
        <v>3</v>
      </c>
      <c r="U718" s="23">
        <f t="shared" si="8"/>
        <v>0.1666666667</v>
      </c>
      <c r="V718" s="23">
        <f t="shared" ref="V718:W718" si="1439">P718/O718</f>
        <v>0.4444444444</v>
      </c>
      <c r="W718" s="23">
        <f t="shared" si="1439"/>
        <v>0.75</v>
      </c>
    </row>
    <row r="719">
      <c r="A719" s="6">
        <f>IFERROR(__xludf.DUMMYFUNCTION("""COMPUTED_VALUE"""),543489.0)</f>
        <v>543489</v>
      </c>
      <c r="B719" s="6" t="str">
        <f>IFERROR(__xludf.DUMMYFUNCTION("""COMPUTED_VALUE"""),"Gateway Distriparks Limited")</f>
        <v>Gateway Distriparks Limited</v>
      </c>
      <c r="C719" s="6" t="str">
        <f>IFERROR(__xludf.DUMMYFUNCTION("""COMPUTED_VALUE"""),"GATEWAY")</f>
        <v>GATEWAY</v>
      </c>
      <c r="D719" s="6" t="str">
        <f>IFERROR(__xludf.DUMMYFUNCTION("""COMPUTED_VALUE"""),"Gateway Distriparks Ltd")</f>
        <v>Gateway Distriparks Ltd</v>
      </c>
      <c r="E719" s="6" t="str">
        <f>IFERROR(__xludf.DUMMYFUNCTION("""COMPUTED_VALUE"""),"Active")</f>
        <v>Active</v>
      </c>
      <c r="F719" s="6" t="str">
        <f>IFERROR(__xludf.DUMMYFUNCTION("""COMPUTED_VALUE"""),"A")</f>
        <v>A</v>
      </c>
      <c r="G719" s="6">
        <f>IFERROR(__xludf.DUMMYFUNCTION("""COMPUTED_VALUE"""),10.0)</f>
        <v>10</v>
      </c>
      <c r="H719" s="6" t="str">
        <f>IFERROR(__xludf.DUMMYFUNCTION("""COMPUTED_VALUE"""),"INE079J01017")</f>
        <v>INE079J01017</v>
      </c>
      <c r="I719" s="6" t="str">
        <f>IFERROR(__xludf.DUMMYFUNCTION("""COMPUTED_VALUE"""),"Equity")</f>
        <v>Equity</v>
      </c>
      <c r="J719" s="6" t="str">
        <f>IFERROR(__xludf.DUMMYFUNCTION("""COMPUTED_VALUE"""),"Services")</f>
        <v>Services</v>
      </c>
      <c r="K719" s="6" t="str">
        <f>IFERROR(__xludf.DUMMYFUNCTION("""COMPUTED_VALUE"""),"Services")</f>
        <v>Services</v>
      </c>
      <c r="L719" s="6" t="str">
        <f>IFERROR(__xludf.DUMMYFUNCTION("""COMPUTED_VALUE"""),"Transport Services")</f>
        <v>Transport Services</v>
      </c>
      <c r="M719" s="6" t="str">
        <f>IFERROR(__xludf.DUMMYFUNCTION("""COMPUTED_VALUE"""),"Logistics Solution Provider")</f>
        <v>Logistics Solution Provider</v>
      </c>
      <c r="N719" s="5">
        <f>IFERROR(__xludf.DUMMYFUNCTION("""COMPUTED_VALUE"""),5075.887829)</f>
        <v>5075.887829</v>
      </c>
      <c r="O719" s="6">
        <f t="shared" si="4"/>
        <v>27</v>
      </c>
      <c r="P719" s="6">
        <f t="shared" ref="P719:Q719" si="1440">COUNTIFS(L:L,L719)</f>
        <v>12</v>
      </c>
      <c r="Q719" s="24">
        <f t="shared" si="1440"/>
        <v>9</v>
      </c>
      <c r="R719" s="6" t="str">
        <f t="shared" si="6"/>
        <v>Services</v>
      </c>
      <c r="S719" s="6" t="str">
        <f t="shared" si="7"/>
        <v>Services</v>
      </c>
      <c r="T719" s="6">
        <f>IFERROR(__xludf.DUMMYFUNCTION("COUNTA(UNIQUE(query($A$2:$P$800,""select L where K='""&amp; K719&amp;""'"")))"),3.0)</f>
        <v>3</v>
      </c>
      <c r="U719" s="23">
        <f t="shared" si="8"/>
        <v>0.1666666667</v>
      </c>
      <c r="V719" s="23">
        <f t="shared" ref="V719:W719" si="1441">P719/O719</f>
        <v>0.4444444444</v>
      </c>
      <c r="W719" s="23">
        <f t="shared" si="1441"/>
        <v>0.75</v>
      </c>
    </row>
    <row r="720">
      <c r="A720" s="6">
        <f>IFERROR(__xludf.DUMMYFUNCTION("""COMPUTED_VALUE"""),532156.0)</f>
        <v>532156</v>
      </c>
      <c r="B720" s="6" t="str">
        <f>IFERROR(__xludf.DUMMYFUNCTION("""COMPUTED_VALUE"""),"Vaibhav Global Ltd")</f>
        <v>Vaibhav Global Ltd</v>
      </c>
      <c r="C720" s="6" t="str">
        <f>IFERROR(__xludf.DUMMYFUNCTION("""COMPUTED_VALUE"""),"VAIBHAVGBL")</f>
        <v>VAIBHAVGBL</v>
      </c>
      <c r="D720" s="6" t="str">
        <f>IFERROR(__xludf.DUMMYFUNCTION("""COMPUTED_VALUE"""),"Vaibhav Global Ltd")</f>
        <v>Vaibhav Global Ltd</v>
      </c>
      <c r="E720" s="6" t="str">
        <f>IFERROR(__xludf.DUMMYFUNCTION("""COMPUTED_VALUE"""),"Active")</f>
        <v>Active</v>
      </c>
      <c r="F720" s="6" t="str">
        <f>IFERROR(__xludf.DUMMYFUNCTION("""COMPUTED_VALUE"""),"A")</f>
        <v>A</v>
      </c>
      <c r="G720" s="6">
        <f>IFERROR(__xludf.DUMMYFUNCTION("""COMPUTED_VALUE"""),2.0)</f>
        <v>2</v>
      </c>
      <c r="H720" s="6" t="str">
        <f>IFERROR(__xludf.DUMMYFUNCTION("""COMPUTED_VALUE"""),"INE884A01027")</f>
        <v>INE884A01027</v>
      </c>
      <c r="I720" s="6" t="str">
        <f>IFERROR(__xludf.DUMMYFUNCTION("""COMPUTED_VALUE"""),"Equity")</f>
        <v>Equity</v>
      </c>
      <c r="J720" s="6" t="str">
        <f>IFERROR(__xludf.DUMMYFUNCTION("""COMPUTED_VALUE"""),"Consumer Discretionary")</f>
        <v>Consumer Discretionary</v>
      </c>
      <c r="K720" s="6" t="str">
        <f>IFERROR(__xludf.DUMMYFUNCTION("""COMPUTED_VALUE"""),"Consumer Durables")</f>
        <v>Consumer Durables</v>
      </c>
      <c r="L720" s="6" t="str">
        <f>IFERROR(__xludf.DUMMYFUNCTION("""COMPUTED_VALUE"""),"Consumer Durables")</f>
        <v>Consumer Durables</v>
      </c>
      <c r="M720" s="6" t="str">
        <f>IFERROR(__xludf.DUMMYFUNCTION("""COMPUTED_VALUE"""),"Gems, Jewellery And Watches")</f>
        <v>Gems, Jewellery And Watches</v>
      </c>
      <c r="N720" s="5">
        <f>IFERROR(__xludf.DUMMYFUNCTION("""COMPUTED_VALUE"""),5037.5397141)</f>
        <v>5037.539714</v>
      </c>
      <c r="O720" s="6">
        <f t="shared" si="4"/>
        <v>42</v>
      </c>
      <c r="P720" s="6">
        <f t="shared" ref="P720:Q720" si="1442">COUNTIFS(L:L,L720)</f>
        <v>42</v>
      </c>
      <c r="Q720" s="24">
        <f t="shared" si="1442"/>
        <v>7</v>
      </c>
      <c r="R720" s="6" t="str">
        <f t="shared" si="6"/>
        <v>Consumer Durables</v>
      </c>
      <c r="S720" s="6" t="str">
        <f t="shared" si="7"/>
        <v>Consumer Durables</v>
      </c>
      <c r="T720" s="6">
        <f>IFERROR(__xludf.DUMMYFUNCTION("COUNTA(UNIQUE(query($A$2:$P$800,""select L where K='""&amp; K720&amp;""'"")))"),1.0)</f>
        <v>1</v>
      </c>
      <c r="U720" s="23">
        <f t="shared" si="8"/>
        <v>0.03571428571</v>
      </c>
      <c r="V720" s="23">
        <f t="shared" ref="V720:W720" si="1443">P720/O720</f>
        <v>1</v>
      </c>
      <c r="W720" s="23">
        <f t="shared" si="1443"/>
        <v>0.1666666667</v>
      </c>
    </row>
    <row r="721">
      <c r="A721" s="6">
        <f>IFERROR(__xludf.DUMMYFUNCTION("""COMPUTED_VALUE"""),512329.0)</f>
        <v>512329</v>
      </c>
      <c r="B721" s="6" t="str">
        <f>IFERROR(__xludf.DUMMYFUNCTION("""COMPUTED_VALUE"""),"SG MART LIMITED")</f>
        <v>SG MART LIMITED</v>
      </c>
      <c r="C721" s="6" t="str">
        <f>IFERROR(__xludf.DUMMYFUNCTION("""COMPUTED_VALUE"""),"SGMART")</f>
        <v>SGMART</v>
      </c>
      <c r="D721" s="6" t="str">
        <f>IFERROR(__xludf.DUMMYFUNCTION("""COMPUTED_VALUE"""),"SG Mart Ltd")</f>
        <v>SG Mart Ltd</v>
      </c>
      <c r="E721" s="6" t="str">
        <f>IFERROR(__xludf.DUMMYFUNCTION("""COMPUTED_VALUE"""),"Active")</f>
        <v>Active</v>
      </c>
      <c r="F721" s="6" t="str">
        <f>IFERROR(__xludf.DUMMYFUNCTION("""COMPUTED_VALUE"""),"T")</f>
        <v>T</v>
      </c>
      <c r="G721" s="6">
        <f>IFERROR(__xludf.DUMMYFUNCTION("""COMPUTED_VALUE"""),1.0)</f>
        <v>1</v>
      </c>
      <c r="H721" s="6" t="str">
        <f>IFERROR(__xludf.DUMMYFUNCTION("""COMPUTED_VALUE"""),"INE385F01024")</f>
        <v>INE385F01024</v>
      </c>
      <c r="I721" s="6" t="str">
        <f>IFERROR(__xludf.DUMMYFUNCTION("""COMPUTED_VALUE"""),"Equity")</f>
        <v>Equity</v>
      </c>
      <c r="J721" s="6" t="str">
        <f>IFERROR(__xludf.DUMMYFUNCTION("""COMPUTED_VALUE"""),"Industrials")</f>
        <v>Industrials</v>
      </c>
      <c r="K721" s="6" t="str">
        <f>IFERROR(__xludf.DUMMYFUNCTION("""COMPUTED_VALUE"""),"Construction")</f>
        <v>Construction</v>
      </c>
      <c r="L721" s="6" t="str">
        <f>IFERROR(__xludf.DUMMYFUNCTION("""COMPUTED_VALUE"""),"Construction")</f>
        <v>Construction</v>
      </c>
      <c r="M721" s="6" t="str">
        <f>IFERROR(__xludf.DUMMYFUNCTION("""COMPUTED_VALUE"""),"Civil Construction")</f>
        <v>Civil Construction</v>
      </c>
      <c r="N721" s="5">
        <f>IFERROR(__xludf.DUMMYFUNCTION("""COMPUTED_VALUE"""),5017.627)</f>
        <v>5017.627</v>
      </c>
      <c r="O721" s="6">
        <f t="shared" si="4"/>
        <v>27</v>
      </c>
      <c r="P721" s="6">
        <f t="shared" ref="P721:Q721" si="1444">COUNTIFS(L:L,L721)</f>
        <v>27</v>
      </c>
      <c r="Q721" s="24">
        <f t="shared" si="1444"/>
        <v>27</v>
      </c>
      <c r="R721" s="6" t="str">
        <f t="shared" si="6"/>
        <v>Construction</v>
      </c>
      <c r="S721" s="6" t="str">
        <f t="shared" si="7"/>
        <v>Construction</v>
      </c>
      <c r="T721" s="6">
        <f>IFERROR(__xludf.DUMMYFUNCTION("COUNTA(UNIQUE(query($A$2:$P$800,""select L where K='""&amp; K721&amp;""'"")))"),1.0)</f>
        <v>1</v>
      </c>
      <c r="U721" s="23">
        <f t="shared" si="8"/>
        <v>0.05555555556</v>
      </c>
      <c r="V721" s="23">
        <f t="shared" ref="V721:W721" si="1445">P721/O721</f>
        <v>1</v>
      </c>
      <c r="W721" s="23">
        <f t="shared" si="1445"/>
        <v>1</v>
      </c>
    </row>
    <row r="722">
      <c r="A722" s="6">
        <f>IFERROR(__xludf.DUMMYFUNCTION("""COMPUTED_VALUE"""),570004.0)</f>
        <v>570004</v>
      </c>
      <c r="B722" s="6" t="str">
        <f>IFERROR(__xludf.DUMMYFUNCTION("""COMPUTED_VALUE"""),"Jain Irrigation Systems Ltd.")</f>
        <v>Jain Irrigation Systems Ltd.</v>
      </c>
      <c r="C722" s="6" t="str">
        <f>IFERROR(__xludf.DUMMYFUNCTION("""COMPUTED_VALUE"""),"JISLDVREQS")</f>
        <v>JISLDVREQS</v>
      </c>
      <c r="D722" s="6" t="str">
        <f>IFERROR(__xludf.DUMMYFUNCTION("""COMPUTED_VALUE"""),"JAIN IRRIGATION SYSTEMS LTD.")</f>
        <v>JAIN IRRIGATION SYSTEMS LTD.</v>
      </c>
      <c r="E722" s="6" t="str">
        <f>IFERROR(__xludf.DUMMYFUNCTION("""COMPUTED_VALUE"""),"Active")</f>
        <v>Active</v>
      </c>
      <c r="F722" s="6" t="str">
        <f>IFERROR(__xludf.DUMMYFUNCTION("""COMPUTED_VALUE"""),"B")</f>
        <v>B</v>
      </c>
      <c r="G722" s="6">
        <f>IFERROR(__xludf.DUMMYFUNCTION("""COMPUTED_VALUE"""),2.0)</f>
        <v>2</v>
      </c>
      <c r="H722" s="6" t="str">
        <f>IFERROR(__xludf.DUMMYFUNCTION("""COMPUTED_VALUE"""),"IN9175A01010")</f>
        <v>IN9175A01010</v>
      </c>
      <c r="I722" s="6" t="str">
        <f>IFERROR(__xludf.DUMMYFUNCTION("""COMPUTED_VALUE"""),"Equity")</f>
        <v>Equity</v>
      </c>
      <c r="J722" s="6" t="str">
        <f>IFERROR(__xludf.DUMMYFUNCTION("""COMPUTED_VALUE"""),"Industrials")</f>
        <v>Industrials</v>
      </c>
      <c r="K722" s="6" t="str">
        <f>IFERROR(__xludf.DUMMYFUNCTION("""COMPUTED_VALUE"""),"Capital Goods")</f>
        <v>Capital Goods</v>
      </c>
      <c r="L722" s="6" t="str">
        <f>IFERROR(__xludf.DUMMYFUNCTION("""COMPUTED_VALUE"""),"Industrial Products")</f>
        <v>Industrial Products</v>
      </c>
      <c r="M722" s="6" t="str">
        <f>IFERROR(__xludf.DUMMYFUNCTION("""COMPUTED_VALUE"""),"Plastic Products - Industrial")</f>
        <v>Plastic Products - Industrial</v>
      </c>
      <c r="N722" s="5">
        <f>IFERROR(__xludf.DUMMYFUNCTION("""COMPUTED_VALUE"""),5002.6694946)</f>
        <v>5002.669495</v>
      </c>
      <c r="O722" s="6">
        <f t="shared" si="4"/>
        <v>110</v>
      </c>
      <c r="P722" s="6">
        <f t="shared" ref="P722:Q722" si="1446">COUNTIFS(L:L,L722)</f>
        <v>51</v>
      </c>
      <c r="Q722" s="24">
        <f t="shared" si="1446"/>
        <v>9</v>
      </c>
      <c r="R722" s="6" t="str">
        <f t="shared" si="6"/>
        <v>Industrial Products</v>
      </c>
      <c r="S722" s="6" t="str">
        <f t="shared" si="7"/>
        <v>Industrial Products</v>
      </c>
      <c r="T722" s="6">
        <f>IFERROR(__xludf.DUMMYFUNCTION("COUNTA(UNIQUE(query($A$2:$P$800,""select L where K='""&amp; K722&amp;""'"")))"),5.0)</f>
        <v>5</v>
      </c>
      <c r="U722" s="23">
        <f t="shared" si="8"/>
        <v>0.06818181818</v>
      </c>
      <c r="V722" s="23">
        <f t="shared" ref="V722:W722" si="1447">P722/O722</f>
        <v>0.4636363636</v>
      </c>
      <c r="W722" s="23">
        <f t="shared" si="1447"/>
        <v>0.1764705882</v>
      </c>
    </row>
    <row r="723">
      <c r="A723" s="6">
        <f>IFERROR(__xludf.DUMMYFUNCTION("""COMPUTED_VALUE"""),500039.0)</f>
        <v>500039</v>
      </c>
      <c r="B723" s="6" t="str">
        <f>IFERROR(__xludf.DUMMYFUNCTION("""COMPUTED_VALUE"""),"Banco Products (India) Ltd.")</f>
        <v>Banco Products (India) Ltd.</v>
      </c>
      <c r="C723" s="6" t="str">
        <f>IFERROR(__xludf.DUMMYFUNCTION("""COMPUTED_VALUE"""),"BANCOINDIA")</f>
        <v>BANCOINDIA</v>
      </c>
      <c r="D723" s="6" t="str">
        <f>IFERROR(__xludf.DUMMYFUNCTION("""COMPUTED_VALUE"""),"BANCO PRODUCTS (INDIA) LTD.-$")</f>
        <v>BANCO PRODUCTS (INDIA) LTD.-$</v>
      </c>
      <c r="E723" s="6" t="str">
        <f>IFERROR(__xludf.DUMMYFUNCTION("""COMPUTED_VALUE"""),"Active")</f>
        <v>Active</v>
      </c>
      <c r="F723" s="6" t="str">
        <f>IFERROR(__xludf.DUMMYFUNCTION("""COMPUTED_VALUE"""),"B")</f>
        <v>B</v>
      </c>
      <c r="G723" s="6">
        <f>IFERROR(__xludf.DUMMYFUNCTION("""COMPUTED_VALUE"""),2.0)</f>
        <v>2</v>
      </c>
      <c r="H723" s="6" t="str">
        <f>IFERROR(__xludf.DUMMYFUNCTION("""COMPUTED_VALUE"""),"INE213C01025")</f>
        <v>INE213C01025</v>
      </c>
      <c r="I723" s="6" t="str">
        <f>IFERROR(__xludf.DUMMYFUNCTION("""COMPUTED_VALUE"""),"Equity")</f>
        <v>Equity</v>
      </c>
      <c r="J723" s="6" t="str">
        <f>IFERROR(__xludf.DUMMYFUNCTION("""COMPUTED_VALUE"""),"Consumer Discretionary")</f>
        <v>Consumer Discretionary</v>
      </c>
      <c r="K723" s="6" t="str">
        <f>IFERROR(__xludf.DUMMYFUNCTION("""COMPUTED_VALUE"""),"Automobile and Auto Components")</f>
        <v>Automobile and Auto Components</v>
      </c>
      <c r="L723" s="6" t="str">
        <f>IFERROR(__xludf.DUMMYFUNCTION("""COMPUTED_VALUE"""),"Auto Components")</f>
        <v>Auto Components</v>
      </c>
      <c r="M723" s="6" t="str">
        <f>IFERROR(__xludf.DUMMYFUNCTION("""COMPUTED_VALUE"""),"Auto Components &amp; Equipments")</f>
        <v>Auto Components &amp; Equipments</v>
      </c>
      <c r="N723" s="5">
        <f>IFERROR(__xludf.DUMMYFUNCTION("""COMPUTED_VALUE"""),4999.1450893)</f>
        <v>4999.145089</v>
      </c>
      <c r="O723" s="6">
        <f t="shared" si="4"/>
        <v>47</v>
      </c>
      <c r="P723" s="6">
        <f t="shared" ref="P723:Q723" si="1448">COUNTIFS(L:L,L723)</f>
        <v>37</v>
      </c>
      <c r="Q723" s="24">
        <f t="shared" si="1448"/>
        <v>32</v>
      </c>
      <c r="R723" s="6" t="str">
        <f t="shared" si="6"/>
        <v>Automobile and Auto Components</v>
      </c>
      <c r="S723" s="6" t="str">
        <f t="shared" si="7"/>
        <v>Automobile and Auto Components</v>
      </c>
      <c r="T723" s="6">
        <f>IFERROR(__xludf.DUMMYFUNCTION("COUNTA(UNIQUE(query($A$2:$P$800,""select L where K='""&amp; K723&amp;""'"")))"),2.0)</f>
        <v>2</v>
      </c>
      <c r="U723" s="23">
        <f t="shared" si="8"/>
        <v>0.06382978723</v>
      </c>
      <c r="V723" s="23">
        <f t="shared" ref="V723:W723" si="1449">P723/O723</f>
        <v>0.7872340426</v>
      </c>
      <c r="W723" s="23">
        <f t="shared" si="1449"/>
        <v>0.8648648649</v>
      </c>
    </row>
    <row r="724">
      <c r="A724" s="6">
        <f>IFERROR(__xludf.DUMMYFUNCTION("""COMPUTED_VALUE"""),500219.0)</f>
        <v>500219</v>
      </c>
      <c r="B724" s="6" t="str">
        <f>IFERROR(__xludf.DUMMYFUNCTION("""COMPUTED_VALUE"""),"Jain Irrigation Systems Ltd.")</f>
        <v>Jain Irrigation Systems Ltd.</v>
      </c>
      <c r="C724" s="6" t="str">
        <f>IFERROR(__xludf.DUMMYFUNCTION("""COMPUTED_VALUE"""),"JISLJALEQS")</f>
        <v>JISLJALEQS</v>
      </c>
      <c r="D724" s="6" t="str">
        <f>IFERROR(__xludf.DUMMYFUNCTION("""COMPUTED_VALUE"""),"JAIN IRRIGATION SYSTEMS LTD.")</f>
        <v>JAIN IRRIGATION SYSTEMS LTD.</v>
      </c>
      <c r="E724" s="6" t="str">
        <f>IFERROR(__xludf.DUMMYFUNCTION("""COMPUTED_VALUE"""),"Active")</f>
        <v>Active</v>
      </c>
      <c r="F724" s="6" t="str">
        <f>IFERROR(__xludf.DUMMYFUNCTION("""COMPUTED_VALUE"""),"A")</f>
        <v>A</v>
      </c>
      <c r="G724" s="6">
        <f>IFERROR(__xludf.DUMMYFUNCTION("""COMPUTED_VALUE"""),2.0)</f>
        <v>2</v>
      </c>
      <c r="H724" s="6" t="str">
        <f>IFERROR(__xludf.DUMMYFUNCTION("""COMPUTED_VALUE"""),"INE175A01038")</f>
        <v>INE175A01038</v>
      </c>
      <c r="I724" s="6" t="str">
        <f>IFERROR(__xludf.DUMMYFUNCTION("""COMPUTED_VALUE"""),"Equity")</f>
        <v>Equity</v>
      </c>
      <c r="J724" s="6" t="str">
        <f>IFERROR(__xludf.DUMMYFUNCTION("""COMPUTED_VALUE"""),"Industrials")</f>
        <v>Industrials</v>
      </c>
      <c r="K724" s="6" t="str">
        <f>IFERROR(__xludf.DUMMYFUNCTION("""COMPUTED_VALUE"""),"Capital Goods")</f>
        <v>Capital Goods</v>
      </c>
      <c r="L724" s="6" t="str">
        <f>IFERROR(__xludf.DUMMYFUNCTION("""COMPUTED_VALUE"""),"Industrial Products")</f>
        <v>Industrial Products</v>
      </c>
      <c r="M724" s="6" t="str">
        <f>IFERROR(__xludf.DUMMYFUNCTION("""COMPUTED_VALUE"""),"Plastic Products - Industrial")</f>
        <v>Plastic Products - Industrial</v>
      </c>
      <c r="N724" s="5">
        <f>IFERROR(__xludf.DUMMYFUNCTION("""COMPUTED_VALUE"""),4995.9455792)</f>
        <v>4995.945579</v>
      </c>
      <c r="O724" s="6">
        <f t="shared" si="4"/>
        <v>110</v>
      </c>
      <c r="P724" s="6">
        <f t="shared" ref="P724:Q724" si="1450">COUNTIFS(L:L,L724)</f>
        <v>51</v>
      </c>
      <c r="Q724" s="24">
        <f t="shared" si="1450"/>
        <v>9</v>
      </c>
      <c r="R724" s="6" t="str">
        <f t="shared" si="6"/>
        <v>Industrial Products</v>
      </c>
      <c r="S724" s="6" t="str">
        <f t="shared" si="7"/>
        <v>Industrial Products</v>
      </c>
      <c r="T724" s="6">
        <f>IFERROR(__xludf.DUMMYFUNCTION("COUNTA(UNIQUE(query($A$2:$P$800,""select L where K='""&amp; K724&amp;""'"")))"),5.0)</f>
        <v>5</v>
      </c>
      <c r="U724" s="23">
        <f t="shared" si="8"/>
        <v>0.06818181818</v>
      </c>
      <c r="V724" s="23">
        <f t="shared" ref="V724:W724" si="1451">P724/O724</f>
        <v>0.4636363636</v>
      </c>
      <c r="W724" s="23">
        <f t="shared" si="1451"/>
        <v>0.1764705882</v>
      </c>
    </row>
    <row r="725">
      <c r="A725" s="6">
        <f>IFERROR(__xludf.DUMMYFUNCTION("""COMPUTED_VALUE"""),543248.0)</f>
        <v>543248</v>
      </c>
      <c r="B725" s="6" t="str">
        <f>IFERROR(__xludf.DUMMYFUNCTION("""COMPUTED_VALUE"""),"Restaurant Brands Asia Limited")</f>
        <v>Restaurant Brands Asia Limited</v>
      </c>
      <c r="C725" s="6" t="str">
        <f>IFERROR(__xludf.DUMMYFUNCTION("""COMPUTED_VALUE"""),"RBA")</f>
        <v>RBA</v>
      </c>
      <c r="D725" s="6" t="str">
        <f>IFERROR(__xludf.DUMMYFUNCTION("""COMPUTED_VALUE"""),"Restaurant Brands Asia Ltd")</f>
        <v>Restaurant Brands Asia Ltd</v>
      </c>
      <c r="E725" s="6" t="str">
        <f>IFERROR(__xludf.DUMMYFUNCTION("""COMPUTED_VALUE"""),"Active")</f>
        <v>Active</v>
      </c>
      <c r="F725" s="6" t="str">
        <f>IFERROR(__xludf.DUMMYFUNCTION("""COMPUTED_VALUE"""),"A")</f>
        <v>A</v>
      </c>
      <c r="G725" s="6">
        <f>IFERROR(__xludf.DUMMYFUNCTION("""COMPUTED_VALUE"""),10.0)</f>
        <v>10</v>
      </c>
      <c r="H725" s="6" t="str">
        <f>IFERROR(__xludf.DUMMYFUNCTION("""COMPUTED_VALUE"""),"INE07T201019")</f>
        <v>INE07T201019</v>
      </c>
      <c r="I725" s="6" t="str">
        <f>IFERROR(__xludf.DUMMYFUNCTION("""COMPUTED_VALUE"""),"Equity")</f>
        <v>Equity</v>
      </c>
      <c r="J725" s="6" t="str">
        <f>IFERROR(__xludf.DUMMYFUNCTION("""COMPUTED_VALUE"""),"Consumer Discretionary")</f>
        <v>Consumer Discretionary</v>
      </c>
      <c r="K725" s="6" t="str">
        <f>IFERROR(__xludf.DUMMYFUNCTION("""COMPUTED_VALUE"""),"Consumer Services")</f>
        <v>Consumer Services</v>
      </c>
      <c r="L725" s="6" t="str">
        <f>IFERROR(__xludf.DUMMYFUNCTION("""COMPUTED_VALUE"""),"Leisure Services")</f>
        <v>Leisure Services</v>
      </c>
      <c r="M725" s="6" t="str">
        <f>IFERROR(__xludf.DUMMYFUNCTION("""COMPUTED_VALUE"""),"Restaurants")</f>
        <v>Restaurants</v>
      </c>
      <c r="N725" s="5">
        <f>IFERROR(__xludf.DUMMYFUNCTION("""COMPUTED_VALUE"""),4988.55717)</f>
        <v>4988.55717</v>
      </c>
      <c r="O725" s="6">
        <f t="shared" si="4"/>
        <v>37</v>
      </c>
      <c r="P725" s="6">
        <f t="shared" ref="P725:Q725" si="1452">COUNTIFS(L:L,L725)</f>
        <v>18</v>
      </c>
      <c r="Q725" s="24">
        <f t="shared" si="1452"/>
        <v>5</v>
      </c>
      <c r="R725" s="6" t="str">
        <f t="shared" si="6"/>
        <v>Leisure Services</v>
      </c>
      <c r="S725" s="6" t="str">
        <f t="shared" si="7"/>
        <v>Leisure Services</v>
      </c>
      <c r="T725" s="6">
        <f>IFERROR(__xludf.DUMMYFUNCTION("COUNTA(UNIQUE(query($A$2:$P$800,""select L where K='""&amp; K725&amp;""'"")))"),3.0)</f>
        <v>3</v>
      </c>
      <c r="U725" s="23">
        <f t="shared" si="8"/>
        <v>0.1216216216</v>
      </c>
      <c r="V725" s="23">
        <f t="shared" ref="V725:W725" si="1453">P725/O725</f>
        <v>0.4864864865</v>
      </c>
      <c r="W725" s="23">
        <f t="shared" si="1453"/>
        <v>0.2777777778</v>
      </c>
    </row>
    <row r="726">
      <c r="A726" s="6">
        <f>IFERROR(__xludf.DUMMYFUNCTION("""COMPUTED_VALUE"""),500292.0)</f>
        <v>500292</v>
      </c>
      <c r="B726" s="6" t="str">
        <f>IFERROR(__xludf.DUMMYFUNCTION("""COMPUTED_VALUE"""),"HeidelbergCement  India Limited")</f>
        <v>HeidelbergCement  India Limited</v>
      </c>
      <c r="C726" s="6" t="str">
        <f>IFERROR(__xludf.DUMMYFUNCTION("""COMPUTED_VALUE"""),"HEIDELBERG")</f>
        <v>HEIDELBERG</v>
      </c>
      <c r="D726" s="6" t="str">
        <f>IFERROR(__xludf.DUMMYFUNCTION("""COMPUTED_VALUE"""),"HEIDELBERGCEMENT INDIA LTD.")</f>
        <v>HEIDELBERGCEMENT INDIA LTD.</v>
      </c>
      <c r="E726" s="6" t="str">
        <f>IFERROR(__xludf.DUMMYFUNCTION("""COMPUTED_VALUE"""),"Active")</f>
        <v>Active</v>
      </c>
      <c r="F726" s="6" t="str">
        <f>IFERROR(__xludf.DUMMYFUNCTION("""COMPUTED_VALUE"""),"A")</f>
        <v>A</v>
      </c>
      <c r="G726" s="6">
        <f>IFERROR(__xludf.DUMMYFUNCTION("""COMPUTED_VALUE"""),10.0)</f>
        <v>10</v>
      </c>
      <c r="H726" s="6" t="str">
        <f>IFERROR(__xludf.DUMMYFUNCTION("""COMPUTED_VALUE"""),"INE578A01017")</f>
        <v>INE578A01017</v>
      </c>
      <c r="I726" s="6" t="str">
        <f>IFERROR(__xludf.DUMMYFUNCTION("""COMPUTED_VALUE"""),"Equity")</f>
        <v>Equity</v>
      </c>
      <c r="J726" s="6" t="str">
        <f>IFERROR(__xludf.DUMMYFUNCTION("""COMPUTED_VALUE"""),"Commodities")</f>
        <v>Commodities</v>
      </c>
      <c r="K726" s="6" t="str">
        <f>IFERROR(__xludf.DUMMYFUNCTION("""COMPUTED_VALUE"""),"Construction Materials")</f>
        <v>Construction Materials</v>
      </c>
      <c r="L726" s="6" t="str">
        <f>IFERROR(__xludf.DUMMYFUNCTION("""COMPUTED_VALUE"""),"Cement &amp; Cement Products")</f>
        <v>Cement &amp; Cement Products</v>
      </c>
      <c r="M726" s="6" t="str">
        <f>IFERROR(__xludf.DUMMYFUNCTION("""COMPUTED_VALUE"""),"Cement &amp; Cement Products")</f>
        <v>Cement &amp; Cement Products</v>
      </c>
      <c r="N726" s="5">
        <f>IFERROR(__xludf.DUMMYFUNCTION("""COMPUTED_VALUE"""),4969.7585286)</f>
        <v>4969.758529</v>
      </c>
      <c r="O726" s="6">
        <f t="shared" si="4"/>
        <v>17</v>
      </c>
      <c r="P726" s="6">
        <f t="shared" ref="P726:Q726" si="1454">COUNTIFS(L:L,L726)</f>
        <v>17</v>
      </c>
      <c r="Q726" s="24">
        <f t="shared" si="1454"/>
        <v>17</v>
      </c>
      <c r="R726" s="6" t="str">
        <f t="shared" si="6"/>
        <v>Construction Materials</v>
      </c>
      <c r="S726" s="6" t="str">
        <f t="shared" si="7"/>
        <v>Construction Materials</v>
      </c>
      <c r="T726" s="6">
        <f>IFERROR(__xludf.DUMMYFUNCTION("COUNTA(UNIQUE(query($A$2:$P$800,""select L where K='""&amp; K726&amp;""'"")))"),1.0)</f>
        <v>1</v>
      </c>
      <c r="U726" s="23">
        <f t="shared" si="8"/>
        <v>0.08823529412</v>
      </c>
      <c r="V726" s="23">
        <f t="shared" ref="V726:W726" si="1455">P726/O726</f>
        <v>1</v>
      </c>
      <c r="W726" s="23">
        <f t="shared" si="1455"/>
        <v>1</v>
      </c>
    </row>
    <row r="727">
      <c r="A727" s="6">
        <f>IFERROR(__xludf.DUMMYFUNCTION("""COMPUTED_VALUE"""),543600.0)</f>
        <v>543600</v>
      </c>
      <c r="B727" s="6" t="str">
        <f>IFERROR(__xludf.DUMMYFUNCTION("""COMPUTED_VALUE"""),"Harsha Engineers International Limited")</f>
        <v>Harsha Engineers International Limited</v>
      </c>
      <c r="C727" s="6" t="str">
        <f>IFERROR(__xludf.DUMMYFUNCTION("""COMPUTED_VALUE"""),"HARSHA")</f>
        <v>HARSHA</v>
      </c>
      <c r="D727" s="6" t="str">
        <f>IFERROR(__xludf.DUMMYFUNCTION("""COMPUTED_VALUE"""),"Harsha Engineers International Ltd")</f>
        <v>Harsha Engineers International Ltd</v>
      </c>
      <c r="E727" s="6" t="str">
        <f>IFERROR(__xludf.DUMMYFUNCTION("""COMPUTED_VALUE"""),"Active")</f>
        <v>Active</v>
      </c>
      <c r="F727" s="6" t="str">
        <f>IFERROR(__xludf.DUMMYFUNCTION("""COMPUTED_VALUE"""),"B")</f>
        <v>B</v>
      </c>
      <c r="G727" s="6">
        <f>IFERROR(__xludf.DUMMYFUNCTION("""COMPUTED_VALUE"""),10.0)</f>
        <v>10</v>
      </c>
      <c r="H727" s="6" t="str">
        <f>IFERROR(__xludf.DUMMYFUNCTION("""COMPUTED_VALUE"""),"INE0JUS01029")</f>
        <v>INE0JUS01029</v>
      </c>
      <c r="I727" s="6" t="str">
        <f>IFERROR(__xludf.DUMMYFUNCTION("""COMPUTED_VALUE"""),"Equity")</f>
        <v>Equity</v>
      </c>
      <c r="J727" s="6" t="str">
        <f>IFERROR(__xludf.DUMMYFUNCTION("""COMPUTED_VALUE"""),"Industrials")</f>
        <v>Industrials</v>
      </c>
      <c r="K727" s="6" t="str">
        <f>IFERROR(__xludf.DUMMYFUNCTION("""COMPUTED_VALUE"""),"Capital Goods")</f>
        <v>Capital Goods</v>
      </c>
      <c r="L727" s="6" t="str">
        <f>IFERROR(__xludf.DUMMYFUNCTION("""COMPUTED_VALUE"""),"Industrial Products")</f>
        <v>Industrial Products</v>
      </c>
      <c r="M727" s="6" t="str">
        <f>IFERROR(__xludf.DUMMYFUNCTION("""COMPUTED_VALUE"""),"Other Industrial Products")</f>
        <v>Other Industrial Products</v>
      </c>
      <c r="N727" s="5">
        <f>IFERROR(__xludf.DUMMYFUNCTION("""COMPUTED_VALUE"""),4954.82238)</f>
        <v>4954.82238</v>
      </c>
      <c r="O727" s="6">
        <f t="shared" si="4"/>
        <v>110</v>
      </c>
      <c r="P727" s="6">
        <f t="shared" ref="P727:Q727" si="1456">COUNTIFS(L:L,L727)</f>
        <v>51</v>
      </c>
      <c r="Q727" s="24">
        <f t="shared" si="1456"/>
        <v>5</v>
      </c>
      <c r="R727" s="6" t="str">
        <f t="shared" si="6"/>
        <v>Industrial Products</v>
      </c>
      <c r="S727" s="6" t="str">
        <f t="shared" si="7"/>
        <v>Industrial Products</v>
      </c>
      <c r="T727" s="6">
        <f>IFERROR(__xludf.DUMMYFUNCTION("COUNTA(UNIQUE(query($A$2:$P$800,""select L where K='""&amp; K727&amp;""'"")))"),5.0)</f>
        <v>5</v>
      </c>
      <c r="U727" s="23">
        <f t="shared" si="8"/>
        <v>0.06818181818</v>
      </c>
      <c r="V727" s="23">
        <f t="shared" ref="V727:W727" si="1457">P727/O727</f>
        <v>0.4636363636</v>
      </c>
      <c r="W727" s="23">
        <f t="shared" si="1457"/>
        <v>0.09803921569</v>
      </c>
    </row>
    <row r="728">
      <c r="A728" s="6">
        <f>IFERROR(__xludf.DUMMYFUNCTION("""COMPUTED_VALUE"""),505242.0)</f>
        <v>505242</v>
      </c>
      <c r="B728" s="6" t="str">
        <f>IFERROR(__xludf.DUMMYFUNCTION("""COMPUTED_VALUE"""),"Dynamatic Technologies Ltd.")</f>
        <v>Dynamatic Technologies Ltd.</v>
      </c>
      <c r="C728" s="6" t="str">
        <f>IFERROR(__xludf.DUMMYFUNCTION("""COMPUTED_VALUE"""),"DYNAMATECH")</f>
        <v>DYNAMATECH</v>
      </c>
      <c r="D728" s="6" t="str">
        <f>IFERROR(__xludf.DUMMYFUNCTION("""COMPUTED_VALUE"""),"DYNAMATIC TECHNOLOGIES LTD.-$")</f>
        <v>DYNAMATIC TECHNOLOGIES LTD.-$</v>
      </c>
      <c r="E728" s="6" t="str">
        <f>IFERROR(__xludf.DUMMYFUNCTION("""COMPUTED_VALUE"""),"Active")</f>
        <v>Active</v>
      </c>
      <c r="F728" s="6" t="str">
        <f>IFERROR(__xludf.DUMMYFUNCTION("""COMPUTED_VALUE"""),"B")</f>
        <v>B</v>
      </c>
      <c r="G728" s="6">
        <f>IFERROR(__xludf.DUMMYFUNCTION("""COMPUTED_VALUE"""),10.0)</f>
        <v>10</v>
      </c>
      <c r="H728" s="6" t="str">
        <f>IFERROR(__xludf.DUMMYFUNCTION("""COMPUTED_VALUE"""),"INE221B01012")</f>
        <v>INE221B01012</v>
      </c>
      <c r="I728" s="6" t="str">
        <f>IFERROR(__xludf.DUMMYFUNCTION("""COMPUTED_VALUE"""),"Equity")</f>
        <v>Equity</v>
      </c>
      <c r="J728" s="6" t="str">
        <f>IFERROR(__xludf.DUMMYFUNCTION("""COMPUTED_VALUE"""),"Industrials")</f>
        <v>Industrials</v>
      </c>
      <c r="K728" s="6" t="str">
        <f>IFERROR(__xludf.DUMMYFUNCTION("""COMPUTED_VALUE"""),"Capital Goods")</f>
        <v>Capital Goods</v>
      </c>
      <c r="L728" s="6" t="str">
        <f>IFERROR(__xludf.DUMMYFUNCTION("""COMPUTED_VALUE"""),"Industrial Manufacturing")</f>
        <v>Industrial Manufacturing</v>
      </c>
      <c r="M728" s="6" t="str">
        <f>IFERROR(__xludf.DUMMYFUNCTION("""COMPUTED_VALUE"""),"Industrial Products")</f>
        <v>Industrial Products</v>
      </c>
      <c r="N728" s="5">
        <f>IFERROR(__xludf.DUMMYFUNCTION("""COMPUTED_VALUE"""),4954.0960075)</f>
        <v>4954.096008</v>
      </c>
      <c r="O728" s="6">
        <f t="shared" si="4"/>
        <v>110</v>
      </c>
      <c r="P728" s="6">
        <f t="shared" ref="P728:Q728" si="1458">COUNTIFS(L:L,L728)</f>
        <v>21</v>
      </c>
      <c r="Q728" s="24">
        <f t="shared" si="1458"/>
        <v>17</v>
      </c>
      <c r="R728" s="6" t="str">
        <f t="shared" si="6"/>
        <v>Industrial Manufacturing</v>
      </c>
      <c r="S728" s="6" t="str">
        <f t="shared" si="7"/>
        <v>Industrial Manufacturing</v>
      </c>
      <c r="T728" s="6">
        <f>IFERROR(__xludf.DUMMYFUNCTION("COUNTA(UNIQUE(query($A$2:$P$800,""select L where K='""&amp; K728&amp;""'"")))"),5.0)</f>
        <v>5</v>
      </c>
      <c r="U728" s="23">
        <f t="shared" si="8"/>
        <v>0.06818181818</v>
      </c>
      <c r="V728" s="23">
        <f t="shared" ref="V728:W728" si="1459">P728/O728</f>
        <v>0.1909090909</v>
      </c>
      <c r="W728" s="23">
        <f t="shared" si="1459"/>
        <v>0.8095238095</v>
      </c>
    </row>
    <row r="729">
      <c r="A729" s="6">
        <f>IFERROR(__xludf.DUMMYFUNCTION("""COMPUTED_VALUE"""),590021.0)</f>
        <v>590021</v>
      </c>
      <c r="B729" s="6" t="str">
        <f>IFERROR(__xludf.DUMMYFUNCTION("""COMPUTED_VALUE"""),"Bharat Rasayan Limited")</f>
        <v>Bharat Rasayan Limited</v>
      </c>
      <c r="C729" s="6" t="str">
        <f>IFERROR(__xludf.DUMMYFUNCTION("""COMPUTED_VALUE"""),"BHARATRAS")</f>
        <v>BHARATRAS</v>
      </c>
      <c r="D729" s="6" t="str">
        <f>IFERROR(__xludf.DUMMYFUNCTION("""COMPUTED_VALUE"""),"BHARAT RASAYAN LTD.")</f>
        <v>BHARAT RASAYAN LTD.</v>
      </c>
      <c r="E729" s="6" t="str">
        <f>IFERROR(__xludf.DUMMYFUNCTION("""COMPUTED_VALUE"""),"Active")</f>
        <v>Active</v>
      </c>
      <c r="F729" s="6" t="str">
        <f>IFERROR(__xludf.DUMMYFUNCTION("""COMPUTED_VALUE"""),"B")</f>
        <v>B</v>
      </c>
      <c r="G729" s="6">
        <f>IFERROR(__xludf.DUMMYFUNCTION("""COMPUTED_VALUE"""),10.0)</f>
        <v>10</v>
      </c>
      <c r="H729" s="6" t="str">
        <f>IFERROR(__xludf.DUMMYFUNCTION("""COMPUTED_VALUE"""),"INE838B01013")</f>
        <v>INE838B01013</v>
      </c>
      <c r="I729" s="6" t="str">
        <f>IFERROR(__xludf.DUMMYFUNCTION("""COMPUTED_VALUE"""),"Equity")</f>
        <v>Equity</v>
      </c>
      <c r="J729" s="6" t="str">
        <f>IFERROR(__xludf.DUMMYFUNCTION("""COMPUTED_VALUE"""),"Commodities")</f>
        <v>Commodities</v>
      </c>
      <c r="K729" s="6" t="str">
        <f>IFERROR(__xludf.DUMMYFUNCTION("""COMPUTED_VALUE"""),"Chemicals")</f>
        <v>Chemicals</v>
      </c>
      <c r="L729" s="6" t="str">
        <f>IFERROR(__xludf.DUMMYFUNCTION("""COMPUTED_VALUE"""),"Fertilizers &amp; Agrochemicals")</f>
        <v>Fertilizers &amp; Agrochemicals</v>
      </c>
      <c r="M729" s="6" t="str">
        <f>IFERROR(__xludf.DUMMYFUNCTION("""COMPUTED_VALUE"""),"Pesticides &amp; Agrochemicals")</f>
        <v>Pesticides &amp; Agrochemicals</v>
      </c>
      <c r="N729" s="5">
        <f>IFERROR(__xludf.DUMMYFUNCTION("""COMPUTED_VALUE"""),4917.5338784)</f>
        <v>4917.533878</v>
      </c>
      <c r="O729" s="6">
        <f t="shared" si="4"/>
        <v>52</v>
      </c>
      <c r="P729" s="6">
        <f t="shared" ref="P729:Q729" si="1460">COUNTIFS(L:L,L729)</f>
        <v>15</v>
      </c>
      <c r="Q729" s="24">
        <f t="shared" si="1460"/>
        <v>7</v>
      </c>
      <c r="R729" s="6" t="str">
        <f t="shared" si="6"/>
        <v>Fertilizers &amp; Agrochemicals</v>
      </c>
      <c r="S729" s="6" t="str">
        <f t="shared" si="7"/>
        <v>Fertilizers &amp; Agrochemicals</v>
      </c>
      <c r="T729" s="6">
        <f>IFERROR(__xludf.DUMMYFUNCTION("COUNTA(UNIQUE(query($A$2:$P$800,""select L where K='""&amp; K729&amp;""'"")))"),2.0)</f>
        <v>2</v>
      </c>
      <c r="U729" s="23">
        <f t="shared" si="8"/>
        <v>0.05769230769</v>
      </c>
      <c r="V729" s="23">
        <f t="shared" ref="V729:W729" si="1461">P729/O729</f>
        <v>0.2884615385</v>
      </c>
      <c r="W729" s="23">
        <f t="shared" si="1461"/>
        <v>0.4666666667</v>
      </c>
    </row>
    <row r="730">
      <c r="A730" s="6">
        <f>IFERROR(__xludf.DUMMYFUNCTION("""COMPUTED_VALUE"""),544021.0)</f>
        <v>544021</v>
      </c>
      <c r="B730" s="6" t="str">
        <f>IFERROR(__xludf.DUMMYFUNCTION("""COMPUTED_VALUE"""),"Protean eGov Technologies Limited")</f>
        <v>Protean eGov Technologies Limited</v>
      </c>
      <c r="C730" s="6" t="str">
        <f>IFERROR(__xludf.DUMMYFUNCTION("""COMPUTED_VALUE"""),"PROTEAN")</f>
        <v>PROTEAN</v>
      </c>
      <c r="D730" s="6" t="str">
        <f>IFERROR(__xludf.DUMMYFUNCTION("""COMPUTED_VALUE"""),"Protean eGov Technologies Ltd")</f>
        <v>Protean eGov Technologies Ltd</v>
      </c>
      <c r="E730" s="6" t="str">
        <f>IFERROR(__xludf.DUMMYFUNCTION("""COMPUTED_VALUE"""),"Active")</f>
        <v>Active</v>
      </c>
      <c r="F730" s="6" t="str">
        <f>IFERROR(__xludf.DUMMYFUNCTION("""COMPUTED_VALUE"""),"B")</f>
        <v>B</v>
      </c>
      <c r="G730" s="6">
        <f>IFERROR(__xludf.DUMMYFUNCTION("""COMPUTED_VALUE"""),10.0)</f>
        <v>10</v>
      </c>
      <c r="H730" s="6" t="str">
        <f>IFERROR(__xludf.DUMMYFUNCTION("""COMPUTED_VALUE"""),"INE004A01022")</f>
        <v>INE004A01022</v>
      </c>
      <c r="I730" s="6" t="str">
        <f>IFERROR(__xludf.DUMMYFUNCTION("""COMPUTED_VALUE"""),"Equity")</f>
        <v>Equity</v>
      </c>
      <c r="J730" s="6" t="str">
        <f>IFERROR(__xludf.DUMMYFUNCTION("""COMPUTED_VALUE"""),"Information Technology")</f>
        <v>Information Technology</v>
      </c>
      <c r="K730" s="6" t="str">
        <f>IFERROR(__xludf.DUMMYFUNCTION("""COMPUTED_VALUE"""),"Information Technology")</f>
        <v>Information Technology</v>
      </c>
      <c r="L730" s="6" t="str">
        <f>IFERROR(__xludf.DUMMYFUNCTION("""COMPUTED_VALUE"""),"IT - Services")</f>
        <v>IT - Services</v>
      </c>
      <c r="M730" s="6" t="str">
        <f>IFERROR(__xludf.DUMMYFUNCTION("""COMPUTED_VALUE"""),"IT Enabled Services")</f>
        <v>IT Enabled Services</v>
      </c>
      <c r="N730" s="5">
        <f>IFERROR(__xludf.DUMMYFUNCTION("""COMPUTED_VALUE"""),4900.35472)</f>
        <v>4900.35472</v>
      </c>
      <c r="O730" s="6">
        <f t="shared" si="4"/>
        <v>36</v>
      </c>
      <c r="P730" s="6">
        <f t="shared" ref="P730:Q730" si="1462">COUNTIFS(L:L,L730)</f>
        <v>8</v>
      </c>
      <c r="Q730" s="24">
        <f t="shared" si="1462"/>
        <v>8</v>
      </c>
      <c r="R730" s="6" t="str">
        <f t="shared" si="6"/>
        <v>Information Technology</v>
      </c>
      <c r="S730" s="6" t="str">
        <f t="shared" si="7"/>
        <v>Information Technology</v>
      </c>
      <c r="T730" s="6">
        <f>IFERROR(__xludf.DUMMYFUNCTION("COUNTA(UNIQUE(query($A$2:$P$800,""select L where K='""&amp; K730&amp;""'"")))"),3.0)</f>
        <v>3</v>
      </c>
      <c r="U730" s="23">
        <f t="shared" si="8"/>
        <v>0.125</v>
      </c>
      <c r="V730" s="23">
        <f t="shared" ref="V730:W730" si="1463">P730/O730</f>
        <v>0.2222222222</v>
      </c>
      <c r="W730" s="23">
        <f t="shared" si="1463"/>
        <v>1</v>
      </c>
    </row>
    <row r="731">
      <c r="A731" s="6">
        <f>IFERROR(__xludf.DUMMYFUNCTION("""COMPUTED_VALUE"""),520051.0)</f>
        <v>520051</v>
      </c>
      <c r="B731" s="6" t="str">
        <f>IFERROR(__xludf.DUMMYFUNCTION("""COMPUTED_VALUE"""),"Jamna Auto Industries Ltd.")</f>
        <v>Jamna Auto Industries Ltd.</v>
      </c>
      <c r="C731" s="6" t="str">
        <f>IFERROR(__xludf.DUMMYFUNCTION("""COMPUTED_VALUE"""),"JAMNAAUTO")</f>
        <v>JAMNAAUTO</v>
      </c>
      <c r="D731" s="6" t="str">
        <f>IFERROR(__xludf.DUMMYFUNCTION("""COMPUTED_VALUE"""),"JAMNA AUTO INDUSTRIES LTD.")</f>
        <v>JAMNA AUTO INDUSTRIES LTD.</v>
      </c>
      <c r="E731" s="6" t="str">
        <f>IFERROR(__xludf.DUMMYFUNCTION("""COMPUTED_VALUE"""),"Active")</f>
        <v>Active</v>
      </c>
      <c r="F731" s="6" t="str">
        <f>IFERROR(__xludf.DUMMYFUNCTION("""COMPUTED_VALUE"""),"A")</f>
        <v>A</v>
      </c>
      <c r="G731" s="6">
        <f>IFERROR(__xludf.DUMMYFUNCTION("""COMPUTED_VALUE"""),1.0)</f>
        <v>1</v>
      </c>
      <c r="H731" s="6" t="str">
        <f>IFERROR(__xludf.DUMMYFUNCTION("""COMPUTED_VALUE"""),"INE039C01032")</f>
        <v>INE039C01032</v>
      </c>
      <c r="I731" s="6" t="str">
        <f>IFERROR(__xludf.DUMMYFUNCTION("""COMPUTED_VALUE"""),"Equity")</f>
        <v>Equity</v>
      </c>
      <c r="J731" s="6" t="str">
        <f>IFERROR(__xludf.DUMMYFUNCTION("""COMPUTED_VALUE"""),"Consumer Discretionary")</f>
        <v>Consumer Discretionary</v>
      </c>
      <c r="K731" s="6" t="str">
        <f>IFERROR(__xludf.DUMMYFUNCTION("""COMPUTED_VALUE"""),"Automobile and Auto Components")</f>
        <v>Automobile and Auto Components</v>
      </c>
      <c r="L731" s="6" t="str">
        <f>IFERROR(__xludf.DUMMYFUNCTION("""COMPUTED_VALUE"""),"Auto Components")</f>
        <v>Auto Components</v>
      </c>
      <c r="M731" s="6" t="str">
        <f>IFERROR(__xludf.DUMMYFUNCTION("""COMPUTED_VALUE"""),"Auto Components &amp; Equipments")</f>
        <v>Auto Components &amp; Equipments</v>
      </c>
      <c r="N731" s="5">
        <f>IFERROR(__xludf.DUMMYFUNCTION("""COMPUTED_VALUE"""),4899.8141497)</f>
        <v>4899.81415</v>
      </c>
      <c r="O731" s="6">
        <f t="shared" si="4"/>
        <v>47</v>
      </c>
      <c r="P731" s="6">
        <f t="shared" ref="P731:Q731" si="1464">COUNTIFS(L:L,L731)</f>
        <v>37</v>
      </c>
      <c r="Q731" s="24">
        <f t="shared" si="1464"/>
        <v>32</v>
      </c>
      <c r="R731" s="6" t="str">
        <f t="shared" si="6"/>
        <v>Automobile and Auto Components</v>
      </c>
      <c r="S731" s="6" t="str">
        <f t="shared" si="7"/>
        <v>Automobile and Auto Components</v>
      </c>
      <c r="T731" s="6">
        <f>IFERROR(__xludf.DUMMYFUNCTION("COUNTA(UNIQUE(query($A$2:$P$800,""select L where K='""&amp; K731&amp;""'"")))"),2.0)</f>
        <v>2</v>
      </c>
      <c r="U731" s="23">
        <f t="shared" si="8"/>
        <v>0.06382978723</v>
      </c>
      <c r="V731" s="23">
        <f t="shared" ref="V731:W731" si="1465">P731/O731</f>
        <v>0.7872340426</v>
      </c>
      <c r="W731" s="23">
        <f t="shared" si="1465"/>
        <v>0.8648648649</v>
      </c>
    </row>
    <row r="732">
      <c r="A732" s="6">
        <f>IFERROR(__xludf.DUMMYFUNCTION("""COMPUTED_VALUE"""),539658.0)</f>
        <v>539658</v>
      </c>
      <c r="B732" s="6" t="str">
        <f>IFERROR(__xludf.DUMMYFUNCTION("""COMPUTED_VALUE"""),"TeamLease Services Limited")</f>
        <v>TeamLease Services Limited</v>
      </c>
      <c r="C732" s="6" t="str">
        <f>IFERROR(__xludf.DUMMYFUNCTION("""COMPUTED_VALUE"""),"TEAMLEASE")</f>
        <v>TEAMLEASE</v>
      </c>
      <c r="D732" s="6" t="str">
        <f>IFERROR(__xludf.DUMMYFUNCTION("""COMPUTED_VALUE"""),"TeamLease Services Ltd")</f>
        <v>TeamLease Services Ltd</v>
      </c>
      <c r="E732" s="6" t="str">
        <f>IFERROR(__xludf.DUMMYFUNCTION("""COMPUTED_VALUE"""),"Active")</f>
        <v>Active</v>
      </c>
      <c r="F732" s="6" t="str">
        <f>IFERROR(__xludf.DUMMYFUNCTION("""COMPUTED_VALUE"""),"A")</f>
        <v>A</v>
      </c>
      <c r="G732" s="6">
        <f>IFERROR(__xludf.DUMMYFUNCTION("""COMPUTED_VALUE"""),10.0)</f>
        <v>10</v>
      </c>
      <c r="H732" s="6" t="str">
        <f>IFERROR(__xludf.DUMMYFUNCTION("""COMPUTED_VALUE"""),"INE985S01024")</f>
        <v>INE985S01024</v>
      </c>
      <c r="I732" s="6" t="str">
        <f>IFERROR(__xludf.DUMMYFUNCTION("""COMPUTED_VALUE"""),"Equity")</f>
        <v>Equity</v>
      </c>
      <c r="J732" s="6" t="str">
        <f>IFERROR(__xludf.DUMMYFUNCTION("""COMPUTED_VALUE"""),"Services")</f>
        <v>Services</v>
      </c>
      <c r="K732" s="6" t="str">
        <f>IFERROR(__xludf.DUMMYFUNCTION("""COMPUTED_VALUE"""),"Services")</f>
        <v>Services</v>
      </c>
      <c r="L732" s="6" t="str">
        <f>IFERROR(__xludf.DUMMYFUNCTION("""COMPUTED_VALUE"""),"Commercial Services &amp; Supplies")</f>
        <v>Commercial Services &amp; Supplies</v>
      </c>
      <c r="M732" s="6" t="str">
        <f>IFERROR(__xludf.DUMMYFUNCTION("""COMPUTED_VALUE"""),"Diversified Commercial Services")</f>
        <v>Diversified Commercial Services</v>
      </c>
      <c r="N732" s="5">
        <f>IFERROR(__xludf.DUMMYFUNCTION("""COMPUTED_VALUE"""),4893.7936786)</f>
        <v>4893.793679</v>
      </c>
      <c r="O732" s="6">
        <f t="shared" si="4"/>
        <v>27</v>
      </c>
      <c r="P732" s="6">
        <f t="shared" ref="P732:Q732" si="1466">COUNTIFS(L:L,L732)</f>
        <v>11</v>
      </c>
      <c r="Q732" s="24">
        <f t="shared" si="1466"/>
        <v>6</v>
      </c>
      <c r="R732" s="6" t="str">
        <f t="shared" si="6"/>
        <v>Services</v>
      </c>
      <c r="S732" s="6" t="str">
        <f t="shared" si="7"/>
        <v>Services</v>
      </c>
      <c r="T732" s="6">
        <f>IFERROR(__xludf.DUMMYFUNCTION("COUNTA(UNIQUE(query($A$2:$P$800,""select L where K='""&amp; K732&amp;""'"")))"),3.0)</f>
        <v>3</v>
      </c>
      <c r="U732" s="23">
        <f t="shared" si="8"/>
        <v>0.1666666667</v>
      </c>
      <c r="V732" s="23">
        <f t="shared" ref="V732:W732" si="1467">P732/O732</f>
        <v>0.4074074074</v>
      </c>
      <c r="W732" s="23">
        <f t="shared" si="1467"/>
        <v>0.5454545455</v>
      </c>
    </row>
    <row r="733">
      <c r="A733" s="6">
        <f>IFERROR(__xludf.DUMMYFUNCTION("""COMPUTED_VALUE"""),507205.0)</f>
        <v>507205</v>
      </c>
      <c r="B733" s="6" t="str">
        <f>IFERROR(__xludf.DUMMYFUNCTION("""COMPUTED_VALUE"""),"Tilaknagar Industries Ltd")</f>
        <v>Tilaknagar Industries Ltd</v>
      </c>
      <c r="C733" s="6" t="str">
        <f>IFERROR(__xludf.DUMMYFUNCTION("""COMPUTED_VALUE"""),"TI")</f>
        <v>TI</v>
      </c>
      <c r="D733" s="6" t="str">
        <f>IFERROR(__xludf.DUMMYFUNCTION("""COMPUTED_VALUE"""),"TILAKNAGAR INDUSTRIES LTD.-$")</f>
        <v>TILAKNAGAR INDUSTRIES LTD.-$</v>
      </c>
      <c r="E733" s="6" t="str">
        <f>IFERROR(__xludf.DUMMYFUNCTION("""COMPUTED_VALUE"""),"Active")</f>
        <v>Active</v>
      </c>
      <c r="F733" s="6" t="str">
        <f>IFERROR(__xludf.DUMMYFUNCTION("""COMPUTED_VALUE"""),"A")</f>
        <v>A</v>
      </c>
      <c r="G733" s="6">
        <f>IFERROR(__xludf.DUMMYFUNCTION("""COMPUTED_VALUE"""),10.0)</f>
        <v>10</v>
      </c>
      <c r="H733" s="6" t="str">
        <f>IFERROR(__xludf.DUMMYFUNCTION("""COMPUTED_VALUE"""),"INE133E01013")</f>
        <v>INE133E01013</v>
      </c>
      <c r="I733" s="6" t="str">
        <f>IFERROR(__xludf.DUMMYFUNCTION("""COMPUTED_VALUE"""),"Equity")</f>
        <v>Equity</v>
      </c>
      <c r="J733" s="6" t="str">
        <f>IFERROR(__xludf.DUMMYFUNCTION("""COMPUTED_VALUE"""),"Fast Moving Consumer Goods")</f>
        <v>Fast Moving Consumer Goods</v>
      </c>
      <c r="K733" s="6" t="str">
        <f>IFERROR(__xludf.DUMMYFUNCTION("""COMPUTED_VALUE"""),"Fast Moving Consumer Goods")</f>
        <v>Fast Moving Consumer Goods</v>
      </c>
      <c r="L733" s="6" t="str">
        <f>IFERROR(__xludf.DUMMYFUNCTION("""COMPUTED_VALUE"""),"Beverages")</f>
        <v>Beverages</v>
      </c>
      <c r="M733" s="6" t="str">
        <f>IFERROR(__xludf.DUMMYFUNCTION("""COMPUTED_VALUE"""),"Breweries &amp; Distilleries")</f>
        <v>Breweries &amp; Distilleries</v>
      </c>
      <c r="N733" s="5">
        <f>IFERROR(__xludf.DUMMYFUNCTION("""COMPUTED_VALUE"""),4816.074155)</f>
        <v>4816.074155</v>
      </c>
      <c r="O733" s="6">
        <f t="shared" si="4"/>
        <v>44</v>
      </c>
      <c r="P733" s="6">
        <f t="shared" ref="P733:Q733" si="1468">COUNTIFS(L:L,L733)</f>
        <v>5</v>
      </c>
      <c r="Q733" s="24">
        <f t="shared" si="1468"/>
        <v>4</v>
      </c>
      <c r="R733" s="6" t="str">
        <f t="shared" si="6"/>
        <v>Fast Moving Consumer Goods</v>
      </c>
      <c r="S733" s="6" t="str">
        <f t="shared" si="7"/>
        <v>Fast Moving Consumer Goods</v>
      </c>
      <c r="T733" s="6">
        <f>IFERROR(__xludf.DUMMYFUNCTION("COUNTA(UNIQUE(query($A$2:$P$800,""select L where K='""&amp; K733&amp;""'"")))"),7.0)</f>
        <v>7</v>
      </c>
      <c r="U733" s="23">
        <f t="shared" si="8"/>
        <v>0.2386363636</v>
      </c>
      <c r="V733" s="23">
        <f t="shared" ref="V733:W733" si="1469">P733/O733</f>
        <v>0.1136363636</v>
      </c>
      <c r="W733" s="23">
        <f t="shared" si="1469"/>
        <v>0.8</v>
      </c>
    </row>
    <row r="734">
      <c r="A734" s="6">
        <f>IFERROR(__xludf.DUMMYFUNCTION("""COMPUTED_VALUE"""),533158.0)</f>
        <v>533158</v>
      </c>
      <c r="B734" s="6" t="str">
        <f>IFERROR(__xludf.DUMMYFUNCTION("""COMPUTED_VALUE"""),"Thangamayil Jewellery Limited")</f>
        <v>Thangamayil Jewellery Limited</v>
      </c>
      <c r="C734" s="6" t="str">
        <f>IFERROR(__xludf.DUMMYFUNCTION("""COMPUTED_VALUE"""),"THANGAMAYL")</f>
        <v>THANGAMAYL</v>
      </c>
      <c r="D734" s="6" t="str">
        <f>IFERROR(__xludf.DUMMYFUNCTION("""COMPUTED_VALUE"""),"Thangamayil Jewellery Ltd")</f>
        <v>Thangamayil Jewellery Ltd</v>
      </c>
      <c r="E734" s="6" t="str">
        <f>IFERROR(__xludf.DUMMYFUNCTION("""COMPUTED_VALUE"""),"Active")</f>
        <v>Active</v>
      </c>
      <c r="F734" s="6" t="str">
        <f>IFERROR(__xludf.DUMMYFUNCTION("""COMPUTED_VALUE"""),"B")</f>
        <v>B</v>
      </c>
      <c r="G734" s="6">
        <f>IFERROR(__xludf.DUMMYFUNCTION("""COMPUTED_VALUE"""),10.0)</f>
        <v>10</v>
      </c>
      <c r="H734" s="6" t="str">
        <f>IFERROR(__xludf.DUMMYFUNCTION("""COMPUTED_VALUE"""),"INE085J01014")</f>
        <v>INE085J01014</v>
      </c>
      <c r="I734" s="6" t="str">
        <f>IFERROR(__xludf.DUMMYFUNCTION("""COMPUTED_VALUE"""),"Equity")</f>
        <v>Equity</v>
      </c>
      <c r="J734" s="6" t="str">
        <f>IFERROR(__xludf.DUMMYFUNCTION("""COMPUTED_VALUE"""),"Consumer Discretionary")</f>
        <v>Consumer Discretionary</v>
      </c>
      <c r="K734" s="6" t="str">
        <f>IFERROR(__xludf.DUMMYFUNCTION("""COMPUTED_VALUE"""),"Consumer Durables")</f>
        <v>Consumer Durables</v>
      </c>
      <c r="L734" s="6" t="str">
        <f>IFERROR(__xludf.DUMMYFUNCTION("""COMPUTED_VALUE"""),"Consumer Durables")</f>
        <v>Consumer Durables</v>
      </c>
      <c r="M734" s="6" t="str">
        <f>IFERROR(__xludf.DUMMYFUNCTION("""COMPUTED_VALUE"""),"Gems, Jewellery And Watches")</f>
        <v>Gems, Jewellery And Watches</v>
      </c>
      <c r="N734" s="5">
        <f>IFERROR(__xludf.DUMMYFUNCTION("""COMPUTED_VALUE"""),4802.2454368)</f>
        <v>4802.245437</v>
      </c>
      <c r="O734" s="6">
        <f t="shared" si="4"/>
        <v>42</v>
      </c>
      <c r="P734" s="6">
        <f t="shared" ref="P734:Q734" si="1470">COUNTIFS(L:L,L734)</f>
        <v>42</v>
      </c>
      <c r="Q734" s="24">
        <f t="shared" si="1470"/>
        <v>7</v>
      </c>
      <c r="R734" s="6" t="str">
        <f t="shared" si="6"/>
        <v>Consumer Durables</v>
      </c>
      <c r="S734" s="6" t="str">
        <f t="shared" si="7"/>
        <v>Consumer Durables</v>
      </c>
      <c r="T734" s="6">
        <f>IFERROR(__xludf.DUMMYFUNCTION("COUNTA(UNIQUE(query($A$2:$P$800,""select L where K='""&amp; K734&amp;""'"")))"),1.0)</f>
        <v>1</v>
      </c>
      <c r="U734" s="23">
        <f t="shared" si="8"/>
        <v>0.03571428571</v>
      </c>
      <c r="V734" s="23">
        <f t="shared" ref="V734:W734" si="1471">P734/O734</f>
        <v>1</v>
      </c>
      <c r="W734" s="23">
        <f t="shared" si="1471"/>
        <v>0.1666666667</v>
      </c>
    </row>
    <row r="735">
      <c r="A735" s="6">
        <f>IFERROR(__xludf.DUMMYFUNCTION("""COMPUTED_VALUE"""),532899.0)</f>
        <v>532899</v>
      </c>
      <c r="B735" s="6" t="str">
        <f>IFERROR(__xludf.DUMMYFUNCTION("""COMPUTED_VALUE"""),"Kaveri Seed Company Ltd")</f>
        <v>Kaveri Seed Company Ltd</v>
      </c>
      <c r="C735" s="6" t="str">
        <f>IFERROR(__xludf.DUMMYFUNCTION("""COMPUTED_VALUE"""),"KSCL")</f>
        <v>KSCL</v>
      </c>
      <c r="D735" s="6" t="str">
        <f>IFERROR(__xludf.DUMMYFUNCTION("""COMPUTED_VALUE"""),"KAVERI SEED COMPANY LTD.")</f>
        <v>KAVERI SEED COMPANY LTD.</v>
      </c>
      <c r="E735" s="6" t="str">
        <f>IFERROR(__xludf.DUMMYFUNCTION("""COMPUTED_VALUE"""),"Active")</f>
        <v>Active</v>
      </c>
      <c r="F735" s="6" t="str">
        <f>IFERROR(__xludf.DUMMYFUNCTION("""COMPUTED_VALUE"""),"A")</f>
        <v>A</v>
      </c>
      <c r="G735" s="6">
        <f>IFERROR(__xludf.DUMMYFUNCTION("""COMPUTED_VALUE"""),2.0)</f>
        <v>2</v>
      </c>
      <c r="H735" s="6" t="str">
        <f>IFERROR(__xludf.DUMMYFUNCTION("""COMPUTED_VALUE"""),"INE455I01029")</f>
        <v>INE455I01029</v>
      </c>
      <c r="I735" s="6" t="str">
        <f>IFERROR(__xludf.DUMMYFUNCTION("""COMPUTED_VALUE"""),"Equity")</f>
        <v>Equity</v>
      </c>
      <c r="J735" s="6" t="str">
        <f>IFERROR(__xludf.DUMMYFUNCTION("""COMPUTED_VALUE"""),"Fast Moving Consumer Goods")</f>
        <v>Fast Moving Consumer Goods</v>
      </c>
      <c r="K735" s="6" t="str">
        <f>IFERROR(__xludf.DUMMYFUNCTION("""COMPUTED_VALUE"""),"Fast Moving Consumer Goods")</f>
        <v>Fast Moving Consumer Goods</v>
      </c>
      <c r="L735" s="6" t="str">
        <f>IFERROR(__xludf.DUMMYFUNCTION("""COMPUTED_VALUE"""),"Agricultural Food &amp; other Products")</f>
        <v>Agricultural Food &amp; other Products</v>
      </c>
      <c r="M735" s="6" t="str">
        <f>IFERROR(__xludf.DUMMYFUNCTION("""COMPUTED_VALUE"""),"Other Agricultural Products")</f>
        <v>Other Agricultural Products</v>
      </c>
      <c r="N735" s="5">
        <f>IFERROR(__xludf.DUMMYFUNCTION("""COMPUTED_VALUE"""),4791.1401452)</f>
        <v>4791.140145</v>
      </c>
      <c r="O735" s="6">
        <f t="shared" si="4"/>
        <v>44</v>
      </c>
      <c r="P735" s="6">
        <f t="shared" ref="P735:Q735" si="1472">COUNTIFS(L:L,L735)</f>
        <v>14</v>
      </c>
      <c r="Q735" s="24">
        <f t="shared" si="1472"/>
        <v>4</v>
      </c>
      <c r="R735" s="6" t="str">
        <f t="shared" si="6"/>
        <v>Fast Moving Consumer Goods</v>
      </c>
      <c r="S735" s="6" t="str">
        <f t="shared" si="7"/>
        <v>Fast Moving Consumer Goods</v>
      </c>
      <c r="T735" s="6">
        <f>IFERROR(__xludf.DUMMYFUNCTION("COUNTA(UNIQUE(query($A$2:$P$800,""select L where K='""&amp; K735&amp;""'"")))"),7.0)</f>
        <v>7</v>
      </c>
      <c r="U735" s="23">
        <f t="shared" si="8"/>
        <v>0.2386363636</v>
      </c>
      <c r="V735" s="23">
        <f t="shared" ref="V735:W735" si="1473">P735/O735</f>
        <v>0.3181818182</v>
      </c>
      <c r="W735" s="23">
        <f t="shared" si="1473"/>
        <v>0.2857142857</v>
      </c>
    </row>
    <row r="736">
      <c r="A736" s="6">
        <f>IFERROR(__xludf.DUMMYFUNCTION("""COMPUTED_VALUE"""),500730.0)</f>
        <v>500730</v>
      </c>
      <c r="B736" s="6" t="str">
        <f>IFERROR(__xludf.DUMMYFUNCTION("""COMPUTED_VALUE"""),"NOCIL Ltd")</f>
        <v>NOCIL Ltd</v>
      </c>
      <c r="C736" s="6" t="str">
        <f>IFERROR(__xludf.DUMMYFUNCTION("""COMPUTED_VALUE"""),"NOCIL")</f>
        <v>NOCIL</v>
      </c>
      <c r="D736" s="6" t="str">
        <f>IFERROR(__xludf.DUMMYFUNCTION("""COMPUTED_VALUE"""),"NOCIL LTD.")</f>
        <v>NOCIL LTD.</v>
      </c>
      <c r="E736" s="6" t="str">
        <f>IFERROR(__xludf.DUMMYFUNCTION("""COMPUTED_VALUE"""),"Active")</f>
        <v>Active</v>
      </c>
      <c r="F736" s="6" t="str">
        <f>IFERROR(__xludf.DUMMYFUNCTION("""COMPUTED_VALUE"""),"A")</f>
        <v>A</v>
      </c>
      <c r="G736" s="6">
        <f>IFERROR(__xludf.DUMMYFUNCTION("""COMPUTED_VALUE"""),10.0)</f>
        <v>10</v>
      </c>
      <c r="H736" s="6" t="str">
        <f>IFERROR(__xludf.DUMMYFUNCTION("""COMPUTED_VALUE"""),"INE163A01018")</f>
        <v>INE163A01018</v>
      </c>
      <c r="I736" s="6" t="str">
        <f>IFERROR(__xludf.DUMMYFUNCTION("""COMPUTED_VALUE"""),"Equity")</f>
        <v>Equity</v>
      </c>
      <c r="J736" s="6" t="str">
        <f>IFERROR(__xludf.DUMMYFUNCTION("""COMPUTED_VALUE"""),"Commodities")</f>
        <v>Commodities</v>
      </c>
      <c r="K736" s="6" t="str">
        <f>IFERROR(__xludf.DUMMYFUNCTION("""COMPUTED_VALUE"""),"Chemicals")</f>
        <v>Chemicals</v>
      </c>
      <c r="L736" s="6" t="str">
        <f>IFERROR(__xludf.DUMMYFUNCTION("""COMPUTED_VALUE"""),"Chemicals &amp; Petrochemicals")</f>
        <v>Chemicals &amp; Petrochemicals</v>
      </c>
      <c r="M736" s="6" t="str">
        <f>IFERROR(__xludf.DUMMYFUNCTION("""COMPUTED_VALUE"""),"Specialty Chemicals")</f>
        <v>Specialty Chemicals</v>
      </c>
      <c r="N736" s="5">
        <f>IFERROR(__xludf.DUMMYFUNCTION("""COMPUTED_VALUE"""),4745.3108715)</f>
        <v>4745.310872</v>
      </c>
      <c r="O736" s="6">
        <f t="shared" si="4"/>
        <v>52</v>
      </c>
      <c r="P736" s="6">
        <f t="shared" ref="P736:Q736" si="1474">COUNTIFS(L:L,L736)</f>
        <v>37</v>
      </c>
      <c r="Q736" s="24">
        <f t="shared" si="1474"/>
        <v>25</v>
      </c>
      <c r="R736" s="6" t="str">
        <f t="shared" si="6"/>
        <v>Chemicals</v>
      </c>
      <c r="S736" s="6" t="str">
        <f t="shared" si="7"/>
        <v>Chemicals</v>
      </c>
      <c r="T736" s="6">
        <f>IFERROR(__xludf.DUMMYFUNCTION("COUNTA(UNIQUE(query($A$2:$P$800,""select L where K='""&amp; K736&amp;""'"")))"),2.0)</f>
        <v>2</v>
      </c>
      <c r="U736" s="23">
        <f t="shared" si="8"/>
        <v>0.05769230769</v>
      </c>
      <c r="V736" s="23">
        <f t="shared" ref="V736:W736" si="1475">P736/O736</f>
        <v>0.7115384615</v>
      </c>
      <c r="W736" s="23">
        <f t="shared" si="1475"/>
        <v>0.6756756757</v>
      </c>
    </row>
    <row r="737">
      <c r="A737" s="6">
        <f>IFERROR(__xludf.DUMMYFUNCTION("""COMPUTED_VALUE"""),523323.0)</f>
        <v>523323</v>
      </c>
      <c r="B737" s="6" t="str">
        <f>IFERROR(__xludf.DUMMYFUNCTION("""COMPUTED_VALUE"""),"Kovai Medical Center &amp; Hospital Ltd")</f>
        <v>Kovai Medical Center &amp; Hospital Ltd</v>
      </c>
      <c r="C737" s="6" t="str">
        <f>IFERROR(__xludf.DUMMYFUNCTION("""COMPUTED_VALUE"""),"KOVAI")</f>
        <v>KOVAI</v>
      </c>
      <c r="D737" s="6" t="str">
        <f>IFERROR(__xludf.DUMMYFUNCTION("""COMPUTED_VALUE"""),"KOVAI MEDICAL CENTER &amp; HOSPITAL LTD.")</f>
        <v>KOVAI MEDICAL CENTER &amp; HOSPITAL LTD.</v>
      </c>
      <c r="E737" s="6" t="str">
        <f>IFERROR(__xludf.DUMMYFUNCTION("""COMPUTED_VALUE"""),"Active")</f>
        <v>Active</v>
      </c>
      <c r="F737" s="6" t="str">
        <f>IFERROR(__xludf.DUMMYFUNCTION("""COMPUTED_VALUE"""),"B")</f>
        <v>B</v>
      </c>
      <c r="G737" s="6">
        <f>IFERROR(__xludf.DUMMYFUNCTION("""COMPUTED_VALUE"""),10.0)</f>
        <v>10</v>
      </c>
      <c r="H737" s="6" t="str">
        <f>IFERROR(__xludf.DUMMYFUNCTION("""COMPUTED_VALUE"""),"INE177F01017")</f>
        <v>INE177F01017</v>
      </c>
      <c r="I737" s="6" t="str">
        <f>IFERROR(__xludf.DUMMYFUNCTION("""COMPUTED_VALUE"""),"Equity")</f>
        <v>Equity</v>
      </c>
      <c r="J737" s="6" t="str">
        <f>IFERROR(__xludf.DUMMYFUNCTION("""COMPUTED_VALUE"""),"Healthcare")</f>
        <v>Healthcare</v>
      </c>
      <c r="K737" s="6" t="str">
        <f>IFERROR(__xludf.DUMMYFUNCTION("""COMPUTED_VALUE"""),"Healthcare")</f>
        <v>Healthcare</v>
      </c>
      <c r="L737" s="6" t="str">
        <f>IFERROR(__xludf.DUMMYFUNCTION("""COMPUTED_VALUE"""),"Healthcare Services")</f>
        <v>Healthcare Services</v>
      </c>
      <c r="M737" s="6" t="str">
        <f>IFERROR(__xludf.DUMMYFUNCTION("""COMPUTED_VALUE"""),"Hospital")</f>
        <v>Hospital</v>
      </c>
      <c r="N737" s="5">
        <f>IFERROR(__xludf.DUMMYFUNCTION("""COMPUTED_VALUE"""),4736.1852749)</f>
        <v>4736.185275</v>
      </c>
      <c r="O737" s="6">
        <f t="shared" si="4"/>
        <v>62</v>
      </c>
      <c r="P737" s="6">
        <f t="shared" ref="P737:Q737" si="1476">COUNTIFS(L:L,L737)</f>
        <v>16</v>
      </c>
      <c r="Q737" s="24">
        <f t="shared" si="1476"/>
        <v>11</v>
      </c>
      <c r="R737" s="6" t="str">
        <f t="shared" si="6"/>
        <v>Healthcare Services</v>
      </c>
      <c r="S737" s="6" t="str">
        <f t="shared" si="7"/>
        <v>Healthcare Services</v>
      </c>
      <c r="T737" s="6">
        <f>IFERROR(__xludf.DUMMYFUNCTION("COUNTA(UNIQUE(query($A$2:$P$800,""select L where K='""&amp; K737&amp;""'"")))"),3.0)</f>
        <v>3</v>
      </c>
      <c r="U737" s="23">
        <f t="shared" si="8"/>
        <v>0.07258064516</v>
      </c>
      <c r="V737" s="23">
        <f t="shared" ref="V737:W737" si="1477">P737/O737</f>
        <v>0.2580645161</v>
      </c>
      <c r="W737" s="23">
        <f t="shared" si="1477"/>
        <v>0.6875</v>
      </c>
    </row>
    <row r="738">
      <c r="A738" s="6">
        <f>IFERROR(__xludf.DUMMYFUNCTION("""COMPUTED_VALUE"""),543650.0)</f>
        <v>543650</v>
      </c>
      <c r="B738" s="6" t="str">
        <f>IFERROR(__xludf.DUMMYFUNCTION("""COMPUTED_VALUE"""),"DCX Systems Limited")</f>
        <v>DCX Systems Limited</v>
      </c>
      <c r="C738" s="6" t="str">
        <f>IFERROR(__xludf.DUMMYFUNCTION("""COMPUTED_VALUE"""),"DCXINDIA")</f>
        <v>DCXINDIA</v>
      </c>
      <c r="D738" s="6" t="str">
        <f>IFERROR(__xludf.DUMMYFUNCTION("""COMPUTED_VALUE"""),"DCX Systems Ltd")</f>
        <v>DCX Systems Ltd</v>
      </c>
      <c r="E738" s="6" t="str">
        <f>IFERROR(__xludf.DUMMYFUNCTION("""COMPUTED_VALUE"""),"Active")</f>
        <v>Active</v>
      </c>
      <c r="F738" s="6" t="str">
        <f>IFERROR(__xludf.DUMMYFUNCTION("""COMPUTED_VALUE"""),"B")</f>
        <v>B</v>
      </c>
      <c r="G738" s="6">
        <f>IFERROR(__xludf.DUMMYFUNCTION("""COMPUTED_VALUE"""),2.0)</f>
        <v>2</v>
      </c>
      <c r="H738" s="6" t="str">
        <f>IFERROR(__xludf.DUMMYFUNCTION("""COMPUTED_VALUE"""),"INE0KL801015")</f>
        <v>INE0KL801015</v>
      </c>
      <c r="I738" s="6" t="str">
        <f>IFERROR(__xludf.DUMMYFUNCTION("""COMPUTED_VALUE"""),"Equity")</f>
        <v>Equity</v>
      </c>
      <c r="J738" s="6" t="str">
        <f>IFERROR(__xludf.DUMMYFUNCTION("""COMPUTED_VALUE"""),"Industrials")</f>
        <v>Industrials</v>
      </c>
      <c r="K738" s="6" t="str">
        <f>IFERROR(__xludf.DUMMYFUNCTION("""COMPUTED_VALUE"""),"Capital Goods")</f>
        <v>Capital Goods</v>
      </c>
      <c r="L738" s="6" t="str">
        <f>IFERROR(__xludf.DUMMYFUNCTION("""COMPUTED_VALUE"""),"Aerospace &amp; Defense")</f>
        <v>Aerospace &amp; Defense</v>
      </c>
      <c r="M738" s="6" t="str">
        <f>IFERROR(__xludf.DUMMYFUNCTION("""COMPUTED_VALUE"""),"Aerospace &amp; Defense")</f>
        <v>Aerospace &amp; Defense</v>
      </c>
      <c r="N738" s="5">
        <f>IFERROR(__xludf.DUMMYFUNCTION("""COMPUTED_VALUE"""),4734.9506104)</f>
        <v>4734.95061</v>
      </c>
      <c r="O738" s="6">
        <f t="shared" si="4"/>
        <v>110</v>
      </c>
      <c r="P738" s="6">
        <f t="shared" ref="P738:Q738" si="1478">COUNTIFS(L:L,L738)</f>
        <v>11</v>
      </c>
      <c r="Q738" s="24">
        <f t="shared" si="1478"/>
        <v>11</v>
      </c>
      <c r="R738" s="6" t="str">
        <f t="shared" si="6"/>
        <v>Capital Goods</v>
      </c>
      <c r="S738" s="6" t="str">
        <f t="shared" si="7"/>
        <v>Capital Goods</v>
      </c>
      <c r="T738" s="6">
        <f>IFERROR(__xludf.DUMMYFUNCTION("COUNTA(UNIQUE(query($A$2:$P$800,""select L where K='""&amp; K738&amp;""'"")))"),5.0)</f>
        <v>5</v>
      </c>
      <c r="U738" s="23">
        <f t="shared" si="8"/>
        <v>0.06818181818</v>
      </c>
      <c r="V738" s="23">
        <f t="shared" ref="V738:W738" si="1479">P738/O738</f>
        <v>0.1</v>
      </c>
      <c r="W738" s="23">
        <f t="shared" si="1479"/>
        <v>1</v>
      </c>
    </row>
    <row r="739">
      <c r="A739" s="6">
        <f>IFERROR(__xludf.DUMMYFUNCTION("""COMPUTED_VALUE"""),524348.0)</f>
        <v>524348</v>
      </c>
      <c r="B739" s="6" t="str">
        <f>IFERROR(__xludf.DUMMYFUNCTION("""COMPUTED_VALUE"""),"Aarti Drugs Limited")</f>
        <v>Aarti Drugs Limited</v>
      </c>
      <c r="C739" s="6" t="str">
        <f>IFERROR(__xludf.DUMMYFUNCTION("""COMPUTED_VALUE"""),"AARTIDRUGS")</f>
        <v>AARTIDRUGS</v>
      </c>
      <c r="D739" s="6" t="str">
        <f>IFERROR(__xludf.DUMMYFUNCTION("""COMPUTED_VALUE"""),"AARTI DRUGS LTD.")</f>
        <v>AARTI DRUGS LTD.</v>
      </c>
      <c r="E739" s="6" t="str">
        <f>IFERROR(__xludf.DUMMYFUNCTION("""COMPUTED_VALUE"""),"Active")</f>
        <v>Active</v>
      </c>
      <c r="F739" s="6" t="str">
        <f>IFERROR(__xludf.DUMMYFUNCTION("""COMPUTED_VALUE"""),"A")</f>
        <v>A</v>
      </c>
      <c r="G739" s="6">
        <f>IFERROR(__xludf.DUMMYFUNCTION("""COMPUTED_VALUE"""),10.0)</f>
        <v>10</v>
      </c>
      <c r="H739" s="6" t="str">
        <f>IFERROR(__xludf.DUMMYFUNCTION("""COMPUTED_VALUE"""),"INE767A01016")</f>
        <v>INE767A01016</v>
      </c>
      <c r="I739" s="6" t="str">
        <f>IFERROR(__xludf.DUMMYFUNCTION("""COMPUTED_VALUE"""),"Equity")</f>
        <v>Equity</v>
      </c>
      <c r="J739" s="6" t="str">
        <f>IFERROR(__xludf.DUMMYFUNCTION("""COMPUTED_VALUE"""),"Healthcare")</f>
        <v>Healthcare</v>
      </c>
      <c r="K739" s="6" t="str">
        <f>IFERROR(__xludf.DUMMYFUNCTION("""COMPUTED_VALUE"""),"Healthcare")</f>
        <v>Healthcare</v>
      </c>
      <c r="L739" s="6" t="str">
        <f>IFERROR(__xludf.DUMMYFUNCTION("""COMPUTED_VALUE"""),"Pharmaceuticals &amp; Biotechnology")</f>
        <v>Pharmaceuticals &amp; Biotechnology</v>
      </c>
      <c r="M739" s="6" t="str">
        <f>IFERROR(__xludf.DUMMYFUNCTION("""COMPUTED_VALUE"""),"Pharmaceuticals")</f>
        <v>Pharmaceuticals</v>
      </c>
      <c r="N739" s="5">
        <f>IFERROR(__xludf.DUMMYFUNCTION("""COMPUTED_VALUE"""),4722.9497877)</f>
        <v>4722.949788</v>
      </c>
      <c r="O739" s="6">
        <f t="shared" si="4"/>
        <v>62</v>
      </c>
      <c r="P739" s="6">
        <f t="shared" ref="P739:Q739" si="1480">COUNTIFS(L:L,L739)</f>
        <v>45</v>
      </c>
      <c r="Q739" s="24">
        <f t="shared" si="1480"/>
        <v>45</v>
      </c>
      <c r="R739" s="6" t="str">
        <f t="shared" si="6"/>
        <v>Healthcare</v>
      </c>
      <c r="S739" s="6" t="str">
        <f t="shared" si="7"/>
        <v>Healthcare</v>
      </c>
      <c r="T739" s="6">
        <f>IFERROR(__xludf.DUMMYFUNCTION("COUNTA(UNIQUE(query($A$2:$P$800,""select L where K='""&amp; K739&amp;""'"")))"),3.0)</f>
        <v>3</v>
      </c>
      <c r="U739" s="23">
        <f t="shared" si="8"/>
        <v>0.07258064516</v>
      </c>
      <c r="V739" s="23">
        <f t="shared" ref="V739:W739" si="1481">P739/O739</f>
        <v>0.7258064516</v>
      </c>
      <c r="W739" s="23">
        <f t="shared" si="1481"/>
        <v>1</v>
      </c>
    </row>
    <row r="740">
      <c r="A740" s="6">
        <f>IFERROR(__xludf.DUMMYFUNCTION("""COMPUTED_VALUE"""),544122.0)</f>
        <v>544122</v>
      </c>
      <c r="B740" s="6" t="str">
        <f>IFERROR(__xludf.DUMMYFUNCTION("""COMPUTED_VALUE"""),"Entero Healthcare Solutions Limited")</f>
        <v>Entero Healthcare Solutions Limited</v>
      </c>
      <c r="C740" s="6" t="str">
        <f>IFERROR(__xludf.DUMMYFUNCTION("""COMPUTED_VALUE"""),"ENTERO")</f>
        <v>ENTERO</v>
      </c>
      <c r="D740" s="6" t="str">
        <f>IFERROR(__xludf.DUMMYFUNCTION("""COMPUTED_VALUE"""),"Entero Healthcare Solutions Ltd")</f>
        <v>Entero Healthcare Solutions Ltd</v>
      </c>
      <c r="E740" s="6" t="str">
        <f>IFERROR(__xludf.DUMMYFUNCTION("""COMPUTED_VALUE"""),"Active")</f>
        <v>Active</v>
      </c>
      <c r="F740" s="6" t="str">
        <f>IFERROR(__xludf.DUMMYFUNCTION("""COMPUTED_VALUE"""),"B")</f>
        <v>B</v>
      </c>
      <c r="G740" s="6">
        <f>IFERROR(__xludf.DUMMYFUNCTION("""COMPUTED_VALUE"""),10.0)</f>
        <v>10</v>
      </c>
      <c r="H740" s="6" t="str">
        <f>IFERROR(__xludf.DUMMYFUNCTION("""COMPUTED_VALUE"""),"INE010601016")</f>
        <v>INE010601016</v>
      </c>
      <c r="I740" s="6" t="str">
        <f>IFERROR(__xludf.DUMMYFUNCTION("""COMPUTED_VALUE"""),"Equity")</f>
        <v>Equity</v>
      </c>
      <c r="J740" s="6" t="str">
        <f>IFERROR(__xludf.DUMMYFUNCTION("""COMPUTED_VALUE"""),"Consumer Discretionary")</f>
        <v>Consumer Discretionary</v>
      </c>
      <c r="K740" s="6" t="str">
        <f>IFERROR(__xludf.DUMMYFUNCTION("""COMPUTED_VALUE"""),"Consumer Services")</f>
        <v>Consumer Services</v>
      </c>
      <c r="L740" s="6" t="str">
        <f>IFERROR(__xludf.DUMMYFUNCTION("""COMPUTED_VALUE"""),"Retailing")</f>
        <v>Retailing</v>
      </c>
      <c r="M740" s="6" t="str">
        <f>IFERROR(__xludf.DUMMYFUNCTION("""COMPUTED_VALUE"""),"Pharmacy Retail")</f>
        <v>Pharmacy Retail</v>
      </c>
      <c r="N740" s="5">
        <f>IFERROR(__xludf.DUMMYFUNCTION("""COMPUTED_VALUE"""),4701.5156922)</f>
        <v>4701.515692</v>
      </c>
      <c r="O740" s="6">
        <f t="shared" si="4"/>
        <v>37</v>
      </c>
      <c r="P740" s="6">
        <f t="shared" ref="P740:Q740" si="1482">COUNTIFS(L:L,L740)</f>
        <v>18</v>
      </c>
      <c r="Q740" s="24">
        <f t="shared" si="1482"/>
        <v>2</v>
      </c>
      <c r="R740" s="6" t="str">
        <f t="shared" si="6"/>
        <v>Retailing</v>
      </c>
      <c r="S740" s="6" t="str">
        <f t="shared" si="7"/>
        <v>Retailing</v>
      </c>
      <c r="T740" s="6">
        <f>IFERROR(__xludf.DUMMYFUNCTION("COUNTA(UNIQUE(query($A$2:$P$800,""select L where K='""&amp; K740&amp;""'"")))"),3.0)</f>
        <v>3</v>
      </c>
      <c r="U740" s="23">
        <f t="shared" si="8"/>
        <v>0.1216216216</v>
      </c>
      <c r="V740" s="23">
        <f t="shared" ref="V740:W740" si="1483">P740/O740</f>
        <v>0.4864864865</v>
      </c>
      <c r="W740" s="23">
        <f t="shared" si="1483"/>
        <v>0.1111111111</v>
      </c>
    </row>
    <row r="741">
      <c r="A741" s="6">
        <f>IFERROR(__xludf.DUMMYFUNCTION("""COMPUTED_VALUE"""),540212.0)</f>
        <v>540212</v>
      </c>
      <c r="B741" s="6" t="str">
        <f>IFERROR(__xludf.DUMMYFUNCTION("""COMPUTED_VALUE"""),"TCI Express Limited")</f>
        <v>TCI Express Limited</v>
      </c>
      <c r="C741" s="6" t="str">
        <f>IFERROR(__xludf.DUMMYFUNCTION("""COMPUTED_VALUE"""),"TCIEXP")</f>
        <v>TCIEXP</v>
      </c>
      <c r="D741" s="6" t="str">
        <f>IFERROR(__xludf.DUMMYFUNCTION("""COMPUTED_VALUE"""),"TCI Express Ltd")</f>
        <v>TCI Express Ltd</v>
      </c>
      <c r="E741" s="6" t="str">
        <f>IFERROR(__xludf.DUMMYFUNCTION("""COMPUTED_VALUE"""),"Active")</f>
        <v>Active</v>
      </c>
      <c r="F741" s="6" t="str">
        <f>IFERROR(__xludf.DUMMYFUNCTION("""COMPUTED_VALUE"""),"A")</f>
        <v>A</v>
      </c>
      <c r="G741" s="6">
        <f>IFERROR(__xludf.DUMMYFUNCTION("""COMPUTED_VALUE"""),2.0)</f>
        <v>2</v>
      </c>
      <c r="H741" s="6" t="str">
        <f>IFERROR(__xludf.DUMMYFUNCTION("""COMPUTED_VALUE"""),"INE586V01016")</f>
        <v>INE586V01016</v>
      </c>
      <c r="I741" s="6" t="str">
        <f>IFERROR(__xludf.DUMMYFUNCTION("""COMPUTED_VALUE"""),"Equity")</f>
        <v>Equity</v>
      </c>
      <c r="J741" s="6" t="str">
        <f>IFERROR(__xludf.DUMMYFUNCTION("""COMPUTED_VALUE"""),"Services")</f>
        <v>Services</v>
      </c>
      <c r="K741" s="6" t="str">
        <f>IFERROR(__xludf.DUMMYFUNCTION("""COMPUTED_VALUE"""),"Services")</f>
        <v>Services</v>
      </c>
      <c r="L741" s="6" t="str">
        <f>IFERROR(__xludf.DUMMYFUNCTION("""COMPUTED_VALUE"""),"Transport Services")</f>
        <v>Transport Services</v>
      </c>
      <c r="M741" s="6" t="str">
        <f>IFERROR(__xludf.DUMMYFUNCTION("""COMPUTED_VALUE"""),"Logistics Solution Provider")</f>
        <v>Logistics Solution Provider</v>
      </c>
      <c r="N741" s="5">
        <f>IFERROR(__xludf.DUMMYFUNCTION("""COMPUTED_VALUE"""),4696.8430329)</f>
        <v>4696.843033</v>
      </c>
      <c r="O741" s="6">
        <f t="shared" si="4"/>
        <v>27</v>
      </c>
      <c r="P741" s="6">
        <f t="shared" ref="P741:Q741" si="1484">COUNTIFS(L:L,L741)</f>
        <v>12</v>
      </c>
      <c r="Q741" s="24">
        <f t="shared" si="1484"/>
        <v>9</v>
      </c>
      <c r="R741" s="6" t="str">
        <f t="shared" si="6"/>
        <v>Services</v>
      </c>
      <c r="S741" s="6" t="str">
        <f t="shared" si="7"/>
        <v>Services</v>
      </c>
      <c r="T741" s="6">
        <f>IFERROR(__xludf.DUMMYFUNCTION("COUNTA(UNIQUE(query($A$2:$P$800,""select L where K='""&amp; K741&amp;""'"")))"),3.0)</f>
        <v>3</v>
      </c>
      <c r="U741" s="23">
        <f t="shared" si="8"/>
        <v>0.1666666667</v>
      </c>
      <c r="V741" s="23">
        <f t="shared" ref="V741:W741" si="1485">P741/O741</f>
        <v>0.4444444444</v>
      </c>
      <c r="W741" s="23">
        <f t="shared" si="1485"/>
        <v>0.75</v>
      </c>
    </row>
    <row r="742">
      <c r="A742" s="6">
        <f>IFERROR(__xludf.DUMMYFUNCTION("""COMPUTED_VALUE"""),522285.0)</f>
        <v>522285</v>
      </c>
      <c r="B742" s="6" t="str">
        <f>IFERROR(__xludf.DUMMYFUNCTION("""COMPUTED_VALUE"""),"Jayaswal Neco Industries Ltd")</f>
        <v>Jayaswal Neco Industries Ltd</v>
      </c>
      <c r="C742" s="6" t="str">
        <f>IFERROR(__xludf.DUMMYFUNCTION("""COMPUTED_VALUE"""),"JAYNECOIND")</f>
        <v>JAYNECOIND</v>
      </c>
      <c r="D742" s="6" t="str">
        <f>IFERROR(__xludf.DUMMYFUNCTION("""COMPUTED_VALUE"""),"JAYASWAL NECO INDUSTRIES LTD.")</f>
        <v>JAYASWAL NECO INDUSTRIES LTD.</v>
      </c>
      <c r="E742" s="6" t="str">
        <f>IFERROR(__xludf.DUMMYFUNCTION("""COMPUTED_VALUE"""),"Active")</f>
        <v>Active</v>
      </c>
      <c r="F742" s="6" t="str">
        <f>IFERROR(__xludf.DUMMYFUNCTION("""COMPUTED_VALUE"""),"B")</f>
        <v>B</v>
      </c>
      <c r="G742" s="6">
        <f>IFERROR(__xludf.DUMMYFUNCTION("""COMPUTED_VALUE"""),10.0)</f>
        <v>10</v>
      </c>
      <c r="H742" s="6" t="str">
        <f>IFERROR(__xludf.DUMMYFUNCTION("""COMPUTED_VALUE"""),"INE854B01010")</f>
        <v>INE854B01010</v>
      </c>
      <c r="I742" s="6" t="str">
        <f>IFERROR(__xludf.DUMMYFUNCTION("""COMPUTED_VALUE"""),"Equity")</f>
        <v>Equity</v>
      </c>
      <c r="J742" s="6" t="str">
        <f>IFERROR(__xludf.DUMMYFUNCTION("""COMPUTED_VALUE"""),"Industrials")</f>
        <v>Industrials</v>
      </c>
      <c r="K742" s="6" t="str">
        <f>IFERROR(__xludf.DUMMYFUNCTION("""COMPUTED_VALUE"""),"Capital Goods")</f>
        <v>Capital Goods</v>
      </c>
      <c r="L742" s="6" t="str">
        <f>IFERROR(__xludf.DUMMYFUNCTION("""COMPUTED_VALUE"""),"Industrial Products")</f>
        <v>Industrial Products</v>
      </c>
      <c r="M742" s="6" t="str">
        <f>IFERROR(__xludf.DUMMYFUNCTION("""COMPUTED_VALUE"""),"Iron &amp; Steel Products")</f>
        <v>Iron &amp; Steel Products</v>
      </c>
      <c r="N742" s="5">
        <f>IFERROR(__xludf.DUMMYFUNCTION("""COMPUTED_VALUE"""),4687.9640632)</f>
        <v>4687.964063</v>
      </c>
      <c r="O742" s="6">
        <f t="shared" si="4"/>
        <v>110</v>
      </c>
      <c r="P742" s="6">
        <f t="shared" ref="P742:Q742" si="1486">COUNTIFS(L:L,L742)</f>
        <v>51</v>
      </c>
      <c r="Q742" s="24">
        <f t="shared" si="1486"/>
        <v>13</v>
      </c>
      <c r="R742" s="6" t="str">
        <f t="shared" si="6"/>
        <v>Industrial Products</v>
      </c>
      <c r="S742" s="6" t="str">
        <f t="shared" si="7"/>
        <v>Industrial Products</v>
      </c>
      <c r="T742" s="6">
        <f>IFERROR(__xludf.DUMMYFUNCTION("COUNTA(UNIQUE(query($A$2:$P$800,""select L where K='""&amp; K742&amp;""'"")))"),5.0)</f>
        <v>5</v>
      </c>
      <c r="U742" s="23">
        <f t="shared" si="8"/>
        <v>0.06818181818</v>
      </c>
      <c r="V742" s="23">
        <f t="shared" ref="V742:W742" si="1487">P742/O742</f>
        <v>0.4636363636</v>
      </c>
      <c r="W742" s="23">
        <f t="shared" si="1487"/>
        <v>0.2549019608</v>
      </c>
    </row>
    <row r="743">
      <c r="A743" s="6">
        <f>IFERROR(__xludf.DUMMYFUNCTION("""COMPUTED_VALUE"""),530073.0)</f>
        <v>530073</v>
      </c>
      <c r="B743" s="6" t="str">
        <f>IFERROR(__xludf.DUMMYFUNCTION("""COMPUTED_VALUE"""),"Sanghvi Movers Ltd.")</f>
        <v>Sanghvi Movers Ltd.</v>
      </c>
      <c r="C743" s="6" t="str">
        <f>IFERROR(__xludf.DUMMYFUNCTION("""COMPUTED_VALUE"""),"SANGHVIMOV")</f>
        <v>SANGHVIMOV</v>
      </c>
      <c r="D743" s="6" t="str">
        <f>IFERROR(__xludf.DUMMYFUNCTION("""COMPUTED_VALUE"""),"SANGHVI MOVERS LTD.")</f>
        <v>SANGHVI MOVERS LTD.</v>
      </c>
      <c r="E743" s="6" t="str">
        <f>IFERROR(__xludf.DUMMYFUNCTION("""COMPUTED_VALUE"""),"Active")</f>
        <v>Active</v>
      </c>
      <c r="F743" s="6" t="str">
        <f>IFERROR(__xludf.DUMMYFUNCTION("""COMPUTED_VALUE"""),"A")</f>
        <v>A</v>
      </c>
      <c r="G743" s="6">
        <f>IFERROR(__xludf.DUMMYFUNCTION("""COMPUTED_VALUE"""),2.0)</f>
        <v>2</v>
      </c>
      <c r="H743" s="6" t="str">
        <f>IFERROR(__xludf.DUMMYFUNCTION("""COMPUTED_VALUE"""),"INE989A01024")</f>
        <v>INE989A01024</v>
      </c>
      <c r="I743" s="6" t="str">
        <f>IFERROR(__xludf.DUMMYFUNCTION("""COMPUTED_VALUE"""),"Equity")</f>
        <v>Equity</v>
      </c>
      <c r="J743" s="6" t="str">
        <f>IFERROR(__xludf.DUMMYFUNCTION("""COMPUTED_VALUE"""),"Industrials")</f>
        <v>Industrials</v>
      </c>
      <c r="K743" s="6" t="str">
        <f>IFERROR(__xludf.DUMMYFUNCTION("""COMPUTED_VALUE"""),"Capital Goods")</f>
        <v>Capital Goods</v>
      </c>
      <c r="L743" s="6" t="str">
        <f>IFERROR(__xludf.DUMMYFUNCTION("""COMPUTED_VALUE"""),"Agricultural, Commercial &amp; Construction Vehicles")</f>
        <v>Agricultural, Commercial &amp; Construction Vehicles</v>
      </c>
      <c r="M743" s="6" t="str">
        <f>IFERROR(__xludf.DUMMYFUNCTION("""COMPUTED_VALUE"""),"Construction Vehicles")</f>
        <v>Construction Vehicles</v>
      </c>
      <c r="N743" s="5">
        <f>IFERROR(__xludf.DUMMYFUNCTION("""COMPUTED_VALUE"""),4676.1389589)</f>
        <v>4676.138959</v>
      </c>
      <c r="O743" s="6">
        <f t="shared" si="4"/>
        <v>110</v>
      </c>
      <c r="P743" s="6">
        <f t="shared" ref="P743:Q743" si="1488">COUNTIFS(L:L,L743)</f>
        <v>5</v>
      </c>
      <c r="Q743" s="24">
        <f t="shared" si="1488"/>
        <v>3</v>
      </c>
      <c r="R743" s="6" t="str">
        <f t="shared" si="6"/>
        <v>Capital Goods</v>
      </c>
      <c r="S743" s="6" t="str">
        <f t="shared" si="7"/>
        <v>Capital Goods</v>
      </c>
      <c r="T743" s="6">
        <f>IFERROR(__xludf.DUMMYFUNCTION("COUNTA(UNIQUE(query($A$2:$P$800,""select L where K='""&amp; K743&amp;""'"")))"),5.0)</f>
        <v>5</v>
      </c>
      <c r="U743" s="23">
        <f t="shared" si="8"/>
        <v>0.06818181818</v>
      </c>
      <c r="V743" s="23">
        <f t="shared" ref="V743:W743" si="1489">P743/O743</f>
        <v>0.04545454545</v>
      </c>
      <c r="W743" s="23">
        <f t="shared" si="1489"/>
        <v>0.6</v>
      </c>
    </row>
    <row r="744">
      <c r="A744" s="6">
        <f>IFERROR(__xludf.DUMMYFUNCTION("""COMPUTED_VALUE"""),500444.0)</f>
        <v>500444</v>
      </c>
      <c r="B744" s="6" t="str">
        <f>IFERROR(__xludf.DUMMYFUNCTION("""COMPUTED_VALUE"""),"West Coast Paper Mills Limited")</f>
        <v>West Coast Paper Mills Limited</v>
      </c>
      <c r="C744" s="6" t="str">
        <f>IFERROR(__xludf.DUMMYFUNCTION("""COMPUTED_VALUE"""),"WSTCSTPAPR")</f>
        <v>WSTCSTPAPR</v>
      </c>
      <c r="D744" s="6" t="str">
        <f>IFERROR(__xludf.DUMMYFUNCTION("""COMPUTED_VALUE"""),"WEST COAST PAPER MILLS LTD.")</f>
        <v>WEST COAST PAPER MILLS LTD.</v>
      </c>
      <c r="E744" s="6" t="str">
        <f>IFERROR(__xludf.DUMMYFUNCTION("""COMPUTED_VALUE"""),"Active")</f>
        <v>Active</v>
      </c>
      <c r="F744" s="6" t="str">
        <f>IFERROR(__xludf.DUMMYFUNCTION("""COMPUTED_VALUE"""),"A")</f>
        <v>A</v>
      </c>
      <c r="G744" s="6">
        <f>IFERROR(__xludf.DUMMYFUNCTION("""COMPUTED_VALUE"""),2.0)</f>
        <v>2</v>
      </c>
      <c r="H744" s="6" t="str">
        <f>IFERROR(__xludf.DUMMYFUNCTION("""COMPUTED_VALUE"""),"INE976A01021")</f>
        <v>INE976A01021</v>
      </c>
      <c r="I744" s="6" t="str">
        <f>IFERROR(__xludf.DUMMYFUNCTION("""COMPUTED_VALUE"""),"Equity")</f>
        <v>Equity</v>
      </c>
      <c r="J744" s="6" t="str">
        <f>IFERROR(__xludf.DUMMYFUNCTION("""COMPUTED_VALUE"""),"Commodities")</f>
        <v>Commodities</v>
      </c>
      <c r="K744" s="6" t="str">
        <f>IFERROR(__xludf.DUMMYFUNCTION("""COMPUTED_VALUE"""),"Forest Materials")</f>
        <v>Forest Materials</v>
      </c>
      <c r="L744" s="6" t="str">
        <f>IFERROR(__xludf.DUMMYFUNCTION("""COMPUTED_VALUE"""),"Paper, Forest &amp; Jute Products")</f>
        <v>Paper, Forest &amp; Jute Products</v>
      </c>
      <c r="M744" s="6" t="str">
        <f>IFERROR(__xludf.DUMMYFUNCTION("""COMPUTED_VALUE"""),"Paper &amp; Paper Products")</f>
        <v>Paper &amp; Paper Products</v>
      </c>
      <c r="N744" s="5">
        <f>IFERROR(__xludf.DUMMYFUNCTION("""COMPUTED_VALUE"""),4671.3953011)</f>
        <v>4671.395301</v>
      </c>
      <c r="O744" s="6">
        <f t="shared" si="4"/>
        <v>3</v>
      </c>
      <c r="P744" s="6">
        <f t="shared" ref="P744:Q744" si="1490">COUNTIFS(L:L,L744)</f>
        <v>3</v>
      </c>
      <c r="Q744" s="24">
        <f t="shared" si="1490"/>
        <v>3</v>
      </c>
      <c r="R744" s="6" t="str">
        <f t="shared" si="6"/>
        <v>Forest Materials</v>
      </c>
      <c r="S744" s="6" t="str">
        <f t="shared" si="7"/>
        <v>Misc.</v>
      </c>
      <c r="T744" s="6">
        <f>IFERROR(__xludf.DUMMYFUNCTION("COUNTA(UNIQUE(query($A$2:$P$800,""select L where K='""&amp; K744&amp;""'"")))"),1.0)</f>
        <v>1</v>
      </c>
      <c r="U744" s="23">
        <f t="shared" si="8"/>
        <v>0.5</v>
      </c>
      <c r="V744" s="23">
        <f t="shared" ref="V744:W744" si="1491">P744/O744</f>
        <v>1</v>
      </c>
      <c r="W744" s="23">
        <f t="shared" si="1491"/>
        <v>1</v>
      </c>
    </row>
    <row r="745">
      <c r="A745" s="6">
        <f>IFERROR(__xludf.DUMMYFUNCTION("""COMPUTED_VALUE"""),531201.0)</f>
        <v>531201</v>
      </c>
      <c r="B745" s="6" t="str">
        <f>IFERROR(__xludf.DUMMYFUNCTION("""COMPUTED_VALUE"""),"Shilchar Technologies Ltd.")</f>
        <v>Shilchar Technologies Ltd.</v>
      </c>
      <c r="C745" s="6" t="str">
        <f>IFERROR(__xludf.DUMMYFUNCTION("""COMPUTED_VALUE"""),"SHILCTECH")</f>
        <v>SHILCTECH</v>
      </c>
      <c r="D745" s="6" t="str">
        <f>IFERROR(__xludf.DUMMYFUNCTION("""COMPUTED_VALUE"""),"SHILCHAR TECHNOLOGIES LTD.")</f>
        <v>SHILCHAR TECHNOLOGIES LTD.</v>
      </c>
      <c r="E745" s="6" t="str">
        <f>IFERROR(__xludf.DUMMYFUNCTION("""COMPUTED_VALUE"""),"Active")</f>
        <v>Active</v>
      </c>
      <c r="F745" s="6" t="str">
        <f>IFERROR(__xludf.DUMMYFUNCTION("""COMPUTED_VALUE"""),"T")</f>
        <v>T</v>
      </c>
      <c r="G745" s="6">
        <f>IFERROR(__xludf.DUMMYFUNCTION("""COMPUTED_VALUE"""),10.0)</f>
        <v>10</v>
      </c>
      <c r="H745" s="6" t="str">
        <f>IFERROR(__xludf.DUMMYFUNCTION("""COMPUTED_VALUE"""),"INE024F01011")</f>
        <v>INE024F01011</v>
      </c>
      <c r="I745" s="6" t="str">
        <f>IFERROR(__xludf.DUMMYFUNCTION("""COMPUTED_VALUE"""),"Equity")</f>
        <v>Equity</v>
      </c>
      <c r="J745" s="6" t="str">
        <f>IFERROR(__xludf.DUMMYFUNCTION("""COMPUTED_VALUE"""),"Industrials")</f>
        <v>Industrials</v>
      </c>
      <c r="K745" s="6" t="str">
        <f>IFERROR(__xludf.DUMMYFUNCTION("""COMPUTED_VALUE"""),"Capital Goods")</f>
        <v>Capital Goods</v>
      </c>
      <c r="L745" s="6" t="str">
        <f>IFERROR(__xludf.DUMMYFUNCTION("""COMPUTED_VALUE"""),"Electrical Equipment")</f>
        <v>Electrical Equipment</v>
      </c>
      <c r="M745" s="6" t="str">
        <f>IFERROR(__xludf.DUMMYFUNCTION("""COMPUTED_VALUE"""),"Other Electrical Equipment")</f>
        <v>Other Electrical Equipment</v>
      </c>
      <c r="N745" s="5">
        <f>IFERROR(__xludf.DUMMYFUNCTION("""COMPUTED_VALUE"""),4642.4751289)</f>
        <v>4642.475129</v>
      </c>
      <c r="O745" s="6">
        <f t="shared" si="4"/>
        <v>110</v>
      </c>
      <c r="P745" s="6">
        <f t="shared" ref="P745:Q745" si="1492">COUNTIFS(L:L,L745)</f>
        <v>22</v>
      </c>
      <c r="Q745" s="24">
        <f t="shared" si="1492"/>
        <v>5</v>
      </c>
      <c r="R745" s="6" t="str">
        <f t="shared" si="6"/>
        <v>Electrical Equipment</v>
      </c>
      <c r="S745" s="6" t="str">
        <f t="shared" si="7"/>
        <v>Electrical Equipment</v>
      </c>
      <c r="T745" s="6">
        <f>IFERROR(__xludf.DUMMYFUNCTION("COUNTA(UNIQUE(query($A$2:$P$800,""select L where K='""&amp; K745&amp;""'"")))"),5.0)</f>
        <v>5</v>
      </c>
      <c r="U745" s="23">
        <f t="shared" si="8"/>
        <v>0.06818181818</v>
      </c>
      <c r="V745" s="23">
        <f t="shared" ref="V745:W745" si="1493">P745/O745</f>
        <v>0.2</v>
      </c>
      <c r="W745" s="23">
        <f t="shared" si="1493"/>
        <v>0.2272727273</v>
      </c>
    </row>
    <row r="746">
      <c r="A746" s="6">
        <f>IFERROR(__xludf.DUMMYFUNCTION("""COMPUTED_VALUE"""),523319.0)</f>
        <v>523319</v>
      </c>
      <c r="B746" s="6" t="str">
        <f>IFERROR(__xludf.DUMMYFUNCTION("""COMPUTED_VALUE"""),"Balmer Lawrie &amp; Co. Ltd.")</f>
        <v>Balmer Lawrie &amp; Co. Ltd.</v>
      </c>
      <c r="C746" s="6" t="str">
        <f>IFERROR(__xludf.DUMMYFUNCTION("""COMPUTED_VALUE"""),"BALMLAWRIE")</f>
        <v>BALMLAWRIE</v>
      </c>
      <c r="D746" s="6" t="str">
        <f>IFERROR(__xludf.DUMMYFUNCTION("""COMPUTED_VALUE"""),"BALMER LAWRIE &amp; CO.LTD.")</f>
        <v>BALMER LAWRIE &amp; CO.LTD.</v>
      </c>
      <c r="E746" s="6" t="str">
        <f>IFERROR(__xludf.DUMMYFUNCTION("""COMPUTED_VALUE"""),"Active")</f>
        <v>Active</v>
      </c>
      <c r="F746" s="6" t="str">
        <f>IFERROR(__xludf.DUMMYFUNCTION("""COMPUTED_VALUE"""),"B")</f>
        <v>B</v>
      </c>
      <c r="G746" s="6">
        <f>IFERROR(__xludf.DUMMYFUNCTION("""COMPUTED_VALUE"""),10.0)</f>
        <v>10</v>
      </c>
      <c r="H746" s="6" t="str">
        <f>IFERROR(__xludf.DUMMYFUNCTION("""COMPUTED_VALUE"""),"INE164A01016")</f>
        <v>INE164A01016</v>
      </c>
      <c r="I746" s="6" t="str">
        <f>IFERROR(__xludf.DUMMYFUNCTION("""COMPUTED_VALUE"""),"Equity")</f>
        <v>Equity</v>
      </c>
      <c r="J746" s="6" t="str">
        <f>IFERROR(__xludf.DUMMYFUNCTION("""COMPUTED_VALUE"""),"Diversified")</f>
        <v>Diversified</v>
      </c>
      <c r="K746" s="6" t="str">
        <f>IFERROR(__xludf.DUMMYFUNCTION("""COMPUTED_VALUE"""),"Diversified")</f>
        <v>Diversified</v>
      </c>
      <c r="L746" s="6" t="str">
        <f>IFERROR(__xludf.DUMMYFUNCTION("""COMPUTED_VALUE"""),"Diversified")</f>
        <v>Diversified</v>
      </c>
      <c r="M746" s="6" t="str">
        <f>IFERROR(__xludf.DUMMYFUNCTION("""COMPUTED_VALUE"""),"Diversified")</f>
        <v>Diversified</v>
      </c>
      <c r="N746" s="5">
        <f>IFERROR(__xludf.DUMMYFUNCTION("""COMPUTED_VALUE"""),4628.2050158)</f>
        <v>4628.205016</v>
      </c>
      <c r="O746" s="6">
        <f t="shared" si="4"/>
        <v>5</v>
      </c>
      <c r="P746" s="6">
        <f t="shared" ref="P746:Q746" si="1494">COUNTIFS(L:L,L746)</f>
        <v>5</v>
      </c>
      <c r="Q746" s="24">
        <f t="shared" si="1494"/>
        <v>5</v>
      </c>
      <c r="R746" s="6" t="str">
        <f t="shared" si="6"/>
        <v>Diversified</v>
      </c>
      <c r="S746" s="6" t="str">
        <f t="shared" si="7"/>
        <v>Misc.</v>
      </c>
      <c r="T746" s="6">
        <f>IFERROR(__xludf.DUMMYFUNCTION("COUNTA(UNIQUE(query($A$2:$P$800,""select L where K='""&amp; K746&amp;""'"")))"),1.0)</f>
        <v>1</v>
      </c>
      <c r="U746" s="23">
        <f t="shared" si="8"/>
        <v>0.3</v>
      </c>
      <c r="V746" s="23">
        <f t="shared" ref="V746:W746" si="1495">P746/O746</f>
        <v>1</v>
      </c>
      <c r="W746" s="23">
        <f t="shared" si="1495"/>
        <v>1</v>
      </c>
    </row>
    <row r="747">
      <c r="A747" s="6">
        <f>IFERROR(__xludf.DUMMYFUNCTION("""COMPUTED_VALUE"""),500187.0)</f>
        <v>500187</v>
      </c>
      <c r="B747" s="6" t="str">
        <f>IFERROR(__xludf.DUMMYFUNCTION("""COMPUTED_VALUE"""),"AGI GREENPAC LIMITED")</f>
        <v>AGI GREENPAC LIMITED</v>
      </c>
      <c r="C747" s="6" t="str">
        <f>IFERROR(__xludf.DUMMYFUNCTION("""COMPUTED_VALUE"""),"AGI")</f>
        <v>AGI</v>
      </c>
      <c r="D747" s="6" t="str">
        <f>IFERROR(__xludf.DUMMYFUNCTION("""COMPUTED_VALUE"""),"Agi Greenpac Ltd")</f>
        <v>Agi Greenpac Ltd</v>
      </c>
      <c r="E747" s="6" t="str">
        <f>IFERROR(__xludf.DUMMYFUNCTION("""COMPUTED_VALUE"""),"Active")</f>
        <v>Active</v>
      </c>
      <c r="F747" s="6" t="str">
        <f>IFERROR(__xludf.DUMMYFUNCTION("""COMPUTED_VALUE"""),"A")</f>
        <v>A</v>
      </c>
      <c r="G747" s="6">
        <f>IFERROR(__xludf.DUMMYFUNCTION("""COMPUTED_VALUE"""),2.0)</f>
        <v>2</v>
      </c>
      <c r="H747" s="6" t="str">
        <f>IFERROR(__xludf.DUMMYFUNCTION("""COMPUTED_VALUE"""),"INE415A01038")</f>
        <v>INE415A01038</v>
      </c>
      <c r="I747" s="6" t="str">
        <f>IFERROR(__xludf.DUMMYFUNCTION("""COMPUTED_VALUE"""),"Equity")</f>
        <v>Equity</v>
      </c>
      <c r="J747" s="6" t="str">
        <f>IFERROR(__xludf.DUMMYFUNCTION("""COMPUTED_VALUE"""),"Industrials")</f>
        <v>Industrials</v>
      </c>
      <c r="K747" s="6" t="str">
        <f>IFERROR(__xludf.DUMMYFUNCTION("""COMPUTED_VALUE"""),"Capital Goods")</f>
        <v>Capital Goods</v>
      </c>
      <c r="L747" s="6" t="str">
        <f>IFERROR(__xludf.DUMMYFUNCTION("""COMPUTED_VALUE"""),"Industrial Products")</f>
        <v>Industrial Products</v>
      </c>
      <c r="M747" s="6" t="str">
        <f>IFERROR(__xludf.DUMMYFUNCTION("""COMPUTED_VALUE"""),"Packaging")</f>
        <v>Packaging</v>
      </c>
      <c r="N747" s="5">
        <f>IFERROR(__xludf.DUMMYFUNCTION("""COMPUTED_VALUE"""),4603.1791201)</f>
        <v>4603.17912</v>
      </c>
      <c r="O747" s="6">
        <f t="shared" si="4"/>
        <v>110</v>
      </c>
      <c r="P747" s="6">
        <f t="shared" ref="P747:Q747" si="1496">COUNTIFS(L:L,L747)</f>
        <v>51</v>
      </c>
      <c r="Q747" s="24">
        <f t="shared" si="1496"/>
        <v>2</v>
      </c>
      <c r="R747" s="6" t="str">
        <f t="shared" si="6"/>
        <v>Industrial Products</v>
      </c>
      <c r="S747" s="6" t="str">
        <f t="shared" si="7"/>
        <v>Industrial Products</v>
      </c>
      <c r="T747" s="6">
        <f>IFERROR(__xludf.DUMMYFUNCTION("COUNTA(UNIQUE(query($A$2:$P$800,""select L where K='""&amp; K747&amp;""'"")))"),5.0)</f>
        <v>5</v>
      </c>
      <c r="U747" s="23">
        <f t="shared" si="8"/>
        <v>0.06818181818</v>
      </c>
      <c r="V747" s="23">
        <f t="shared" ref="V747:W747" si="1497">P747/O747</f>
        <v>0.4636363636</v>
      </c>
      <c r="W747" s="23">
        <f t="shared" si="1497"/>
        <v>0.03921568627</v>
      </c>
    </row>
    <row r="748">
      <c r="A748" s="6">
        <f>IFERROR(__xludf.DUMMYFUNCTION("""COMPUTED_VALUE"""),532775.0)</f>
        <v>532775</v>
      </c>
      <c r="B748" s="6" t="str">
        <f>IFERROR(__xludf.DUMMYFUNCTION("""COMPUTED_VALUE"""),"GTL Infrastructure Limited")</f>
        <v>GTL Infrastructure Limited</v>
      </c>
      <c r="C748" s="6" t="str">
        <f>IFERROR(__xludf.DUMMYFUNCTION("""COMPUTED_VALUE"""),"GTLINFRA")</f>
        <v>GTLINFRA</v>
      </c>
      <c r="D748" s="6" t="str">
        <f>IFERROR(__xludf.DUMMYFUNCTION("""COMPUTED_VALUE"""),"GTL INFRASTRUCTURE LTD.")</f>
        <v>GTL INFRASTRUCTURE LTD.</v>
      </c>
      <c r="E748" s="6" t="str">
        <f>IFERROR(__xludf.DUMMYFUNCTION("""COMPUTED_VALUE"""),"Active")</f>
        <v>Active</v>
      </c>
      <c r="F748" s="6" t="str">
        <f>IFERROR(__xludf.DUMMYFUNCTION("""COMPUTED_VALUE"""),"B")</f>
        <v>B</v>
      </c>
      <c r="G748" s="6">
        <f>IFERROR(__xludf.DUMMYFUNCTION("""COMPUTED_VALUE"""),10.0)</f>
        <v>10</v>
      </c>
      <c r="H748" s="6" t="str">
        <f>IFERROR(__xludf.DUMMYFUNCTION("""COMPUTED_VALUE"""),"INE221H01019")</f>
        <v>INE221H01019</v>
      </c>
      <c r="I748" s="6" t="str">
        <f>IFERROR(__xludf.DUMMYFUNCTION("""COMPUTED_VALUE"""),"Equity")</f>
        <v>Equity</v>
      </c>
      <c r="J748" s="6" t="str">
        <f>IFERROR(__xludf.DUMMYFUNCTION("""COMPUTED_VALUE"""),"Telecommunication")</f>
        <v>Telecommunication</v>
      </c>
      <c r="K748" s="6" t="str">
        <f>IFERROR(__xludf.DUMMYFUNCTION("""COMPUTED_VALUE"""),"Telecommunication")</f>
        <v>Telecommunication</v>
      </c>
      <c r="L748" s="6" t="str">
        <f>IFERROR(__xludf.DUMMYFUNCTION("""COMPUTED_VALUE"""),"Telecom - Services")</f>
        <v>Telecom - Services</v>
      </c>
      <c r="M748" s="6" t="str">
        <f>IFERROR(__xludf.DUMMYFUNCTION("""COMPUTED_VALUE"""),"Telecom - Infrastructure")</f>
        <v>Telecom - Infrastructure</v>
      </c>
      <c r="N748" s="5">
        <f>IFERROR(__xludf.DUMMYFUNCTION("""COMPUTED_VALUE"""),4601.1180251)</f>
        <v>4601.118025</v>
      </c>
      <c r="O748" s="6">
        <f t="shared" si="4"/>
        <v>14</v>
      </c>
      <c r="P748" s="6">
        <f t="shared" ref="P748:Q748" si="1498">COUNTIFS(L:L,L748)</f>
        <v>11</v>
      </c>
      <c r="Q748" s="24">
        <f t="shared" si="1498"/>
        <v>4</v>
      </c>
      <c r="R748" s="6" t="str">
        <f t="shared" si="6"/>
        <v>Telecommunication</v>
      </c>
      <c r="S748" s="6" t="str">
        <f t="shared" si="7"/>
        <v>Telecommunication</v>
      </c>
      <c r="T748" s="6">
        <f>IFERROR(__xludf.DUMMYFUNCTION("COUNTA(UNIQUE(query($A$2:$P$800,""select L where K='""&amp; K748&amp;""'"")))"),2.0)</f>
        <v>2</v>
      </c>
      <c r="U748" s="23">
        <f t="shared" si="8"/>
        <v>0.2142857143</v>
      </c>
      <c r="V748" s="23">
        <f t="shared" ref="V748:W748" si="1499">P748/O748</f>
        <v>0.7857142857</v>
      </c>
      <c r="W748" s="23">
        <f t="shared" si="1499"/>
        <v>0.3636363636</v>
      </c>
    </row>
    <row r="749">
      <c r="A749" s="6">
        <f>IFERROR(__xludf.DUMMYFUNCTION("""COMPUTED_VALUE"""),543213.0)</f>
        <v>543213</v>
      </c>
      <c r="B749" s="6" t="str">
        <f>IFERROR(__xludf.DUMMYFUNCTION("""COMPUTED_VALUE"""),"ROSSARI BIOTECH LIMITED")</f>
        <v>ROSSARI BIOTECH LIMITED</v>
      </c>
      <c r="C749" s="6" t="str">
        <f>IFERROR(__xludf.DUMMYFUNCTION("""COMPUTED_VALUE"""),"ROSSARI")</f>
        <v>ROSSARI</v>
      </c>
      <c r="D749" s="6" t="str">
        <f>IFERROR(__xludf.DUMMYFUNCTION("""COMPUTED_VALUE"""),"Rossari Biotech Ltd")</f>
        <v>Rossari Biotech Ltd</v>
      </c>
      <c r="E749" s="6" t="str">
        <f>IFERROR(__xludf.DUMMYFUNCTION("""COMPUTED_VALUE"""),"Active")</f>
        <v>Active</v>
      </c>
      <c r="F749" s="6" t="str">
        <f>IFERROR(__xludf.DUMMYFUNCTION("""COMPUTED_VALUE"""),"A")</f>
        <v>A</v>
      </c>
      <c r="G749" s="6">
        <f>IFERROR(__xludf.DUMMYFUNCTION("""COMPUTED_VALUE"""),2.0)</f>
        <v>2</v>
      </c>
      <c r="H749" s="6" t="str">
        <f>IFERROR(__xludf.DUMMYFUNCTION("""COMPUTED_VALUE"""),"INE02A801020")</f>
        <v>INE02A801020</v>
      </c>
      <c r="I749" s="6" t="str">
        <f>IFERROR(__xludf.DUMMYFUNCTION("""COMPUTED_VALUE"""),"Equity")</f>
        <v>Equity</v>
      </c>
      <c r="J749" s="6" t="str">
        <f>IFERROR(__xludf.DUMMYFUNCTION("""COMPUTED_VALUE"""),"Commodities")</f>
        <v>Commodities</v>
      </c>
      <c r="K749" s="6" t="str">
        <f>IFERROR(__xludf.DUMMYFUNCTION("""COMPUTED_VALUE"""),"Chemicals")</f>
        <v>Chemicals</v>
      </c>
      <c r="L749" s="6" t="str">
        <f>IFERROR(__xludf.DUMMYFUNCTION("""COMPUTED_VALUE"""),"Chemicals &amp; Petrochemicals")</f>
        <v>Chemicals &amp; Petrochemicals</v>
      </c>
      <c r="M749" s="6" t="str">
        <f>IFERROR(__xludf.DUMMYFUNCTION("""COMPUTED_VALUE"""),"Specialty Chemicals")</f>
        <v>Specialty Chemicals</v>
      </c>
      <c r="N749" s="5">
        <f>IFERROR(__xludf.DUMMYFUNCTION("""COMPUTED_VALUE"""),4589.1403098)</f>
        <v>4589.14031</v>
      </c>
      <c r="O749" s="6">
        <f t="shared" si="4"/>
        <v>52</v>
      </c>
      <c r="P749" s="6">
        <f t="shared" ref="P749:Q749" si="1500">COUNTIFS(L:L,L749)</f>
        <v>37</v>
      </c>
      <c r="Q749" s="24">
        <f t="shared" si="1500"/>
        <v>25</v>
      </c>
      <c r="R749" s="6" t="str">
        <f t="shared" si="6"/>
        <v>Chemicals</v>
      </c>
      <c r="S749" s="6" t="str">
        <f t="shared" si="7"/>
        <v>Chemicals</v>
      </c>
      <c r="T749" s="6">
        <f>IFERROR(__xludf.DUMMYFUNCTION("COUNTA(UNIQUE(query($A$2:$P$800,""select L where K='""&amp; K749&amp;""'"")))"),2.0)</f>
        <v>2</v>
      </c>
      <c r="U749" s="23">
        <f t="shared" si="8"/>
        <v>0.05769230769</v>
      </c>
      <c r="V749" s="23">
        <f t="shared" ref="V749:W749" si="1501">P749/O749</f>
        <v>0.7115384615</v>
      </c>
      <c r="W749" s="23">
        <f t="shared" si="1501"/>
        <v>0.6756756757</v>
      </c>
    </row>
    <row r="750">
      <c r="A750" s="6">
        <f>IFERROR(__xludf.DUMMYFUNCTION("""COMPUTED_VALUE"""),544167.0)</f>
        <v>544167</v>
      </c>
      <c r="B750" s="6" t="str">
        <f>IFERROR(__xludf.DUMMYFUNCTION("""COMPUTED_VALUE"""),"JNK India Limited")</f>
        <v>JNK India Limited</v>
      </c>
      <c r="C750" s="6" t="str">
        <f>IFERROR(__xludf.DUMMYFUNCTION("""COMPUTED_VALUE"""),"JNKINDIA")</f>
        <v>JNKINDIA</v>
      </c>
      <c r="D750" s="6" t="str">
        <f>IFERROR(__xludf.DUMMYFUNCTION("""COMPUTED_VALUE"""),"JNK India Ltd")</f>
        <v>JNK India Ltd</v>
      </c>
      <c r="E750" s="6" t="str">
        <f>IFERROR(__xludf.DUMMYFUNCTION("""COMPUTED_VALUE"""),"Active")</f>
        <v>Active</v>
      </c>
      <c r="F750" s="6" t="str">
        <f>IFERROR(__xludf.DUMMYFUNCTION("""COMPUTED_VALUE"""),"B")</f>
        <v>B</v>
      </c>
      <c r="G750" s="6">
        <f>IFERROR(__xludf.DUMMYFUNCTION("""COMPUTED_VALUE"""),2.0)</f>
        <v>2</v>
      </c>
      <c r="H750" s="6" t="str">
        <f>IFERROR(__xludf.DUMMYFUNCTION("""COMPUTED_VALUE"""),"INE0OAF01028")</f>
        <v>INE0OAF01028</v>
      </c>
      <c r="I750" s="6" t="str">
        <f>IFERROR(__xludf.DUMMYFUNCTION("""COMPUTED_VALUE"""),"Equity")</f>
        <v>Equity</v>
      </c>
      <c r="J750" s="6" t="str">
        <f>IFERROR(__xludf.DUMMYFUNCTION("""COMPUTED_VALUE"""),"Industrials")</f>
        <v>Industrials</v>
      </c>
      <c r="K750" s="6" t="str">
        <f>IFERROR(__xludf.DUMMYFUNCTION("""COMPUTED_VALUE"""),"Capital Goods")</f>
        <v>Capital Goods</v>
      </c>
      <c r="L750" s="6" t="str">
        <f>IFERROR(__xludf.DUMMYFUNCTION("""COMPUTED_VALUE"""),"Industrial Manufacturing")</f>
        <v>Industrial Manufacturing</v>
      </c>
      <c r="M750" s="6" t="str">
        <f>IFERROR(__xludf.DUMMYFUNCTION("""COMPUTED_VALUE"""),"Industrial Products")</f>
        <v>Industrial Products</v>
      </c>
      <c r="N750" s="5">
        <f>IFERROR(__xludf.DUMMYFUNCTION("""COMPUTED_VALUE"""),4579.0857063)</f>
        <v>4579.085706</v>
      </c>
      <c r="O750" s="6">
        <f t="shared" si="4"/>
        <v>110</v>
      </c>
      <c r="P750" s="6">
        <f t="shared" ref="P750:Q750" si="1502">COUNTIFS(L:L,L750)</f>
        <v>21</v>
      </c>
      <c r="Q750" s="24">
        <f t="shared" si="1502"/>
        <v>17</v>
      </c>
      <c r="R750" s="6" t="str">
        <f t="shared" si="6"/>
        <v>Industrial Manufacturing</v>
      </c>
      <c r="S750" s="6" t="str">
        <f t="shared" si="7"/>
        <v>Industrial Manufacturing</v>
      </c>
      <c r="T750" s="6">
        <f>IFERROR(__xludf.DUMMYFUNCTION("COUNTA(UNIQUE(query($A$2:$P$800,""select L where K='""&amp; K750&amp;""'"")))"),5.0)</f>
        <v>5</v>
      </c>
      <c r="U750" s="23">
        <f t="shared" si="8"/>
        <v>0.06818181818</v>
      </c>
      <c r="V750" s="23">
        <f t="shared" ref="V750:W750" si="1503">P750/O750</f>
        <v>0.1909090909</v>
      </c>
      <c r="W750" s="23">
        <f t="shared" si="1503"/>
        <v>0.8095238095</v>
      </c>
    </row>
    <row r="751">
      <c r="A751" s="6">
        <f>IFERROR(__xludf.DUMMYFUNCTION("""COMPUTED_VALUE"""),543652.0)</f>
        <v>543652</v>
      </c>
      <c r="B751" s="6" t="str">
        <f>IFERROR(__xludf.DUMMYFUNCTION("""COMPUTED_VALUE"""),"Fusion Micro Finance Limited")</f>
        <v>Fusion Micro Finance Limited</v>
      </c>
      <c r="C751" s="6" t="str">
        <f>IFERROR(__xludf.DUMMYFUNCTION("""COMPUTED_VALUE"""),"FUSION")</f>
        <v>FUSION</v>
      </c>
      <c r="D751" s="6" t="str">
        <f>IFERROR(__xludf.DUMMYFUNCTION("""COMPUTED_VALUE"""),"Fusion Micro Finance Ltd")</f>
        <v>Fusion Micro Finance Ltd</v>
      </c>
      <c r="E751" s="6" t="str">
        <f>IFERROR(__xludf.DUMMYFUNCTION("""COMPUTED_VALUE"""),"Active")</f>
        <v>Active</v>
      </c>
      <c r="F751" s="6" t="str">
        <f>IFERROR(__xludf.DUMMYFUNCTION("""COMPUTED_VALUE"""),"A")</f>
        <v>A</v>
      </c>
      <c r="G751" s="6">
        <f>IFERROR(__xludf.DUMMYFUNCTION("""COMPUTED_VALUE"""),10.0)</f>
        <v>10</v>
      </c>
      <c r="H751" s="6" t="str">
        <f>IFERROR(__xludf.DUMMYFUNCTION("""COMPUTED_VALUE"""),"INE139R01012")</f>
        <v>INE139R01012</v>
      </c>
      <c r="I751" s="6" t="str">
        <f>IFERROR(__xludf.DUMMYFUNCTION("""COMPUTED_VALUE"""),"Equity")</f>
        <v>Equity</v>
      </c>
      <c r="J751" s="6" t="str">
        <f>IFERROR(__xludf.DUMMYFUNCTION("""COMPUTED_VALUE"""),"Financial Services")</f>
        <v>Financial Services</v>
      </c>
      <c r="K751" s="6" t="str">
        <f>IFERROR(__xludf.DUMMYFUNCTION("""COMPUTED_VALUE"""),"Financial Services")</f>
        <v>Financial Services</v>
      </c>
      <c r="L751" s="6" t="str">
        <f>IFERROR(__xludf.DUMMYFUNCTION("""COMPUTED_VALUE"""),"Finance")</f>
        <v>Finance</v>
      </c>
      <c r="M751" s="6" t="str">
        <f>IFERROR(__xludf.DUMMYFUNCTION("""COMPUTED_VALUE"""),"Microfinance Institutions")</f>
        <v>Microfinance Institutions</v>
      </c>
      <c r="N751" s="5">
        <f>IFERROR(__xludf.DUMMYFUNCTION("""COMPUTED_VALUE"""),4574.5322839)</f>
        <v>4574.532284</v>
      </c>
      <c r="O751" s="6">
        <f t="shared" si="4"/>
        <v>123</v>
      </c>
      <c r="P751" s="6">
        <f t="shared" ref="P751:Q751" si="1504">COUNTIFS(L:L,L751)</f>
        <v>56</v>
      </c>
      <c r="Q751" s="24">
        <f t="shared" si="1504"/>
        <v>3</v>
      </c>
      <c r="R751" s="6" t="str">
        <f t="shared" si="6"/>
        <v>Finance</v>
      </c>
      <c r="S751" s="6" t="str">
        <f t="shared" si="7"/>
        <v>Finance</v>
      </c>
      <c r="T751" s="6">
        <f>IFERROR(__xludf.DUMMYFUNCTION("COUNTA(UNIQUE(query($A$2:$P$800,""select L where K='""&amp; K751&amp;""'"")))"),5.0)</f>
        <v>5</v>
      </c>
      <c r="U751" s="23">
        <f t="shared" si="8"/>
        <v>0.06097560976</v>
      </c>
      <c r="V751" s="23">
        <f t="shared" ref="V751:W751" si="1505">P751/O751</f>
        <v>0.4552845528</v>
      </c>
      <c r="W751" s="23">
        <f t="shared" si="1505"/>
        <v>0.05357142857</v>
      </c>
    </row>
    <row r="752">
      <c r="A752" s="6">
        <f>IFERROR(__xludf.DUMMYFUNCTION("""COMPUTED_VALUE"""),522034.0)</f>
        <v>522034</v>
      </c>
      <c r="B752" s="6" t="str">
        <f>IFERROR(__xludf.DUMMYFUNCTION("""COMPUTED_VALUE"""),"Shanthi Gears Ltd.")</f>
        <v>Shanthi Gears Ltd.</v>
      </c>
      <c r="C752" s="6" t="str">
        <f>IFERROR(__xludf.DUMMYFUNCTION("""COMPUTED_VALUE"""),"SHANTIGEAR")</f>
        <v>SHANTIGEAR</v>
      </c>
      <c r="D752" s="6" t="str">
        <f>IFERROR(__xludf.DUMMYFUNCTION("""COMPUTED_VALUE"""),"SHANTHI GEARS LTD.")</f>
        <v>SHANTHI GEARS LTD.</v>
      </c>
      <c r="E752" s="6" t="str">
        <f>IFERROR(__xludf.DUMMYFUNCTION("""COMPUTED_VALUE"""),"Active")</f>
        <v>Active</v>
      </c>
      <c r="F752" s="6" t="str">
        <f>IFERROR(__xludf.DUMMYFUNCTION("""COMPUTED_VALUE"""),"B")</f>
        <v>B</v>
      </c>
      <c r="G752" s="6">
        <f>IFERROR(__xludf.DUMMYFUNCTION("""COMPUTED_VALUE"""),1.0)</f>
        <v>1</v>
      </c>
      <c r="H752" s="6" t="str">
        <f>IFERROR(__xludf.DUMMYFUNCTION("""COMPUTED_VALUE"""),"INE631A01022")</f>
        <v>INE631A01022</v>
      </c>
      <c r="I752" s="6" t="str">
        <f>IFERROR(__xludf.DUMMYFUNCTION("""COMPUTED_VALUE"""),"Equity")</f>
        <v>Equity</v>
      </c>
      <c r="J752" s="6" t="str">
        <f>IFERROR(__xludf.DUMMYFUNCTION("""COMPUTED_VALUE"""),"Industrials")</f>
        <v>Industrials</v>
      </c>
      <c r="K752" s="6" t="str">
        <f>IFERROR(__xludf.DUMMYFUNCTION("""COMPUTED_VALUE"""),"Capital Goods")</f>
        <v>Capital Goods</v>
      </c>
      <c r="L752" s="6" t="str">
        <f>IFERROR(__xludf.DUMMYFUNCTION("""COMPUTED_VALUE"""),"Industrial Manufacturing")</f>
        <v>Industrial Manufacturing</v>
      </c>
      <c r="M752" s="6" t="str">
        <f>IFERROR(__xludf.DUMMYFUNCTION("""COMPUTED_VALUE"""),"Industrial Products")</f>
        <v>Industrial Products</v>
      </c>
      <c r="N752" s="5">
        <f>IFERROR(__xludf.DUMMYFUNCTION("""COMPUTED_VALUE"""),4548.69918)</f>
        <v>4548.69918</v>
      </c>
      <c r="O752" s="6">
        <f t="shared" si="4"/>
        <v>110</v>
      </c>
      <c r="P752" s="6">
        <f t="shared" ref="P752:Q752" si="1506">COUNTIFS(L:L,L752)</f>
        <v>21</v>
      </c>
      <c r="Q752" s="24">
        <f t="shared" si="1506"/>
        <v>17</v>
      </c>
      <c r="R752" s="6" t="str">
        <f t="shared" si="6"/>
        <v>Industrial Manufacturing</v>
      </c>
      <c r="S752" s="6" t="str">
        <f t="shared" si="7"/>
        <v>Industrial Manufacturing</v>
      </c>
      <c r="T752" s="6">
        <f>IFERROR(__xludf.DUMMYFUNCTION("COUNTA(UNIQUE(query($A$2:$P$800,""select L where K='""&amp; K752&amp;""'"")))"),5.0)</f>
        <v>5</v>
      </c>
      <c r="U752" s="23">
        <f t="shared" si="8"/>
        <v>0.06818181818</v>
      </c>
      <c r="V752" s="23">
        <f t="shared" ref="V752:W752" si="1507">P752/O752</f>
        <v>0.1909090909</v>
      </c>
      <c r="W752" s="23">
        <f t="shared" si="1507"/>
        <v>0.8095238095</v>
      </c>
    </row>
    <row r="753">
      <c r="A753" s="6">
        <f>IFERROR(__xludf.DUMMYFUNCTION("""COMPUTED_VALUE"""),544027.0)</f>
        <v>544027</v>
      </c>
      <c r="B753" s="6" t="str">
        <f>IFERROR(__xludf.DUMMYFUNCTION("""COMPUTED_VALUE"""),"Fedbank Financial Services Limited")</f>
        <v>Fedbank Financial Services Limited</v>
      </c>
      <c r="C753" s="6" t="str">
        <f>IFERROR(__xludf.DUMMYFUNCTION("""COMPUTED_VALUE"""),"FEDFINA")</f>
        <v>FEDFINA</v>
      </c>
      <c r="D753" s="6" t="str">
        <f>IFERROR(__xludf.DUMMYFUNCTION("""COMPUTED_VALUE"""),"Fedbank Financial Services Ltd")</f>
        <v>Fedbank Financial Services Ltd</v>
      </c>
      <c r="E753" s="6" t="str">
        <f>IFERROR(__xludf.DUMMYFUNCTION("""COMPUTED_VALUE"""),"Active")</f>
        <v>Active</v>
      </c>
      <c r="F753" s="6" t="str">
        <f>IFERROR(__xludf.DUMMYFUNCTION("""COMPUTED_VALUE"""),"B")</f>
        <v>B</v>
      </c>
      <c r="G753" s="6">
        <f>IFERROR(__xludf.DUMMYFUNCTION("""COMPUTED_VALUE"""),10.0)</f>
        <v>10</v>
      </c>
      <c r="H753" s="6" t="str">
        <f>IFERROR(__xludf.DUMMYFUNCTION("""COMPUTED_VALUE"""),"INE007N01010")</f>
        <v>INE007N01010</v>
      </c>
      <c r="I753" s="6" t="str">
        <f>IFERROR(__xludf.DUMMYFUNCTION("""COMPUTED_VALUE"""),"Equity")</f>
        <v>Equity</v>
      </c>
      <c r="J753" s="6" t="str">
        <f>IFERROR(__xludf.DUMMYFUNCTION("""COMPUTED_VALUE"""),"Financial Services")</f>
        <v>Financial Services</v>
      </c>
      <c r="K753" s="6" t="str">
        <f>IFERROR(__xludf.DUMMYFUNCTION("""COMPUTED_VALUE"""),"Financial Services")</f>
        <v>Financial Services</v>
      </c>
      <c r="L753" s="6" t="str">
        <f>IFERROR(__xludf.DUMMYFUNCTION("""COMPUTED_VALUE"""),"Finance")</f>
        <v>Finance</v>
      </c>
      <c r="M753" s="6" t="str">
        <f>IFERROR(__xludf.DUMMYFUNCTION("""COMPUTED_VALUE"""),"Non Banking Financial Company (NBFC)")</f>
        <v>Non Banking Financial Company (NBFC)</v>
      </c>
      <c r="N753" s="5">
        <f>IFERROR(__xludf.DUMMYFUNCTION("""COMPUTED_VALUE"""),4540.9516923)</f>
        <v>4540.951692</v>
      </c>
      <c r="O753" s="6">
        <f t="shared" si="4"/>
        <v>123</v>
      </c>
      <c r="P753" s="6">
        <f t="shared" ref="P753:Q753" si="1508">COUNTIFS(L:L,L753)</f>
        <v>56</v>
      </c>
      <c r="Q753" s="24">
        <f t="shared" si="1508"/>
        <v>21</v>
      </c>
      <c r="R753" s="6" t="str">
        <f t="shared" si="6"/>
        <v>Non Banking Financial Company (NBFC)</v>
      </c>
      <c r="S753" s="6" t="str">
        <f t="shared" si="7"/>
        <v>Non Banking Financial Company (NBFC)</v>
      </c>
      <c r="T753" s="6">
        <f>IFERROR(__xludf.DUMMYFUNCTION("COUNTA(UNIQUE(query($A$2:$P$800,""select L where K='""&amp; K753&amp;""'"")))"),5.0)</f>
        <v>5</v>
      </c>
      <c r="U753" s="23">
        <f t="shared" si="8"/>
        <v>0.06097560976</v>
      </c>
      <c r="V753" s="23">
        <f t="shared" ref="V753:W753" si="1509">P753/O753</f>
        <v>0.4552845528</v>
      </c>
      <c r="W753" s="23">
        <f t="shared" si="1509"/>
        <v>0.375</v>
      </c>
    </row>
    <row r="754">
      <c r="A754" s="6">
        <f>IFERROR(__xludf.DUMMYFUNCTION("""COMPUTED_VALUE"""),539607.0)</f>
        <v>539607</v>
      </c>
      <c r="B754" s="6" t="str">
        <f>IFERROR(__xludf.DUMMYFUNCTION("""COMPUTED_VALUE"""),"Blue Cloud Softech Solutions Limited")</f>
        <v>Blue Cloud Softech Solutions Limited</v>
      </c>
      <c r="C754" s="6" t="str">
        <f>IFERROR(__xludf.DUMMYFUNCTION("""COMPUTED_VALUE"""),"BLUECLOUDS")</f>
        <v>BLUECLOUDS</v>
      </c>
      <c r="D754" s="6" t="str">
        <f>IFERROR(__xludf.DUMMYFUNCTION("""COMPUTED_VALUE"""),"Blue Cloud Softech Solutions Ltd")</f>
        <v>Blue Cloud Softech Solutions Ltd</v>
      </c>
      <c r="E754" s="6" t="str">
        <f>IFERROR(__xludf.DUMMYFUNCTION("""COMPUTED_VALUE"""),"Active")</f>
        <v>Active</v>
      </c>
      <c r="F754" s="6" t="str">
        <f>IFERROR(__xludf.DUMMYFUNCTION("""COMPUTED_VALUE"""),"B")</f>
        <v>B</v>
      </c>
      <c r="G754" s="6">
        <f>IFERROR(__xludf.DUMMYFUNCTION("""COMPUTED_VALUE"""),2.0)</f>
        <v>2</v>
      </c>
      <c r="H754" s="6" t="str">
        <f>IFERROR(__xludf.DUMMYFUNCTION("""COMPUTED_VALUE"""),"INE373T01039")</f>
        <v>INE373T01039</v>
      </c>
      <c r="I754" s="6" t="str">
        <f>IFERROR(__xludf.DUMMYFUNCTION("""COMPUTED_VALUE"""),"Equity")</f>
        <v>Equity</v>
      </c>
      <c r="J754" s="6" t="str">
        <f>IFERROR(__xludf.DUMMYFUNCTION("""COMPUTED_VALUE"""),"Information Technology")</f>
        <v>Information Technology</v>
      </c>
      <c r="K754" s="6" t="str">
        <f>IFERROR(__xludf.DUMMYFUNCTION("""COMPUTED_VALUE"""),"Information Technology")</f>
        <v>Information Technology</v>
      </c>
      <c r="L754" s="6" t="str">
        <f>IFERROR(__xludf.DUMMYFUNCTION("""COMPUTED_VALUE"""),"IT - Software")</f>
        <v>IT - Software</v>
      </c>
      <c r="M754" s="6" t="str">
        <f>IFERROR(__xludf.DUMMYFUNCTION("""COMPUTED_VALUE"""),"Software Products")</f>
        <v>Software Products</v>
      </c>
      <c r="N754" s="5">
        <f>IFERROR(__xludf.DUMMYFUNCTION("""COMPUTED_VALUE"""),4527.0540205)</f>
        <v>4527.054021</v>
      </c>
      <c r="O754" s="6">
        <f t="shared" si="4"/>
        <v>36</v>
      </c>
      <c r="P754" s="6">
        <f t="shared" ref="P754:Q754" si="1510">COUNTIFS(L:L,L754)</f>
        <v>27</v>
      </c>
      <c r="Q754" s="24">
        <f t="shared" si="1510"/>
        <v>5</v>
      </c>
      <c r="R754" s="6" t="str">
        <f t="shared" si="6"/>
        <v>Information Technology</v>
      </c>
      <c r="S754" s="6" t="str">
        <f t="shared" si="7"/>
        <v>Information Technology</v>
      </c>
      <c r="T754" s="6">
        <f>IFERROR(__xludf.DUMMYFUNCTION("COUNTA(UNIQUE(query($A$2:$P$800,""select L where K='""&amp; K754&amp;""'"")))"),3.0)</f>
        <v>3</v>
      </c>
      <c r="U754" s="23">
        <f t="shared" si="8"/>
        <v>0.125</v>
      </c>
      <c r="V754" s="23">
        <f t="shared" ref="V754:W754" si="1511">P754/O754</f>
        <v>0.75</v>
      </c>
      <c r="W754" s="23">
        <f t="shared" si="1511"/>
        <v>0.1851851852</v>
      </c>
    </row>
    <row r="755">
      <c r="Q755" s="24"/>
      <c r="U755" s="23"/>
      <c r="V755" s="23"/>
      <c r="W755" s="23"/>
    </row>
    <row r="756">
      <c r="Q756" s="24"/>
      <c r="U756" s="23"/>
      <c r="V756" s="23"/>
      <c r="W756" s="23"/>
    </row>
    <row r="757">
      <c r="Q757" s="24"/>
      <c r="U757" s="23"/>
      <c r="V757" s="23"/>
      <c r="W757" s="23"/>
    </row>
    <row r="758">
      <c r="Q758" s="24"/>
      <c r="U758" s="23"/>
      <c r="V758" s="23"/>
      <c r="W758" s="23"/>
    </row>
    <row r="759">
      <c r="Q759" s="24"/>
      <c r="U759" s="23"/>
      <c r="V759" s="23"/>
      <c r="W759" s="23"/>
    </row>
    <row r="760">
      <c r="Q760" s="24"/>
      <c r="U760" s="23"/>
      <c r="V760" s="23"/>
      <c r="W760" s="23"/>
    </row>
    <row r="761">
      <c r="Q761" s="24"/>
      <c r="U761" s="23"/>
      <c r="V761" s="23"/>
      <c r="W761" s="23"/>
    </row>
    <row r="762">
      <c r="Q762" s="24"/>
      <c r="U762" s="23"/>
      <c r="V762" s="23"/>
      <c r="W762" s="23"/>
    </row>
    <row r="763">
      <c r="Q763" s="24"/>
      <c r="U763" s="23"/>
      <c r="V763" s="23"/>
      <c r="W763" s="23"/>
    </row>
    <row r="764">
      <c r="Q764" s="24"/>
      <c r="U764" s="23"/>
      <c r="V764" s="23"/>
      <c r="W764" s="23"/>
    </row>
    <row r="765">
      <c r="Q765" s="24"/>
      <c r="U765" s="23"/>
      <c r="V765" s="23"/>
      <c r="W765" s="23"/>
    </row>
    <row r="766">
      <c r="Q766" s="24"/>
      <c r="U766" s="23"/>
      <c r="V766" s="23"/>
      <c r="W766" s="23"/>
    </row>
    <row r="767">
      <c r="Q767" s="24"/>
      <c r="U767" s="23"/>
      <c r="V767" s="23"/>
      <c r="W767" s="23"/>
    </row>
    <row r="768">
      <c r="Q768" s="24"/>
      <c r="U768" s="23"/>
      <c r="V768" s="23"/>
      <c r="W768" s="23"/>
    </row>
    <row r="769">
      <c r="Q769" s="24"/>
      <c r="U769" s="23"/>
      <c r="V769" s="23"/>
      <c r="W769" s="23"/>
    </row>
    <row r="770">
      <c r="Q770" s="24"/>
      <c r="U770" s="23"/>
      <c r="V770" s="23"/>
      <c r="W770" s="23"/>
    </row>
    <row r="771">
      <c r="Q771" s="24"/>
      <c r="U771" s="23"/>
      <c r="V771" s="23"/>
      <c r="W771" s="23"/>
    </row>
    <row r="772">
      <c r="Q772" s="24"/>
      <c r="U772" s="23"/>
      <c r="V772" s="23"/>
      <c r="W772" s="23"/>
    </row>
    <row r="773">
      <c r="Q773" s="24"/>
      <c r="U773" s="23"/>
      <c r="V773" s="23"/>
      <c r="W773" s="23"/>
    </row>
    <row r="774">
      <c r="Q774" s="24"/>
      <c r="U774" s="23"/>
      <c r="V774" s="23"/>
      <c r="W774" s="23"/>
    </row>
    <row r="775">
      <c r="Q775" s="24"/>
      <c r="U775" s="23"/>
      <c r="V775" s="23"/>
      <c r="W775" s="23"/>
    </row>
    <row r="776">
      <c r="Q776" s="24"/>
      <c r="U776" s="23"/>
      <c r="V776" s="23"/>
      <c r="W776" s="23"/>
    </row>
    <row r="777">
      <c r="Q777" s="24"/>
      <c r="U777" s="23"/>
      <c r="V777" s="23"/>
      <c r="W777" s="23"/>
    </row>
    <row r="778">
      <c r="Q778" s="24"/>
      <c r="U778" s="23"/>
      <c r="V778" s="23"/>
      <c r="W778" s="23"/>
    </row>
    <row r="779">
      <c r="Q779" s="24"/>
      <c r="U779" s="23"/>
      <c r="V779" s="23"/>
      <c r="W779" s="23"/>
    </row>
    <row r="780">
      <c r="Q780" s="24"/>
      <c r="U780" s="23"/>
      <c r="V780" s="23"/>
      <c r="W780" s="23"/>
    </row>
    <row r="781">
      <c r="Q781" s="24"/>
      <c r="U781" s="23"/>
      <c r="V781" s="23"/>
      <c r="W781" s="23"/>
    </row>
    <row r="782">
      <c r="Q782" s="24"/>
      <c r="U782" s="23"/>
      <c r="V782" s="23"/>
      <c r="W782" s="23"/>
    </row>
    <row r="783">
      <c r="Q783" s="24"/>
      <c r="U783" s="23"/>
      <c r="V783" s="23"/>
      <c r="W783" s="23"/>
    </row>
    <row r="784">
      <c r="Q784" s="24"/>
      <c r="U784" s="23"/>
      <c r="V784" s="23"/>
      <c r="W784" s="23"/>
    </row>
    <row r="785">
      <c r="Q785" s="24"/>
      <c r="U785" s="23"/>
      <c r="V785" s="23"/>
      <c r="W785" s="23"/>
    </row>
    <row r="786">
      <c r="Q786" s="24"/>
      <c r="U786" s="23"/>
      <c r="V786" s="23"/>
      <c r="W786" s="23"/>
    </row>
    <row r="787">
      <c r="Q787" s="24"/>
      <c r="U787" s="23"/>
      <c r="V787" s="23"/>
      <c r="W787" s="23"/>
    </row>
    <row r="788">
      <c r="Q788" s="24"/>
      <c r="U788" s="23"/>
      <c r="V788" s="23"/>
      <c r="W788" s="23"/>
    </row>
    <row r="789">
      <c r="Q789" s="24"/>
      <c r="U789" s="23"/>
      <c r="V789" s="23"/>
      <c r="W789" s="23"/>
    </row>
    <row r="790">
      <c r="Q790" s="24"/>
      <c r="U790" s="23"/>
      <c r="V790" s="23"/>
      <c r="W790" s="23"/>
    </row>
    <row r="791">
      <c r="Q791" s="24"/>
      <c r="U791" s="23"/>
      <c r="V791" s="23"/>
      <c r="W791" s="23"/>
    </row>
    <row r="792">
      <c r="Q792" s="24"/>
      <c r="U792" s="23"/>
      <c r="V792" s="23"/>
      <c r="W792" s="23"/>
    </row>
    <row r="793">
      <c r="Q793" s="24"/>
      <c r="U793" s="23"/>
      <c r="V793" s="23"/>
      <c r="W793" s="23"/>
    </row>
    <row r="794">
      <c r="Q794" s="24"/>
      <c r="U794" s="23"/>
      <c r="V794" s="23"/>
      <c r="W794" s="23"/>
    </row>
    <row r="795">
      <c r="Q795" s="24"/>
      <c r="U795" s="23"/>
      <c r="V795" s="23"/>
      <c r="W795" s="23"/>
    </row>
    <row r="796">
      <c r="Q796" s="24"/>
      <c r="U796" s="23"/>
      <c r="V796" s="23"/>
      <c r="W796" s="23"/>
    </row>
    <row r="797">
      <c r="Q797" s="24"/>
      <c r="U797" s="23"/>
      <c r="V797" s="23"/>
      <c r="W797" s="23"/>
    </row>
    <row r="798">
      <c r="Q798" s="24"/>
      <c r="U798" s="23"/>
      <c r="V798" s="23"/>
      <c r="W798" s="23"/>
    </row>
    <row r="799">
      <c r="Q799" s="24"/>
      <c r="U799" s="23"/>
      <c r="V799" s="23"/>
      <c r="W799" s="23"/>
    </row>
    <row r="800">
      <c r="Q800" s="24"/>
      <c r="U800" s="23"/>
      <c r="V800" s="23"/>
      <c r="W800" s="23"/>
    </row>
    <row r="801">
      <c r="Q801" s="24"/>
      <c r="U801" s="23"/>
      <c r="V801" s="23"/>
      <c r="W801" s="23"/>
    </row>
    <row r="802">
      <c r="Q802" s="24"/>
      <c r="U802" s="23"/>
      <c r="V802" s="23"/>
      <c r="W802" s="23"/>
    </row>
    <row r="803">
      <c r="Q803" s="24"/>
      <c r="U803" s="23"/>
      <c r="V803" s="23"/>
      <c r="W803" s="23"/>
    </row>
    <row r="804">
      <c r="Q804" s="24"/>
      <c r="U804" s="23"/>
      <c r="V804" s="23"/>
      <c r="W804" s="23"/>
    </row>
    <row r="805">
      <c r="Q805" s="24"/>
      <c r="U805" s="23"/>
      <c r="V805" s="23"/>
      <c r="W805" s="23"/>
    </row>
    <row r="806">
      <c r="Q806" s="24"/>
      <c r="U806" s="23"/>
      <c r="V806" s="23"/>
      <c r="W806" s="23"/>
    </row>
    <row r="807">
      <c r="Q807" s="24"/>
      <c r="U807" s="23"/>
      <c r="V807" s="23"/>
      <c r="W807" s="23"/>
    </row>
    <row r="808">
      <c r="Q808" s="24"/>
      <c r="U808" s="23"/>
      <c r="V808" s="23"/>
      <c r="W808" s="23"/>
    </row>
    <row r="809">
      <c r="Q809" s="24"/>
      <c r="U809" s="23"/>
      <c r="V809" s="23"/>
      <c r="W809" s="23"/>
    </row>
    <row r="810">
      <c r="Q810" s="24"/>
      <c r="U810" s="23"/>
      <c r="V810" s="23"/>
      <c r="W810" s="23"/>
    </row>
    <row r="811">
      <c r="Q811" s="24"/>
      <c r="U811" s="23"/>
      <c r="V811" s="23"/>
      <c r="W811" s="23"/>
    </row>
    <row r="812">
      <c r="Q812" s="24"/>
      <c r="U812" s="23"/>
      <c r="V812" s="23"/>
      <c r="W812" s="23"/>
    </row>
    <row r="813">
      <c r="Q813" s="24"/>
      <c r="U813" s="23"/>
      <c r="V813" s="23"/>
      <c r="W813" s="23"/>
    </row>
    <row r="814">
      <c r="Q814" s="24"/>
      <c r="U814" s="23"/>
      <c r="V814" s="23"/>
      <c r="W814" s="23"/>
    </row>
    <row r="815">
      <c r="Q815" s="24"/>
      <c r="U815" s="23"/>
      <c r="V815" s="23"/>
      <c r="W815" s="23"/>
    </row>
    <row r="816">
      <c r="Q816" s="24"/>
      <c r="U816" s="23"/>
      <c r="V816" s="23"/>
      <c r="W816" s="23"/>
    </row>
    <row r="817">
      <c r="Q817" s="24"/>
      <c r="U817" s="23"/>
      <c r="V817" s="23"/>
      <c r="W817" s="23"/>
    </row>
    <row r="818">
      <c r="Q818" s="24"/>
      <c r="U818" s="23"/>
      <c r="V818" s="23"/>
      <c r="W818" s="23"/>
    </row>
    <row r="819">
      <c r="Q819" s="24"/>
      <c r="U819" s="23"/>
      <c r="V819" s="23"/>
      <c r="W819" s="23"/>
    </row>
    <row r="820">
      <c r="Q820" s="24"/>
      <c r="U820" s="23"/>
      <c r="V820" s="23"/>
      <c r="W820" s="23"/>
    </row>
    <row r="821">
      <c r="Q821" s="24"/>
      <c r="U821" s="23"/>
      <c r="V821" s="23"/>
      <c r="W821" s="23"/>
    </row>
    <row r="822">
      <c r="Q822" s="24"/>
      <c r="U822" s="23"/>
      <c r="V822" s="23"/>
      <c r="W822" s="23"/>
    </row>
    <row r="823">
      <c r="Q823" s="24"/>
      <c r="U823" s="23"/>
      <c r="V823" s="23"/>
      <c r="W823" s="23"/>
    </row>
    <row r="824">
      <c r="Q824" s="24"/>
      <c r="U824" s="23"/>
      <c r="V824" s="23"/>
      <c r="W824" s="23"/>
    </row>
    <row r="825">
      <c r="Q825" s="24"/>
      <c r="U825" s="23"/>
      <c r="V825" s="23"/>
      <c r="W825" s="23"/>
    </row>
    <row r="826">
      <c r="Q826" s="24"/>
      <c r="U826" s="23"/>
      <c r="V826" s="23"/>
      <c r="W826" s="23"/>
    </row>
    <row r="827">
      <c r="Q827" s="24"/>
      <c r="U827" s="23"/>
      <c r="V827" s="23"/>
      <c r="W827" s="23"/>
    </row>
    <row r="828">
      <c r="Q828" s="24"/>
      <c r="U828" s="23"/>
      <c r="V828" s="23"/>
      <c r="W828" s="23"/>
    </row>
    <row r="829">
      <c r="Q829" s="24"/>
      <c r="U829" s="23"/>
      <c r="V829" s="23"/>
      <c r="W829" s="23"/>
    </row>
    <row r="830">
      <c r="Q830" s="24"/>
      <c r="U830" s="23"/>
      <c r="V830" s="23"/>
      <c r="W830" s="23"/>
    </row>
    <row r="831">
      <c r="Q831" s="24"/>
      <c r="U831" s="23"/>
      <c r="V831" s="23"/>
      <c r="W831" s="23"/>
    </row>
    <row r="832">
      <c r="Q832" s="24"/>
      <c r="U832" s="23"/>
      <c r="V832" s="23"/>
      <c r="W832" s="23"/>
    </row>
    <row r="833">
      <c r="Q833" s="24"/>
      <c r="U833" s="23"/>
      <c r="V833" s="23"/>
      <c r="W833" s="23"/>
    </row>
    <row r="834">
      <c r="Q834" s="24"/>
      <c r="U834" s="23"/>
      <c r="V834" s="23"/>
      <c r="W834" s="23"/>
    </row>
    <row r="835">
      <c r="Q835" s="24"/>
      <c r="U835" s="23"/>
      <c r="V835" s="23"/>
      <c r="W835" s="23"/>
    </row>
    <row r="836">
      <c r="Q836" s="24"/>
      <c r="U836" s="23"/>
      <c r="V836" s="23"/>
      <c r="W836" s="23"/>
    </row>
    <row r="837">
      <c r="Q837" s="24"/>
      <c r="U837" s="23"/>
      <c r="V837" s="23"/>
      <c r="W837" s="23"/>
    </row>
    <row r="838">
      <c r="Q838" s="24"/>
      <c r="U838" s="23"/>
      <c r="V838" s="23"/>
      <c r="W838" s="23"/>
    </row>
    <row r="839">
      <c r="Q839" s="24"/>
      <c r="U839" s="23"/>
      <c r="V839" s="23"/>
      <c r="W839" s="23"/>
    </row>
    <row r="840">
      <c r="Q840" s="24"/>
      <c r="U840" s="23"/>
      <c r="V840" s="23"/>
      <c r="W840" s="23"/>
    </row>
    <row r="841">
      <c r="Q841" s="24"/>
      <c r="U841" s="23"/>
      <c r="V841" s="23"/>
      <c r="W841" s="23"/>
    </row>
    <row r="842">
      <c r="Q842" s="24"/>
      <c r="U842" s="23"/>
      <c r="V842" s="23"/>
      <c r="W842" s="23"/>
    </row>
    <row r="843">
      <c r="Q843" s="24"/>
      <c r="U843" s="23"/>
      <c r="V843" s="23"/>
      <c r="W843" s="23"/>
    </row>
    <row r="844">
      <c r="Q844" s="24"/>
      <c r="U844" s="23"/>
      <c r="V844" s="23"/>
      <c r="W844" s="23"/>
    </row>
    <row r="845">
      <c r="Q845" s="24"/>
      <c r="U845" s="23"/>
      <c r="V845" s="23"/>
      <c r="W845" s="23"/>
    </row>
    <row r="846">
      <c r="Q846" s="24"/>
      <c r="U846" s="23"/>
      <c r="V846" s="23"/>
      <c r="W846" s="23"/>
    </row>
    <row r="847">
      <c r="Q847" s="24"/>
      <c r="U847" s="23"/>
      <c r="V847" s="23"/>
      <c r="W847" s="23"/>
    </row>
    <row r="848">
      <c r="Q848" s="24"/>
      <c r="U848" s="23"/>
      <c r="V848" s="23"/>
      <c r="W848" s="23"/>
    </row>
    <row r="849">
      <c r="Q849" s="24"/>
      <c r="U849" s="23"/>
      <c r="V849" s="23"/>
      <c r="W849" s="23"/>
    </row>
    <row r="850">
      <c r="Q850" s="24"/>
      <c r="U850" s="23"/>
      <c r="V850" s="23"/>
      <c r="W850" s="23"/>
    </row>
    <row r="851">
      <c r="Q851" s="24"/>
      <c r="U851" s="23"/>
      <c r="V851" s="23"/>
      <c r="W851" s="23"/>
    </row>
    <row r="852">
      <c r="Q852" s="24"/>
      <c r="U852" s="23"/>
      <c r="V852" s="23"/>
      <c r="W852" s="23"/>
    </row>
    <row r="853">
      <c r="Q853" s="24"/>
      <c r="U853" s="23"/>
      <c r="V853" s="23"/>
      <c r="W853" s="23"/>
    </row>
    <row r="854">
      <c r="Q854" s="24"/>
      <c r="U854" s="23"/>
      <c r="V854" s="23"/>
      <c r="W854" s="23"/>
    </row>
    <row r="855">
      <c r="Q855" s="24"/>
      <c r="U855" s="23"/>
      <c r="V855" s="23"/>
      <c r="W855" s="23"/>
    </row>
    <row r="856">
      <c r="Q856" s="24"/>
      <c r="U856" s="23"/>
      <c r="V856" s="23"/>
      <c r="W856" s="23"/>
    </row>
    <row r="857">
      <c r="Q857" s="24"/>
      <c r="U857" s="23"/>
      <c r="V857" s="23"/>
      <c r="W857" s="23"/>
    </row>
    <row r="858">
      <c r="Q858" s="24"/>
      <c r="U858" s="23"/>
      <c r="V858" s="23"/>
      <c r="W858" s="23"/>
    </row>
    <row r="859">
      <c r="Q859" s="24"/>
      <c r="U859" s="23"/>
      <c r="V859" s="23"/>
      <c r="W859" s="23"/>
    </row>
    <row r="860">
      <c r="Q860" s="24"/>
      <c r="U860" s="23"/>
      <c r="V860" s="23"/>
      <c r="W860" s="23"/>
    </row>
    <row r="861">
      <c r="Q861" s="24"/>
      <c r="U861" s="23"/>
      <c r="V861" s="23"/>
      <c r="W861" s="23"/>
    </row>
    <row r="862">
      <c r="Q862" s="24"/>
      <c r="U862" s="23"/>
      <c r="V862" s="23"/>
      <c r="W862" s="23"/>
    </row>
    <row r="863">
      <c r="Q863" s="24"/>
      <c r="U863" s="23"/>
      <c r="V863" s="23"/>
      <c r="W863" s="23"/>
    </row>
    <row r="864">
      <c r="Q864" s="24"/>
      <c r="U864" s="23"/>
      <c r="V864" s="23"/>
      <c r="W864" s="23"/>
    </row>
    <row r="865">
      <c r="Q865" s="24"/>
      <c r="U865" s="23"/>
      <c r="V865" s="23"/>
      <c r="W865" s="23"/>
    </row>
    <row r="866">
      <c r="Q866" s="24"/>
      <c r="U866" s="23"/>
      <c r="V866" s="23"/>
      <c r="W866" s="23"/>
    </row>
    <row r="867">
      <c r="Q867" s="24"/>
      <c r="U867" s="23"/>
      <c r="V867" s="23"/>
      <c r="W867" s="23"/>
    </row>
    <row r="868">
      <c r="Q868" s="24"/>
      <c r="U868" s="23"/>
      <c r="V868" s="23"/>
      <c r="W868" s="23"/>
    </row>
    <row r="869">
      <c r="Q869" s="24"/>
      <c r="U869" s="23"/>
      <c r="V869" s="23"/>
      <c r="W869" s="23"/>
    </row>
    <row r="870">
      <c r="Q870" s="24"/>
      <c r="U870" s="23"/>
      <c r="V870" s="23"/>
      <c r="W870" s="23"/>
    </row>
    <row r="871">
      <c r="Q871" s="24"/>
      <c r="U871" s="23"/>
      <c r="V871" s="23"/>
      <c r="W871" s="23"/>
    </row>
    <row r="872">
      <c r="Q872" s="24"/>
      <c r="U872" s="23"/>
      <c r="V872" s="23"/>
      <c r="W872" s="23"/>
    </row>
    <row r="873">
      <c r="Q873" s="24"/>
      <c r="U873" s="23"/>
      <c r="V873" s="23"/>
      <c r="W873" s="23"/>
    </row>
    <row r="874">
      <c r="Q874" s="24"/>
      <c r="U874" s="23"/>
      <c r="V874" s="23"/>
      <c r="W874" s="23"/>
    </row>
    <row r="875">
      <c r="Q875" s="24"/>
      <c r="U875" s="23"/>
      <c r="V875" s="23"/>
      <c r="W875" s="23"/>
    </row>
    <row r="876">
      <c r="Q876" s="24"/>
      <c r="U876" s="23"/>
      <c r="V876" s="23"/>
      <c r="W876" s="23"/>
    </row>
    <row r="877">
      <c r="Q877" s="24"/>
      <c r="U877" s="23"/>
      <c r="V877" s="23"/>
      <c r="W877" s="23"/>
    </row>
    <row r="878">
      <c r="Q878" s="24"/>
      <c r="U878" s="23"/>
      <c r="V878" s="23"/>
      <c r="W878" s="23"/>
    </row>
    <row r="879">
      <c r="Q879" s="24"/>
      <c r="U879" s="23"/>
      <c r="V879" s="23"/>
      <c r="W879" s="23"/>
    </row>
    <row r="880">
      <c r="Q880" s="24"/>
      <c r="U880" s="23"/>
      <c r="V880" s="23"/>
      <c r="W880" s="23"/>
    </row>
    <row r="881">
      <c r="Q881" s="24"/>
      <c r="U881" s="23"/>
      <c r="V881" s="23"/>
      <c r="W881" s="23"/>
    </row>
    <row r="882">
      <c r="Q882" s="24"/>
      <c r="U882" s="23"/>
      <c r="V882" s="23"/>
      <c r="W882" s="23"/>
    </row>
    <row r="883">
      <c r="Q883" s="24"/>
      <c r="U883" s="23"/>
      <c r="V883" s="23"/>
      <c r="W883" s="23"/>
    </row>
    <row r="884">
      <c r="Q884" s="24"/>
      <c r="U884" s="23"/>
      <c r="V884" s="23"/>
      <c r="W884" s="23"/>
    </row>
    <row r="885">
      <c r="Q885" s="24"/>
      <c r="U885" s="23"/>
      <c r="V885" s="23"/>
      <c r="W885" s="23"/>
    </row>
    <row r="886">
      <c r="Q886" s="24"/>
      <c r="U886" s="23"/>
      <c r="V886" s="23"/>
      <c r="W886" s="23"/>
    </row>
    <row r="887">
      <c r="Q887" s="24"/>
      <c r="U887" s="23"/>
      <c r="V887" s="23"/>
      <c r="W887" s="23"/>
    </row>
    <row r="888">
      <c r="Q888" s="24"/>
      <c r="U888" s="23"/>
      <c r="V888" s="23"/>
      <c r="W888" s="23"/>
    </row>
    <row r="889">
      <c r="Q889" s="24"/>
      <c r="U889" s="23"/>
      <c r="V889" s="23"/>
      <c r="W889" s="23"/>
    </row>
    <row r="890">
      <c r="Q890" s="24"/>
      <c r="U890" s="23"/>
      <c r="V890" s="23"/>
      <c r="W890" s="23"/>
    </row>
    <row r="891">
      <c r="Q891" s="24"/>
      <c r="U891" s="23"/>
      <c r="V891" s="23"/>
      <c r="W891" s="23"/>
    </row>
    <row r="892">
      <c r="Q892" s="24"/>
      <c r="U892" s="23"/>
      <c r="V892" s="23"/>
      <c r="W892" s="23"/>
    </row>
    <row r="893">
      <c r="U893" s="23"/>
      <c r="V893" s="23"/>
      <c r="W893" s="23"/>
    </row>
    <row r="894">
      <c r="U894" s="23"/>
      <c r="V894" s="23"/>
      <c r="W894" s="23"/>
    </row>
    <row r="895">
      <c r="U895" s="23"/>
      <c r="V895" s="23"/>
      <c r="W895" s="23"/>
    </row>
    <row r="896">
      <c r="U896" s="23"/>
      <c r="V896" s="23"/>
      <c r="W896" s="23"/>
    </row>
    <row r="897">
      <c r="U897" s="23"/>
      <c r="V897" s="23"/>
      <c r="W897" s="23"/>
    </row>
    <row r="898">
      <c r="U898" s="23"/>
      <c r="V898" s="23"/>
      <c r="W898" s="23"/>
    </row>
    <row r="899">
      <c r="U899" s="23"/>
      <c r="V899" s="23"/>
      <c r="W899" s="23"/>
    </row>
    <row r="900">
      <c r="U900" s="23"/>
      <c r="V900" s="23"/>
      <c r="W900" s="23"/>
    </row>
    <row r="901">
      <c r="U901" s="23"/>
      <c r="V901" s="23"/>
      <c r="W901" s="23"/>
    </row>
    <row r="902">
      <c r="U902" s="23"/>
      <c r="V902" s="23"/>
      <c r="W902" s="23"/>
    </row>
    <row r="903">
      <c r="U903" s="23"/>
      <c r="V903" s="23"/>
      <c r="W903" s="23"/>
    </row>
    <row r="904">
      <c r="U904" s="23"/>
      <c r="V904" s="23"/>
      <c r="W904" s="23"/>
    </row>
    <row r="905">
      <c r="U905" s="23"/>
      <c r="V905" s="23"/>
      <c r="W905" s="23"/>
    </row>
    <row r="906">
      <c r="U906" s="23"/>
      <c r="V906" s="23"/>
      <c r="W906" s="23"/>
    </row>
    <row r="907">
      <c r="U907" s="23"/>
      <c r="V907" s="23"/>
      <c r="W907" s="23"/>
    </row>
    <row r="908">
      <c r="U908" s="23"/>
      <c r="V908" s="23"/>
      <c r="W908" s="23"/>
    </row>
    <row r="909">
      <c r="U909" s="23"/>
      <c r="V909" s="23"/>
      <c r="W909" s="23"/>
    </row>
    <row r="910">
      <c r="U910" s="23"/>
      <c r="V910" s="23"/>
      <c r="W910" s="23"/>
    </row>
    <row r="911">
      <c r="U911" s="23"/>
      <c r="V911" s="23"/>
      <c r="W911" s="23"/>
    </row>
    <row r="912">
      <c r="U912" s="23"/>
      <c r="V912" s="23"/>
      <c r="W912" s="23"/>
    </row>
    <row r="913">
      <c r="U913" s="23"/>
      <c r="V913" s="23"/>
      <c r="W913" s="23"/>
    </row>
    <row r="914">
      <c r="U914" s="23"/>
      <c r="V914" s="23"/>
      <c r="W914" s="23"/>
    </row>
    <row r="915">
      <c r="U915" s="23"/>
      <c r="V915" s="23"/>
      <c r="W915" s="23"/>
    </row>
    <row r="916">
      <c r="U916" s="23"/>
      <c r="V916" s="23"/>
      <c r="W916" s="23"/>
    </row>
    <row r="917">
      <c r="U917" s="23"/>
      <c r="V917" s="23"/>
      <c r="W917" s="23"/>
    </row>
    <row r="918">
      <c r="U918" s="23"/>
      <c r="V918" s="23"/>
      <c r="W918" s="23"/>
    </row>
    <row r="919">
      <c r="U919" s="23"/>
      <c r="V919" s="23"/>
      <c r="W919" s="23"/>
    </row>
    <row r="920">
      <c r="U920" s="23"/>
      <c r="V920" s="23"/>
      <c r="W920" s="23"/>
    </row>
    <row r="921">
      <c r="U921" s="23"/>
      <c r="V921" s="23"/>
      <c r="W921" s="23"/>
    </row>
    <row r="922">
      <c r="U922" s="23"/>
      <c r="V922" s="23"/>
      <c r="W922" s="23"/>
    </row>
    <row r="923">
      <c r="U923" s="23"/>
      <c r="V923" s="23"/>
      <c r="W923" s="23"/>
    </row>
    <row r="924">
      <c r="U924" s="23"/>
      <c r="V924" s="23"/>
      <c r="W924" s="23"/>
    </row>
    <row r="925">
      <c r="U925" s="23"/>
      <c r="V925" s="23"/>
      <c r="W925" s="23"/>
    </row>
    <row r="926">
      <c r="U926" s="23"/>
      <c r="V926" s="23"/>
      <c r="W926" s="23"/>
    </row>
    <row r="927">
      <c r="U927" s="23"/>
      <c r="V927" s="23"/>
      <c r="W927" s="23"/>
    </row>
    <row r="928">
      <c r="U928" s="23"/>
      <c r="V928" s="23"/>
      <c r="W928" s="23"/>
    </row>
    <row r="929">
      <c r="U929" s="23"/>
      <c r="V929" s="23"/>
      <c r="W929" s="23"/>
    </row>
    <row r="930">
      <c r="U930" s="23"/>
      <c r="V930" s="23"/>
      <c r="W930" s="23"/>
    </row>
    <row r="931">
      <c r="U931" s="23"/>
      <c r="V931" s="23"/>
      <c r="W931" s="23"/>
    </row>
    <row r="932">
      <c r="U932" s="23"/>
      <c r="V932" s="23"/>
      <c r="W932" s="23"/>
    </row>
    <row r="933">
      <c r="U933" s="23"/>
      <c r="V933" s="23"/>
      <c r="W933" s="23"/>
    </row>
    <row r="934">
      <c r="U934" s="23"/>
      <c r="V934" s="23"/>
      <c r="W934" s="23"/>
    </row>
    <row r="935">
      <c r="U935" s="23"/>
      <c r="V935" s="23"/>
      <c r="W935" s="23"/>
    </row>
    <row r="936">
      <c r="U936" s="23"/>
      <c r="V936" s="23"/>
      <c r="W936" s="23"/>
    </row>
    <row r="937">
      <c r="U937" s="23"/>
      <c r="V937" s="23"/>
      <c r="W937" s="23"/>
    </row>
    <row r="938">
      <c r="U938" s="23"/>
      <c r="V938" s="23"/>
      <c r="W938" s="23"/>
    </row>
    <row r="939">
      <c r="U939" s="23"/>
      <c r="V939" s="23"/>
      <c r="W939" s="23"/>
    </row>
    <row r="940">
      <c r="U940" s="23"/>
      <c r="V940" s="23"/>
      <c r="W940" s="23"/>
    </row>
    <row r="941">
      <c r="U941" s="23"/>
      <c r="V941" s="23"/>
      <c r="W941" s="23"/>
    </row>
    <row r="942">
      <c r="U942" s="23"/>
      <c r="V942" s="23"/>
      <c r="W942" s="23"/>
    </row>
    <row r="943">
      <c r="U943" s="23"/>
      <c r="V943" s="23"/>
      <c r="W943" s="23"/>
    </row>
    <row r="944">
      <c r="U944" s="23"/>
      <c r="V944" s="23"/>
      <c r="W944" s="23"/>
    </row>
    <row r="945">
      <c r="U945" s="23"/>
      <c r="V945" s="23"/>
      <c r="W945" s="23"/>
    </row>
    <row r="946">
      <c r="U946" s="23"/>
      <c r="V946" s="23"/>
      <c r="W946" s="23"/>
    </row>
    <row r="947">
      <c r="U947" s="23"/>
      <c r="V947" s="23"/>
      <c r="W947" s="23"/>
    </row>
    <row r="948">
      <c r="U948" s="23"/>
      <c r="V948" s="23"/>
      <c r="W948" s="23"/>
    </row>
    <row r="949">
      <c r="U949" s="23"/>
      <c r="V949" s="23"/>
      <c r="W949" s="23"/>
    </row>
    <row r="950">
      <c r="U950" s="23"/>
      <c r="V950" s="23"/>
      <c r="W950" s="23"/>
    </row>
    <row r="951">
      <c r="U951" s="23"/>
      <c r="V951" s="23"/>
      <c r="W951" s="23"/>
    </row>
    <row r="952">
      <c r="U952" s="23"/>
      <c r="V952" s="23"/>
      <c r="W952" s="23"/>
    </row>
    <row r="953">
      <c r="U953" s="23"/>
      <c r="V953" s="23"/>
      <c r="W953" s="23"/>
    </row>
    <row r="954">
      <c r="U954" s="23"/>
      <c r="V954" s="23"/>
      <c r="W954" s="23"/>
    </row>
    <row r="955">
      <c r="U955" s="23"/>
      <c r="V955" s="23"/>
      <c r="W955" s="23"/>
    </row>
    <row r="956">
      <c r="U956" s="23"/>
      <c r="V956" s="23"/>
      <c r="W956" s="23"/>
    </row>
    <row r="957">
      <c r="U957" s="23"/>
      <c r="V957" s="23"/>
      <c r="W957" s="23"/>
    </row>
    <row r="958">
      <c r="U958" s="23"/>
      <c r="V958" s="23"/>
      <c r="W958" s="23"/>
    </row>
    <row r="959">
      <c r="U959" s="23"/>
      <c r="V959" s="23"/>
      <c r="W959" s="23"/>
    </row>
    <row r="960">
      <c r="U960" s="23"/>
      <c r="V960" s="23"/>
      <c r="W960" s="23"/>
    </row>
    <row r="961">
      <c r="U961" s="23"/>
      <c r="V961" s="23"/>
      <c r="W961" s="23"/>
    </row>
    <row r="962">
      <c r="U962" s="23"/>
      <c r="V962" s="23"/>
      <c r="W962" s="23"/>
    </row>
    <row r="963">
      <c r="U963" s="23"/>
      <c r="V963" s="23"/>
      <c r="W963" s="23"/>
    </row>
    <row r="964">
      <c r="U964" s="23"/>
      <c r="V964" s="23"/>
      <c r="W964" s="23"/>
    </row>
    <row r="965">
      <c r="U965" s="23"/>
      <c r="V965" s="23"/>
      <c r="W965" s="23"/>
    </row>
    <row r="966">
      <c r="U966" s="23"/>
      <c r="V966" s="23"/>
      <c r="W966" s="23"/>
    </row>
    <row r="967">
      <c r="U967" s="23"/>
      <c r="V967" s="23"/>
      <c r="W967" s="23"/>
    </row>
    <row r="968">
      <c r="U968" s="23"/>
      <c r="V968" s="23"/>
      <c r="W968" s="23"/>
    </row>
    <row r="969">
      <c r="U969" s="23"/>
      <c r="V969" s="23"/>
      <c r="W969" s="23"/>
    </row>
    <row r="970">
      <c r="U970" s="23"/>
      <c r="V970" s="23"/>
      <c r="W970" s="23"/>
    </row>
    <row r="971">
      <c r="U971" s="23"/>
      <c r="V971" s="23"/>
      <c r="W971" s="23"/>
    </row>
    <row r="972">
      <c r="U972" s="23"/>
      <c r="V972" s="23"/>
      <c r="W972" s="23"/>
    </row>
    <row r="973">
      <c r="U973" s="23"/>
      <c r="V973" s="23"/>
      <c r="W973" s="23"/>
    </row>
    <row r="974">
      <c r="U974" s="23"/>
      <c r="V974" s="23"/>
      <c r="W974" s="23"/>
    </row>
    <row r="975">
      <c r="U975" s="23"/>
      <c r="V975" s="23"/>
      <c r="W975" s="23"/>
    </row>
    <row r="976">
      <c r="U976" s="23"/>
      <c r="V976" s="23"/>
      <c r="W976" s="23"/>
    </row>
    <row r="977">
      <c r="U977" s="23"/>
      <c r="V977" s="23"/>
      <c r="W977" s="23"/>
    </row>
    <row r="978">
      <c r="U978" s="23"/>
      <c r="V978" s="23"/>
      <c r="W978" s="23"/>
    </row>
    <row r="979">
      <c r="U979" s="23"/>
      <c r="V979" s="23"/>
      <c r="W979" s="23"/>
    </row>
    <row r="980">
      <c r="U980" s="23"/>
      <c r="V980" s="23"/>
      <c r="W980" s="23"/>
    </row>
    <row r="981">
      <c r="U981" s="23"/>
      <c r="V981" s="23"/>
      <c r="W981" s="23"/>
    </row>
    <row r="982">
      <c r="U982" s="23"/>
      <c r="V982" s="23"/>
      <c r="W982" s="23"/>
    </row>
    <row r="983">
      <c r="U983" s="23"/>
      <c r="V983" s="23"/>
      <c r="W983" s="23"/>
    </row>
    <row r="984">
      <c r="U984" s="23"/>
      <c r="V984" s="23"/>
      <c r="W984" s="23"/>
    </row>
    <row r="985">
      <c r="U985" s="23"/>
      <c r="V985" s="23"/>
      <c r="W985" s="23"/>
    </row>
    <row r="986">
      <c r="U986" s="23"/>
      <c r="V986" s="23"/>
      <c r="W986" s="23"/>
    </row>
    <row r="987">
      <c r="U987" s="23"/>
      <c r="V987" s="23"/>
      <c r="W987" s="23"/>
    </row>
    <row r="988">
      <c r="U988" s="23"/>
      <c r="V988" s="23"/>
      <c r="W988" s="23"/>
    </row>
    <row r="989">
      <c r="U989" s="23"/>
      <c r="V989" s="23"/>
      <c r="W989" s="23"/>
    </row>
    <row r="990">
      <c r="U990" s="23"/>
      <c r="V990" s="23"/>
      <c r="W990" s="23"/>
    </row>
    <row r="991">
      <c r="U991" s="23"/>
      <c r="V991" s="23"/>
      <c r="W991" s="23"/>
    </row>
    <row r="992">
      <c r="U992" s="23"/>
      <c r="V992" s="23"/>
      <c r="W992" s="23"/>
    </row>
    <row r="993">
      <c r="U993" s="23"/>
      <c r="V993" s="23"/>
      <c r="W993" s="23"/>
    </row>
    <row r="994">
      <c r="U994" s="23"/>
      <c r="V994" s="23"/>
      <c r="W994" s="23"/>
    </row>
    <row r="995">
      <c r="U995" s="23"/>
      <c r="V995" s="23"/>
      <c r="W995" s="23"/>
    </row>
    <row r="996">
      <c r="U996" s="23"/>
      <c r="V996" s="23"/>
      <c r="W996" s="23"/>
    </row>
    <row r="997">
      <c r="U997" s="23"/>
      <c r="V997" s="23"/>
      <c r="W997" s="23"/>
    </row>
    <row r="998">
      <c r="U998" s="23"/>
      <c r="V998" s="23"/>
      <c r="W998" s="23"/>
    </row>
    <row r="999">
      <c r="U999" s="23"/>
      <c r="V999" s="23"/>
      <c r="W999" s="23"/>
    </row>
    <row r="1000">
      <c r="U1000" s="23"/>
      <c r="V1000" s="23"/>
      <c r="W1000" s="23"/>
    </row>
    <row r="1001">
      <c r="U1001" s="23"/>
      <c r="V1001" s="23"/>
      <c r="W1001" s="23"/>
    </row>
    <row r="1002">
      <c r="U1002" s="23"/>
      <c r="V1002" s="23"/>
      <c r="W1002" s="23"/>
    </row>
    <row r="1003">
      <c r="U1003" s="23"/>
      <c r="V1003" s="23"/>
      <c r="W1003" s="23"/>
    </row>
    <row r="1004">
      <c r="U1004" s="23"/>
      <c r="V1004" s="23"/>
      <c r="W1004" s="23"/>
    </row>
    <row r="1005">
      <c r="U1005" s="23"/>
      <c r="V1005" s="23"/>
      <c r="W1005" s="23"/>
    </row>
    <row r="1006">
      <c r="U1006" s="23"/>
      <c r="V1006" s="23"/>
      <c r="W1006" s="23"/>
    </row>
    <row r="1007">
      <c r="U1007" s="23"/>
      <c r="V1007" s="23"/>
      <c r="W1007" s="23"/>
    </row>
    <row r="1008">
      <c r="U1008" s="23"/>
      <c r="V1008" s="23"/>
      <c r="W1008" s="23"/>
    </row>
    <row r="1009">
      <c r="U1009" s="23"/>
      <c r="V1009" s="23"/>
      <c r="W1009" s="23"/>
    </row>
    <row r="1010">
      <c r="U1010" s="23"/>
      <c r="V1010" s="23"/>
      <c r="W1010" s="23"/>
    </row>
    <row r="1011">
      <c r="U1011" s="23"/>
      <c r="V1011" s="23"/>
      <c r="W1011" s="23"/>
    </row>
    <row r="1012">
      <c r="U1012" s="23"/>
      <c r="V1012" s="23"/>
      <c r="W1012" s="23"/>
    </row>
    <row r="1013">
      <c r="U1013" s="23"/>
      <c r="V1013" s="23"/>
      <c r="W1013" s="23"/>
    </row>
    <row r="1014">
      <c r="U1014" s="23"/>
      <c r="V1014" s="23"/>
      <c r="W1014" s="23"/>
    </row>
    <row r="1015">
      <c r="U1015" s="23"/>
      <c r="V1015" s="23"/>
      <c r="W1015" s="23"/>
    </row>
    <row r="1016">
      <c r="U1016" s="23"/>
      <c r="V1016" s="23"/>
      <c r="W1016" s="23"/>
    </row>
    <row r="1017">
      <c r="U1017" s="23"/>
      <c r="V1017" s="23"/>
      <c r="W1017" s="23"/>
    </row>
    <row r="1018">
      <c r="U1018" s="23"/>
      <c r="V1018" s="23"/>
      <c r="W1018" s="23"/>
    </row>
    <row r="1019">
      <c r="U1019" s="23"/>
      <c r="V1019" s="23"/>
      <c r="W1019" s="23"/>
    </row>
    <row r="1020">
      <c r="U1020" s="23"/>
      <c r="V1020" s="23"/>
      <c r="W1020" s="23"/>
    </row>
    <row r="1021">
      <c r="U1021" s="23"/>
      <c r="V1021" s="23"/>
      <c r="W1021" s="23"/>
    </row>
    <row r="1022">
      <c r="U1022" s="23"/>
      <c r="V1022" s="23"/>
      <c r="W1022" s="23"/>
    </row>
    <row r="1023">
      <c r="U1023" s="23"/>
      <c r="V1023" s="23"/>
      <c r="W1023" s="23"/>
    </row>
    <row r="1024">
      <c r="U1024" s="23"/>
      <c r="V1024" s="23"/>
      <c r="W1024" s="23"/>
    </row>
    <row r="1025">
      <c r="U1025" s="23"/>
      <c r="V1025" s="23"/>
      <c r="W1025" s="23"/>
    </row>
    <row r="1026">
      <c r="U1026" s="23"/>
      <c r="V1026" s="23"/>
      <c r="W1026" s="23"/>
    </row>
    <row r="1027">
      <c r="U1027" s="23"/>
      <c r="V1027" s="23"/>
      <c r="W1027" s="23"/>
    </row>
    <row r="1028">
      <c r="U1028" s="23"/>
      <c r="V1028" s="23"/>
      <c r="W1028" s="23"/>
    </row>
    <row r="1029">
      <c r="U1029" s="23"/>
      <c r="V1029" s="23"/>
      <c r="W1029" s="23"/>
    </row>
    <row r="1030">
      <c r="U1030" s="23"/>
      <c r="V1030" s="23"/>
      <c r="W1030" s="23"/>
    </row>
    <row r="1031">
      <c r="U1031" s="23"/>
      <c r="V1031" s="23"/>
      <c r="W1031" s="23"/>
    </row>
    <row r="1032">
      <c r="U1032" s="23"/>
      <c r="V1032" s="23"/>
      <c r="W1032" s="23"/>
    </row>
    <row r="1033">
      <c r="U1033" s="23"/>
      <c r="V1033" s="23"/>
      <c r="W1033" s="23"/>
    </row>
    <row r="1034">
      <c r="U1034" s="23"/>
      <c r="V1034" s="23"/>
      <c r="W1034" s="23"/>
    </row>
    <row r="1035">
      <c r="U1035" s="23"/>
      <c r="V1035" s="23"/>
      <c r="W1035" s="23"/>
    </row>
    <row r="1036">
      <c r="U1036" s="23"/>
      <c r="V1036" s="23"/>
      <c r="W1036" s="23"/>
    </row>
    <row r="1037">
      <c r="U1037" s="23"/>
      <c r="V1037" s="23"/>
      <c r="W1037" s="23"/>
    </row>
    <row r="1038">
      <c r="U1038" s="23"/>
      <c r="V1038" s="23"/>
      <c r="W1038" s="23"/>
    </row>
    <row r="1039">
      <c r="U1039" s="23"/>
      <c r="V1039" s="23"/>
      <c r="W1039" s="23"/>
    </row>
    <row r="1040">
      <c r="U1040" s="23"/>
      <c r="V1040" s="23"/>
      <c r="W1040" s="23"/>
    </row>
    <row r="1041">
      <c r="U1041" s="23"/>
      <c r="V1041" s="23"/>
      <c r="W1041" s="23"/>
    </row>
    <row r="1042">
      <c r="U1042" s="23"/>
      <c r="V1042" s="23"/>
      <c r="W1042" s="23"/>
    </row>
    <row r="1043">
      <c r="U1043" s="23"/>
      <c r="V1043" s="23"/>
      <c r="W1043" s="23"/>
    </row>
    <row r="1044">
      <c r="U1044" s="23"/>
      <c r="V1044" s="23"/>
      <c r="W1044" s="23"/>
    </row>
    <row r="1045">
      <c r="U1045" s="23"/>
      <c r="V1045" s="23"/>
      <c r="W1045" s="23"/>
    </row>
    <row r="1046">
      <c r="U1046" s="23"/>
      <c r="V1046" s="23"/>
      <c r="W1046" s="23"/>
    </row>
    <row r="1047">
      <c r="U1047" s="23"/>
      <c r="V1047" s="23"/>
      <c r="W1047" s="23"/>
    </row>
    <row r="1048">
      <c r="U1048" s="23"/>
      <c r="V1048" s="23"/>
      <c r="W1048" s="23"/>
    </row>
    <row r="1049">
      <c r="U1049" s="23"/>
      <c r="V1049" s="23"/>
      <c r="W1049" s="23"/>
    </row>
    <row r="1050">
      <c r="U1050" s="23"/>
      <c r="V1050" s="23"/>
      <c r="W1050" s="23"/>
    </row>
    <row r="1051">
      <c r="U1051" s="23"/>
      <c r="V1051" s="23"/>
      <c r="W1051" s="23"/>
    </row>
    <row r="1052">
      <c r="U1052" s="23"/>
      <c r="V1052" s="23"/>
      <c r="W1052" s="23"/>
    </row>
    <row r="1053">
      <c r="U1053" s="23"/>
      <c r="V1053" s="23"/>
      <c r="W1053" s="23"/>
    </row>
    <row r="1054">
      <c r="U1054" s="23"/>
      <c r="V1054" s="23"/>
      <c r="W1054" s="23"/>
    </row>
    <row r="1055">
      <c r="U1055" s="23"/>
      <c r="V1055" s="23"/>
      <c r="W1055" s="23"/>
    </row>
    <row r="1056">
      <c r="U1056" s="23"/>
      <c r="V1056" s="23"/>
      <c r="W1056" s="23"/>
    </row>
    <row r="1057">
      <c r="U1057" s="23"/>
      <c r="V1057" s="23"/>
      <c r="W1057" s="23"/>
    </row>
    <row r="1058">
      <c r="U1058" s="23"/>
      <c r="V1058" s="23"/>
      <c r="W1058" s="23"/>
    </row>
    <row r="1059">
      <c r="U1059" s="23"/>
      <c r="V1059" s="23"/>
      <c r="W1059" s="23"/>
    </row>
    <row r="1060">
      <c r="U1060" s="23"/>
      <c r="V1060" s="23"/>
      <c r="W1060" s="23"/>
    </row>
    <row r="1061">
      <c r="U1061" s="23"/>
      <c r="V1061" s="23"/>
      <c r="W1061" s="23"/>
    </row>
    <row r="1062">
      <c r="U1062" s="23"/>
      <c r="V1062" s="23"/>
      <c r="W1062" s="23"/>
    </row>
    <row r="1063">
      <c r="U1063" s="23"/>
      <c r="V1063" s="23"/>
      <c r="W1063" s="23"/>
    </row>
    <row r="1064">
      <c r="U1064" s="23"/>
      <c r="V1064" s="23"/>
      <c r="W1064" s="23"/>
    </row>
    <row r="1065">
      <c r="U1065" s="23"/>
      <c r="V1065" s="23"/>
      <c r="W1065" s="23"/>
    </row>
    <row r="1066">
      <c r="U1066" s="23"/>
      <c r="V1066" s="23"/>
      <c r="W1066" s="23"/>
    </row>
    <row r="1067">
      <c r="U1067" s="23"/>
      <c r="V1067" s="23"/>
      <c r="W1067" s="23"/>
    </row>
    <row r="1068">
      <c r="U1068" s="23"/>
      <c r="V1068" s="23"/>
      <c r="W1068" s="23"/>
    </row>
    <row r="1069">
      <c r="U1069" s="23"/>
      <c r="V1069" s="23"/>
      <c r="W1069" s="23"/>
    </row>
    <row r="1070">
      <c r="U1070" s="23"/>
      <c r="V1070" s="23"/>
      <c r="W1070" s="23"/>
    </row>
    <row r="1071">
      <c r="U1071" s="23"/>
      <c r="V1071" s="23"/>
      <c r="W1071" s="23"/>
    </row>
    <row r="1072">
      <c r="U1072" s="23"/>
      <c r="V1072" s="23"/>
      <c r="W1072" s="23"/>
    </row>
    <row r="1073">
      <c r="U1073" s="23"/>
      <c r="V1073" s="23"/>
      <c r="W1073" s="23"/>
    </row>
    <row r="1074">
      <c r="U1074" s="23"/>
      <c r="V1074" s="23"/>
      <c r="W1074" s="23"/>
    </row>
    <row r="1075">
      <c r="U1075" s="23"/>
      <c r="V1075" s="23"/>
      <c r="W1075" s="23"/>
    </row>
    <row r="1076">
      <c r="U1076" s="23"/>
      <c r="V1076" s="23"/>
      <c r="W1076" s="23"/>
    </row>
    <row r="1077">
      <c r="U1077" s="23"/>
      <c r="V1077" s="23"/>
      <c r="W1077" s="23"/>
    </row>
    <row r="1078">
      <c r="U1078" s="23"/>
      <c r="V1078" s="23"/>
      <c r="W1078" s="23"/>
    </row>
    <row r="1079">
      <c r="U1079" s="23"/>
      <c r="V1079" s="23"/>
      <c r="W1079" s="23"/>
    </row>
    <row r="1080">
      <c r="U1080" s="23"/>
      <c r="V1080" s="23"/>
      <c r="W1080" s="23"/>
    </row>
    <row r="1081">
      <c r="U1081" s="23"/>
      <c r="V1081" s="23"/>
      <c r="W1081" s="23"/>
    </row>
    <row r="1082">
      <c r="U1082" s="23"/>
      <c r="V1082" s="23"/>
      <c r="W1082" s="23"/>
    </row>
    <row r="1083">
      <c r="U1083" s="23"/>
      <c r="V1083" s="23"/>
      <c r="W1083" s="23"/>
    </row>
    <row r="1084">
      <c r="U1084" s="23"/>
      <c r="V1084" s="23"/>
      <c r="W1084" s="23"/>
    </row>
    <row r="1085">
      <c r="U1085" s="23"/>
      <c r="V1085" s="23"/>
      <c r="W1085" s="23"/>
    </row>
    <row r="1086">
      <c r="U1086" s="23"/>
      <c r="V1086" s="23"/>
      <c r="W1086" s="23"/>
    </row>
    <row r="1087">
      <c r="U1087" s="23"/>
      <c r="V1087" s="23"/>
      <c r="W1087" s="23"/>
    </row>
    <row r="1088">
      <c r="U1088" s="23"/>
      <c r="V1088" s="23"/>
      <c r="W1088" s="23"/>
    </row>
    <row r="1089">
      <c r="U1089" s="23"/>
      <c r="V1089" s="23"/>
      <c r="W1089" s="23"/>
    </row>
    <row r="1090">
      <c r="U1090" s="23"/>
      <c r="V1090" s="23"/>
      <c r="W1090" s="23"/>
    </row>
    <row r="1091">
      <c r="U1091" s="23"/>
      <c r="V1091" s="23"/>
      <c r="W1091" s="23"/>
    </row>
    <row r="1092">
      <c r="U1092" s="23"/>
      <c r="V1092" s="23"/>
      <c r="W1092" s="23"/>
    </row>
    <row r="1093">
      <c r="U1093" s="23"/>
      <c r="V1093" s="23"/>
      <c r="W1093" s="23"/>
    </row>
    <row r="1094">
      <c r="U1094" s="23"/>
      <c r="V1094" s="23"/>
      <c r="W1094" s="23"/>
    </row>
    <row r="1095">
      <c r="U1095" s="23"/>
      <c r="V1095" s="23"/>
      <c r="W1095" s="23"/>
    </row>
    <row r="1096">
      <c r="U1096" s="23"/>
      <c r="V1096" s="23"/>
      <c r="W1096" s="23"/>
    </row>
    <row r="1097">
      <c r="U1097" s="23"/>
      <c r="V1097" s="23"/>
      <c r="W1097" s="23"/>
    </row>
    <row r="1098">
      <c r="U1098" s="23"/>
      <c r="V1098" s="23"/>
      <c r="W1098" s="23"/>
    </row>
    <row r="1099">
      <c r="U1099" s="23"/>
      <c r="V1099" s="23"/>
      <c r="W1099" s="23"/>
    </row>
    <row r="1100">
      <c r="U1100" s="23"/>
      <c r="V1100" s="23"/>
      <c r="W1100" s="23"/>
    </row>
    <row r="1101">
      <c r="U1101" s="23"/>
      <c r="V1101" s="23"/>
      <c r="W1101" s="23"/>
    </row>
    <row r="1102">
      <c r="U1102" s="23"/>
      <c r="V1102" s="23"/>
      <c r="W1102" s="23"/>
    </row>
    <row r="1103">
      <c r="U1103" s="23"/>
      <c r="V1103" s="23"/>
      <c r="W1103" s="23"/>
    </row>
    <row r="1104">
      <c r="U1104" s="23"/>
      <c r="V1104" s="23"/>
      <c r="W1104" s="23"/>
    </row>
    <row r="1105">
      <c r="U1105" s="23"/>
      <c r="V1105" s="23"/>
      <c r="W1105" s="23"/>
    </row>
    <row r="1106">
      <c r="U1106" s="23"/>
      <c r="V1106" s="23"/>
      <c r="W1106" s="23"/>
    </row>
    <row r="1107">
      <c r="U1107" s="23"/>
      <c r="V1107" s="23"/>
      <c r="W1107" s="23"/>
    </row>
    <row r="1108">
      <c r="U1108" s="23"/>
      <c r="V1108" s="23"/>
      <c r="W1108" s="23"/>
    </row>
    <row r="1109">
      <c r="U1109" s="23"/>
      <c r="V1109" s="23"/>
      <c r="W1109" s="23"/>
    </row>
    <row r="1110">
      <c r="U1110" s="23"/>
      <c r="V1110" s="23"/>
      <c r="W1110" s="23"/>
    </row>
    <row r="1111">
      <c r="U1111" s="23"/>
      <c r="V1111" s="23"/>
      <c r="W1111" s="23"/>
    </row>
    <row r="1112">
      <c r="U1112" s="23"/>
      <c r="V1112" s="23"/>
      <c r="W1112" s="23"/>
    </row>
    <row r="1113">
      <c r="U1113" s="23"/>
      <c r="V1113" s="23"/>
      <c r="W1113" s="23"/>
    </row>
    <row r="1114">
      <c r="U1114" s="23"/>
      <c r="V1114" s="23"/>
      <c r="W1114" s="23"/>
    </row>
    <row r="1115">
      <c r="U1115" s="23"/>
      <c r="V1115" s="23"/>
      <c r="W1115" s="23"/>
    </row>
    <row r="1116">
      <c r="U1116" s="23"/>
      <c r="V1116" s="23"/>
      <c r="W1116" s="23"/>
    </row>
    <row r="1117">
      <c r="U1117" s="23"/>
      <c r="V1117" s="23"/>
      <c r="W1117" s="23"/>
    </row>
    <row r="1118">
      <c r="U1118" s="23"/>
      <c r="V1118" s="23"/>
      <c r="W1118" s="23"/>
    </row>
    <row r="1119">
      <c r="U1119" s="23"/>
      <c r="V1119" s="23"/>
      <c r="W1119" s="23"/>
    </row>
    <row r="1120">
      <c r="U1120" s="23"/>
      <c r="V1120" s="23"/>
      <c r="W1120" s="23"/>
    </row>
    <row r="1121">
      <c r="U1121" s="23"/>
      <c r="V1121" s="23"/>
      <c r="W1121" s="23"/>
    </row>
    <row r="1122">
      <c r="U1122" s="23"/>
      <c r="V1122" s="23"/>
      <c r="W1122" s="23"/>
    </row>
    <row r="1123">
      <c r="U1123" s="23"/>
      <c r="V1123" s="23"/>
      <c r="W1123" s="23"/>
    </row>
    <row r="1124">
      <c r="U1124" s="23"/>
      <c r="V1124" s="23"/>
      <c r="W1124" s="23"/>
    </row>
    <row r="1125">
      <c r="U1125" s="23"/>
      <c r="V1125" s="23"/>
      <c r="W1125" s="23"/>
    </row>
    <row r="1126">
      <c r="U1126" s="23"/>
      <c r="V1126" s="23"/>
      <c r="W1126" s="23"/>
    </row>
    <row r="1127">
      <c r="U1127" s="23"/>
      <c r="V1127" s="23"/>
      <c r="W1127" s="23"/>
    </row>
    <row r="1128">
      <c r="U1128" s="23"/>
      <c r="V1128" s="23"/>
      <c r="W1128" s="23"/>
    </row>
    <row r="1129">
      <c r="U1129" s="23"/>
      <c r="V1129" s="23"/>
      <c r="W1129" s="23"/>
    </row>
    <row r="1130">
      <c r="U1130" s="23"/>
      <c r="V1130" s="23"/>
      <c r="W1130" s="23"/>
    </row>
    <row r="1131">
      <c r="U1131" s="23"/>
      <c r="V1131" s="23"/>
      <c r="W1131" s="23"/>
    </row>
    <row r="1132">
      <c r="U1132" s="23"/>
      <c r="V1132" s="23"/>
      <c r="W1132" s="23"/>
    </row>
    <row r="1133">
      <c r="U1133" s="23"/>
      <c r="V1133" s="23"/>
      <c r="W1133" s="23"/>
    </row>
    <row r="1134">
      <c r="U1134" s="23"/>
      <c r="V1134" s="23"/>
      <c r="W1134" s="23"/>
    </row>
    <row r="1135">
      <c r="U1135" s="23"/>
      <c r="V1135" s="23"/>
      <c r="W1135" s="23"/>
    </row>
    <row r="1136">
      <c r="U1136" s="23"/>
      <c r="V1136" s="23"/>
      <c r="W1136" s="23"/>
    </row>
    <row r="1137">
      <c r="U1137" s="23"/>
      <c r="V1137" s="23"/>
      <c r="W1137" s="23"/>
    </row>
    <row r="1138">
      <c r="U1138" s="23"/>
      <c r="V1138" s="23"/>
      <c r="W1138" s="23"/>
    </row>
    <row r="1139">
      <c r="U1139" s="23"/>
      <c r="V1139" s="23"/>
      <c r="W1139" s="23"/>
    </row>
    <row r="1140">
      <c r="U1140" s="23"/>
      <c r="V1140" s="23"/>
      <c r="W1140" s="23"/>
    </row>
    <row r="1141">
      <c r="U1141" s="23"/>
      <c r="V1141" s="23"/>
      <c r="W1141" s="23"/>
    </row>
    <row r="1142">
      <c r="U1142" s="23"/>
      <c r="V1142" s="23"/>
      <c r="W1142" s="23"/>
    </row>
    <row r="1143">
      <c r="U1143" s="23"/>
      <c r="V1143" s="23"/>
      <c r="W1143" s="23"/>
    </row>
    <row r="1144">
      <c r="U1144" s="23"/>
      <c r="V1144" s="23"/>
      <c r="W1144" s="23"/>
    </row>
    <row r="1145">
      <c r="U1145" s="23"/>
      <c r="V1145" s="23"/>
      <c r="W1145" s="23"/>
    </row>
    <row r="1146">
      <c r="U1146" s="23"/>
      <c r="V1146" s="23"/>
      <c r="W1146" s="23"/>
    </row>
    <row r="1147">
      <c r="U1147" s="23"/>
      <c r="V1147" s="23"/>
      <c r="W1147" s="23"/>
    </row>
    <row r="1148">
      <c r="U1148" s="23"/>
      <c r="V1148" s="23"/>
      <c r="W1148" s="23"/>
    </row>
    <row r="1149">
      <c r="U1149" s="23"/>
      <c r="V1149" s="23"/>
      <c r="W1149" s="23"/>
    </row>
    <row r="1150">
      <c r="U1150" s="23"/>
      <c r="V1150" s="23"/>
      <c r="W1150" s="23"/>
    </row>
    <row r="1151">
      <c r="U1151" s="23"/>
      <c r="V1151" s="23"/>
      <c r="W1151" s="23"/>
    </row>
    <row r="1152">
      <c r="U1152" s="23"/>
      <c r="V1152" s="23"/>
      <c r="W1152" s="23"/>
    </row>
    <row r="1153">
      <c r="U1153" s="23"/>
      <c r="V1153" s="23"/>
      <c r="W1153" s="23"/>
    </row>
    <row r="1154">
      <c r="U1154" s="23"/>
      <c r="V1154" s="23"/>
      <c r="W1154" s="23"/>
    </row>
    <row r="1155">
      <c r="U1155" s="23"/>
      <c r="V1155" s="23"/>
      <c r="W1155" s="23"/>
    </row>
    <row r="1156">
      <c r="U1156" s="23"/>
      <c r="V1156" s="23"/>
      <c r="W1156" s="23"/>
    </row>
    <row r="1157">
      <c r="U1157" s="23"/>
      <c r="V1157" s="23"/>
      <c r="W1157" s="23"/>
    </row>
    <row r="1158">
      <c r="U1158" s="23"/>
      <c r="V1158" s="23"/>
      <c r="W1158" s="23"/>
    </row>
    <row r="1159">
      <c r="U1159" s="23"/>
      <c r="V1159" s="23"/>
      <c r="W1159" s="23"/>
    </row>
    <row r="1160">
      <c r="U1160" s="23"/>
      <c r="V1160" s="23"/>
      <c r="W1160" s="23"/>
    </row>
    <row r="1161">
      <c r="U1161" s="23"/>
      <c r="V1161" s="23"/>
      <c r="W1161" s="23"/>
    </row>
    <row r="1162">
      <c r="U1162" s="23"/>
      <c r="V1162" s="23"/>
      <c r="W1162" s="23"/>
    </row>
    <row r="1163">
      <c r="U1163" s="23"/>
      <c r="V1163" s="23"/>
      <c r="W1163" s="23"/>
    </row>
    <row r="1164">
      <c r="U1164" s="23"/>
      <c r="V1164" s="23"/>
      <c r="W1164" s="23"/>
    </row>
    <row r="1165">
      <c r="U1165" s="23"/>
      <c r="V1165" s="23"/>
      <c r="W1165" s="23"/>
    </row>
    <row r="1166">
      <c r="U1166" s="23"/>
      <c r="V1166" s="23"/>
      <c r="W1166" s="23"/>
    </row>
    <row r="1167">
      <c r="U1167" s="23"/>
      <c r="V1167" s="23"/>
      <c r="W1167" s="23"/>
    </row>
    <row r="1168">
      <c r="U1168" s="23"/>
      <c r="V1168" s="23"/>
      <c r="W1168" s="23"/>
    </row>
    <row r="1169">
      <c r="U1169" s="23"/>
      <c r="V1169" s="23"/>
      <c r="W1169" s="23"/>
    </row>
    <row r="1170">
      <c r="U1170" s="23"/>
      <c r="V1170" s="23"/>
      <c r="W1170" s="23"/>
    </row>
    <row r="1171">
      <c r="U1171" s="23"/>
      <c r="V1171" s="23"/>
      <c r="W1171" s="23"/>
    </row>
    <row r="1172">
      <c r="U1172" s="23"/>
      <c r="V1172" s="23"/>
      <c r="W1172" s="23"/>
    </row>
    <row r="1173">
      <c r="U1173" s="23"/>
      <c r="V1173" s="23"/>
      <c r="W1173" s="23"/>
    </row>
    <row r="1174">
      <c r="U1174" s="23"/>
      <c r="V1174" s="23"/>
      <c r="W1174" s="23"/>
    </row>
    <row r="1175">
      <c r="U1175" s="23"/>
      <c r="V1175" s="23"/>
      <c r="W1175" s="23"/>
    </row>
    <row r="1176">
      <c r="U1176" s="23"/>
      <c r="V1176" s="23"/>
      <c r="W1176" s="23"/>
    </row>
    <row r="1177">
      <c r="U1177" s="23"/>
      <c r="V1177" s="23"/>
      <c r="W1177" s="23"/>
    </row>
    <row r="1178">
      <c r="U1178" s="23"/>
      <c r="V1178" s="23"/>
      <c r="W1178" s="23"/>
    </row>
    <row r="1179">
      <c r="U1179" s="23"/>
      <c r="V1179" s="23"/>
      <c r="W1179" s="23"/>
    </row>
    <row r="1180">
      <c r="U1180" s="23"/>
      <c r="V1180" s="23"/>
      <c r="W1180" s="23"/>
    </row>
    <row r="1181">
      <c r="U1181" s="23"/>
      <c r="V1181" s="23"/>
      <c r="W1181" s="23"/>
    </row>
    <row r="1182">
      <c r="U1182" s="23"/>
      <c r="V1182" s="23"/>
      <c r="W1182" s="23"/>
    </row>
    <row r="1183">
      <c r="U1183" s="23"/>
      <c r="V1183" s="23"/>
      <c r="W1183" s="23"/>
    </row>
    <row r="1184">
      <c r="U1184" s="23"/>
      <c r="V1184" s="23"/>
      <c r="W1184" s="23"/>
    </row>
    <row r="1185">
      <c r="U1185" s="23"/>
      <c r="V1185" s="23"/>
      <c r="W1185" s="23"/>
    </row>
    <row r="1186">
      <c r="U1186" s="23"/>
      <c r="V1186" s="23"/>
      <c r="W1186" s="23"/>
    </row>
    <row r="1187">
      <c r="U1187" s="23"/>
      <c r="V1187" s="23"/>
      <c r="W1187" s="23"/>
    </row>
    <row r="1188">
      <c r="U1188" s="23"/>
      <c r="V1188" s="23"/>
      <c r="W1188" s="23"/>
    </row>
    <row r="1189">
      <c r="U1189" s="23"/>
      <c r="V1189" s="23"/>
      <c r="W1189" s="23"/>
    </row>
    <row r="1190">
      <c r="U1190" s="23"/>
      <c r="V1190" s="23"/>
      <c r="W1190" s="23"/>
    </row>
    <row r="1191">
      <c r="U1191" s="23"/>
      <c r="V1191" s="23"/>
      <c r="W1191" s="23"/>
    </row>
    <row r="1192">
      <c r="U1192" s="23"/>
      <c r="V1192" s="23"/>
      <c r="W1192" s="23"/>
    </row>
    <row r="1193">
      <c r="U1193" s="23"/>
      <c r="V1193" s="23"/>
      <c r="W1193" s="23"/>
    </row>
    <row r="1194">
      <c r="U1194" s="23"/>
      <c r="V1194" s="23"/>
      <c r="W1194" s="23"/>
    </row>
    <row r="1195">
      <c r="U1195" s="23"/>
      <c r="V1195" s="23"/>
      <c r="W1195" s="23"/>
    </row>
    <row r="1196">
      <c r="U1196" s="23"/>
      <c r="V1196" s="23"/>
      <c r="W1196" s="23"/>
    </row>
    <row r="1197">
      <c r="U1197" s="23"/>
      <c r="V1197" s="23"/>
      <c r="W1197" s="23"/>
    </row>
    <row r="1198">
      <c r="U1198" s="23"/>
      <c r="V1198" s="23"/>
      <c r="W1198" s="23"/>
    </row>
    <row r="1199">
      <c r="U1199" s="23"/>
      <c r="V1199" s="23"/>
      <c r="W1199" s="23"/>
    </row>
    <row r="1200">
      <c r="U1200" s="23"/>
      <c r="V1200" s="23"/>
      <c r="W1200" s="23"/>
    </row>
    <row r="1201">
      <c r="U1201" s="23"/>
      <c r="V1201" s="23"/>
      <c r="W1201" s="23"/>
    </row>
    <row r="1202">
      <c r="U1202" s="23"/>
      <c r="V1202" s="23"/>
      <c r="W1202" s="23"/>
    </row>
    <row r="1203">
      <c r="U1203" s="23"/>
      <c r="V1203" s="23"/>
      <c r="W1203" s="23"/>
    </row>
    <row r="1204">
      <c r="U1204" s="23"/>
      <c r="V1204" s="23"/>
      <c r="W1204" s="23"/>
    </row>
    <row r="1205">
      <c r="U1205" s="23"/>
      <c r="V1205" s="23"/>
      <c r="W1205" s="23"/>
    </row>
    <row r="1206">
      <c r="U1206" s="23"/>
      <c r="V1206" s="23"/>
      <c r="W1206" s="23"/>
    </row>
    <row r="1207">
      <c r="U1207" s="23"/>
      <c r="V1207" s="23"/>
      <c r="W1207" s="23"/>
    </row>
    <row r="1208">
      <c r="U1208" s="23"/>
      <c r="V1208" s="23"/>
      <c r="W1208" s="23"/>
    </row>
    <row r="1209">
      <c r="U1209" s="23"/>
      <c r="V1209" s="23"/>
      <c r="W1209" s="23"/>
    </row>
    <row r="1210">
      <c r="U1210" s="23"/>
      <c r="V1210" s="23"/>
      <c r="W1210" s="23"/>
    </row>
    <row r="1211">
      <c r="U1211" s="23"/>
      <c r="V1211" s="23"/>
      <c r="W1211" s="23"/>
    </row>
    <row r="1212">
      <c r="U1212" s="23"/>
      <c r="V1212" s="23"/>
      <c r="W1212" s="23"/>
    </row>
    <row r="1213">
      <c r="U1213" s="23"/>
      <c r="V1213" s="23"/>
      <c r="W1213" s="23"/>
    </row>
    <row r="1214">
      <c r="U1214" s="23"/>
      <c r="V1214" s="23"/>
      <c r="W1214" s="23"/>
    </row>
    <row r="1215">
      <c r="U1215" s="23"/>
      <c r="V1215" s="23"/>
      <c r="W1215" s="23"/>
    </row>
    <row r="1216">
      <c r="U1216" s="23"/>
      <c r="V1216" s="23"/>
      <c r="W1216" s="23"/>
    </row>
    <row r="1217">
      <c r="U1217" s="23"/>
      <c r="V1217" s="23"/>
      <c r="W1217" s="23"/>
    </row>
    <row r="1218">
      <c r="U1218" s="23"/>
      <c r="V1218" s="23"/>
      <c r="W1218" s="23"/>
    </row>
    <row r="1219">
      <c r="U1219" s="23"/>
      <c r="V1219" s="23"/>
      <c r="W1219" s="23"/>
    </row>
    <row r="1220">
      <c r="U1220" s="23"/>
      <c r="V1220" s="23"/>
      <c r="W1220" s="23"/>
    </row>
    <row r="1221">
      <c r="U1221" s="23"/>
      <c r="V1221" s="23"/>
      <c r="W1221" s="23"/>
    </row>
    <row r="1222">
      <c r="U1222" s="23"/>
      <c r="V1222" s="23"/>
      <c r="W1222" s="23"/>
    </row>
    <row r="1223">
      <c r="U1223" s="23"/>
      <c r="V1223" s="23"/>
      <c r="W1223" s="23"/>
    </row>
    <row r="1224">
      <c r="U1224" s="23"/>
      <c r="V1224" s="23"/>
      <c r="W1224" s="23"/>
    </row>
    <row r="1225">
      <c r="U1225" s="23"/>
      <c r="V1225" s="23"/>
      <c r="W1225" s="23"/>
    </row>
    <row r="1226">
      <c r="U1226" s="23"/>
      <c r="V1226" s="23"/>
      <c r="W1226" s="23"/>
    </row>
    <row r="1227">
      <c r="U1227" s="23"/>
      <c r="V1227" s="23"/>
      <c r="W1227" s="23"/>
    </row>
    <row r="1228">
      <c r="U1228" s="23"/>
      <c r="V1228" s="23"/>
      <c r="W1228" s="23"/>
    </row>
    <row r="1229">
      <c r="U1229" s="23"/>
      <c r="V1229" s="23"/>
      <c r="W1229" s="23"/>
    </row>
    <row r="1230">
      <c r="U1230" s="23"/>
      <c r="V1230" s="23"/>
      <c r="W1230" s="23"/>
    </row>
    <row r="1231">
      <c r="U1231" s="23"/>
      <c r="V1231" s="23"/>
      <c r="W1231" s="23"/>
    </row>
    <row r="1232">
      <c r="U1232" s="23"/>
      <c r="V1232" s="23"/>
      <c r="W1232" s="23"/>
    </row>
    <row r="1233">
      <c r="U1233" s="23"/>
      <c r="V1233" s="23"/>
      <c r="W1233" s="23"/>
    </row>
    <row r="1234">
      <c r="U1234" s="23"/>
      <c r="V1234" s="23"/>
      <c r="W1234" s="23"/>
    </row>
    <row r="1235">
      <c r="U1235" s="23"/>
      <c r="V1235" s="23"/>
      <c r="W1235" s="23"/>
    </row>
    <row r="1236">
      <c r="U1236" s="23"/>
      <c r="V1236" s="23"/>
      <c r="W1236" s="23"/>
    </row>
    <row r="1237">
      <c r="U1237" s="23"/>
      <c r="V1237" s="23"/>
      <c r="W1237" s="23"/>
    </row>
    <row r="1238">
      <c r="U1238" s="23"/>
      <c r="V1238" s="23"/>
      <c r="W1238" s="23"/>
    </row>
    <row r="1239">
      <c r="U1239" s="23"/>
      <c r="V1239" s="23"/>
      <c r="W1239" s="23"/>
    </row>
    <row r="1240">
      <c r="U1240" s="23"/>
      <c r="V1240" s="23"/>
      <c r="W1240" s="23"/>
    </row>
    <row r="1241">
      <c r="U1241" s="23"/>
      <c r="V1241" s="23"/>
      <c r="W1241" s="23"/>
    </row>
    <row r="1242">
      <c r="U1242" s="23"/>
      <c r="V1242" s="23"/>
      <c r="W1242" s="23"/>
    </row>
    <row r="1243">
      <c r="U1243" s="23"/>
      <c r="V1243" s="23"/>
      <c r="W1243" s="23"/>
    </row>
    <row r="1244">
      <c r="U1244" s="23"/>
      <c r="V1244" s="23"/>
      <c r="W1244" s="23"/>
    </row>
    <row r="1245">
      <c r="U1245" s="23"/>
      <c r="V1245" s="23"/>
      <c r="W1245" s="23"/>
    </row>
    <row r="1246">
      <c r="U1246" s="23"/>
      <c r="V1246" s="23"/>
      <c r="W1246" s="23"/>
    </row>
    <row r="1247">
      <c r="U1247" s="23"/>
      <c r="V1247" s="23"/>
      <c r="W1247" s="23"/>
    </row>
    <row r="1248">
      <c r="U1248" s="23"/>
      <c r="V1248" s="23"/>
      <c r="W1248" s="23"/>
    </row>
    <row r="1249">
      <c r="U1249" s="23"/>
      <c r="V1249" s="23"/>
      <c r="W1249" s="23"/>
    </row>
    <row r="1250">
      <c r="U1250" s="23"/>
      <c r="V1250" s="23"/>
      <c r="W1250" s="23"/>
    </row>
    <row r="1251">
      <c r="U1251" s="23"/>
      <c r="V1251" s="23"/>
      <c r="W1251" s="23"/>
    </row>
    <row r="1252">
      <c r="U1252" s="23"/>
      <c r="V1252" s="23"/>
      <c r="W1252" s="23"/>
    </row>
    <row r="1253">
      <c r="U1253" s="23"/>
      <c r="V1253" s="23"/>
      <c r="W1253" s="23"/>
    </row>
    <row r="1254">
      <c r="U1254" s="23"/>
      <c r="V1254" s="23"/>
      <c r="W1254" s="23"/>
    </row>
    <row r="1255">
      <c r="U1255" s="23"/>
      <c r="V1255" s="23"/>
      <c r="W1255" s="23"/>
    </row>
    <row r="1256">
      <c r="U1256" s="23"/>
      <c r="V1256" s="23"/>
      <c r="W1256" s="23"/>
    </row>
    <row r="1257">
      <c r="U1257" s="23"/>
      <c r="V1257" s="23"/>
      <c r="W1257" s="23"/>
    </row>
    <row r="1258">
      <c r="U1258" s="23"/>
      <c r="V1258" s="23"/>
      <c r="W1258" s="23"/>
    </row>
    <row r="1259">
      <c r="U1259" s="23"/>
      <c r="V1259" s="23"/>
      <c r="W1259" s="23"/>
    </row>
    <row r="1260">
      <c r="U1260" s="23"/>
      <c r="V1260" s="23"/>
      <c r="W1260" s="23"/>
    </row>
    <row r="1261">
      <c r="U1261" s="23"/>
      <c r="V1261" s="23"/>
      <c r="W1261" s="23"/>
    </row>
    <row r="1262">
      <c r="U1262" s="23"/>
      <c r="V1262" s="23"/>
      <c r="W1262" s="23"/>
    </row>
    <row r="1263">
      <c r="U1263" s="23"/>
      <c r="V1263" s="23"/>
      <c r="W1263" s="23"/>
    </row>
    <row r="1264">
      <c r="U1264" s="23"/>
      <c r="V1264" s="23"/>
      <c r="W1264" s="23"/>
    </row>
    <row r="1265">
      <c r="U1265" s="23"/>
      <c r="V1265" s="23"/>
      <c r="W1265" s="23"/>
    </row>
    <row r="1266">
      <c r="U1266" s="23"/>
      <c r="V1266" s="23"/>
      <c r="W1266" s="23"/>
    </row>
    <row r="1267">
      <c r="U1267" s="23"/>
      <c r="V1267" s="23"/>
      <c r="W1267" s="23"/>
    </row>
    <row r="1268">
      <c r="U1268" s="23"/>
      <c r="V1268" s="23"/>
      <c r="W1268" s="23"/>
    </row>
    <row r="1269">
      <c r="U1269" s="23"/>
      <c r="V1269" s="23"/>
      <c r="W1269" s="23"/>
    </row>
    <row r="1270">
      <c r="U1270" s="23"/>
      <c r="V1270" s="23"/>
      <c r="W1270" s="23"/>
    </row>
    <row r="1271">
      <c r="U1271" s="23"/>
      <c r="V1271" s="23"/>
      <c r="W1271" s="23"/>
    </row>
    <row r="1272">
      <c r="U1272" s="23"/>
      <c r="V1272" s="23"/>
      <c r="W1272" s="23"/>
    </row>
    <row r="1273">
      <c r="U1273" s="23"/>
      <c r="V1273" s="23"/>
      <c r="W1273" s="23"/>
    </row>
    <row r="1274">
      <c r="U1274" s="23"/>
      <c r="V1274" s="23"/>
      <c r="W1274" s="23"/>
    </row>
    <row r="1275">
      <c r="U1275" s="23"/>
      <c r="V1275" s="23"/>
      <c r="W1275" s="23"/>
    </row>
    <row r="1276">
      <c r="U1276" s="23"/>
      <c r="V1276" s="23"/>
      <c r="W1276" s="23"/>
    </row>
    <row r="1277">
      <c r="U1277" s="23"/>
      <c r="V1277" s="23"/>
      <c r="W1277" s="23"/>
    </row>
    <row r="1278">
      <c r="U1278" s="23"/>
      <c r="V1278" s="23"/>
      <c r="W1278" s="23"/>
    </row>
    <row r="1279">
      <c r="U1279" s="23"/>
      <c r="V1279" s="23"/>
      <c r="W1279" s="23"/>
    </row>
    <row r="1280">
      <c r="U1280" s="23"/>
      <c r="V1280" s="23"/>
      <c r="W1280" s="23"/>
    </row>
    <row r="1281">
      <c r="U1281" s="23"/>
      <c r="V1281" s="23"/>
      <c r="W1281" s="23"/>
    </row>
    <row r="1282">
      <c r="U1282" s="23"/>
      <c r="V1282" s="23"/>
      <c r="W1282" s="23"/>
    </row>
    <row r="1283">
      <c r="U1283" s="23"/>
      <c r="V1283" s="23"/>
      <c r="W1283" s="23"/>
    </row>
    <row r="1284">
      <c r="U1284" s="23"/>
      <c r="V1284" s="23"/>
      <c r="W1284" s="23"/>
    </row>
    <row r="1285">
      <c r="U1285" s="23"/>
      <c r="V1285" s="23"/>
      <c r="W1285" s="23"/>
    </row>
    <row r="1286">
      <c r="U1286" s="23"/>
      <c r="V1286" s="23"/>
      <c r="W1286" s="23"/>
    </row>
    <row r="1287">
      <c r="U1287" s="23"/>
      <c r="V1287" s="23"/>
      <c r="W1287" s="23"/>
    </row>
    <row r="1288">
      <c r="U1288" s="23"/>
      <c r="V1288" s="23"/>
      <c r="W1288" s="23"/>
    </row>
    <row r="1289">
      <c r="U1289" s="23"/>
      <c r="V1289" s="23"/>
      <c r="W1289" s="23"/>
    </row>
    <row r="1290">
      <c r="U1290" s="23"/>
      <c r="V1290" s="23"/>
      <c r="W1290" s="23"/>
    </row>
    <row r="1291">
      <c r="U1291" s="23"/>
      <c r="V1291" s="23"/>
      <c r="W1291" s="23"/>
    </row>
    <row r="1292">
      <c r="U1292" s="23"/>
      <c r="V1292" s="23"/>
      <c r="W1292" s="23"/>
    </row>
    <row r="1293">
      <c r="U1293" s="23"/>
      <c r="V1293" s="23"/>
      <c r="W1293" s="23"/>
    </row>
    <row r="1294">
      <c r="U1294" s="23"/>
      <c r="V1294" s="23"/>
      <c r="W1294" s="23"/>
    </row>
    <row r="1295">
      <c r="U1295" s="23"/>
      <c r="V1295" s="23"/>
      <c r="W1295" s="23"/>
    </row>
    <row r="1296">
      <c r="U1296" s="23"/>
      <c r="V1296" s="23"/>
      <c r="W1296" s="23"/>
    </row>
    <row r="1297">
      <c r="U1297" s="23"/>
      <c r="V1297" s="23"/>
      <c r="W1297" s="23"/>
    </row>
    <row r="1298">
      <c r="U1298" s="23"/>
      <c r="V1298" s="23"/>
      <c r="W1298" s="23"/>
    </row>
    <row r="1299">
      <c r="U1299" s="23"/>
      <c r="V1299" s="23"/>
      <c r="W1299" s="23"/>
    </row>
    <row r="1300">
      <c r="U1300" s="23"/>
      <c r="V1300" s="23"/>
      <c r="W1300" s="23"/>
    </row>
    <row r="1301">
      <c r="U1301" s="23"/>
      <c r="V1301" s="23"/>
      <c r="W1301" s="23"/>
    </row>
    <row r="1302">
      <c r="U1302" s="23"/>
      <c r="V1302" s="23"/>
      <c r="W1302" s="23"/>
    </row>
    <row r="1303">
      <c r="U1303" s="23"/>
      <c r="V1303" s="23"/>
      <c r="W1303" s="23"/>
    </row>
    <row r="1304">
      <c r="U1304" s="23"/>
      <c r="V1304" s="23"/>
      <c r="W1304" s="23"/>
    </row>
    <row r="1305">
      <c r="U1305" s="23"/>
      <c r="V1305" s="23"/>
      <c r="W1305" s="23"/>
    </row>
    <row r="1306">
      <c r="U1306" s="23"/>
      <c r="V1306" s="23"/>
      <c r="W1306" s="23"/>
    </row>
    <row r="1307">
      <c r="U1307" s="23"/>
      <c r="V1307" s="23"/>
      <c r="W1307" s="23"/>
    </row>
    <row r="1308">
      <c r="U1308" s="23"/>
      <c r="V1308" s="23"/>
      <c r="W1308" s="23"/>
    </row>
    <row r="1309">
      <c r="U1309" s="23"/>
      <c r="V1309" s="23"/>
      <c r="W1309" s="23"/>
    </row>
    <row r="1310">
      <c r="U1310" s="23"/>
      <c r="V1310" s="23"/>
      <c r="W1310" s="23"/>
    </row>
    <row r="1311">
      <c r="U1311" s="23"/>
      <c r="V1311" s="23"/>
      <c r="W1311" s="23"/>
    </row>
    <row r="1312">
      <c r="U1312" s="23"/>
      <c r="V1312" s="23"/>
      <c r="W1312" s="23"/>
    </row>
    <row r="1313">
      <c r="U1313" s="23"/>
      <c r="V1313" s="23"/>
      <c r="W1313" s="23"/>
    </row>
    <row r="1314">
      <c r="U1314" s="23"/>
      <c r="V1314" s="23"/>
      <c r="W1314" s="23"/>
    </row>
    <row r="1315">
      <c r="U1315" s="23"/>
      <c r="V1315" s="23"/>
      <c r="W1315" s="23"/>
    </row>
    <row r="1316">
      <c r="U1316" s="23"/>
      <c r="V1316" s="23"/>
      <c r="W1316" s="23"/>
    </row>
    <row r="1317">
      <c r="U1317" s="23"/>
      <c r="V1317" s="23"/>
      <c r="W1317" s="23"/>
    </row>
    <row r="1318">
      <c r="U1318" s="23"/>
      <c r="V1318" s="23"/>
      <c r="W1318" s="23"/>
    </row>
    <row r="1319">
      <c r="U1319" s="23"/>
      <c r="V1319" s="23"/>
      <c r="W1319" s="23"/>
    </row>
    <row r="1320">
      <c r="U1320" s="23"/>
      <c r="V1320" s="23"/>
      <c r="W1320" s="23"/>
    </row>
    <row r="1321">
      <c r="U1321" s="23"/>
      <c r="V1321" s="23"/>
      <c r="W1321" s="23"/>
    </row>
    <row r="1322">
      <c r="U1322" s="23"/>
      <c r="V1322" s="23"/>
      <c r="W1322" s="23"/>
    </row>
    <row r="1323">
      <c r="U1323" s="23"/>
      <c r="V1323" s="23"/>
      <c r="W1323" s="23"/>
    </row>
    <row r="1324">
      <c r="U1324" s="23"/>
      <c r="V1324" s="23"/>
      <c r="W1324" s="23"/>
    </row>
    <row r="1325">
      <c r="U1325" s="23"/>
      <c r="V1325" s="23"/>
      <c r="W1325" s="23"/>
    </row>
    <row r="1326">
      <c r="U1326" s="23"/>
      <c r="V1326" s="23"/>
      <c r="W1326" s="23"/>
    </row>
    <row r="1327">
      <c r="U1327" s="23"/>
      <c r="V1327" s="23"/>
      <c r="W1327" s="23"/>
    </row>
    <row r="1328">
      <c r="U1328" s="23"/>
      <c r="V1328" s="23"/>
      <c r="W1328" s="23"/>
    </row>
    <row r="1329">
      <c r="U1329" s="23"/>
      <c r="V1329" s="23"/>
      <c r="W1329" s="23"/>
    </row>
    <row r="1330">
      <c r="U1330" s="23"/>
      <c r="V1330" s="23"/>
      <c r="W1330" s="23"/>
    </row>
    <row r="1331">
      <c r="U1331" s="23"/>
      <c r="V1331" s="23"/>
      <c r="W1331" s="23"/>
    </row>
    <row r="1332">
      <c r="U1332" s="23"/>
      <c r="V1332" s="23"/>
      <c r="W1332" s="23"/>
    </row>
    <row r="1333">
      <c r="U1333" s="23"/>
      <c r="V1333" s="23"/>
      <c r="W1333" s="23"/>
    </row>
    <row r="1334">
      <c r="U1334" s="23"/>
      <c r="V1334" s="23"/>
      <c r="W1334" s="23"/>
    </row>
    <row r="1335">
      <c r="U1335" s="23"/>
      <c r="V1335" s="23"/>
      <c r="W1335" s="23"/>
    </row>
    <row r="1336">
      <c r="U1336" s="23"/>
      <c r="V1336" s="23"/>
      <c r="W1336" s="23"/>
    </row>
    <row r="1337">
      <c r="U1337" s="23"/>
      <c r="V1337" s="23"/>
      <c r="W1337" s="23"/>
    </row>
    <row r="1338">
      <c r="U1338" s="23"/>
      <c r="V1338" s="23"/>
      <c r="W1338" s="23"/>
    </row>
    <row r="1339">
      <c r="U1339" s="23"/>
      <c r="V1339" s="23"/>
      <c r="W1339" s="23"/>
    </row>
    <row r="1340">
      <c r="U1340" s="23"/>
      <c r="V1340" s="23"/>
      <c r="W1340" s="23"/>
    </row>
    <row r="1341">
      <c r="U1341" s="23"/>
      <c r="V1341" s="23"/>
      <c r="W1341" s="23"/>
    </row>
    <row r="1342">
      <c r="U1342" s="23"/>
      <c r="V1342" s="23"/>
      <c r="W1342" s="23"/>
    </row>
    <row r="1343">
      <c r="U1343" s="23"/>
      <c r="V1343" s="23"/>
      <c r="W1343" s="23"/>
    </row>
    <row r="1344">
      <c r="U1344" s="23"/>
      <c r="V1344" s="23"/>
      <c r="W1344" s="23"/>
    </row>
    <row r="1345">
      <c r="U1345" s="23"/>
      <c r="V1345" s="23"/>
      <c r="W1345" s="23"/>
    </row>
    <row r="1346">
      <c r="U1346" s="23"/>
      <c r="V1346" s="23"/>
      <c r="W1346" s="23"/>
    </row>
    <row r="1347">
      <c r="U1347" s="23"/>
      <c r="V1347" s="23"/>
      <c r="W1347" s="23"/>
    </row>
    <row r="1348">
      <c r="U1348" s="23"/>
      <c r="V1348" s="23"/>
      <c r="W1348" s="23"/>
    </row>
    <row r="1349">
      <c r="U1349" s="23"/>
      <c r="V1349" s="23"/>
      <c r="W1349" s="23"/>
    </row>
    <row r="1350">
      <c r="U1350" s="23"/>
      <c r="V1350" s="23"/>
      <c r="W1350" s="23"/>
    </row>
    <row r="1351">
      <c r="U1351" s="23"/>
      <c r="V1351" s="23"/>
      <c r="W1351" s="23"/>
    </row>
    <row r="1352">
      <c r="U1352" s="23"/>
      <c r="V1352" s="23"/>
      <c r="W1352" s="23"/>
    </row>
    <row r="1353">
      <c r="U1353" s="23"/>
      <c r="V1353" s="23"/>
      <c r="W1353" s="23"/>
    </row>
    <row r="1354">
      <c r="U1354" s="23"/>
      <c r="V1354" s="23"/>
      <c r="W1354" s="23"/>
    </row>
    <row r="1355">
      <c r="U1355" s="23"/>
      <c r="V1355" s="23"/>
      <c r="W1355" s="23"/>
    </row>
    <row r="1356">
      <c r="U1356" s="23"/>
      <c r="V1356" s="23"/>
      <c r="W1356" s="23"/>
    </row>
    <row r="1357">
      <c r="U1357" s="23"/>
      <c r="V1357" s="23"/>
      <c r="W1357" s="23"/>
    </row>
    <row r="1358">
      <c r="U1358" s="23"/>
      <c r="V1358" s="23"/>
      <c r="W1358" s="23"/>
    </row>
    <row r="1359">
      <c r="U1359" s="23"/>
      <c r="V1359" s="23"/>
      <c r="W1359" s="23"/>
    </row>
    <row r="1360">
      <c r="U1360" s="23"/>
      <c r="V1360" s="23"/>
      <c r="W1360" s="23"/>
    </row>
    <row r="1361">
      <c r="U1361" s="23"/>
      <c r="V1361" s="23"/>
      <c r="W1361" s="23"/>
    </row>
    <row r="1362">
      <c r="U1362" s="23"/>
      <c r="V1362" s="23"/>
      <c r="W1362" s="23"/>
    </row>
    <row r="1363">
      <c r="U1363" s="23"/>
      <c r="V1363" s="23"/>
      <c r="W1363" s="23"/>
    </row>
    <row r="1364">
      <c r="U1364" s="23"/>
      <c r="V1364" s="23"/>
      <c r="W1364" s="23"/>
    </row>
    <row r="1365">
      <c r="U1365" s="23"/>
      <c r="V1365" s="23"/>
      <c r="W1365" s="23"/>
    </row>
    <row r="1366">
      <c r="U1366" s="23"/>
      <c r="V1366" s="23"/>
      <c r="W1366" s="23"/>
    </row>
    <row r="1367">
      <c r="U1367" s="23"/>
      <c r="V1367" s="23"/>
      <c r="W1367" s="23"/>
    </row>
    <row r="1368">
      <c r="U1368" s="23"/>
      <c r="V1368" s="23"/>
      <c r="W1368" s="23"/>
    </row>
    <row r="1369">
      <c r="U1369" s="23"/>
      <c r="V1369" s="23"/>
      <c r="W1369" s="23"/>
    </row>
    <row r="1370">
      <c r="U1370" s="23"/>
      <c r="V1370" s="23"/>
      <c r="W1370" s="23"/>
    </row>
    <row r="1371">
      <c r="U1371" s="23"/>
      <c r="V1371" s="23"/>
      <c r="W1371" s="23"/>
    </row>
    <row r="1372">
      <c r="U1372" s="23"/>
      <c r="V1372" s="23"/>
      <c r="W1372" s="23"/>
    </row>
    <row r="1373">
      <c r="U1373" s="23"/>
      <c r="V1373" s="23"/>
      <c r="W1373" s="23"/>
    </row>
    <row r="1374">
      <c r="U1374" s="23"/>
      <c r="V1374" s="23"/>
      <c r="W1374" s="23"/>
    </row>
    <row r="1375">
      <c r="U1375" s="23"/>
      <c r="V1375" s="23"/>
      <c r="W1375" s="23"/>
    </row>
    <row r="1376">
      <c r="U1376" s="23"/>
      <c r="V1376" s="23"/>
      <c r="W1376" s="23"/>
    </row>
    <row r="1377">
      <c r="U1377" s="23"/>
      <c r="V1377" s="23"/>
      <c r="W1377" s="23"/>
    </row>
    <row r="1378">
      <c r="U1378" s="23"/>
      <c r="V1378" s="23"/>
      <c r="W1378" s="23"/>
    </row>
    <row r="1379">
      <c r="U1379" s="23"/>
      <c r="V1379" s="23"/>
      <c r="W1379" s="23"/>
    </row>
    <row r="1380">
      <c r="U1380" s="23"/>
      <c r="V1380" s="23"/>
      <c r="W1380" s="23"/>
    </row>
    <row r="1381">
      <c r="U1381" s="23"/>
      <c r="V1381" s="23"/>
      <c r="W1381" s="23"/>
    </row>
    <row r="1382">
      <c r="U1382" s="23"/>
      <c r="V1382" s="23"/>
      <c r="W1382" s="23"/>
    </row>
    <row r="1383">
      <c r="U1383" s="23"/>
      <c r="V1383" s="23"/>
      <c r="W1383" s="23"/>
    </row>
    <row r="1384">
      <c r="U1384" s="23"/>
      <c r="V1384" s="23"/>
      <c r="W1384" s="23"/>
    </row>
    <row r="1385">
      <c r="U1385" s="23"/>
      <c r="V1385" s="23"/>
      <c r="W1385" s="23"/>
    </row>
    <row r="1386">
      <c r="U1386" s="23"/>
      <c r="V1386" s="23"/>
      <c r="W1386" s="23"/>
    </row>
    <row r="1387">
      <c r="U1387" s="23"/>
      <c r="V1387" s="23"/>
      <c r="W1387" s="23"/>
    </row>
    <row r="1388">
      <c r="U1388" s="23"/>
      <c r="V1388" s="23"/>
      <c r="W1388" s="23"/>
    </row>
    <row r="1389">
      <c r="U1389" s="23"/>
      <c r="V1389" s="23"/>
      <c r="W1389" s="23"/>
    </row>
    <row r="1390">
      <c r="U1390" s="23"/>
      <c r="V1390" s="23"/>
      <c r="W1390" s="23"/>
    </row>
    <row r="1391">
      <c r="U1391" s="23"/>
      <c r="V1391" s="23"/>
      <c r="W1391" s="23"/>
    </row>
    <row r="1392">
      <c r="U1392" s="23"/>
      <c r="V1392" s="23"/>
      <c r="W1392" s="23"/>
    </row>
    <row r="1393">
      <c r="U1393" s="23"/>
      <c r="V1393" s="23"/>
      <c r="W1393" s="23"/>
    </row>
    <row r="1394">
      <c r="U1394" s="23"/>
      <c r="V1394" s="23"/>
      <c r="W1394" s="23"/>
    </row>
    <row r="1395">
      <c r="U1395" s="23"/>
      <c r="V1395" s="23"/>
      <c r="W1395" s="23"/>
    </row>
    <row r="1396">
      <c r="U1396" s="23"/>
      <c r="V1396" s="23"/>
      <c r="W1396" s="23"/>
    </row>
    <row r="1397">
      <c r="U1397" s="23"/>
      <c r="V1397" s="23"/>
      <c r="W1397" s="23"/>
    </row>
    <row r="1398">
      <c r="U1398" s="23"/>
      <c r="V1398" s="23"/>
      <c r="W1398" s="23"/>
    </row>
    <row r="1399">
      <c r="U1399" s="23"/>
      <c r="V1399" s="23"/>
      <c r="W1399" s="23"/>
    </row>
    <row r="1400">
      <c r="U1400" s="23"/>
      <c r="V1400" s="23"/>
      <c r="W1400" s="23"/>
    </row>
    <row r="1401">
      <c r="U1401" s="23"/>
      <c r="V1401" s="23"/>
      <c r="W1401" s="23"/>
    </row>
    <row r="1402">
      <c r="U1402" s="23"/>
      <c r="V1402" s="23"/>
      <c r="W1402" s="23"/>
    </row>
    <row r="1403">
      <c r="U1403" s="23"/>
      <c r="V1403" s="23"/>
      <c r="W1403" s="23"/>
    </row>
    <row r="1404">
      <c r="U1404" s="23"/>
      <c r="V1404" s="23"/>
      <c r="W1404" s="23"/>
    </row>
    <row r="1405">
      <c r="U1405" s="23"/>
      <c r="V1405" s="23"/>
      <c r="W1405" s="23"/>
    </row>
    <row r="1406">
      <c r="U1406" s="23"/>
      <c r="V1406" s="23"/>
      <c r="W1406" s="23"/>
    </row>
    <row r="1407">
      <c r="U1407" s="23"/>
      <c r="V1407" s="23"/>
      <c r="W1407" s="23"/>
    </row>
    <row r="1408">
      <c r="U1408" s="23"/>
      <c r="V1408" s="23"/>
      <c r="W1408" s="23"/>
    </row>
    <row r="1409">
      <c r="U1409" s="23"/>
      <c r="V1409" s="23"/>
      <c r="W1409" s="23"/>
    </row>
    <row r="1410">
      <c r="U1410" s="23"/>
      <c r="V1410" s="23"/>
      <c r="W1410" s="23"/>
    </row>
    <row r="1411">
      <c r="U1411" s="23"/>
      <c r="V1411" s="23"/>
      <c r="W1411" s="23"/>
    </row>
    <row r="1412">
      <c r="U1412" s="23"/>
      <c r="V1412" s="23"/>
      <c r="W1412" s="23"/>
    </row>
    <row r="1413">
      <c r="U1413" s="23"/>
      <c r="V1413" s="23"/>
      <c r="W1413" s="23"/>
    </row>
    <row r="1414">
      <c r="U1414" s="23"/>
      <c r="V1414" s="23"/>
      <c r="W1414" s="23"/>
    </row>
    <row r="1415">
      <c r="U1415" s="23"/>
      <c r="V1415" s="23"/>
      <c r="W1415" s="23"/>
    </row>
    <row r="1416">
      <c r="U1416" s="23"/>
      <c r="V1416" s="23"/>
      <c r="W1416" s="23"/>
    </row>
    <row r="1417">
      <c r="U1417" s="23"/>
      <c r="V1417" s="23"/>
      <c r="W1417" s="23"/>
    </row>
    <row r="1418">
      <c r="U1418" s="23"/>
      <c r="V1418" s="23"/>
      <c r="W1418" s="23"/>
    </row>
    <row r="1419">
      <c r="U1419" s="23"/>
      <c r="V1419" s="23"/>
      <c r="W1419" s="23"/>
    </row>
    <row r="1420">
      <c r="U1420" s="23"/>
      <c r="V1420" s="23"/>
      <c r="W1420" s="23"/>
    </row>
    <row r="1421">
      <c r="U1421" s="23"/>
      <c r="V1421" s="23"/>
      <c r="W1421" s="23"/>
    </row>
    <row r="1422">
      <c r="U1422" s="23"/>
      <c r="V1422" s="23"/>
      <c r="W1422" s="23"/>
    </row>
    <row r="1423">
      <c r="U1423" s="23"/>
      <c r="V1423" s="23"/>
      <c r="W1423" s="23"/>
    </row>
    <row r="1424">
      <c r="U1424" s="23"/>
      <c r="V1424" s="23"/>
      <c r="W1424" s="23"/>
    </row>
    <row r="1425">
      <c r="U1425" s="23"/>
      <c r="V1425" s="23"/>
      <c r="W1425" s="23"/>
    </row>
    <row r="1426">
      <c r="U1426" s="23"/>
      <c r="V1426" s="23"/>
      <c r="W1426" s="23"/>
    </row>
    <row r="1427">
      <c r="U1427" s="23"/>
      <c r="V1427" s="23"/>
      <c r="W1427" s="23"/>
    </row>
    <row r="1428">
      <c r="U1428" s="23"/>
      <c r="V1428" s="23"/>
      <c r="W1428" s="23"/>
    </row>
    <row r="1429">
      <c r="U1429" s="23"/>
      <c r="V1429" s="23"/>
      <c r="W1429" s="23"/>
    </row>
    <row r="1430">
      <c r="U1430" s="23"/>
      <c r="V1430" s="23"/>
      <c r="W1430" s="23"/>
    </row>
    <row r="1431">
      <c r="U1431" s="23"/>
      <c r="V1431" s="23"/>
      <c r="W1431" s="23"/>
    </row>
    <row r="1432">
      <c r="U1432" s="23"/>
      <c r="V1432" s="23"/>
      <c r="W1432" s="23"/>
    </row>
    <row r="1433">
      <c r="U1433" s="23"/>
      <c r="V1433" s="23"/>
      <c r="W1433" s="23"/>
    </row>
    <row r="1434">
      <c r="U1434" s="23"/>
      <c r="V1434" s="23"/>
      <c r="W1434" s="23"/>
    </row>
    <row r="1435">
      <c r="U1435" s="23"/>
      <c r="V1435" s="23"/>
      <c r="W1435" s="23"/>
    </row>
    <row r="1436">
      <c r="U1436" s="23"/>
      <c r="V1436" s="23"/>
      <c r="W1436" s="23"/>
    </row>
    <row r="1437">
      <c r="U1437" s="23"/>
      <c r="V1437" s="23"/>
      <c r="W1437" s="23"/>
    </row>
    <row r="1438">
      <c r="U1438" s="23"/>
      <c r="V1438" s="23"/>
      <c r="W1438" s="23"/>
    </row>
    <row r="1439">
      <c r="U1439" s="23"/>
      <c r="V1439" s="23"/>
      <c r="W1439" s="23"/>
    </row>
    <row r="1440">
      <c r="U1440" s="23"/>
      <c r="V1440" s="23"/>
      <c r="W1440" s="23"/>
    </row>
    <row r="1441">
      <c r="U1441" s="23"/>
      <c r="V1441" s="23"/>
      <c r="W1441" s="23"/>
    </row>
    <row r="1442">
      <c r="U1442" s="23"/>
      <c r="V1442" s="23"/>
      <c r="W1442" s="23"/>
    </row>
    <row r="1443">
      <c r="U1443" s="23"/>
      <c r="V1443" s="23"/>
      <c r="W1443" s="23"/>
    </row>
    <row r="1444">
      <c r="U1444" s="23"/>
      <c r="V1444" s="23"/>
      <c r="W1444" s="23"/>
    </row>
    <row r="1445">
      <c r="U1445" s="23"/>
      <c r="V1445" s="23"/>
      <c r="W1445" s="23"/>
    </row>
    <row r="1446">
      <c r="U1446" s="23"/>
      <c r="V1446" s="23"/>
      <c r="W1446" s="23"/>
    </row>
    <row r="1447">
      <c r="U1447" s="23"/>
      <c r="V1447" s="23"/>
      <c r="W1447" s="23"/>
    </row>
    <row r="1448">
      <c r="U1448" s="23"/>
      <c r="V1448" s="23"/>
      <c r="W1448" s="23"/>
    </row>
    <row r="1449">
      <c r="U1449" s="23"/>
      <c r="V1449" s="23"/>
      <c r="W1449" s="23"/>
    </row>
    <row r="1450">
      <c r="U1450" s="23"/>
      <c r="V1450" s="23"/>
      <c r="W1450" s="23"/>
    </row>
    <row r="1451">
      <c r="U1451" s="23"/>
      <c r="V1451" s="23"/>
      <c r="W1451" s="23"/>
    </row>
    <row r="1452">
      <c r="U1452" s="23"/>
      <c r="V1452" s="23"/>
      <c r="W1452" s="23"/>
    </row>
    <row r="1453">
      <c r="U1453" s="23"/>
      <c r="V1453" s="23"/>
      <c r="W1453" s="23"/>
    </row>
    <row r="1454">
      <c r="U1454" s="23"/>
      <c r="V1454" s="23"/>
      <c r="W1454" s="23"/>
    </row>
    <row r="1455">
      <c r="U1455" s="23"/>
      <c r="V1455" s="23"/>
      <c r="W1455" s="23"/>
    </row>
    <row r="1456">
      <c r="U1456" s="23"/>
      <c r="V1456" s="23"/>
      <c r="W1456" s="23"/>
    </row>
    <row r="1457">
      <c r="U1457" s="23"/>
      <c r="V1457" s="23"/>
      <c r="W1457" s="23"/>
    </row>
    <row r="1458">
      <c r="U1458" s="23"/>
      <c r="V1458" s="23"/>
      <c r="W1458" s="23"/>
    </row>
    <row r="1459">
      <c r="U1459" s="23"/>
      <c r="V1459" s="23"/>
      <c r="W1459" s="23"/>
    </row>
    <row r="1460">
      <c r="U1460" s="23"/>
      <c r="V1460" s="23"/>
      <c r="W1460" s="23"/>
    </row>
    <row r="1461">
      <c r="U1461" s="23"/>
      <c r="V1461" s="23"/>
      <c r="W1461" s="23"/>
    </row>
    <row r="1462">
      <c r="U1462" s="23"/>
      <c r="V1462" s="23"/>
      <c r="W1462" s="23"/>
    </row>
    <row r="1463">
      <c r="U1463" s="23"/>
      <c r="V1463" s="23"/>
      <c r="W1463" s="23"/>
    </row>
    <row r="1464">
      <c r="U1464" s="23"/>
      <c r="V1464" s="23"/>
      <c r="W1464" s="23"/>
    </row>
    <row r="1465">
      <c r="U1465" s="23"/>
      <c r="V1465" s="23"/>
      <c r="W1465" s="23"/>
    </row>
    <row r="1466">
      <c r="U1466" s="23"/>
      <c r="V1466" s="23"/>
      <c r="W1466" s="23"/>
    </row>
    <row r="1467">
      <c r="U1467" s="23"/>
      <c r="V1467" s="23"/>
      <c r="W1467" s="23"/>
    </row>
    <row r="1468">
      <c r="U1468" s="23"/>
      <c r="V1468" s="23"/>
      <c r="W1468" s="23"/>
    </row>
    <row r="1469">
      <c r="U1469" s="23"/>
      <c r="V1469" s="23"/>
      <c r="W1469" s="23"/>
    </row>
    <row r="1470">
      <c r="U1470" s="23"/>
      <c r="V1470" s="23"/>
      <c r="W1470" s="23"/>
    </row>
    <row r="1471">
      <c r="U1471" s="23"/>
      <c r="V1471" s="23"/>
      <c r="W1471" s="23"/>
    </row>
    <row r="1472">
      <c r="U1472" s="23"/>
      <c r="V1472" s="23"/>
      <c r="W1472" s="23"/>
    </row>
    <row r="1473">
      <c r="U1473" s="23"/>
      <c r="V1473" s="23"/>
      <c r="W1473" s="23"/>
    </row>
    <row r="1474">
      <c r="U1474" s="23"/>
      <c r="V1474" s="23"/>
      <c r="W1474" s="23"/>
    </row>
    <row r="1475">
      <c r="U1475" s="23"/>
      <c r="V1475" s="23"/>
      <c r="W1475" s="23"/>
    </row>
    <row r="1476">
      <c r="U1476" s="23"/>
      <c r="V1476" s="23"/>
      <c r="W1476" s="23"/>
    </row>
    <row r="1477">
      <c r="U1477" s="23"/>
      <c r="V1477" s="23"/>
      <c r="W1477" s="23"/>
    </row>
    <row r="1478">
      <c r="U1478" s="23"/>
      <c r="V1478" s="23"/>
      <c r="W1478" s="23"/>
    </row>
    <row r="1479">
      <c r="U1479" s="23"/>
      <c r="V1479" s="23"/>
      <c r="W1479" s="23"/>
    </row>
    <row r="1480">
      <c r="U1480" s="23"/>
      <c r="V1480" s="23"/>
      <c r="W1480" s="23"/>
    </row>
    <row r="1481">
      <c r="U1481" s="23"/>
      <c r="V1481" s="23"/>
      <c r="W1481" s="23"/>
    </row>
    <row r="1482">
      <c r="U1482" s="23"/>
      <c r="V1482" s="23"/>
      <c r="W1482" s="23"/>
    </row>
    <row r="1483">
      <c r="U1483" s="23"/>
      <c r="V1483" s="23"/>
      <c r="W1483" s="23"/>
    </row>
    <row r="1484">
      <c r="U1484" s="23"/>
      <c r="V1484" s="23"/>
      <c r="W1484" s="23"/>
    </row>
    <row r="1485">
      <c r="U1485" s="23"/>
      <c r="V1485" s="23"/>
      <c r="W1485" s="23"/>
    </row>
    <row r="1486">
      <c r="U1486" s="23"/>
      <c r="V1486" s="23"/>
      <c r="W1486" s="23"/>
    </row>
    <row r="1487">
      <c r="U1487" s="23"/>
      <c r="V1487" s="23"/>
      <c r="W1487" s="23"/>
    </row>
    <row r="1488">
      <c r="U1488" s="23"/>
      <c r="V1488" s="23"/>
      <c r="W1488" s="23"/>
    </row>
    <row r="1489">
      <c r="U1489" s="23"/>
      <c r="V1489" s="23"/>
      <c r="W1489" s="23"/>
    </row>
    <row r="1490">
      <c r="U1490" s="23"/>
      <c r="V1490" s="23"/>
      <c r="W1490" s="23"/>
    </row>
    <row r="1491">
      <c r="U1491" s="23"/>
      <c r="V1491" s="23"/>
      <c r="W1491" s="23"/>
    </row>
    <row r="1492">
      <c r="U1492" s="23"/>
      <c r="V1492" s="23"/>
      <c r="W1492" s="23"/>
    </row>
    <row r="1493">
      <c r="U1493" s="23"/>
      <c r="V1493" s="23"/>
      <c r="W1493" s="23"/>
    </row>
    <row r="1494">
      <c r="U1494" s="23"/>
      <c r="V1494" s="23"/>
      <c r="W1494" s="23"/>
    </row>
    <row r="1495">
      <c r="U1495" s="23"/>
      <c r="V1495" s="23"/>
      <c r="W1495" s="23"/>
    </row>
    <row r="1496">
      <c r="U1496" s="23"/>
      <c r="V1496" s="23"/>
      <c r="W1496" s="23"/>
    </row>
    <row r="1497">
      <c r="U1497" s="23"/>
      <c r="V1497" s="23"/>
      <c r="W1497" s="23"/>
    </row>
    <row r="1498">
      <c r="U1498" s="23"/>
      <c r="V1498" s="23"/>
      <c r="W1498" s="23"/>
    </row>
    <row r="1499">
      <c r="U1499" s="23"/>
      <c r="V1499" s="23"/>
      <c r="W1499" s="23"/>
    </row>
    <row r="1500">
      <c r="U1500" s="23"/>
      <c r="V1500" s="23"/>
      <c r="W1500" s="23"/>
    </row>
    <row r="1501">
      <c r="U1501" s="23"/>
      <c r="V1501" s="23"/>
      <c r="W1501" s="23"/>
    </row>
    <row r="1502">
      <c r="U1502" s="23"/>
      <c r="V1502" s="23"/>
      <c r="W1502" s="23"/>
    </row>
    <row r="1503">
      <c r="U1503" s="23"/>
      <c r="V1503" s="23"/>
      <c r="W1503" s="23"/>
    </row>
    <row r="1504">
      <c r="U1504" s="23"/>
      <c r="V1504" s="23"/>
      <c r="W1504" s="23"/>
    </row>
    <row r="1505">
      <c r="U1505" s="23"/>
      <c r="V1505" s="23"/>
      <c r="W1505" s="23"/>
    </row>
    <row r="1506">
      <c r="U1506" s="23"/>
      <c r="V1506" s="23"/>
      <c r="W1506" s="23"/>
    </row>
    <row r="1507">
      <c r="U1507" s="23"/>
      <c r="V1507" s="23"/>
      <c r="W1507" s="23"/>
    </row>
    <row r="1508">
      <c r="U1508" s="23"/>
      <c r="V1508" s="23"/>
      <c r="W1508" s="23"/>
    </row>
    <row r="1509">
      <c r="U1509" s="23"/>
      <c r="V1509" s="23"/>
      <c r="W1509" s="23"/>
    </row>
    <row r="1510">
      <c r="U1510" s="23"/>
      <c r="V1510" s="23"/>
      <c r="W1510" s="23"/>
    </row>
    <row r="1511">
      <c r="U1511" s="23"/>
      <c r="V1511" s="23"/>
      <c r="W1511" s="23"/>
    </row>
    <row r="1512">
      <c r="U1512" s="23"/>
      <c r="V1512" s="23"/>
      <c r="W1512" s="23"/>
    </row>
    <row r="1513">
      <c r="U1513" s="23"/>
      <c r="V1513" s="23"/>
      <c r="W1513" s="23"/>
    </row>
    <row r="1514">
      <c r="U1514" s="23"/>
      <c r="V1514" s="23"/>
      <c r="W1514" s="23"/>
    </row>
    <row r="1515">
      <c r="U1515" s="23"/>
      <c r="V1515" s="23"/>
      <c r="W1515" s="23"/>
    </row>
    <row r="1516">
      <c r="U1516" s="23"/>
      <c r="V1516" s="23"/>
      <c r="W1516" s="23"/>
    </row>
    <row r="1517">
      <c r="U1517" s="23"/>
      <c r="V1517" s="23"/>
      <c r="W1517" s="23"/>
    </row>
    <row r="1518">
      <c r="U1518" s="23"/>
      <c r="V1518" s="23"/>
      <c r="W1518" s="23"/>
    </row>
    <row r="1519">
      <c r="U1519" s="23"/>
      <c r="V1519" s="23"/>
      <c r="W1519" s="23"/>
    </row>
    <row r="1520">
      <c r="U1520" s="23"/>
      <c r="V1520" s="23"/>
      <c r="W1520" s="23"/>
    </row>
    <row r="1521">
      <c r="U1521" s="23"/>
      <c r="V1521" s="23"/>
      <c r="W1521" s="23"/>
    </row>
    <row r="1522">
      <c r="U1522" s="23"/>
      <c r="V1522" s="23"/>
      <c r="W1522" s="23"/>
    </row>
    <row r="1523">
      <c r="U1523" s="23"/>
      <c r="V1523" s="23"/>
      <c r="W1523" s="23"/>
    </row>
    <row r="1524">
      <c r="U1524" s="23"/>
      <c r="V1524" s="23"/>
      <c r="W1524" s="23"/>
    </row>
    <row r="1525">
      <c r="U1525" s="23"/>
      <c r="V1525" s="23"/>
      <c r="W1525" s="23"/>
    </row>
    <row r="1526">
      <c r="U1526" s="23"/>
      <c r="V1526" s="23"/>
      <c r="W1526" s="23"/>
    </row>
    <row r="1527">
      <c r="U1527" s="23"/>
      <c r="V1527" s="23"/>
      <c r="W1527" s="23"/>
    </row>
    <row r="1528">
      <c r="U1528" s="23"/>
      <c r="V1528" s="23"/>
      <c r="W1528" s="23"/>
    </row>
    <row r="1529">
      <c r="U1529" s="23"/>
      <c r="V1529" s="23"/>
      <c r="W1529" s="23"/>
    </row>
    <row r="1530">
      <c r="U1530" s="23"/>
      <c r="V1530" s="23"/>
      <c r="W1530" s="23"/>
    </row>
    <row r="1531">
      <c r="U1531" s="23"/>
      <c r="V1531" s="23"/>
      <c r="W1531" s="23"/>
    </row>
    <row r="1532">
      <c r="U1532" s="23"/>
      <c r="V1532" s="23"/>
      <c r="W1532" s="23"/>
    </row>
    <row r="1533">
      <c r="U1533" s="23"/>
      <c r="V1533" s="23"/>
      <c r="W1533" s="23"/>
    </row>
    <row r="1534">
      <c r="U1534" s="23"/>
      <c r="V1534" s="23"/>
      <c r="W1534" s="23"/>
    </row>
    <row r="1535">
      <c r="U1535" s="23"/>
      <c r="V1535" s="23"/>
      <c r="W1535" s="23"/>
    </row>
    <row r="1536">
      <c r="U1536" s="23"/>
      <c r="V1536" s="23"/>
      <c r="W1536" s="23"/>
    </row>
    <row r="1537">
      <c r="U1537" s="23"/>
      <c r="V1537" s="23"/>
      <c r="W1537" s="23"/>
    </row>
    <row r="1538">
      <c r="U1538" s="23"/>
      <c r="V1538" s="23"/>
      <c r="W1538" s="23"/>
    </row>
    <row r="1539">
      <c r="U1539" s="23"/>
      <c r="V1539" s="23"/>
      <c r="W1539" s="23"/>
    </row>
    <row r="1540">
      <c r="U1540" s="23"/>
      <c r="V1540" s="23"/>
      <c r="W1540" s="23"/>
    </row>
    <row r="1541">
      <c r="U1541" s="23"/>
      <c r="V1541" s="23"/>
      <c r="W1541" s="23"/>
    </row>
    <row r="1542">
      <c r="U1542" s="23"/>
      <c r="V1542" s="23"/>
      <c r="W1542" s="23"/>
    </row>
    <row r="1543">
      <c r="U1543" s="23"/>
      <c r="V1543" s="23"/>
      <c r="W1543" s="23"/>
    </row>
    <row r="1544">
      <c r="U1544" s="23"/>
      <c r="V1544" s="23"/>
      <c r="W1544" s="23"/>
    </row>
    <row r="1545">
      <c r="U1545" s="23"/>
      <c r="V1545" s="23"/>
      <c r="W1545" s="23"/>
    </row>
    <row r="1546">
      <c r="U1546" s="23"/>
      <c r="V1546" s="23"/>
      <c r="W1546" s="23"/>
    </row>
    <row r="1547">
      <c r="U1547" s="23"/>
      <c r="V1547" s="23"/>
      <c r="W1547" s="23"/>
    </row>
    <row r="1548">
      <c r="U1548" s="23"/>
      <c r="V1548" s="23"/>
      <c r="W1548" s="23"/>
    </row>
    <row r="1549">
      <c r="U1549" s="23"/>
      <c r="V1549" s="23"/>
      <c r="W1549" s="23"/>
    </row>
    <row r="1550">
      <c r="U1550" s="23"/>
      <c r="V1550" s="23"/>
      <c r="W1550" s="23"/>
    </row>
    <row r="1551">
      <c r="U1551" s="23"/>
      <c r="V1551" s="23"/>
      <c r="W1551" s="23"/>
    </row>
    <row r="1552">
      <c r="U1552" s="23"/>
      <c r="V1552" s="23"/>
      <c r="W1552" s="23"/>
    </row>
    <row r="1553">
      <c r="U1553" s="23"/>
      <c r="V1553" s="23"/>
      <c r="W1553" s="23"/>
    </row>
    <row r="1554">
      <c r="U1554" s="23"/>
      <c r="V1554" s="23"/>
      <c r="W1554" s="23"/>
    </row>
    <row r="1555">
      <c r="U1555" s="23"/>
      <c r="V1555" s="23"/>
      <c r="W1555" s="23"/>
    </row>
    <row r="1556">
      <c r="U1556" s="23"/>
      <c r="V1556" s="23"/>
      <c r="W1556" s="23"/>
    </row>
    <row r="1557">
      <c r="U1557" s="23"/>
      <c r="V1557" s="23"/>
      <c r="W1557" s="23"/>
    </row>
    <row r="1558">
      <c r="U1558" s="23"/>
      <c r="V1558" s="23"/>
      <c r="W1558" s="23"/>
    </row>
    <row r="1559">
      <c r="U1559" s="23"/>
      <c r="V1559" s="23"/>
      <c r="W1559" s="23"/>
    </row>
    <row r="1560">
      <c r="U1560" s="23"/>
      <c r="V1560" s="23"/>
      <c r="W1560" s="23"/>
    </row>
    <row r="1561">
      <c r="U1561" s="23"/>
      <c r="V1561" s="23"/>
      <c r="W1561" s="23"/>
    </row>
    <row r="1562">
      <c r="U1562" s="23"/>
      <c r="V1562" s="23"/>
      <c r="W1562" s="23"/>
    </row>
    <row r="1563">
      <c r="U1563" s="23"/>
      <c r="V1563" s="23"/>
      <c r="W1563" s="23"/>
    </row>
    <row r="1564">
      <c r="U1564" s="23"/>
      <c r="V1564" s="23"/>
      <c r="W1564" s="23"/>
    </row>
    <row r="1565">
      <c r="U1565" s="23"/>
      <c r="V1565" s="23"/>
      <c r="W1565" s="23"/>
    </row>
    <row r="1566">
      <c r="U1566" s="23"/>
      <c r="V1566" s="23"/>
      <c r="W1566" s="23"/>
    </row>
    <row r="1567">
      <c r="U1567" s="23"/>
      <c r="V1567" s="23"/>
      <c r="W1567" s="23"/>
    </row>
    <row r="1568">
      <c r="U1568" s="23"/>
      <c r="V1568" s="23"/>
      <c r="W1568" s="23"/>
    </row>
    <row r="1569">
      <c r="U1569" s="23"/>
      <c r="V1569" s="23"/>
      <c r="W1569" s="23"/>
    </row>
    <row r="1570">
      <c r="U1570" s="23"/>
      <c r="V1570" s="23"/>
      <c r="W1570" s="23"/>
    </row>
    <row r="1571">
      <c r="U1571" s="23"/>
      <c r="V1571" s="23"/>
      <c r="W1571" s="23"/>
    </row>
    <row r="1572">
      <c r="U1572" s="23"/>
      <c r="V1572" s="23"/>
      <c r="W1572" s="23"/>
    </row>
    <row r="1573">
      <c r="U1573" s="23"/>
      <c r="V1573" s="23"/>
      <c r="W1573" s="23"/>
    </row>
    <row r="1574">
      <c r="U1574" s="23"/>
      <c r="V1574" s="23"/>
      <c r="W1574" s="23"/>
    </row>
    <row r="1575">
      <c r="U1575" s="23"/>
      <c r="V1575" s="23"/>
      <c r="W1575" s="23"/>
    </row>
    <row r="1576">
      <c r="U1576" s="23"/>
      <c r="V1576" s="23"/>
      <c r="W1576" s="23"/>
    </row>
    <row r="1577">
      <c r="U1577" s="23"/>
      <c r="V1577" s="23"/>
      <c r="W1577" s="23"/>
    </row>
    <row r="1578">
      <c r="U1578" s="23"/>
      <c r="V1578" s="23"/>
      <c r="W1578" s="23"/>
    </row>
    <row r="1579">
      <c r="U1579" s="23"/>
      <c r="V1579" s="23"/>
      <c r="W1579" s="23"/>
    </row>
    <row r="1580">
      <c r="U1580" s="23"/>
      <c r="V1580" s="23"/>
      <c r="W1580" s="23"/>
    </row>
    <row r="1581">
      <c r="U1581" s="23"/>
      <c r="V1581" s="23"/>
      <c r="W1581" s="23"/>
    </row>
    <row r="1582">
      <c r="U1582" s="23"/>
      <c r="V1582" s="23"/>
      <c r="W1582" s="23"/>
    </row>
    <row r="1583">
      <c r="U1583" s="23"/>
      <c r="V1583" s="23"/>
      <c r="W1583" s="23"/>
    </row>
    <row r="1584">
      <c r="U1584" s="23"/>
      <c r="V1584" s="23"/>
      <c r="W1584" s="23"/>
    </row>
    <row r="1585">
      <c r="U1585" s="23"/>
      <c r="V1585" s="23"/>
      <c r="W1585" s="23"/>
    </row>
    <row r="1586">
      <c r="U1586" s="23"/>
      <c r="V1586" s="23"/>
      <c r="W1586" s="23"/>
    </row>
    <row r="1587">
      <c r="U1587" s="23"/>
      <c r="V1587" s="23"/>
      <c r="W1587" s="23"/>
    </row>
    <row r="1588">
      <c r="U1588" s="23"/>
      <c r="V1588" s="23"/>
      <c r="W1588" s="23"/>
    </row>
    <row r="1589">
      <c r="U1589" s="23"/>
      <c r="V1589" s="23"/>
      <c r="W1589" s="23"/>
    </row>
    <row r="1590">
      <c r="U1590" s="23"/>
      <c r="V1590" s="23"/>
      <c r="W1590" s="23"/>
    </row>
    <row r="1591">
      <c r="U1591" s="23"/>
      <c r="V1591" s="23"/>
      <c r="W1591" s="23"/>
    </row>
    <row r="1592">
      <c r="U1592" s="23"/>
      <c r="V1592" s="23"/>
      <c r="W1592" s="23"/>
    </row>
    <row r="1593">
      <c r="U1593" s="23"/>
      <c r="V1593" s="23"/>
      <c r="W1593" s="23"/>
    </row>
    <row r="1594">
      <c r="U1594" s="23"/>
      <c r="V1594" s="23"/>
      <c r="W1594" s="23"/>
    </row>
    <row r="1595">
      <c r="U1595" s="23"/>
      <c r="V1595" s="23"/>
      <c r="W1595" s="23"/>
    </row>
    <row r="1596">
      <c r="U1596" s="23"/>
      <c r="V1596" s="23"/>
      <c r="W1596" s="23"/>
    </row>
    <row r="1597">
      <c r="U1597" s="23"/>
      <c r="V1597" s="23"/>
      <c r="W1597" s="23"/>
    </row>
    <row r="1598">
      <c r="U1598" s="23"/>
      <c r="V1598" s="23"/>
      <c r="W1598" s="23"/>
    </row>
    <row r="1599">
      <c r="U1599" s="23"/>
      <c r="V1599" s="23"/>
      <c r="W1599" s="23"/>
    </row>
    <row r="1600">
      <c r="U1600" s="23"/>
      <c r="V1600" s="23"/>
      <c r="W1600" s="23"/>
    </row>
    <row r="1601">
      <c r="U1601" s="23"/>
      <c r="V1601" s="23"/>
      <c r="W1601" s="23"/>
    </row>
    <row r="1602">
      <c r="U1602" s="23"/>
      <c r="V1602" s="23"/>
      <c r="W1602" s="23"/>
    </row>
    <row r="1603">
      <c r="U1603" s="23"/>
      <c r="V1603" s="23"/>
      <c r="W1603" s="23"/>
    </row>
    <row r="1604">
      <c r="U1604" s="23"/>
      <c r="V1604" s="23"/>
      <c r="W1604" s="23"/>
    </row>
    <row r="1605">
      <c r="U1605" s="23"/>
      <c r="V1605" s="23"/>
      <c r="W1605" s="23"/>
    </row>
    <row r="1606">
      <c r="U1606" s="23"/>
      <c r="V1606" s="23"/>
      <c r="W1606" s="23"/>
    </row>
    <row r="1607">
      <c r="U1607" s="23"/>
      <c r="V1607" s="23"/>
      <c r="W1607" s="23"/>
    </row>
    <row r="1608">
      <c r="U1608" s="23"/>
      <c r="V1608" s="23"/>
      <c r="W1608" s="23"/>
    </row>
    <row r="1609">
      <c r="U1609" s="23"/>
      <c r="V1609" s="23"/>
      <c r="W1609" s="23"/>
    </row>
    <row r="1610">
      <c r="U1610" s="23"/>
      <c r="V1610" s="23"/>
      <c r="W1610" s="23"/>
    </row>
    <row r="1611">
      <c r="U1611" s="23"/>
      <c r="V1611" s="23"/>
      <c r="W1611" s="23"/>
    </row>
    <row r="1612">
      <c r="U1612" s="23"/>
      <c r="V1612" s="23"/>
      <c r="W1612" s="23"/>
    </row>
    <row r="1613">
      <c r="U1613" s="23"/>
      <c r="V1613" s="23"/>
      <c r="W1613" s="23"/>
    </row>
    <row r="1614">
      <c r="U1614" s="23"/>
      <c r="V1614" s="23"/>
      <c r="W1614" s="23"/>
    </row>
    <row r="1615">
      <c r="U1615" s="23"/>
      <c r="V1615" s="23"/>
      <c r="W1615" s="23"/>
    </row>
    <row r="1616">
      <c r="U1616" s="23"/>
      <c r="V1616" s="23"/>
      <c r="W1616" s="23"/>
    </row>
    <row r="1617">
      <c r="U1617" s="23"/>
      <c r="V1617" s="23"/>
      <c r="W1617" s="23"/>
    </row>
    <row r="1618">
      <c r="U1618" s="23"/>
      <c r="V1618" s="23"/>
      <c r="W1618" s="23"/>
    </row>
    <row r="1619">
      <c r="U1619" s="23"/>
      <c r="V1619" s="23"/>
      <c r="W1619" s="23"/>
    </row>
    <row r="1620">
      <c r="U1620" s="23"/>
      <c r="V1620" s="23"/>
      <c r="W1620" s="23"/>
    </row>
    <row r="1621">
      <c r="U1621" s="23"/>
      <c r="V1621" s="23"/>
      <c r="W1621" s="23"/>
    </row>
    <row r="1622">
      <c r="U1622" s="23"/>
      <c r="V1622" s="23"/>
      <c r="W1622" s="23"/>
    </row>
    <row r="1623">
      <c r="U1623" s="23"/>
      <c r="V1623" s="23"/>
      <c r="W1623" s="23"/>
    </row>
    <row r="1624">
      <c r="U1624" s="23"/>
      <c r="V1624" s="23"/>
      <c r="W1624" s="23"/>
    </row>
    <row r="1625">
      <c r="U1625" s="23"/>
      <c r="V1625" s="23"/>
      <c r="W1625" s="23"/>
    </row>
    <row r="1626">
      <c r="U1626" s="23"/>
      <c r="V1626" s="23"/>
      <c r="W1626" s="23"/>
    </row>
    <row r="1627">
      <c r="U1627" s="23"/>
      <c r="V1627" s="23"/>
      <c r="W1627" s="23"/>
    </row>
    <row r="1628">
      <c r="U1628" s="23"/>
      <c r="V1628" s="23"/>
      <c r="W1628" s="23"/>
    </row>
    <row r="1629">
      <c r="U1629" s="23"/>
      <c r="V1629" s="23"/>
      <c r="W1629" s="23"/>
    </row>
    <row r="1630">
      <c r="U1630" s="23"/>
      <c r="V1630" s="23"/>
      <c r="W1630" s="23"/>
    </row>
    <row r="1631">
      <c r="U1631" s="23"/>
      <c r="V1631" s="23"/>
      <c r="W1631" s="23"/>
    </row>
    <row r="1632">
      <c r="U1632" s="23"/>
      <c r="V1632" s="23"/>
      <c r="W1632" s="23"/>
    </row>
    <row r="1633">
      <c r="U1633" s="23"/>
      <c r="V1633" s="23"/>
      <c r="W1633" s="23"/>
    </row>
    <row r="1634">
      <c r="U1634" s="23"/>
      <c r="V1634" s="23"/>
      <c r="W1634" s="23"/>
    </row>
    <row r="1635">
      <c r="U1635" s="23"/>
      <c r="V1635" s="23"/>
      <c r="W1635" s="23"/>
    </row>
    <row r="1636">
      <c r="U1636" s="23"/>
      <c r="V1636" s="23"/>
      <c r="W1636" s="23"/>
    </row>
    <row r="1637">
      <c r="U1637" s="23"/>
      <c r="V1637" s="23"/>
      <c r="W1637" s="23"/>
    </row>
    <row r="1638">
      <c r="U1638" s="23"/>
      <c r="V1638" s="23"/>
      <c r="W1638" s="23"/>
    </row>
    <row r="1639">
      <c r="U1639" s="23"/>
      <c r="V1639" s="23"/>
      <c r="W1639" s="23"/>
    </row>
    <row r="1640">
      <c r="U1640" s="23"/>
      <c r="V1640" s="23"/>
      <c r="W1640" s="23"/>
    </row>
    <row r="1641">
      <c r="U1641" s="23"/>
      <c r="V1641" s="23"/>
      <c r="W1641" s="23"/>
    </row>
    <row r="1642">
      <c r="U1642" s="23"/>
      <c r="V1642" s="23"/>
      <c r="W1642" s="23"/>
    </row>
    <row r="1643">
      <c r="U1643" s="23"/>
      <c r="V1643" s="23"/>
      <c r="W1643" s="23"/>
    </row>
    <row r="1644">
      <c r="U1644" s="23"/>
      <c r="V1644" s="23"/>
      <c r="W1644" s="23"/>
    </row>
    <row r="1645">
      <c r="U1645" s="23"/>
      <c r="V1645" s="23"/>
      <c r="W1645" s="23"/>
    </row>
    <row r="1646">
      <c r="U1646" s="23"/>
      <c r="V1646" s="23"/>
      <c r="W1646" s="23"/>
    </row>
    <row r="1647">
      <c r="U1647" s="23"/>
      <c r="V1647" s="23"/>
      <c r="W1647" s="23"/>
    </row>
    <row r="1648">
      <c r="U1648" s="23"/>
      <c r="V1648" s="23"/>
      <c r="W1648" s="23"/>
    </row>
    <row r="1649">
      <c r="U1649" s="23"/>
      <c r="V1649" s="23"/>
      <c r="W1649" s="23"/>
    </row>
    <row r="1650">
      <c r="U1650" s="23"/>
      <c r="V1650" s="23"/>
      <c r="W1650" s="23"/>
    </row>
    <row r="1651">
      <c r="U1651" s="23"/>
      <c r="V1651" s="23"/>
      <c r="W1651" s="23"/>
    </row>
    <row r="1652">
      <c r="U1652" s="23"/>
      <c r="V1652" s="23"/>
      <c r="W1652" s="23"/>
    </row>
    <row r="1653">
      <c r="U1653" s="23"/>
      <c r="V1653" s="23"/>
      <c r="W1653" s="23"/>
    </row>
    <row r="1654">
      <c r="U1654" s="23"/>
      <c r="V1654" s="23"/>
      <c r="W1654" s="23"/>
    </row>
    <row r="1655">
      <c r="U1655" s="23"/>
      <c r="V1655" s="23"/>
      <c r="W1655" s="23"/>
    </row>
    <row r="1656">
      <c r="U1656" s="23"/>
      <c r="V1656" s="23"/>
      <c r="W1656" s="23"/>
    </row>
    <row r="1657">
      <c r="U1657" s="23"/>
      <c r="V1657" s="23"/>
      <c r="W1657" s="23"/>
    </row>
    <row r="1658">
      <c r="U1658" s="23"/>
      <c r="V1658" s="23"/>
      <c r="W1658" s="23"/>
    </row>
    <row r="1659">
      <c r="U1659" s="23"/>
      <c r="V1659" s="23"/>
      <c r="W1659" s="23"/>
    </row>
    <row r="1660">
      <c r="U1660" s="23"/>
      <c r="V1660" s="23"/>
      <c r="W1660" s="23"/>
    </row>
    <row r="1661">
      <c r="U1661" s="23"/>
      <c r="V1661" s="23"/>
      <c r="W1661" s="23"/>
    </row>
    <row r="1662">
      <c r="U1662" s="23"/>
      <c r="V1662" s="23"/>
      <c r="W1662" s="23"/>
    </row>
    <row r="1663">
      <c r="U1663" s="23"/>
      <c r="V1663" s="23"/>
      <c r="W1663" s="23"/>
    </row>
    <row r="1664">
      <c r="U1664" s="23"/>
      <c r="V1664" s="23"/>
      <c r="W1664" s="23"/>
    </row>
    <row r="1665">
      <c r="U1665" s="23"/>
      <c r="V1665" s="23"/>
      <c r="W1665" s="23"/>
    </row>
    <row r="1666">
      <c r="U1666" s="23"/>
      <c r="V1666" s="23"/>
      <c r="W1666" s="23"/>
    </row>
    <row r="1667">
      <c r="U1667" s="23"/>
      <c r="V1667" s="23"/>
      <c r="W1667" s="23"/>
    </row>
    <row r="1668">
      <c r="U1668" s="23"/>
      <c r="V1668" s="23"/>
      <c r="W1668" s="23"/>
    </row>
    <row r="1669">
      <c r="U1669" s="23"/>
      <c r="V1669" s="23"/>
      <c r="W1669" s="23"/>
    </row>
    <row r="1670">
      <c r="U1670" s="23"/>
      <c r="V1670" s="23"/>
      <c r="W1670" s="23"/>
    </row>
    <row r="1671">
      <c r="U1671" s="23"/>
      <c r="V1671" s="23"/>
      <c r="W1671" s="23"/>
    </row>
    <row r="1672">
      <c r="U1672" s="23"/>
      <c r="V1672" s="23"/>
      <c r="W1672" s="23"/>
    </row>
    <row r="1673">
      <c r="U1673" s="23"/>
      <c r="V1673" s="23"/>
      <c r="W1673" s="23"/>
    </row>
    <row r="1674">
      <c r="U1674" s="23"/>
      <c r="V1674" s="23"/>
      <c r="W1674" s="23"/>
    </row>
    <row r="1675">
      <c r="U1675" s="23"/>
      <c r="V1675" s="23"/>
      <c r="W1675" s="23"/>
    </row>
    <row r="1676">
      <c r="U1676" s="23"/>
      <c r="V1676" s="23"/>
      <c r="W1676" s="23"/>
    </row>
    <row r="1677">
      <c r="U1677" s="23"/>
      <c r="V1677" s="23"/>
      <c r="W1677" s="23"/>
    </row>
    <row r="1678">
      <c r="U1678" s="23"/>
      <c r="V1678" s="23"/>
      <c r="W1678" s="23"/>
    </row>
    <row r="1679">
      <c r="U1679" s="23"/>
      <c r="V1679" s="23"/>
      <c r="W1679" s="23"/>
    </row>
    <row r="1680">
      <c r="U1680" s="23"/>
      <c r="V1680" s="23"/>
      <c r="W1680" s="23"/>
    </row>
    <row r="1681">
      <c r="U1681" s="23"/>
      <c r="V1681" s="23"/>
      <c r="W1681" s="23"/>
    </row>
    <row r="1682">
      <c r="U1682" s="23"/>
      <c r="V1682" s="23"/>
      <c r="W1682" s="23"/>
    </row>
    <row r="1683">
      <c r="U1683" s="23"/>
      <c r="V1683" s="23"/>
      <c r="W1683" s="23"/>
    </row>
    <row r="1684">
      <c r="U1684" s="23"/>
      <c r="V1684" s="23"/>
      <c r="W1684" s="23"/>
    </row>
    <row r="1685">
      <c r="U1685" s="23"/>
      <c r="V1685" s="23"/>
      <c r="W1685" s="23"/>
    </row>
    <row r="1686">
      <c r="U1686" s="23"/>
      <c r="V1686" s="23"/>
      <c r="W1686" s="23"/>
    </row>
    <row r="1687">
      <c r="U1687" s="23"/>
      <c r="V1687" s="23"/>
      <c r="W1687" s="23"/>
    </row>
    <row r="1688">
      <c r="U1688" s="23"/>
      <c r="V1688" s="23"/>
      <c r="W1688" s="23"/>
    </row>
    <row r="1689">
      <c r="U1689" s="23"/>
      <c r="V1689" s="23"/>
      <c r="W1689" s="23"/>
    </row>
    <row r="1690">
      <c r="U1690" s="23"/>
      <c r="V1690" s="23"/>
      <c r="W1690" s="23"/>
    </row>
    <row r="1691">
      <c r="U1691" s="23"/>
      <c r="V1691" s="23"/>
      <c r="W1691" s="23"/>
    </row>
    <row r="1692">
      <c r="U1692" s="23"/>
      <c r="V1692" s="23"/>
      <c r="W1692" s="23"/>
    </row>
    <row r="1693">
      <c r="U1693" s="23"/>
      <c r="V1693" s="23"/>
      <c r="W1693" s="23"/>
    </row>
    <row r="1694">
      <c r="U1694" s="23"/>
      <c r="V1694" s="23"/>
      <c r="W1694" s="23"/>
    </row>
    <row r="1695">
      <c r="U1695" s="23"/>
      <c r="V1695" s="23"/>
      <c r="W1695" s="23"/>
    </row>
    <row r="1696">
      <c r="U1696" s="23"/>
      <c r="V1696" s="23"/>
      <c r="W1696" s="23"/>
    </row>
    <row r="1697">
      <c r="U1697" s="23"/>
      <c r="V1697" s="23"/>
      <c r="W1697" s="23"/>
    </row>
    <row r="1698">
      <c r="U1698" s="23"/>
      <c r="V1698" s="23"/>
      <c r="W1698" s="23"/>
    </row>
    <row r="1699">
      <c r="U1699" s="23"/>
      <c r="V1699" s="23"/>
      <c r="W1699" s="23"/>
    </row>
    <row r="1700">
      <c r="U1700" s="23"/>
      <c r="V1700" s="23"/>
      <c r="W1700" s="23"/>
    </row>
    <row r="1701">
      <c r="U1701" s="23"/>
      <c r="V1701" s="23"/>
      <c r="W1701" s="23"/>
    </row>
    <row r="1702">
      <c r="U1702" s="23"/>
      <c r="V1702" s="23"/>
      <c r="W1702" s="23"/>
    </row>
    <row r="1703">
      <c r="U1703" s="23"/>
      <c r="V1703" s="23"/>
      <c r="W1703" s="23"/>
    </row>
    <row r="1704">
      <c r="U1704" s="23"/>
      <c r="V1704" s="23"/>
      <c r="W1704" s="23"/>
    </row>
    <row r="1705">
      <c r="U1705" s="23"/>
      <c r="V1705" s="23"/>
      <c r="W1705" s="23"/>
    </row>
    <row r="1706">
      <c r="U1706" s="23"/>
      <c r="V1706" s="23"/>
      <c r="W1706" s="23"/>
    </row>
    <row r="1707">
      <c r="U1707" s="23"/>
      <c r="V1707" s="23"/>
      <c r="W1707" s="23"/>
    </row>
    <row r="1708">
      <c r="U1708" s="23"/>
      <c r="V1708" s="23"/>
      <c r="W1708" s="23"/>
    </row>
    <row r="1709">
      <c r="U1709" s="23"/>
      <c r="V1709" s="23"/>
      <c r="W1709" s="23"/>
    </row>
    <row r="1710">
      <c r="U1710" s="23"/>
      <c r="V1710" s="23"/>
      <c r="W1710" s="23"/>
    </row>
    <row r="1711">
      <c r="U1711" s="23"/>
      <c r="V1711" s="23"/>
      <c r="W1711" s="23"/>
    </row>
    <row r="1712">
      <c r="U1712" s="23"/>
      <c r="V1712" s="23"/>
      <c r="W1712" s="23"/>
    </row>
    <row r="1713">
      <c r="U1713" s="23"/>
      <c r="V1713" s="23"/>
      <c r="W1713" s="23"/>
    </row>
    <row r="1714">
      <c r="U1714" s="23"/>
      <c r="V1714" s="23"/>
      <c r="W1714" s="23"/>
    </row>
    <row r="1715">
      <c r="U1715" s="23"/>
      <c r="V1715" s="23"/>
      <c r="W1715" s="23"/>
    </row>
    <row r="1716">
      <c r="U1716" s="23"/>
      <c r="V1716" s="23"/>
      <c r="W1716" s="23"/>
    </row>
    <row r="1717">
      <c r="U1717" s="23"/>
      <c r="V1717" s="23"/>
      <c r="W1717" s="23"/>
    </row>
    <row r="1718">
      <c r="U1718" s="23"/>
      <c r="V1718" s="23"/>
      <c r="W1718" s="23"/>
    </row>
    <row r="1719">
      <c r="U1719" s="23"/>
      <c r="V1719" s="23"/>
      <c r="W1719" s="23"/>
    </row>
    <row r="1720">
      <c r="U1720" s="23"/>
      <c r="V1720" s="23"/>
      <c r="W1720" s="23"/>
    </row>
    <row r="1721">
      <c r="U1721" s="23"/>
      <c r="V1721" s="23"/>
      <c r="W1721" s="23"/>
    </row>
    <row r="1722">
      <c r="U1722" s="23"/>
      <c r="V1722" s="23"/>
      <c r="W1722" s="23"/>
    </row>
    <row r="1723">
      <c r="U1723" s="23"/>
      <c r="V1723" s="23"/>
      <c r="W1723" s="23"/>
    </row>
    <row r="1724">
      <c r="U1724" s="23"/>
      <c r="V1724" s="23"/>
      <c r="W1724" s="23"/>
    </row>
    <row r="1725">
      <c r="U1725" s="23"/>
      <c r="V1725" s="23"/>
      <c r="W1725" s="23"/>
    </row>
    <row r="1726">
      <c r="U1726" s="23"/>
      <c r="V1726" s="23"/>
      <c r="W1726" s="23"/>
    </row>
    <row r="1727">
      <c r="U1727" s="23"/>
      <c r="V1727" s="23"/>
      <c r="W1727" s="23"/>
    </row>
    <row r="1728">
      <c r="U1728" s="23"/>
      <c r="V1728" s="23"/>
      <c r="W1728" s="23"/>
    </row>
    <row r="1729">
      <c r="U1729" s="23"/>
      <c r="V1729" s="23"/>
      <c r="W1729" s="23"/>
    </row>
    <row r="1730">
      <c r="U1730" s="23"/>
      <c r="V1730" s="23"/>
      <c r="W1730" s="23"/>
    </row>
    <row r="1731">
      <c r="U1731" s="23"/>
      <c r="V1731" s="23"/>
      <c r="W1731" s="23"/>
    </row>
    <row r="1732">
      <c r="U1732" s="23"/>
      <c r="V1732" s="23"/>
      <c r="W1732" s="23"/>
    </row>
    <row r="1733">
      <c r="U1733" s="23"/>
      <c r="V1733" s="23"/>
      <c r="W1733" s="23"/>
    </row>
    <row r="1734">
      <c r="U1734" s="23"/>
      <c r="V1734" s="23"/>
      <c r="W1734" s="23"/>
    </row>
    <row r="1735">
      <c r="U1735" s="23"/>
      <c r="V1735" s="23"/>
      <c r="W1735" s="23"/>
    </row>
    <row r="1736">
      <c r="U1736" s="23"/>
      <c r="V1736" s="23"/>
      <c r="W1736" s="23"/>
    </row>
    <row r="1737">
      <c r="U1737" s="23"/>
      <c r="V1737" s="23"/>
      <c r="W1737" s="23"/>
    </row>
    <row r="1738">
      <c r="U1738" s="23"/>
      <c r="V1738" s="23"/>
      <c r="W1738" s="23"/>
    </row>
    <row r="1739">
      <c r="U1739" s="23"/>
      <c r="V1739" s="23"/>
      <c r="W1739" s="23"/>
    </row>
    <row r="1740">
      <c r="U1740" s="23"/>
      <c r="V1740" s="23"/>
      <c r="W1740" s="23"/>
    </row>
    <row r="1741">
      <c r="U1741" s="23"/>
      <c r="V1741" s="23"/>
      <c r="W1741" s="23"/>
    </row>
    <row r="1742">
      <c r="U1742" s="23"/>
      <c r="V1742" s="23"/>
      <c r="W1742" s="23"/>
    </row>
    <row r="1743">
      <c r="U1743" s="23"/>
      <c r="V1743" s="23"/>
      <c r="W1743" s="23"/>
    </row>
    <row r="1744">
      <c r="U1744" s="23"/>
      <c r="V1744" s="23"/>
      <c r="W1744" s="23"/>
    </row>
    <row r="1745">
      <c r="U1745" s="23"/>
      <c r="V1745" s="23"/>
      <c r="W1745" s="23"/>
    </row>
    <row r="1746">
      <c r="U1746" s="23"/>
      <c r="V1746" s="23"/>
      <c r="W1746" s="23"/>
    </row>
    <row r="1747">
      <c r="U1747" s="23"/>
      <c r="V1747" s="23"/>
      <c r="W1747" s="23"/>
    </row>
    <row r="1748">
      <c r="U1748" s="23"/>
      <c r="V1748" s="23"/>
      <c r="W1748" s="23"/>
    </row>
    <row r="1749">
      <c r="U1749" s="23"/>
      <c r="V1749" s="23"/>
      <c r="W1749" s="23"/>
    </row>
    <row r="1750">
      <c r="U1750" s="23"/>
      <c r="V1750" s="23"/>
      <c r="W1750" s="23"/>
    </row>
    <row r="1751">
      <c r="U1751" s="23"/>
      <c r="V1751" s="23"/>
      <c r="W1751" s="23"/>
    </row>
    <row r="1752">
      <c r="U1752" s="23"/>
      <c r="V1752" s="23"/>
      <c r="W1752" s="23"/>
    </row>
    <row r="1753">
      <c r="U1753" s="23"/>
      <c r="V1753" s="23"/>
      <c r="W1753" s="23"/>
    </row>
    <row r="1754">
      <c r="U1754" s="23"/>
      <c r="V1754" s="23"/>
      <c r="W1754" s="23"/>
    </row>
    <row r="1755">
      <c r="U1755" s="23"/>
      <c r="V1755" s="23"/>
      <c r="W1755" s="23"/>
    </row>
    <row r="1756">
      <c r="U1756" s="23"/>
      <c r="V1756" s="23"/>
      <c r="W1756" s="23"/>
    </row>
    <row r="1757">
      <c r="U1757" s="23"/>
      <c r="V1757" s="23"/>
      <c r="W1757" s="23"/>
    </row>
    <row r="1758">
      <c r="U1758" s="23"/>
      <c r="V1758" s="23"/>
      <c r="W1758" s="23"/>
    </row>
    <row r="1759">
      <c r="U1759" s="23"/>
      <c r="V1759" s="23"/>
      <c r="W1759" s="23"/>
    </row>
    <row r="1760">
      <c r="U1760" s="23"/>
      <c r="V1760" s="23"/>
      <c r="W1760" s="23"/>
    </row>
    <row r="1761">
      <c r="U1761" s="23"/>
      <c r="V1761" s="23"/>
      <c r="W1761" s="23"/>
    </row>
    <row r="1762">
      <c r="U1762" s="23"/>
      <c r="V1762" s="23"/>
      <c r="W1762" s="23"/>
    </row>
    <row r="1763">
      <c r="U1763" s="23"/>
      <c r="V1763" s="23"/>
      <c r="W1763" s="23"/>
    </row>
    <row r="1764">
      <c r="U1764" s="23"/>
      <c r="V1764" s="23"/>
      <c r="W1764" s="23"/>
    </row>
    <row r="1765">
      <c r="U1765" s="23"/>
      <c r="V1765" s="23"/>
      <c r="W1765" s="23"/>
    </row>
    <row r="1766">
      <c r="U1766" s="23"/>
      <c r="V1766" s="23"/>
      <c r="W1766" s="23"/>
    </row>
    <row r="1767">
      <c r="U1767" s="23"/>
      <c r="V1767" s="23"/>
      <c r="W1767" s="23"/>
    </row>
    <row r="1768">
      <c r="U1768" s="23"/>
      <c r="V1768" s="23"/>
      <c r="W1768" s="23"/>
    </row>
    <row r="1769">
      <c r="U1769" s="23"/>
      <c r="V1769" s="23"/>
      <c r="W1769" s="23"/>
    </row>
    <row r="1770">
      <c r="U1770" s="23"/>
      <c r="V1770" s="23"/>
      <c r="W1770" s="23"/>
    </row>
    <row r="1771">
      <c r="U1771" s="23"/>
      <c r="V1771" s="23"/>
      <c r="W1771" s="23"/>
    </row>
    <row r="1772">
      <c r="U1772" s="23"/>
      <c r="V1772" s="23"/>
      <c r="W1772" s="23"/>
    </row>
    <row r="1773">
      <c r="U1773" s="23"/>
      <c r="V1773" s="23"/>
      <c r="W1773" s="23"/>
    </row>
    <row r="1774">
      <c r="U1774" s="23"/>
      <c r="V1774" s="23"/>
      <c r="W1774" s="23"/>
    </row>
    <row r="1775">
      <c r="U1775" s="23"/>
      <c r="V1775" s="23"/>
      <c r="W1775" s="23"/>
    </row>
    <row r="1776">
      <c r="U1776" s="23"/>
      <c r="V1776" s="23"/>
      <c r="W1776" s="23"/>
    </row>
    <row r="1777">
      <c r="U1777" s="23"/>
      <c r="V1777" s="23"/>
      <c r="W1777" s="23"/>
    </row>
    <row r="1778">
      <c r="U1778" s="23"/>
      <c r="V1778" s="23"/>
      <c r="W1778" s="23"/>
    </row>
    <row r="1779">
      <c r="U1779" s="23"/>
      <c r="V1779" s="23"/>
      <c r="W1779" s="23"/>
    </row>
    <row r="1780">
      <c r="U1780" s="23"/>
      <c r="V1780" s="23"/>
      <c r="W1780" s="23"/>
    </row>
    <row r="1781">
      <c r="U1781" s="23"/>
      <c r="V1781" s="23"/>
      <c r="W1781" s="23"/>
    </row>
    <row r="1782">
      <c r="U1782" s="23"/>
      <c r="V1782" s="23"/>
      <c r="W1782" s="23"/>
    </row>
    <row r="1783">
      <c r="U1783" s="23"/>
      <c r="V1783" s="23"/>
      <c r="W1783" s="23"/>
    </row>
    <row r="1784">
      <c r="U1784" s="23"/>
      <c r="V1784" s="23"/>
      <c r="W1784" s="23"/>
    </row>
    <row r="1785">
      <c r="U1785" s="23"/>
      <c r="V1785" s="23"/>
      <c r="W1785" s="23"/>
    </row>
    <row r="1786">
      <c r="U1786" s="23"/>
      <c r="V1786" s="23"/>
      <c r="W1786" s="23"/>
    </row>
    <row r="1787">
      <c r="U1787" s="23"/>
      <c r="V1787" s="23"/>
      <c r="W1787" s="23"/>
    </row>
    <row r="1788">
      <c r="U1788" s="23"/>
      <c r="V1788" s="23"/>
      <c r="W1788" s="23"/>
    </row>
    <row r="1789">
      <c r="U1789" s="23"/>
      <c r="V1789" s="23"/>
      <c r="W1789" s="23"/>
    </row>
    <row r="1790">
      <c r="U1790" s="23"/>
      <c r="V1790" s="23"/>
      <c r="W1790" s="23"/>
    </row>
    <row r="1791">
      <c r="U1791" s="23"/>
      <c r="V1791" s="23"/>
      <c r="W1791" s="23"/>
    </row>
    <row r="1792">
      <c r="U1792" s="23"/>
      <c r="V1792" s="23"/>
      <c r="W1792" s="23"/>
    </row>
    <row r="1793">
      <c r="U1793" s="23"/>
      <c r="V1793" s="23"/>
      <c r="W1793" s="23"/>
    </row>
    <row r="1794">
      <c r="U1794" s="23"/>
      <c r="V1794" s="23"/>
      <c r="W1794" s="23"/>
    </row>
    <row r="1795">
      <c r="U1795" s="23"/>
      <c r="V1795" s="23"/>
      <c r="W1795" s="23"/>
    </row>
    <row r="1796">
      <c r="U1796" s="23"/>
      <c r="V1796" s="23"/>
      <c r="W1796" s="23"/>
    </row>
    <row r="1797">
      <c r="U1797" s="23"/>
      <c r="V1797" s="23"/>
      <c r="W1797" s="23"/>
    </row>
    <row r="1798">
      <c r="U1798" s="23"/>
      <c r="V1798" s="23"/>
      <c r="W1798" s="23"/>
    </row>
    <row r="1799">
      <c r="U1799" s="23"/>
      <c r="V1799" s="23"/>
      <c r="W1799" s="23"/>
    </row>
    <row r="1800">
      <c r="U1800" s="23"/>
      <c r="V1800" s="23"/>
      <c r="W1800" s="23"/>
    </row>
    <row r="1801">
      <c r="U1801" s="23"/>
      <c r="V1801" s="23"/>
      <c r="W1801" s="23"/>
    </row>
    <row r="1802">
      <c r="U1802" s="23"/>
      <c r="V1802" s="23"/>
      <c r="W1802" s="23"/>
    </row>
    <row r="1803">
      <c r="U1803" s="23"/>
      <c r="V1803" s="23"/>
      <c r="W1803" s="23"/>
    </row>
    <row r="1804">
      <c r="U1804" s="23"/>
      <c r="V1804" s="23"/>
      <c r="W1804" s="23"/>
    </row>
    <row r="1805">
      <c r="U1805" s="23"/>
      <c r="V1805" s="23"/>
      <c r="W1805" s="23"/>
    </row>
    <row r="1806">
      <c r="U1806" s="23"/>
      <c r="V1806" s="23"/>
      <c r="W1806" s="23"/>
    </row>
    <row r="1807">
      <c r="U1807" s="23"/>
      <c r="V1807" s="23"/>
      <c r="W1807" s="23"/>
    </row>
    <row r="1808">
      <c r="U1808" s="23"/>
      <c r="V1808" s="23"/>
      <c r="W1808" s="23"/>
    </row>
    <row r="1809">
      <c r="U1809" s="23"/>
      <c r="V1809" s="23"/>
      <c r="W1809" s="23"/>
    </row>
    <row r="1810">
      <c r="U1810" s="23"/>
      <c r="V1810" s="23"/>
      <c r="W1810" s="23"/>
    </row>
    <row r="1811">
      <c r="U1811" s="23"/>
      <c r="V1811" s="23"/>
      <c r="W1811" s="23"/>
    </row>
    <row r="1812">
      <c r="U1812" s="23"/>
      <c r="V1812" s="23"/>
      <c r="W1812" s="23"/>
    </row>
    <row r="1813">
      <c r="U1813" s="23"/>
      <c r="V1813" s="23"/>
      <c r="W1813" s="23"/>
    </row>
    <row r="1814">
      <c r="U1814" s="23"/>
      <c r="V1814" s="23"/>
      <c r="W1814" s="23"/>
    </row>
    <row r="1815">
      <c r="U1815" s="23"/>
      <c r="V1815" s="23"/>
      <c r="W1815" s="23"/>
    </row>
    <row r="1816">
      <c r="U1816" s="23"/>
      <c r="V1816" s="23"/>
      <c r="W1816" s="23"/>
    </row>
    <row r="1817">
      <c r="U1817" s="23"/>
      <c r="V1817" s="23"/>
      <c r="W1817" s="23"/>
    </row>
    <row r="1818">
      <c r="U1818" s="23"/>
      <c r="V1818" s="23"/>
      <c r="W1818" s="23"/>
    </row>
    <row r="1819">
      <c r="U1819" s="23"/>
      <c r="V1819" s="23"/>
      <c r="W1819" s="23"/>
    </row>
    <row r="1820">
      <c r="U1820" s="23"/>
      <c r="V1820" s="23"/>
      <c r="W1820" s="23"/>
    </row>
    <row r="1821">
      <c r="U1821" s="23"/>
      <c r="V1821" s="23"/>
      <c r="W1821" s="23"/>
    </row>
    <row r="1822">
      <c r="U1822" s="23"/>
      <c r="V1822" s="23"/>
      <c r="W1822" s="23"/>
    </row>
    <row r="1823">
      <c r="U1823" s="23"/>
      <c r="V1823" s="23"/>
      <c r="W1823" s="23"/>
    </row>
    <row r="1824">
      <c r="U1824" s="23"/>
      <c r="V1824" s="23"/>
      <c r="W1824" s="23"/>
    </row>
    <row r="1825">
      <c r="U1825" s="23"/>
      <c r="V1825" s="23"/>
      <c r="W1825" s="23"/>
    </row>
    <row r="1826">
      <c r="U1826" s="23"/>
      <c r="V1826" s="23"/>
      <c r="W1826" s="23"/>
    </row>
    <row r="1827">
      <c r="U1827" s="23"/>
      <c r="V1827" s="23"/>
      <c r="W1827" s="23"/>
    </row>
    <row r="1828">
      <c r="U1828" s="23"/>
      <c r="V1828" s="23"/>
      <c r="W1828" s="23"/>
    </row>
    <row r="1829">
      <c r="U1829" s="23"/>
      <c r="V1829" s="23"/>
      <c r="W1829" s="23"/>
    </row>
    <row r="1830">
      <c r="U1830" s="23"/>
      <c r="V1830" s="23"/>
      <c r="W1830" s="23"/>
    </row>
    <row r="1831">
      <c r="U1831" s="23"/>
      <c r="V1831" s="23"/>
      <c r="W1831" s="23"/>
    </row>
    <row r="1832">
      <c r="U1832" s="23"/>
      <c r="V1832" s="23"/>
      <c r="W1832" s="23"/>
    </row>
    <row r="1833">
      <c r="U1833" s="23"/>
      <c r="V1833" s="23"/>
      <c r="W1833" s="23"/>
    </row>
    <row r="1834">
      <c r="U1834" s="23"/>
      <c r="V1834" s="23"/>
      <c r="W1834" s="23"/>
    </row>
    <row r="1835">
      <c r="U1835" s="23"/>
      <c r="V1835" s="23"/>
      <c r="W1835" s="23"/>
    </row>
    <row r="1836">
      <c r="U1836" s="23"/>
      <c r="V1836" s="23"/>
      <c r="W1836" s="23"/>
    </row>
    <row r="1837">
      <c r="U1837" s="23"/>
      <c r="V1837" s="23"/>
      <c r="W1837" s="23"/>
    </row>
    <row r="1838">
      <c r="U1838" s="23"/>
      <c r="V1838" s="23"/>
      <c r="W1838" s="23"/>
    </row>
    <row r="1839">
      <c r="U1839" s="23"/>
      <c r="V1839" s="23"/>
      <c r="W1839" s="23"/>
    </row>
    <row r="1840">
      <c r="U1840" s="23"/>
      <c r="V1840" s="23"/>
      <c r="W1840" s="23"/>
    </row>
    <row r="1841">
      <c r="U1841" s="23"/>
      <c r="V1841" s="23"/>
      <c r="W1841" s="23"/>
    </row>
    <row r="1842">
      <c r="U1842" s="23"/>
      <c r="V1842" s="23"/>
      <c r="W1842" s="23"/>
    </row>
    <row r="1843">
      <c r="U1843" s="23"/>
      <c r="V1843" s="23"/>
      <c r="W1843" s="23"/>
    </row>
    <row r="1844">
      <c r="U1844" s="23"/>
      <c r="V1844" s="23"/>
      <c r="W1844" s="23"/>
    </row>
    <row r="1845">
      <c r="U1845" s="23"/>
      <c r="V1845" s="23"/>
      <c r="W1845" s="23"/>
    </row>
    <row r="1846">
      <c r="U1846" s="23"/>
      <c r="V1846" s="23"/>
      <c r="W1846" s="23"/>
    </row>
    <row r="1847">
      <c r="U1847" s="23"/>
      <c r="V1847" s="23"/>
      <c r="W1847" s="23"/>
    </row>
    <row r="1848">
      <c r="U1848" s="23"/>
      <c r="V1848" s="23"/>
      <c r="W1848" s="23"/>
    </row>
    <row r="1849">
      <c r="U1849" s="23"/>
      <c r="V1849" s="23"/>
      <c r="W1849" s="23"/>
    </row>
    <row r="1850">
      <c r="U1850" s="23"/>
      <c r="V1850" s="23"/>
      <c r="W1850" s="23"/>
    </row>
    <row r="1851">
      <c r="U1851" s="23"/>
      <c r="V1851" s="23"/>
      <c r="W1851" s="23"/>
    </row>
    <row r="1852">
      <c r="U1852" s="23"/>
      <c r="V1852" s="23"/>
      <c r="W1852" s="23"/>
    </row>
    <row r="1853">
      <c r="U1853" s="23"/>
      <c r="V1853" s="23"/>
      <c r="W1853" s="23"/>
    </row>
    <row r="1854">
      <c r="U1854" s="23"/>
      <c r="V1854" s="23"/>
      <c r="W1854" s="23"/>
    </row>
    <row r="1855">
      <c r="U1855" s="23"/>
      <c r="V1855" s="23"/>
      <c r="W1855" s="23"/>
    </row>
    <row r="1856">
      <c r="U1856" s="23"/>
      <c r="V1856" s="23"/>
      <c r="W1856" s="23"/>
    </row>
    <row r="1857">
      <c r="U1857" s="23"/>
      <c r="V1857" s="23"/>
      <c r="W1857" s="23"/>
    </row>
    <row r="1858">
      <c r="U1858" s="23"/>
      <c r="V1858" s="23"/>
      <c r="W1858" s="23"/>
    </row>
    <row r="1859">
      <c r="U1859" s="23"/>
      <c r="V1859" s="23"/>
      <c r="W1859" s="23"/>
    </row>
    <row r="1860">
      <c r="U1860" s="23"/>
      <c r="V1860" s="23"/>
      <c r="W1860" s="23"/>
    </row>
    <row r="1861">
      <c r="U1861" s="23"/>
      <c r="V1861" s="23"/>
      <c r="W1861" s="23"/>
    </row>
    <row r="1862">
      <c r="U1862" s="23"/>
      <c r="V1862" s="23"/>
      <c r="W1862" s="23"/>
    </row>
    <row r="1863">
      <c r="U1863" s="23"/>
      <c r="V1863" s="23"/>
      <c r="W1863" s="23"/>
    </row>
    <row r="1864">
      <c r="U1864" s="23"/>
      <c r="V1864" s="23"/>
      <c r="W1864" s="23"/>
    </row>
    <row r="1865">
      <c r="U1865" s="23"/>
      <c r="V1865" s="23"/>
      <c r="W1865" s="23"/>
    </row>
    <row r="1866">
      <c r="U1866" s="23"/>
      <c r="V1866" s="23"/>
      <c r="W1866" s="23"/>
    </row>
    <row r="1867">
      <c r="U1867" s="23"/>
      <c r="V1867" s="23"/>
      <c r="W1867" s="23"/>
    </row>
    <row r="1868">
      <c r="U1868" s="23"/>
      <c r="V1868" s="23"/>
      <c r="W1868" s="23"/>
    </row>
    <row r="1869">
      <c r="U1869" s="23"/>
      <c r="V1869" s="23"/>
      <c r="W1869" s="23"/>
    </row>
    <row r="1870">
      <c r="U1870" s="23"/>
      <c r="V1870" s="23"/>
      <c r="W1870" s="23"/>
    </row>
    <row r="1871">
      <c r="U1871" s="23"/>
      <c r="V1871" s="23"/>
      <c r="W1871" s="23"/>
    </row>
    <row r="1872">
      <c r="U1872" s="23"/>
      <c r="V1872" s="23"/>
      <c r="W1872" s="23"/>
    </row>
    <row r="1873">
      <c r="U1873" s="23"/>
      <c r="V1873" s="23"/>
      <c r="W1873" s="23"/>
    </row>
    <row r="1874">
      <c r="U1874" s="23"/>
      <c r="V1874" s="23"/>
      <c r="W1874" s="23"/>
    </row>
    <row r="1875">
      <c r="U1875" s="23"/>
      <c r="V1875" s="23"/>
      <c r="W1875" s="23"/>
    </row>
    <row r="1876">
      <c r="U1876" s="23"/>
      <c r="V1876" s="23"/>
      <c r="W1876" s="23"/>
    </row>
    <row r="1877">
      <c r="U1877" s="23"/>
      <c r="V1877" s="23"/>
      <c r="W1877" s="23"/>
    </row>
    <row r="1878">
      <c r="U1878" s="23"/>
      <c r="V1878" s="23"/>
      <c r="W1878" s="23"/>
    </row>
    <row r="1879">
      <c r="U1879" s="23"/>
      <c r="V1879" s="23"/>
      <c r="W1879" s="23"/>
    </row>
    <row r="1880">
      <c r="U1880" s="23"/>
      <c r="V1880" s="23"/>
      <c r="W1880" s="23"/>
    </row>
    <row r="1881">
      <c r="U1881" s="23"/>
      <c r="V1881" s="23"/>
      <c r="W1881" s="23"/>
    </row>
    <row r="1882">
      <c r="U1882" s="23"/>
      <c r="V1882" s="23"/>
      <c r="W1882" s="23"/>
    </row>
    <row r="1883">
      <c r="U1883" s="23"/>
      <c r="V1883" s="23"/>
      <c r="W1883" s="23"/>
    </row>
    <row r="1884">
      <c r="U1884" s="23"/>
      <c r="V1884" s="23"/>
      <c r="W1884" s="23"/>
    </row>
    <row r="1885">
      <c r="U1885" s="23"/>
      <c r="V1885" s="23"/>
      <c r="W1885" s="23"/>
    </row>
    <row r="1886">
      <c r="U1886" s="23"/>
      <c r="V1886" s="23"/>
      <c r="W1886" s="23"/>
    </row>
    <row r="1887">
      <c r="U1887" s="23"/>
      <c r="V1887" s="23"/>
      <c r="W1887" s="23"/>
    </row>
    <row r="1888">
      <c r="U1888" s="23"/>
      <c r="V1888" s="23"/>
      <c r="W1888" s="23"/>
    </row>
    <row r="1889">
      <c r="U1889" s="23"/>
      <c r="V1889" s="23"/>
      <c r="W1889" s="23"/>
    </row>
    <row r="1890">
      <c r="U1890" s="23"/>
      <c r="V1890" s="23"/>
      <c r="W1890" s="23"/>
    </row>
    <row r="1891">
      <c r="U1891" s="23"/>
      <c r="V1891" s="23"/>
      <c r="W1891" s="23"/>
    </row>
    <row r="1892">
      <c r="U1892" s="23"/>
      <c r="V1892" s="23"/>
      <c r="W1892" s="23"/>
    </row>
    <row r="1893">
      <c r="U1893" s="23"/>
      <c r="V1893" s="23"/>
      <c r="W1893" s="23"/>
    </row>
    <row r="1894">
      <c r="U1894" s="23"/>
      <c r="V1894" s="23"/>
      <c r="W1894" s="23"/>
    </row>
    <row r="1895">
      <c r="U1895" s="23"/>
      <c r="V1895" s="23"/>
      <c r="W1895" s="23"/>
    </row>
    <row r="1896">
      <c r="U1896" s="23"/>
      <c r="V1896" s="23"/>
      <c r="W1896" s="23"/>
    </row>
    <row r="1897">
      <c r="U1897" s="23"/>
      <c r="V1897" s="23"/>
      <c r="W1897" s="23"/>
    </row>
    <row r="1898">
      <c r="U1898" s="23"/>
      <c r="V1898" s="23"/>
      <c r="W1898" s="23"/>
    </row>
    <row r="1899">
      <c r="U1899" s="23"/>
      <c r="V1899" s="23"/>
      <c r="W1899" s="23"/>
    </row>
    <row r="1900">
      <c r="U1900" s="23"/>
      <c r="V1900" s="23"/>
      <c r="W1900" s="23"/>
    </row>
    <row r="1901">
      <c r="U1901" s="23"/>
      <c r="V1901" s="23"/>
      <c r="W1901" s="23"/>
    </row>
    <row r="1902">
      <c r="U1902" s="23"/>
      <c r="V1902" s="23"/>
      <c r="W1902" s="23"/>
    </row>
    <row r="1903">
      <c r="U1903" s="23"/>
      <c r="V1903" s="23"/>
      <c r="W1903" s="23"/>
    </row>
    <row r="1904">
      <c r="U1904" s="23"/>
      <c r="V1904" s="23"/>
      <c r="W1904" s="23"/>
    </row>
    <row r="1905">
      <c r="U1905" s="23"/>
      <c r="V1905" s="23"/>
      <c r="W1905" s="23"/>
    </row>
    <row r="1906">
      <c r="U1906" s="23"/>
      <c r="V1906" s="23"/>
      <c r="W1906" s="23"/>
    </row>
    <row r="1907">
      <c r="U1907" s="23"/>
      <c r="V1907" s="23"/>
      <c r="W1907" s="23"/>
    </row>
    <row r="1908">
      <c r="U1908" s="23"/>
      <c r="V1908" s="23"/>
      <c r="W1908" s="23"/>
    </row>
    <row r="1909">
      <c r="U1909" s="23"/>
      <c r="V1909" s="23"/>
      <c r="W1909" s="23"/>
    </row>
    <row r="1910">
      <c r="U1910" s="23"/>
      <c r="V1910" s="23"/>
      <c r="W1910" s="23"/>
    </row>
    <row r="1911">
      <c r="U1911" s="23"/>
      <c r="V1911" s="23"/>
      <c r="W1911" s="23"/>
    </row>
    <row r="1912">
      <c r="U1912" s="23"/>
      <c r="V1912" s="23"/>
      <c r="W1912" s="23"/>
    </row>
    <row r="1913">
      <c r="U1913" s="23"/>
      <c r="V1913" s="23"/>
      <c r="W1913" s="23"/>
    </row>
    <row r="1914">
      <c r="U1914" s="23"/>
      <c r="V1914" s="23"/>
      <c r="W1914" s="23"/>
    </row>
    <row r="1915">
      <c r="U1915" s="23"/>
      <c r="V1915" s="23"/>
      <c r="W1915" s="23"/>
    </row>
    <row r="1916">
      <c r="U1916" s="23"/>
      <c r="V1916" s="23"/>
      <c r="W1916" s="23"/>
    </row>
    <row r="1917">
      <c r="U1917" s="23"/>
      <c r="V1917" s="23"/>
      <c r="W1917" s="23"/>
    </row>
    <row r="1918">
      <c r="U1918" s="23"/>
      <c r="V1918" s="23"/>
      <c r="W1918" s="23"/>
    </row>
    <row r="1919">
      <c r="U1919" s="23"/>
      <c r="V1919" s="23"/>
      <c r="W1919" s="23"/>
    </row>
    <row r="1920">
      <c r="U1920" s="23"/>
      <c r="V1920" s="23"/>
      <c r="W1920" s="23"/>
    </row>
    <row r="1921">
      <c r="U1921" s="23"/>
      <c r="V1921" s="23"/>
      <c r="W1921" s="23"/>
    </row>
    <row r="1922">
      <c r="U1922" s="23"/>
      <c r="V1922" s="23"/>
      <c r="W1922" s="23"/>
    </row>
    <row r="1923">
      <c r="U1923" s="23"/>
      <c r="V1923" s="23"/>
      <c r="W1923" s="23"/>
    </row>
    <row r="1924">
      <c r="U1924" s="23"/>
      <c r="V1924" s="23"/>
      <c r="W1924" s="23"/>
    </row>
    <row r="1925">
      <c r="U1925" s="23"/>
      <c r="V1925" s="23"/>
      <c r="W1925" s="23"/>
    </row>
    <row r="1926">
      <c r="U1926" s="23"/>
      <c r="V1926" s="23"/>
      <c r="W1926" s="23"/>
    </row>
    <row r="1927">
      <c r="U1927" s="23"/>
      <c r="V1927" s="23"/>
      <c r="W1927" s="23"/>
    </row>
    <row r="1928">
      <c r="U1928" s="23"/>
      <c r="V1928" s="23"/>
      <c r="W1928" s="23"/>
    </row>
    <row r="1929">
      <c r="U1929" s="23"/>
      <c r="V1929" s="23"/>
      <c r="W1929" s="23"/>
    </row>
    <row r="1930">
      <c r="U1930" s="23"/>
      <c r="V1930" s="23"/>
      <c r="W1930" s="23"/>
    </row>
    <row r="1931">
      <c r="U1931" s="23"/>
      <c r="V1931" s="23"/>
      <c r="W1931" s="23"/>
    </row>
    <row r="1932">
      <c r="U1932" s="23"/>
      <c r="V1932" s="23"/>
      <c r="W1932" s="23"/>
    </row>
    <row r="1933">
      <c r="U1933" s="23"/>
      <c r="V1933" s="23"/>
      <c r="W1933" s="23"/>
    </row>
    <row r="1934">
      <c r="U1934" s="23"/>
      <c r="V1934" s="23"/>
      <c r="W1934" s="23"/>
    </row>
    <row r="1935">
      <c r="U1935" s="23"/>
      <c r="V1935" s="23"/>
      <c r="W1935" s="23"/>
    </row>
    <row r="1936">
      <c r="U1936" s="23"/>
      <c r="V1936" s="23"/>
      <c r="W1936" s="23"/>
    </row>
    <row r="1937">
      <c r="U1937" s="23"/>
      <c r="V1937" s="23"/>
      <c r="W1937" s="23"/>
    </row>
    <row r="1938">
      <c r="U1938" s="23"/>
      <c r="V1938" s="23"/>
      <c r="W1938" s="23"/>
    </row>
    <row r="1939">
      <c r="U1939" s="23"/>
      <c r="V1939" s="23"/>
      <c r="W1939" s="23"/>
    </row>
    <row r="1940">
      <c r="U1940" s="23"/>
      <c r="V1940" s="23"/>
      <c r="W1940" s="23"/>
    </row>
    <row r="1941">
      <c r="U1941" s="23"/>
      <c r="V1941" s="23"/>
      <c r="W1941" s="23"/>
    </row>
    <row r="1942">
      <c r="U1942" s="23"/>
      <c r="V1942" s="23"/>
      <c r="W1942" s="23"/>
    </row>
    <row r="1943">
      <c r="U1943" s="23"/>
      <c r="V1943" s="23"/>
      <c r="W1943" s="23"/>
    </row>
    <row r="1944">
      <c r="U1944" s="23"/>
      <c r="V1944" s="23"/>
      <c r="W1944" s="23"/>
    </row>
    <row r="1945">
      <c r="U1945" s="23"/>
      <c r="V1945" s="23"/>
      <c r="W1945" s="23"/>
    </row>
    <row r="1946">
      <c r="U1946" s="23"/>
      <c r="V1946" s="23"/>
      <c r="W1946" s="23"/>
    </row>
    <row r="1947">
      <c r="U1947" s="23"/>
      <c r="V1947" s="23"/>
      <c r="W1947" s="23"/>
    </row>
    <row r="1948">
      <c r="U1948" s="23"/>
      <c r="V1948" s="23"/>
      <c r="W1948" s="23"/>
    </row>
    <row r="1949">
      <c r="U1949" s="23"/>
      <c r="V1949" s="23"/>
      <c r="W1949" s="23"/>
    </row>
    <row r="1950">
      <c r="U1950" s="23"/>
      <c r="V1950" s="23"/>
      <c r="W1950" s="23"/>
    </row>
    <row r="1951">
      <c r="U1951" s="23"/>
      <c r="V1951" s="23"/>
      <c r="W1951" s="23"/>
    </row>
    <row r="1952">
      <c r="U1952" s="23"/>
      <c r="V1952" s="23"/>
      <c r="W1952" s="23"/>
    </row>
    <row r="1953">
      <c r="U1953" s="23"/>
      <c r="V1953" s="23"/>
      <c r="W1953" s="23"/>
    </row>
    <row r="1954">
      <c r="U1954" s="23"/>
      <c r="V1954" s="23"/>
      <c r="W1954" s="23"/>
    </row>
    <row r="1955">
      <c r="U1955" s="23"/>
      <c r="V1955" s="23"/>
      <c r="W1955" s="23"/>
    </row>
    <row r="1956">
      <c r="U1956" s="23"/>
      <c r="V1956" s="23"/>
      <c r="W1956" s="23"/>
    </row>
    <row r="1957">
      <c r="U1957" s="23"/>
      <c r="V1957" s="23"/>
      <c r="W1957" s="23"/>
    </row>
    <row r="1958">
      <c r="U1958" s="23"/>
      <c r="V1958" s="23"/>
      <c r="W1958" s="23"/>
    </row>
    <row r="1959">
      <c r="U1959" s="23"/>
      <c r="V1959" s="23"/>
      <c r="W1959" s="23"/>
    </row>
    <row r="1960">
      <c r="U1960" s="23"/>
      <c r="V1960" s="23"/>
      <c r="W1960" s="23"/>
    </row>
    <row r="1961">
      <c r="U1961" s="23"/>
      <c r="V1961" s="23"/>
      <c r="W1961" s="23"/>
    </row>
    <row r="1962">
      <c r="U1962" s="23"/>
      <c r="V1962" s="23"/>
      <c r="W1962" s="23"/>
    </row>
    <row r="1963">
      <c r="U1963" s="23"/>
      <c r="V1963" s="23"/>
      <c r="W1963" s="23"/>
    </row>
    <row r="1964">
      <c r="U1964" s="23"/>
      <c r="V1964" s="23"/>
      <c r="W1964" s="23"/>
    </row>
    <row r="1965">
      <c r="U1965" s="23"/>
      <c r="V1965" s="23"/>
      <c r="W1965" s="23"/>
    </row>
    <row r="1966">
      <c r="U1966" s="23"/>
      <c r="V1966" s="23"/>
      <c r="W1966" s="23"/>
    </row>
    <row r="1967">
      <c r="U1967" s="23"/>
      <c r="V1967" s="23"/>
      <c r="W1967" s="23"/>
    </row>
    <row r="1968">
      <c r="U1968" s="23"/>
      <c r="V1968" s="23"/>
      <c r="W1968" s="23"/>
    </row>
    <row r="1969">
      <c r="U1969" s="23"/>
      <c r="V1969" s="23"/>
      <c r="W1969" s="23"/>
    </row>
    <row r="1970">
      <c r="U1970" s="23"/>
      <c r="V1970" s="23"/>
      <c r="W1970" s="23"/>
    </row>
    <row r="1971">
      <c r="U1971" s="23"/>
      <c r="V1971" s="23"/>
      <c r="W1971" s="23"/>
    </row>
    <row r="1972">
      <c r="U1972" s="23"/>
      <c r="V1972" s="23"/>
      <c r="W1972" s="23"/>
    </row>
    <row r="1973">
      <c r="U1973" s="23"/>
      <c r="V1973" s="23"/>
      <c r="W1973" s="23"/>
    </row>
    <row r="1974">
      <c r="U1974" s="23"/>
      <c r="V1974" s="23"/>
      <c r="W1974" s="23"/>
    </row>
    <row r="1975">
      <c r="U1975" s="23"/>
      <c r="V1975" s="23"/>
      <c r="W1975" s="23"/>
    </row>
    <row r="1976">
      <c r="U1976" s="23"/>
      <c r="V1976" s="23"/>
      <c r="W1976" s="23"/>
    </row>
    <row r="1977">
      <c r="U1977" s="23"/>
      <c r="V1977" s="23"/>
      <c r="W1977" s="23"/>
    </row>
    <row r="1978">
      <c r="U1978" s="23"/>
      <c r="V1978" s="23"/>
      <c r="W1978" s="23"/>
    </row>
    <row r="1979">
      <c r="U1979" s="23"/>
      <c r="V1979" s="23"/>
      <c r="W1979" s="23"/>
    </row>
    <row r="1980">
      <c r="U1980" s="23"/>
      <c r="V1980" s="23"/>
      <c r="W1980" s="23"/>
    </row>
    <row r="1981">
      <c r="U1981" s="23"/>
      <c r="V1981" s="23"/>
      <c r="W1981" s="23"/>
    </row>
    <row r="1982">
      <c r="U1982" s="23"/>
      <c r="V1982" s="23"/>
      <c r="W1982" s="23"/>
    </row>
    <row r="1983">
      <c r="U1983" s="23"/>
      <c r="V1983" s="23"/>
      <c r="W1983" s="23"/>
    </row>
    <row r="1984">
      <c r="U1984" s="23"/>
      <c r="V1984" s="23"/>
      <c r="W1984" s="23"/>
    </row>
    <row r="1985">
      <c r="U1985" s="23"/>
      <c r="V1985" s="23"/>
      <c r="W1985" s="23"/>
    </row>
    <row r="1986">
      <c r="U1986" s="23"/>
      <c r="V1986" s="23"/>
      <c r="W1986" s="23"/>
    </row>
    <row r="1987">
      <c r="U1987" s="23"/>
      <c r="V1987" s="23"/>
      <c r="W1987" s="23"/>
    </row>
    <row r="1988">
      <c r="U1988" s="23"/>
      <c r="V1988" s="23"/>
      <c r="W1988" s="23"/>
    </row>
    <row r="1989">
      <c r="U1989" s="23"/>
      <c r="V1989" s="23"/>
      <c r="W1989" s="23"/>
    </row>
    <row r="1990">
      <c r="U1990" s="23"/>
      <c r="V1990" s="23"/>
      <c r="W1990" s="23"/>
    </row>
    <row r="1991">
      <c r="U1991" s="23"/>
      <c r="V1991" s="23"/>
      <c r="W1991" s="23"/>
    </row>
    <row r="1992">
      <c r="U1992" s="23"/>
      <c r="V1992" s="23"/>
      <c r="W1992" s="23"/>
    </row>
    <row r="1993">
      <c r="U1993" s="23"/>
      <c r="V1993" s="23"/>
      <c r="W1993" s="23"/>
    </row>
    <row r="1994">
      <c r="U1994" s="23"/>
      <c r="V1994" s="23"/>
      <c r="W1994" s="23"/>
    </row>
    <row r="1995">
      <c r="U1995" s="23"/>
      <c r="V1995" s="23"/>
      <c r="W1995" s="23"/>
    </row>
    <row r="1996">
      <c r="U1996" s="23"/>
      <c r="V1996" s="23"/>
      <c r="W1996" s="23"/>
    </row>
    <row r="1997">
      <c r="U1997" s="23"/>
      <c r="V1997" s="23"/>
      <c r="W1997" s="23"/>
    </row>
    <row r="1998">
      <c r="U1998" s="23"/>
      <c r="V1998" s="23"/>
      <c r="W1998" s="23"/>
    </row>
    <row r="1999">
      <c r="U1999" s="23"/>
      <c r="V1999" s="23"/>
      <c r="W1999" s="23"/>
    </row>
    <row r="2000">
      <c r="U2000" s="23"/>
      <c r="V2000" s="23"/>
      <c r="W2000" s="23"/>
    </row>
    <row r="2001">
      <c r="U2001" s="23"/>
      <c r="V2001" s="23"/>
      <c r="W2001" s="23"/>
    </row>
    <row r="2002">
      <c r="U2002" s="23"/>
      <c r="V2002" s="23"/>
      <c r="W2002" s="23"/>
    </row>
    <row r="2003">
      <c r="U2003" s="23"/>
      <c r="V2003" s="23"/>
      <c r="W2003" s="23"/>
    </row>
    <row r="2004">
      <c r="U2004" s="23"/>
      <c r="V2004" s="23"/>
      <c r="W2004" s="23"/>
    </row>
    <row r="2005">
      <c r="U2005" s="23"/>
      <c r="V2005" s="23"/>
      <c r="W2005" s="23"/>
    </row>
    <row r="2006">
      <c r="U2006" s="23"/>
      <c r="V2006" s="23"/>
      <c r="W2006" s="23"/>
    </row>
    <row r="2007">
      <c r="U2007" s="23"/>
      <c r="V2007" s="23"/>
      <c r="W2007" s="23"/>
    </row>
    <row r="2008">
      <c r="U2008" s="23"/>
      <c r="V2008" s="23"/>
      <c r="W2008" s="23"/>
    </row>
    <row r="2009">
      <c r="U2009" s="23"/>
      <c r="V2009" s="23"/>
      <c r="W2009" s="23"/>
    </row>
    <row r="2010">
      <c r="U2010" s="23"/>
      <c r="V2010" s="23"/>
      <c r="W2010" s="23"/>
    </row>
    <row r="2011">
      <c r="U2011" s="23"/>
      <c r="V2011" s="23"/>
      <c r="W2011" s="23"/>
    </row>
    <row r="2012">
      <c r="U2012" s="23"/>
      <c r="V2012" s="23"/>
      <c r="W2012" s="23"/>
    </row>
    <row r="2013">
      <c r="U2013" s="23"/>
      <c r="V2013" s="23"/>
      <c r="W2013" s="23"/>
    </row>
    <row r="2014">
      <c r="U2014" s="23"/>
      <c r="V2014" s="23"/>
      <c r="W2014" s="23"/>
    </row>
    <row r="2015">
      <c r="U2015" s="23"/>
      <c r="V2015" s="23"/>
      <c r="W2015" s="23"/>
    </row>
    <row r="2016">
      <c r="U2016" s="23"/>
      <c r="V2016" s="23"/>
      <c r="W2016" s="23"/>
    </row>
    <row r="2017">
      <c r="U2017" s="23"/>
      <c r="V2017" s="23"/>
      <c r="W2017" s="23"/>
    </row>
    <row r="2018">
      <c r="U2018" s="23"/>
      <c r="V2018" s="23"/>
      <c r="W2018" s="23"/>
    </row>
    <row r="2019">
      <c r="U2019" s="23"/>
      <c r="V2019" s="23"/>
      <c r="W2019" s="23"/>
    </row>
    <row r="2020">
      <c r="U2020" s="23"/>
      <c r="V2020" s="23"/>
      <c r="W2020" s="23"/>
    </row>
    <row r="2021">
      <c r="U2021" s="23"/>
      <c r="V2021" s="23"/>
      <c r="W2021" s="23"/>
    </row>
    <row r="2022">
      <c r="U2022" s="23"/>
      <c r="V2022" s="23"/>
      <c r="W2022" s="23"/>
    </row>
    <row r="2023">
      <c r="U2023" s="23"/>
      <c r="V2023" s="23"/>
      <c r="W2023" s="23"/>
    </row>
    <row r="2024">
      <c r="U2024" s="23"/>
      <c r="V2024" s="23"/>
      <c r="W2024" s="23"/>
    </row>
    <row r="2025">
      <c r="U2025" s="23"/>
      <c r="V2025" s="23"/>
      <c r="W2025" s="23"/>
    </row>
    <row r="2026">
      <c r="U2026" s="23"/>
      <c r="V2026" s="23"/>
      <c r="W2026" s="23"/>
    </row>
    <row r="2027">
      <c r="U2027" s="23"/>
      <c r="V2027" s="23"/>
      <c r="W2027" s="23"/>
    </row>
    <row r="2028">
      <c r="U2028" s="23"/>
      <c r="V2028" s="23"/>
      <c r="W2028" s="23"/>
    </row>
    <row r="2029">
      <c r="U2029" s="23"/>
      <c r="V2029" s="23"/>
      <c r="W2029" s="23"/>
    </row>
    <row r="2030">
      <c r="U2030" s="23"/>
      <c r="V2030" s="23"/>
      <c r="W2030" s="23"/>
    </row>
    <row r="2031">
      <c r="U2031" s="23"/>
      <c r="V2031" s="23"/>
      <c r="W2031" s="23"/>
    </row>
    <row r="2032">
      <c r="U2032" s="23"/>
      <c r="V2032" s="23"/>
      <c r="W2032" s="23"/>
    </row>
    <row r="2033">
      <c r="U2033" s="23"/>
      <c r="V2033" s="23"/>
      <c r="W2033" s="23"/>
    </row>
    <row r="2034">
      <c r="U2034" s="23"/>
      <c r="V2034" s="23"/>
      <c r="W2034" s="23"/>
    </row>
    <row r="2035">
      <c r="U2035" s="23"/>
      <c r="V2035" s="23"/>
      <c r="W2035" s="23"/>
    </row>
    <row r="2036">
      <c r="U2036" s="23"/>
      <c r="V2036" s="23"/>
      <c r="W2036" s="23"/>
    </row>
    <row r="2037">
      <c r="U2037" s="23"/>
      <c r="V2037" s="23"/>
      <c r="W2037" s="23"/>
    </row>
    <row r="2038">
      <c r="U2038" s="23"/>
      <c r="V2038" s="23"/>
      <c r="W2038" s="23"/>
    </row>
    <row r="2039">
      <c r="U2039" s="23"/>
      <c r="V2039" s="23"/>
      <c r="W2039" s="23"/>
    </row>
    <row r="2040">
      <c r="U2040" s="23"/>
      <c r="V2040" s="23"/>
      <c r="W2040" s="23"/>
    </row>
    <row r="2041">
      <c r="U2041" s="23"/>
      <c r="V2041" s="23"/>
      <c r="W2041" s="23"/>
    </row>
    <row r="2042">
      <c r="U2042" s="23"/>
      <c r="V2042" s="23"/>
      <c r="W2042" s="23"/>
    </row>
    <row r="2043">
      <c r="U2043" s="23"/>
      <c r="V2043" s="23"/>
      <c r="W2043" s="23"/>
    </row>
    <row r="2044">
      <c r="U2044" s="23"/>
      <c r="V2044" s="23"/>
      <c r="W2044" s="23"/>
    </row>
    <row r="2045">
      <c r="U2045" s="23"/>
      <c r="V2045" s="23"/>
      <c r="W2045" s="23"/>
    </row>
    <row r="2046">
      <c r="U2046" s="23"/>
      <c r="V2046" s="23"/>
      <c r="W2046" s="23"/>
    </row>
    <row r="2047">
      <c r="U2047" s="23"/>
      <c r="V2047" s="23"/>
      <c r="W2047" s="23"/>
    </row>
    <row r="2048">
      <c r="U2048" s="23"/>
      <c r="V2048" s="23"/>
      <c r="W2048" s="23"/>
    </row>
    <row r="2049">
      <c r="U2049" s="23"/>
      <c r="V2049" s="23"/>
      <c r="W2049" s="23"/>
    </row>
    <row r="2050">
      <c r="U2050" s="23"/>
      <c r="V2050" s="23"/>
      <c r="W2050" s="23"/>
    </row>
    <row r="2051">
      <c r="U2051" s="23"/>
      <c r="V2051" s="23"/>
      <c r="W2051" s="23"/>
    </row>
    <row r="2052">
      <c r="U2052" s="23"/>
      <c r="V2052" s="23"/>
      <c r="W2052" s="23"/>
    </row>
    <row r="2053">
      <c r="U2053" s="23"/>
      <c r="V2053" s="23"/>
      <c r="W2053" s="23"/>
    </row>
    <row r="2054">
      <c r="U2054" s="23"/>
      <c r="V2054" s="23"/>
      <c r="W2054" s="23"/>
    </row>
    <row r="2055">
      <c r="U2055" s="23"/>
      <c r="V2055" s="23"/>
      <c r="W2055" s="23"/>
    </row>
    <row r="2056">
      <c r="U2056" s="23"/>
      <c r="V2056" s="23"/>
      <c r="W2056" s="23"/>
    </row>
    <row r="2057">
      <c r="U2057" s="23"/>
      <c r="V2057" s="23"/>
      <c r="W2057" s="23"/>
    </row>
    <row r="2058">
      <c r="U2058" s="23"/>
      <c r="V2058" s="23"/>
      <c r="W2058" s="23"/>
    </row>
    <row r="2059">
      <c r="U2059" s="23"/>
      <c r="V2059" s="23"/>
      <c r="W2059" s="23"/>
    </row>
    <row r="2060">
      <c r="U2060" s="23"/>
      <c r="V2060" s="23"/>
      <c r="W2060" s="23"/>
    </row>
    <row r="2061">
      <c r="U2061" s="23"/>
      <c r="V2061" s="23"/>
      <c r="W2061" s="23"/>
    </row>
    <row r="2062">
      <c r="U2062" s="23"/>
      <c r="V2062" s="23"/>
      <c r="W2062" s="23"/>
    </row>
    <row r="2063">
      <c r="U2063" s="23"/>
      <c r="V2063" s="23"/>
      <c r="W2063" s="23"/>
    </row>
    <row r="2064">
      <c r="U2064" s="23"/>
      <c r="V2064" s="23"/>
      <c r="W2064" s="23"/>
    </row>
    <row r="2065">
      <c r="U2065" s="23"/>
      <c r="V2065" s="23"/>
      <c r="W2065" s="23"/>
    </row>
    <row r="2066">
      <c r="U2066" s="23"/>
      <c r="V2066" s="23"/>
      <c r="W2066" s="23"/>
    </row>
    <row r="2067">
      <c r="U2067" s="23"/>
      <c r="V2067" s="23"/>
      <c r="W2067" s="23"/>
    </row>
    <row r="2068">
      <c r="U2068" s="23"/>
      <c r="V2068" s="23"/>
      <c r="W2068" s="23"/>
    </row>
    <row r="2069">
      <c r="U2069" s="23"/>
      <c r="V2069" s="23"/>
      <c r="W2069" s="23"/>
    </row>
    <row r="2070">
      <c r="U2070" s="23"/>
      <c r="V2070" s="23"/>
      <c r="W2070" s="23"/>
    </row>
    <row r="2071">
      <c r="U2071" s="23"/>
      <c r="V2071" s="23"/>
      <c r="W2071" s="23"/>
    </row>
    <row r="2072">
      <c r="U2072" s="23"/>
      <c r="V2072" s="23"/>
      <c r="W2072" s="23"/>
    </row>
    <row r="2073">
      <c r="U2073" s="23"/>
      <c r="V2073" s="23"/>
      <c r="W2073" s="23"/>
    </row>
    <row r="2074">
      <c r="U2074" s="23"/>
      <c r="V2074" s="23"/>
      <c r="W2074" s="23"/>
    </row>
    <row r="2075">
      <c r="U2075" s="23"/>
      <c r="V2075" s="23"/>
      <c r="W2075" s="23"/>
    </row>
    <row r="2076">
      <c r="U2076" s="23"/>
      <c r="V2076" s="23"/>
      <c r="W2076" s="23"/>
    </row>
    <row r="2077">
      <c r="U2077" s="23"/>
      <c r="V2077" s="23"/>
      <c r="W2077" s="23"/>
    </row>
    <row r="2078">
      <c r="U2078" s="23"/>
      <c r="V2078" s="23"/>
      <c r="W2078" s="23"/>
    </row>
    <row r="2079">
      <c r="U2079" s="23"/>
      <c r="V2079" s="23"/>
      <c r="W2079" s="23"/>
    </row>
    <row r="2080">
      <c r="U2080" s="23"/>
      <c r="V2080" s="23"/>
      <c r="W2080" s="23"/>
    </row>
    <row r="2081">
      <c r="U2081" s="23"/>
      <c r="V2081" s="23"/>
      <c r="W2081" s="23"/>
    </row>
    <row r="2082">
      <c r="U2082" s="23"/>
      <c r="V2082" s="23"/>
      <c r="W2082" s="23"/>
    </row>
    <row r="2083">
      <c r="U2083" s="23"/>
      <c r="V2083" s="23"/>
      <c r="W2083" s="23"/>
    </row>
    <row r="2084">
      <c r="U2084" s="23"/>
      <c r="V2084" s="23"/>
      <c r="W2084" s="23"/>
    </row>
    <row r="2085">
      <c r="U2085" s="23"/>
      <c r="V2085" s="23"/>
      <c r="W2085" s="23"/>
    </row>
    <row r="2086">
      <c r="U2086" s="23"/>
      <c r="V2086" s="23"/>
      <c r="W2086" s="23"/>
    </row>
    <row r="2087">
      <c r="U2087" s="23"/>
      <c r="V2087" s="23"/>
      <c r="W2087" s="23"/>
    </row>
    <row r="2088">
      <c r="U2088" s="23"/>
      <c r="V2088" s="23"/>
      <c r="W2088" s="23"/>
    </row>
    <row r="2089">
      <c r="U2089" s="23"/>
      <c r="V2089" s="23"/>
      <c r="W2089" s="23"/>
    </row>
    <row r="2090">
      <c r="U2090" s="23"/>
      <c r="V2090" s="23"/>
      <c r="W2090" s="23"/>
    </row>
    <row r="2091">
      <c r="U2091" s="23"/>
      <c r="V2091" s="23"/>
      <c r="W2091" s="23"/>
    </row>
    <row r="2092">
      <c r="U2092" s="23"/>
      <c r="V2092" s="23"/>
      <c r="W2092" s="23"/>
    </row>
    <row r="2093">
      <c r="U2093" s="23"/>
      <c r="V2093" s="23"/>
      <c r="W2093" s="23"/>
    </row>
    <row r="2094">
      <c r="U2094" s="23"/>
      <c r="V2094" s="23"/>
      <c r="W2094" s="23"/>
    </row>
    <row r="2095">
      <c r="U2095" s="23"/>
      <c r="V2095" s="23"/>
      <c r="W2095" s="23"/>
    </row>
    <row r="2096">
      <c r="U2096" s="23"/>
      <c r="V2096" s="23"/>
      <c r="W2096" s="23"/>
    </row>
    <row r="2097">
      <c r="U2097" s="23"/>
      <c r="V2097" s="23"/>
      <c r="W2097" s="23"/>
    </row>
    <row r="2098">
      <c r="U2098" s="23"/>
      <c r="V2098" s="23"/>
      <c r="W2098" s="23"/>
    </row>
    <row r="2099">
      <c r="U2099" s="23"/>
      <c r="V2099" s="23"/>
      <c r="W2099" s="23"/>
    </row>
    <row r="2100">
      <c r="U2100" s="23"/>
      <c r="V2100" s="23"/>
      <c r="W2100" s="23"/>
    </row>
    <row r="2101">
      <c r="U2101" s="23"/>
      <c r="V2101" s="23"/>
      <c r="W2101" s="23"/>
    </row>
    <row r="2102">
      <c r="U2102" s="23"/>
      <c r="V2102" s="23"/>
      <c r="W2102" s="23"/>
    </row>
    <row r="2103">
      <c r="U2103" s="23"/>
      <c r="V2103" s="23"/>
      <c r="W2103" s="23"/>
    </row>
    <row r="2104">
      <c r="U2104" s="23"/>
      <c r="V2104" s="23"/>
      <c r="W2104" s="23"/>
    </row>
    <row r="2105">
      <c r="U2105" s="23"/>
      <c r="V2105" s="23"/>
      <c r="W2105" s="23"/>
    </row>
    <row r="2106">
      <c r="U2106" s="23"/>
      <c r="V2106" s="23"/>
      <c r="W2106" s="23"/>
    </row>
    <row r="2107">
      <c r="U2107" s="23"/>
      <c r="V2107" s="23"/>
      <c r="W2107" s="23"/>
    </row>
    <row r="2108">
      <c r="U2108" s="23"/>
      <c r="V2108" s="23"/>
      <c r="W2108" s="23"/>
    </row>
    <row r="2109">
      <c r="U2109" s="23"/>
      <c r="V2109" s="23"/>
      <c r="W2109" s="23"/>
    </row>
    <row r="2110">
      <c r="U2110" s="23"/>
      <c r="V2110" s="23"/>
      <c r="W2110" s="23"/>
    </row>
    <row r="2111">
      <c r="U2111" s="23"/>
      <c r="V2111" s="23"/>
      <c r="W2111" s="23"/>
    </row>
    <row r="2112">
      <c r="U2112" s="23"/>
      <c r="V2112" s="23"/>
      <c r="W2112" s="23"/>
    </row>
    <row r="2113">
      <c r="U2113" s="23"/>
      <c r="V2113" s="23"/>
      <c r="W2113" s="23"/>
    </row>
    <row r="2114">
      <c r="U2114" s="23"/>
      <c r="V2114" s="23"/>
      <c r="W2114" s="23"/>
    </row>
    <row r="2115">
      <c r="U2115" s="23"/>
      <c r="V2115" s="23"/>
      <c r="W2115" s="23"/>
    </row>
    <row r="2116">
      <c r="U2116" s="23"/>
      <c r="V2116" s="23"/>
      <c r="W2116" s="23"/>
    </row>
    <row r="2117">
      <c r="U2117" s="23"/>
      <c r="V2117" s="23"/>
      <c r="W2117" s="23"/>
    </row>
    <row r="2118">
      <c r="U2118" s="23"/>
      <c r="V2118" s="23"/>
      <c r="W2118" s="23"/>
    </row>
    <row r="2119">
      <c r="U2119" s="23"/>
      <c r="V2119" s="23"/>
      <c r="W2119" s="23"/>
    </row>
    <row r="2120">
      <c r="U2120" s="23"/>
      <c r="V2120" s="23"/>
      <c r="W2120" s="23"/>
    </row>
    <row r="2121">
      <c r="U2121" s="23"/>
      <c r="V2121" s="23"/>
      <c r="W2121" s="23"/>
    </row>
    <row r="2122">
      <c r="U2122" s="23"/>
      <c r="V2122" s="23"/>
      <c r="W2122" s="23"/>
    </row>
    <row r="2123">
      <c r="U2123" s="23"/>
      <c r="V2123" s="23"/>
      <c r="W2123" s="23"/>
    </row>
    <row r="2124">
      <c r="U2124" s="23"/>
      <c r="V2124" s="23"/>
      <c r="W2124" s="23"/>
    </row>
    <row r="2125">
      <c r="U2125" s="23"/>
      <c r="V2125" s="23"/>
      <c r="W2125" s="23"/>
    </row>
    <row r="2126">
      <c r="U2126" s="23"/>
      <c r="V2126" s="23"/>
      <c r="W2126" s="23"/>
    </row>
    <row r="2127">
      <c r="U2127" s="23"/>
      <c r="V2127" s="23"/>
      <c r="W2127" s="23"/>
    </row>
    <row r="2128">
      <c r="U2128" s="23"/>
      <c r="V2128" s="23"/>
      <c r="W2128" s="23"/>
    </row>
    <row r="2129">
      <c r="U2129" s="23"/>
      <c r="V2129" s="23"/>
      <c r="W2129" s="23"/>
    </row>
    <row r="2130">
      <c r="U2130" s="23"/>
      <c r="V2130" s="23"/>
      <c r="W2130" s="23"/>
    </row>
    <row r="2131">
      <c r="U2131" s="23"/>
      <c r="V2131" s="23"/>
      <c r="W2131" s="23"/>
    </row>
    <row r="2132">
      <c r="U2132" s="23"/>
      <c r="V2132" s="23"/>
      <c r="W2132" s="23"/>
    </row>
    <row r="2133">
      <c r="U2133" s="23"/>
      <c r="V2133" s="23"/>
      <c r="W2133" s="23"/>
    </row>
    <row r="2134">
      <c r="U2134" s="23"/>
      <c r="V2134" s="23"/>
      <c r="W2134" s="23"/>
    </row>
    <row r="2135">
      <c r="U2135" s="23"/>
      <c r="V2135" s="23"/>
      <c r="W2135" s="23"/>
    </row>
    <row r="2136">
      <c r="U2136" s="23"/>
      <c r="V2136" s="23"/>
      <c r="W2136" s="23"/>
    </row>
    <row r="2137">
      <c r="U2137" s="23"/>
      <c r="V2137" s="23"/>
      <c r="W2137" s="23"/>
    </row>
    <row r="2138">
      <c r="U2138" s="23"/>
      <c r="V2138" s="23"/>
      <c r="W2138" s="23"/>
    </row>
    <row r="2139">
      <c r="U2139" s="23"/>
      <c r="V2139" s="23"/>
      <c r="W2139" s="23"/>
    </row>
    <row r="2140">
      <c r="U2140" s="23"/>
      <c r="V2140" s="23"/>
      <c r="W2140" s="23"/>
    </row>
    <row r="2141">
      <c r="U2141" s="23"/>
      <c r="V2141" s="23"/>
      <c r="W2141" s="23"/>
    </row>
    <row r="2142">
      <c r="U2142" s="23"/>
      <c r="V2142" s="23"/>
      <c r="W2142" s="23"/>
    </row>
    <row r="2143">
      <c r="U2143" s="23"/>
      <c r="V2143" s="23"/>
      <c r="W2143" s="23"/>
    </row>
    <row r="2144">
      <c r="U2144" s="23"/>
      <c r="V2144" s="23"/>
      <c r="W2144" s="23"/>
    </row>
    <row r="2145">
      <c r="U2145" s="23"/>
      <c r="V2145" s="23"/>
      <c r="W2145" s="23"/>
    </row>
    <row r="2146">
      <c r="U2146" s="23"/>
      <c r="V2146" s="23"/>
      <c r="W2146" s="23"/>
    </row>
    <row r="2147">
      <c r="U2147" s="23"/>
      <c r="V2147" s="23"/>
      <c r="W2147" s="23"/>
    </row>
    <row r="2148">
      <c r="U2148" s="23"/>
      <c r="V2148" s="23"/>
      <c r="W2148" s="23"/>
    </row>
    <row r="2149">
      <c r="U2149" s="23"/>
      <c r="V2149" s="23"/>
      <c r="W2149" s="23"/>
    </row>
    <row r="2150">
      <c r="U2150" s="23"/>
      <c r="V2150" s="23"/>
      <c r="W2150" s="23"/>
    </row>
    <row r="2151">
      <c r="U2151" s="23"/>
      <c r="V2151" s="23"/>
      <c r="W2151" s="23"/>
    </row>
    <row r="2152">
      <c r="U2152" s="23"/>
      <c r="V2152" s="23"/>
      <c r="W2152" s="23"/>
    </row>
    <row r="2153">
      <c r="U2153" s="23"/>
      <c r="V2153" s="23"/>
      <c r="W2153" s="23"/>
    </row>
    <row r="2154">
      <c r="U2154" s="23"/>
      <c r="V2154" s="23"/>
      <c r="W2154" s="23"/>
    </row>
    <row r="2155">
      <c r="U2155" s="23"/>
      <c r="V2155" s="23"/>
      <c r="W2155" s="23"/>
    </row>
    <row r="2156">
      <c r="U2156" s="23"/>
      <c r="V2156" s="23"/>
      <c r="W2156" s="23"/>
    </row>
    <row r="2157">
      <c r="U2157" s="23"/>
      <c r="V2157" s="23"/>
      <c r="W2157" s="23"/>
    </row>
    <row r="2158">
      <c r="U2158" s="23"/>
      <c r="V2158" s="23"/>
      <c r="W2158" s="23"/>
    </row>
    <row r="2159">
      <c r="U2159" s="23"/>
      <c r="V2159" s="23"/>
      <c r="W2159" s="23"/>
    </row>
    <row r="2160">
      <c r="U2160" s="23"/>
      <c r="V2160" s="23"/>
      <c r="W2160" s="23"/>
    </row>
    <row r="2161">
      <c r="U2161" s="23"/>
      <c r="V2161" s="23"/>
      <c r="W2161" s="23"/>
    </row>
    <row r="2162">
      <c r="U2162" s="23"/>
      <c r="V2162" s="23"/>
      <c r="W2162" s="23"/>
    </row>
    <row r="2163">
      <c r="U2163" s="23"/>
      <c r="V2163" s="23"/>
      <c r="W2163" s="23"/>
    </row>
    <row r="2164">
      <c r="U2164" s="23"/>
      <c r="V2164" s="23"/>
      <c r="W2164" s="23"/>
    </row>
    <row r="2165">
      <c r="U2165" s="23"/>
      <c r="V2165" s="23"/>
      <c r="W2165" s="23"/>
    </row>
    <row r="2166">
      <c r="U2166" s="23"/>
      <c r="V2166" s="23"/>
      <c r="W2166" s="23"/>
    </row>
    <row r="2167">
      <c r="U2167" s="23"/>
      <c r="V2167" s="23"/>
      <c r="W2167" s="23"/>
    </row>
    <row r="2168">
      <c r="U2168" s="23"/>
      <c r="V2168" s="23"/>
      <c r="W2168" s="23"/>
    </row>
    <row r="2169">
      <c r="U2169" s="23"/>
      <c r="V2169" s="23"/>
      <c r="W2169" s="23"/>
    </row>
    <row r="2170">
      <c r="U2170" s="23"/>
      <c r="V2170" s="23"/>
      <c r="W2170" s="23"/>
    </row>
    <row r="2171">
      <c r="U2171" s="23"/>
      <c r="V2171" s="23"/>
      <c r="W2171" s="23"/>
    </row>
    <row r="2172">
      <c r="U2172" s="23"/>
      <c r="V2172" s="23"/>
      <c r="W2172" s="23"/>
    </row>
    <row r="2173">
      <c r="U2173" s="23"/>
      <c r="V2173" s="23"/>
      <c r="W2173" s="23"/>
    </row>
    <row r="2174">
      <c r="U2174" s="23"/>
      <c r="V2174" s="23"/>
      <c r="W2174" s="23"/>
    </row>
    <row r="2175">
      <c r="U2175" s="23"/>
      <c r="V2175" s="23"/>
      <c r="W2175" s="23"/>
    </row>
    <row r="2176">
      <c r="U2176" s="23"/>
      <c r="V2176" s="23"/>
      <c r="W2176" s="23"/>
    </row>
    <row r="2177">
      <c r="U2177" s="23"/>
      <c r="V2177" s="23"/>
      <c r="W2177" s="23"/>
    </row>
    <row r="2178">
      <c r="U2178" s="23"/>
      <c r="V2178" s="23"/>
      <c r="W2178" s="23"/>
    </row>
    <row r="2179">
      <c r="U2179" s="23"/>
      <c r="V2179" s="23"/>
      <c r="W2179" s="23"/>
    </row>
    <row r="2180">
      <c r="U2180" s="23"/>
      <c r="V2180" s="23"/>
      <c r="W2180" s="23"/>
    </row>
    <row r="2181">
      <c r="U2181" s="23"/>
      <c r="V2181" s="23"/>
      <c r="W2181" s="23"/>
    </row>
    <row r="2182">
      <c r="U2182" s="23"/>
      <c r="V2182" s="23"/>
      <c r="W2182" s="23"/>
    </row>
    <row r="2183">
      <c r="U2183" s="23"/>
      <c r="V2183" s="23"/>
      <c r="W2183" s="23"/>
    </row>
    <row r="2184">
      <c r="U2184" s="23"/>
      <c r="V2184" s="23"/>
      <c r="W2184" s="23"/>
    </row>
    <row r="2185">
      <c r="U2185" s="23"/>
      <c r="V2185" s="23"/>
      <c r="W2185" s="23"/>
    </row>
    <row r="2186">
      <c r="U2186" s="23"/>
      <c r="V2186" s="23"/>
      <c r="W2186" s="23"/>
    </row>
    <row r="2187">
      <c r="U2187" s="23"/>
      <c r="V2187" s="23"/>
      <c r="W2187" s="23"/>
    </row>
    <row r="2188">
      <c r="U2188" s="23"/>
      <c r="V2188" s="23"/>
      <c r="W2188" s="23"/>
    </row>
    <row r="2189">
      <c r="U2189" s="23"/>
      <c r="V2189" s="23"/>
      <c r="W2189" s="23"/>
    </row>
    <row r="2190">
      <c r="U2190" s="23"/>
      <c r="V2190" s="23"/>
      <c r="W2190" s="23"/>
    </row>
    <row r="2191">
      <c r="U2191" s="23"/>
      <c r="V2191" s="23"/>
      <c r="W2191" s="23"/>
    </row>
    <row r="2192">
      <c r="U2192" s="23"/>
      <c r="V2192" s="23"/>
      <c r="W2192" s="23"/>
    </row>
    <row r="2193">
      <c r="U2193" s="23"/>
      <c r="V2193" s="23"/>
      <c r="W2193" s="23"/>
    </row>
    <row r="2194">
      <c r="U2194" s="23"/>
      <c r="V2194" s="23"/>
      <c r="W2194" s="23"/>
    </row>
    <row r="2195">
      <c r="U2195" s="23"/>
      <c r="V2195" s="23"/>
      <c r="W2195" s="23"/>
    </row>
    <row r="2196">
      <c r="U2196" s="23"/>
      <c r="V2196" s="23"/>
      <c r="W2196" s="23"/>
    </row>
    <row r="2197">
      <c r="U2197" s="23"/>
      <c r="V2197" s="23"/>
      <c r="W2197" s="23"/>
    </row>
    <row r="2198">
      <c r="U2198" s="23"/>
      <c r="V2198" s="23"/>
      <c r="W2198" s="23"/>
    </row>
    <row r="2199">
      <c r="U2199" s="23"/>
      <c r="V2199" s="23"/>
      <c r="W2199" s="23"/>
    </row>
    <row r="2200">
      <c r="U2200" s="23"/>
      <c r="V2200" s="23"/>
      <c r="W2200" s="23"/>
    </row>
    <row r="2201">
      <c r="U2201" s="23"/>
      <c r="V2201" s="23"/>
      <c r="W2201" s="23"/>
    </row>
    <row r="2202">
      <c r="U2202" s="23"/>
      <c r="V2202" s="23"/>
      <c r="W2202" s="23"/>
    </row>
    <row r="2203">
      <c r="U2203" s="23"/>
      <c r="V2203" s="23"/>
      <c r="W2203" s="23"/>
    </row>
    <row r="2204">
      <c r="U2204" s="23"/>
      <c r="V2204" s="23"/>
      <c r="W2204" s="23"/>
    </row>
    <row r="2205">
      <c r="U2205" s="23"/>
      <c r="V2205" s="23"/>
      <c r="W2205" s="23"/>
    </row>
    <row r="2206">
      <c r="U2206" s="23"/>
      <c r="V2206" s="23"/>
      <c r="W2206" s="23"/>
    </row>
    <row r="2207">
      <c r="U2207" s="23"/>
      <c r="V2207" s="23"/>
      <c r="W2207" s="23"/>
    </row>
    <row r="2208">
      <c r="U2208" s="23"/>
      <c r="V2208" s="23"/>
      <c r="W2208" s="23"/>
    </row>
    <row r="2209">
      <c r="U2209" s="23"/>
      <c r="V2209" s="23"/>
      <c r="W2209" s="23"/>
    </row>
    <row r="2210">
      <c r="U2210" s="23"/>
      <c r="V2210" s="23"/>
      <c r="W2210" s="23"/>
    </row>
    <row r="2211">
      <c r="U2211" s="23"/>
      <c r="V2211" s="23"/>
      <c r="W2211" s="23"/>
    </row>
    <row r="2212">
      <c r="U2212" s="23"/>
      <c r="V2212" s="23"/>
      <c r="W2212" s="23"/>
    </row>
    <row r="2213">
      <c r="U2213" s="23"/>
      <c r="V2213" s="23"/>
      <c r="W2213" s="23"/>
    </row>
    <row r="2214">
      <c r="U2214" s="23"/>
      <c r="V2214" s="23"/>
      <c r="W2214" s="23"/>
    </row>
    <row r="2215">
      <c r="U2215" s="23"/>
      <c r="V2215" s="23"/>
      <c r="W2215" s="23"/>
    </row>
    <row r="2216">
      <c r="U2216" s="23"/>
      <c r="V2216" s="23"/>
      <c r="W2216" s="23"/>
    </row>
    <row r="2217">
      <c r="U2217" s="23"/>
      <c r="V2217" s="23"/>
      <c r="W2217" s="23"/>
    </row>
    <row r="2218">
      <c r="U2218" s="23"/>
      <c r="V2218" s="23"/>
      <c r="W2218" s="23"/>
    </row>
    <row r="2219">
      <c r="U2219" s="23"/>
      <c r="V2219" s="23"/>
      <c r="W2219" s="23"/>
    </row>
    <row r="2220">
      <c r="U2220" s="23"/>
      <c r="V2220" s="23"/>
      <c r="W2220" s="23"/>
    </row>
    <row r="2221">
      <c r="U2221" s="23"/>
      <c r="V2221" s="23"/>
      <c r="W2221" s="23"/>
    </row>
    <row r="2222">
      <c r="U2222" s="23"/>
      <c r="V2222" s="23"/>
      <c r="W2222" s="23"/>
    </row>
    <row r="2223">
      <c r="U2223" s="23"/>
      <c r="V2223" s="23"/>
      <c r="W2223" s="23"/>
    </row>
    <row r="2224">
      <c r="U2224" s="23"/>
      <c r="V2224" s="23"/>
      <c r="W2224" s="23"/>
    </row>
    <row r="2225">
      <c r="U2225" s="23"/>
      <c r="V2225" s="23"/>
      <c r="W2225" s="23"/>
    </row>
    <row r="2226">
      <c r="U2226" s="23"/>
      <c r="V2226" s="23"/>
      <c r="W2226" s="23"/>
    </row>
    <row r="2227">
      <c r="U2227" s="23"/>
      <c r="V2227" s="23"/>
      <c r="W2227" s="23"/>
    </row>
    <row r="2228">
      <c r="U2228" s="23"/>
      <c r="V2228" s="23"/>
      <c r="W2228" s="23"/>
    </row>
    <row r="2229">
      <c r="U2229" s="23"/>
      <c r="V2229" s="23"/>
      <c r="W2229" s="23"/>
    </row>
    <row r="2230">
      <c r="U2230" s="23"/>
      <c r="V2230" s="23"/>
      <c r="W2230" s="23"/>
    </row>
    <row r="2231">
      <c r="U2231" s="23"/>
      <c r="V2231" s="23"/>
      <c r="W2231" s="23"/>
    </row>
    <row r="2232">
      <c r="U2232" s="23"/>
      <c r="V2232" s="23"/>
      <c r="W2232" s="23"/>
    </row>
    <row r="2233">
      <c r="U2233" s="23"/>
      <c r="V2233" s="23"/>
      <c r="W2233" s="23"/>
    </row>
    <row r="2234">
      <c r="U2234" s="23"/>
      <c r="V2234" s="23"/>
      <c r="W2234" s="23"/>
    </row>
    <row r="2235">
      <c r="U2235" s="23"/>
      <c r="V2235" s="23"/>
      <c r="W2235" s="23"/>
    </row>
    <row r="2236">
      <c r="U2236" s="23"/>
      <c r="V2236" s="23"/>
      <c r="W2236" s="23"/>
    </row>
    <row r="2237">
      <c r="U2237" s="23"/>
      <c r="V2237" s="23"/>
      <c r="W2237" s="23"/>
    </row>
    <row r="2238">
      <c r="U2238" s="23"/>
      <c r="V2238" s="23"/>
      <c r="W2238" s="23"/>
    </row>
    <row r="2239">
      <c r="U2239" s="23"/>
      <c r="V2239" s="23"/>
      <c r="W2239" s="23"/>
    </row>
    <row r="2240">
      <c r="U2240" s="23"/>
      <c r="V2240" s="23"/>
      <c r="W2240" s="23"/>
    </row>
    <row r="2241">
      <c r="U2241" s="23"/>
      <c r="V2241" s="23"/>
      <c r="W2241" s="23"/>
    </row>
    <row r="2242">
      <c r="U2242" s="23"/>
      <c r="V2242" s="23"/>
      <c r="W2242" s="23"/>
    </row>
    <row r="2243">
      <c r="U2243" s="23"/>
      <c r="V2243" s="23"/>
      <c r="W2243" s="23"/>
    </row>
    <row r="2244">
      <c r="U2244" s="23"/>
      <c r="V2244" s="23"/>
      <c r="W2244" s="23"/>
    </row>
    <row r="2245">
      <c r="U2245" s="23"/>
      <c r="V2245" s="23"/>
      <c r="W2245" s="23"/>
    </row>
    <row r="2246">
      <c r="U2246" s="23"/>
      <c r="V2246" s="23"/>
      <c r="W2246" s="23"/>
    </row>
    <row r="2247">
      <c r="U2247" s="23"/>
      <c r="V2247" s="23"/>
      <c r="W2247" s="23"/>
    </row>
    <row r="2248">
      <c r="U2248" s="23"/>
      <c r="V2248" s="23"/>
      <c r="W2248" s="23"/>
    </row>
    <row r="2249">
      <c r="U2249" s="23"/>
      <c r="V2249" s="23"/>
      <c r="W2249" s="23"/>
    </row>
    <row r="2250">
      <c r="U2250" s="23"/>
      <c r="V2250" s="23"/>
      <c r="W2250" s="23"/>
    </row>
    <row r="2251">
      <c r="U2251" s="23"/>
      <c r="V2251" s="23"/>
      <c r="W2251" s="23"/>
    </row>
    <row r="2252">
      <c r="U2252" s="23"/>
      <c r="V2252" s="23"/>
      <c r="W2252" s="23"/>
    </row>
    <row r="2253">
      <c r="U2253" s="23"/>
      <c r="V2253" s="23"/>
      <c r="W2253" s="23"/>
    </row>
    <row r="2254">
      <c r="U2254" s="23"/>
      <c r="V2254" s="23"/>
      <c r="W2254" s="23"/>
    </row>
    <row r="2255">
      <c r="U2255" s="23"/>
      <c r="V2255" s="23"/>
      <c r="W2255" s="23"/>
    </row>
    <row r="2256">
      <c r="U2256" s="23"/>
      <c r="V2256" s="23"/>
      <c r="W2256" s="23"/>
    </row>
    <row r="2257">
      <c r="U2257" s="23"/>
      <c r="V2257" s="23"/>
      <c r="W2257" s="23"/>
    </row>
    <row r="2258">
      <c r="U2258" s="23"/>
      <c r="V2258" s="23"/>
      <c r="W2258" s="23"/>
    </row>
    <row r="2259">
      <c r="U2259" s="23"/>
      <c r="V2259" s="23"/>
      <c r="W2259" s="23"/>
    </row>
    <row r="2260">
      <c r="U2260" s="23"/>
      <c r="V2260" s="23"/>
      <c r="W2260" s="23"/>
    </row>
    <row r="2261">
      <c r="U2261" s="23"/>
      <c r="V2261" s="23"/>
      <c r="W2261" s="23"/>
    </row>
    <row r="2262">
      <c r="U2262" s="23"/>
      <c r="V2262" s="23"/>
      <c r="W2262" s="23"/>
    </row>
    <row r="2263">
      <c r="U2263" s="23"/>
      <c r="V2263" s="23"/>
      <c r="W2263" s="23"/>
    </row>
    <row r="2264">
      <c r="U2264" s="23"/>
      <c r="V2264" s="23"/>
      <c r="W2264" s="23"/>
    </row>
    <row r="2265">
      <c r="U2265" s="23"/>
      <c r="V2265" s="23"/>
      <c r="W2265" s="23"/>
    </row>
    <row r="2266">
      <c r="U2266" s="23"/>
      <c r="V2266" s="23"/>
      <c r="W2266" s="23"/>
    </row>
    <row r="2267">
      <c r="U2267" s="23"/>
      <c r="V2267" s="23"/>
      <c r="W2267" s="23"/>
    </row>
    <row r="2268">
      <c r="U2268" s="23"/>
      <c r="V2268" s="23"/>
      <c r="W2268" s="23"/>
    </row>
    <row r="2269">
      <c r="U2269" s="23"/>
      <c r="V2269" s="23"/>
      <c r="W2269" s="23"/>
    </row>
    <row r="2270">
      <c r="U2270" s="23"/>
      <c r="V2270" s="23"/>
      <c r="W2270" s="23"/>
    </row>
    <row r="2271">
      <c r="U2271" s="23"/>
      <c r="V2271" s="23"/>
      <c r="W2271" s="23"/>
    </row>
    <row r="2272">
      <c r="U2272" s="23"/>
      <c r="V2272" s="23"/>
      <c r="W2272" s="23"/>
    </row>
    <row r="2273">
      <c r="U2273" s="23"/>
      <c r="V2273" s="23"/>
      <c r="W2273" s="23"/>
    </row>
    <row r="2274">
      <c r="U2274" s="23"/>
      <c r="V2274" s="23"/>
      <c r="W2274" s="23"/>
    </row>
    <row r="2275">
      <c r="U2275" s="23"/>
      <c r="V2275" s="23"/>
      <c r="W2275" s="23"/>
    </row>
    <row r="2276">
      <c r="U2276" s="23"/>
      <c r="V2276" s="23"/>
      <c r="W2276" s="23"/>
    </row>
    <row r="2277">
      <c r="U2277" s="23"/>
      <c r="V2277" s="23"/>
      <c r="W2277" s="23"/>
    </row>
    <row r="2278">
      <c r="U2278" s="23"/>
      <c r="V2278" s="23"/>
      <c r="W2278" s="23"/>
    </row>
    <row r="2279">
      <c r="U2279" s="23"/>
      <c r="V2279" s="23"/>
      <c r="W2279" s="23"/>
    </row>
    <row r="2280">
      <c r="U2280" s="23"/>
      <c r="V2280" s="23"/>
      <c r="W2280" s="23"/>
    </row>
    <row r="2281">
      <c r="U2281" s="23"/>
      <c r="V2281" s="23"/>
      <c r="W2281" s="23"/>
    </row>
    <row r="2282">
      <c r="U2282" s="23"/>
      <c r="V2282" s="23"/>
      <c r="W2282" s="23"/>
    </row>
    <row r="2283">
      <c r="U2283" s="23"/>
      <c r="V2283" s="23"/>
      <c r="W2283" s="23"/>
    </row>
    <row r="2284">
      <c r="U2284" s="23"/>
      <c r="V2284" s="23"/>
      <c r="W2284" s="23"/>
    </row>
    <row r="2285">
      <c r="U2285" s="23"/>
      <c r="V2285" s="23"/>
      <c r="W2285" s="23"/>
    </row>
    <row r="2286">
      <c r="U2286" s="23"/>
      <c r="V2286" s="23"/>
      <c r="W2286" s="23"/>
    </row>
    <row r="2287">
      <c r="U2287" s="23"/>
      <c r="V2287" s="23"/>
      <c r="W2287" s="23"/>
    </row>
    <row r="2288">
      <c r="U2288" s="23"/>
      <c r="V2288" s="23"/>
      <c r="W2288" s="23"/>
    </row>
    <row r="2289">
      <c r="U2289" s="23"/>
      <c r="V2289" s="23"/>
      <c r="W2289" s="23"/>
    </row>
    <row r="2290">
      <c r="U2290" s="23"/>
      <c r="V2290" s="23"/>
      <c r="W2290" s="23"/>
    </row>
    <row r="2291">
      <c r="U2291" s="23"/>
      <c r="V2291" s="23"/>
      <c r="W2291" s="23"/>
    </row>
    <row r="2292">
      <c r="U2292" s="23"/>
      <c r="V2292" s="23"/>
      <c r="W2292" s="23"/>
    </row>
    <row r="2293">
      <c r="U2293" s="23"/>
      <c r="V2293" s="23"/>
      <c r="W2293" s="23"/>
    </row>
    <row r="2294">
      <c r="U2294" s="23"/>
      <c r="V2294" s="23"/>
      <c r="W2294" s="23"/>
    </row>
    <row r="2295">
      <c r="U2295" s="23"/>
      <c r="V2295" s="23"/>
      <c r="W2295" s="23"/>
    </row>
    <row r="2296">
      <c r="U2296" s="23"/>
      <c r="V2296" s="23"/>
      <c r="W2296" s="23"/>
    </row>
    <row r="2297">
      <c r="U2297" s="23"/>
      <c r="V2297" s="23"/>
      <c r="W2297" s="23"/>
    </row>
    <row r="2298">
      <c r="U2298" s="23"/>
      <c r="V2298" s="23"/>
      <c r="W2298" s="23"/>
    </row>
    <row r="2299">
      <c r="U2299" s="23"/>
      <c r="V2299" s="23"/>
      <c r="W2299" s="23"/>
    </row>
    <row r="2300">
      <c r="U2300" s="23"/>
      <c r="V2300" s="23"/>
      <c r="W2300" s="23"/>
    </row>
    <row r="2301">
      <c r="U2301" s="23"/>
      <c r="V2301" s="23"/>
      <c r="W2301" s="23"/>
    </row>
    <row r="2302">
      <c r="U2302" s="23"/>
      <c r="V2302" s="23"/>
      <c r="W2302" s="23"/>
    </row>
    <row r="2303">
      <c r="U2303" s="23"/>
      <c r="V2303" s="23"/>
      <c r="W2303" s="23"/>
    </row>
    <row r="2304">
      <c r="U2304" s="23"/>
      <c r="V2304" s="23"/>
      <c r="W2304" s="23"/>
    </row>
    <row r="2305">
      <c r="U2305" s="23"/>
      <c r="V2305" s="23"/>
      <c r="W2305" s="23"/>
    </row>
    <row r="2306">
      <c r="U2306" s="23"/>
      <c r="V2306" s="23"/>
      <c r="W2306" s="23"/>
    </row>
    <row r="2307">
      <c r="U2307" s="23"/>
      <c r="V2307" s="23"/>
      <c r="W2307" s="23"/>
    </row>
    <row r="2308">
      <c r="U2308" s="23"/>
      <c r="V2308" s="23"/>
      <c r="W2308" s="23"/>
    </row>
    <row r="2309">
      <c r="U2309" s="23"/>
      <c r="V2309" s="23"/>
      <c r="W2309" s="23"/>
    </row>
    <row r="2310">
      <c r="U2310" s="23"/>
      <c r="V2310" s="23"/>
      <c r="W2310" s="23"/>
    </row>
    <row r="2311">
      <c r="U2311" s="23"/>
      <c r="V2311" s="23"/>
      <c r="W2311" s="23"/>
    </row>
    <row r="2312">
      <c r="U2312" s="23"/>
      <c r="V2312" s="23"/>
      <c r="W2312" s="23"/>
    </row>
    <row r="2313">
      <c r="U2313" s="23"/>
      <c r="V2313" s="23"/>
      <c r="W2313" s="23"/>
    </row>
    <row r="2314">
      <c r="U2314" s="23"/>
      <c r="V2314" s="23"/>
      <c r="W2314" s="23"/>
    </row>
    <row r="2315">
      <c r="U2315" s="23"/>
      <c r="V2315" s="23"/>
      <c r="W2315" s="23"/>
    </row>
    <row r="2316">
      <c r="U2316" s="23"/>
      <c r="V2316" s="23"/>
      <c r="W2316" s="23"/>
    </row>
    <row r="2317">
      <c r="U2317" s="23"/>
      <c r="V2317" s="23"/>
      <c r="W2317" s="23"/>
    </row>
    <row r="2318">
      <c r="U2318" s="23"/>
      <c r="V2318" s="23"/>
      <c r="W2318" s="23"/>
    </row>
    <row r="2319">
      <c r="U2319" s="23"/>
      <c r="V2319" s="23"/>
      <c r="W2319" s="23"/>
    </row>
    <row r="2320">
      <c r="U2320" s="23"/>
      <c r="V2320" s="23"/>
      <c r="W2320" s="23"/>
    </row>
    <row r="2321">
      <c r="U2321" s="23"/>
      <c r="V2321" s="23"/>
      <c r="W2321" s="23"/>
    </row>
    <row r="2322">
      <c r="U2322" s="23"/>
      <c r="V2322" s="23"/>
      <c r="W2322" s="23"/>
    </row>
    <row r="2323">
      <c r="U2323" s="23"/>
      <c r="V2323" s="23"/>
      <c r="W2323" s="23"/>
    </row>
    <row r="2324">
      <c r="U2324" s="23"/>
      <c r="V2324" s="23"/>
      <c r="W2324" s="23"/>
    </row>
    <row r="2325">
      <c r="U2325" s="23"/>
      <c r="V2325" s="23"/>
      <c r="W2325" s="23"/>
    </row>
    <row r="2326">
      <c r="U2326" s="23"/>
      <c r="V2326" s="23"/>
      <c r="W2326" s="23"/>
    </row>
    <row r="2327">
      <c r="U2327" s="23"/>
      <c r="V2327" s="23"/>
      <c r="W2327" s="23"/>
    </row>
    <row r="2328">
      <c r="U2328" s="23"/>
      <c r="V2328" s="23"/>
      <c r="W2328" s="23"/>
    </row>
    <row r="2329">
      <c r="U2329" s="23"/>
      <c r="V2329" s="23"/>
      <c r="W2329" s="23"/>
    </row>
    <row r="2330">
      <c r="U2330" s="23"/>
      <c r="V2330" s="23"/>
      <c r="W2330" s="23"/>
    </row>
    <row r="2331">
      <c r="U2331" s="23"/>
      <c r="V2331" s="23"/>
      <c r="W2331" s="23"/>
    </row>
    <row r="2332">
      <c r="U2332" s="23"/>
      <c r="V2332" s="23"/>
      <c r="W2332" s="23"/>
    </row>
    <row r="2333">
      <c r="U2333" s="23"/>
      <c r="V2333" s="23"/>
      <c r="W2333" s="23"/>
    </row>
    <row r="2334">
      <c r="U2334" s="23"/>
      <c r="V2334" s="23"/>
      <c r="W2334" s="23"/>
    </row>
    <row r="2335">
      <c r="U2335" s="23"/>
      <c r="V2335" s="23"/>
      <c r="W2335" s="23"/>
    </row>
    <row r="2336">
      <c r="U2336" s="23"/>
      <c r="V2336" s="23"/>
      <c r="W2336" s="23"/>
    </row>
    <row r="2337">
      <c r="U2337" s="23"/>
      <c r="V2337" s="23"/>
      <c r="W2337" s="23"/>
    </row>
    <row r="2338">
      <c r="U2338" s="23"/>
      <c r="V2338" s="23"/>
      <c r="W2338" s="23"/>
    </row>
    <row r="2339">
      <c r="U2339" s="23"/>
      <c r="V2339" s="23"/>
      <c r="W2339" s="23"/>
    </row>
    <row r="2340">
      <c r="U2340" s="23"/>
      <c r="V2340" s="23"/>
      <c r="W2340" s="23"/>
    </row>
    <row r="2341">
      <c r="U2341" s="23"/>
      <c r="V2341" s="23"/>
      <c r="W2341" s="23"/>
    </row>
    <row r="2342">
      <c r="U2342" s="23"/>
      <c r="V2342" s="23"/>
      <c r="W2342" s="23"/>
    </row>
    <row r="2343">
      <c r="U2343" s="23"/>
      <c r="V2343" s="23"/>
      <c r="W2343" s="23"/>
    </row>
    <row r="2344">
      <c r="U2344" s="23"/>
      <c r="V2344" s="23"/>
      <c r="W2344" s="23"/>
    </row>
    <row r="2345">
      <c r="U2345" s="23"/>
      <c r="V2345" s="23"/>
      <c r="W2345" s="23"/>
    </row>
    <row r="2346">
      <c r="U2346" s="23"/>
      <c r="V2346" s="23"/>
      <c r="W2346" s="23"/>
    </row>
    <row r="2347">
      <c r="U2347" s="23"/>
      <c r="V2347" s="23"/>
      <c r="W2347" s="23"/>
    </row>
    <row r="2348">
      <c r="U2348" s="23"/>
      <c r="V2348" s="23"/>
      <c r="W2348" s="23"/>
    </row>
    <row r="2349">
      <c r="U2349" s="23"/>
      <c r="V2349" s="23"/>
      <c r="W2349" s="23"/>
    </row>
    <row r="2350">
      <c r="U2350" s="23"/>
      <c r="V2350" s="23"/>
      <c r="W2350" s="23"/>
    </row>
    <row r="2351">
      <c r="U2351" s="23"/>
      <c r="V2351" s="23"/>
      <c r="W2351" s="23"/>
    </row>
    <row r="2352">
      <c r="U2352" s="23"/>
      <c r="V2352" s="23"/>
      <c r="W2352" s="23"/>
    </row>
    <row r="2353">
      <c r="U2353" s="23"/>
      <c r="V2353" s="23"/>
      <c r="W2353" s="23"/>
    </row>
    <row r="2354">
      <c r="U2354" s="23"/>
      <c r="V2354" s="23"/>
      <c r="W2354" s="23"/>
    </row>
    <row r="2355">
      <c r="U2355" s="23"/>
      <c r="V2355" s="23"/>
      <c r="W2355" s="23"/>
    </row>
    <row r="2356">
      <c r="U2356" s="23"/>
      <c r="V2356" s="23"/>
      <c r="W2356" s="23"/>
    </row>
    <row r="2357">
      <c r="U2357" s="23"/>
      <c r="V2357" s="23"/>
      <c r="W2357" s="23"/>
    </row>
    <row r="2358">
      <c r="U2358" s="23"/>
      <c r="V2358" s="23"/>
      <c r="W2358" s="23"/>
    </row>
    <row r="2359">
      <c r="U2359" s="23"/>
      <c r="V2359" s="23"/>
      <c r="W2359" s="23"/>
    </row>
    <row r="2360">
      <c r="U2360" s="23"/>
      <c r="V2360" s="23"/>
      <c r="W2360" s="23"/>
    </row>
    <row r="2361">
      <c r="U2361" s="23"/>
      <c r="V2361" s="23"/>
      <c r="W2361" s="23"/>
    </row>
    <row r="2362">
      <c r="U2362" s="23"/>
      <c r="V2362" s="23"/>
      <c r="W2362" s="23"/>
    </row>
    <row r="2363">
      <c r="U2363" s="23"/>
      <c r="V2363" s="23"/>
      <c r="W2363" s="23"/>
    </row>
    <row r="2364">
      <c r="U2364" s="23"/>
      <c r="V2364" s="23"/>
      <c r="W2364" s="23"/>
    </row>
    <row r="2365">
      <c r="U2365" s="23"/>
      <c r="V2365" s="23"/>
      <c r="W2365" s="23"/>
    </row>
    <row r="2366">
      <c r="U2366" s="23"/>
      <c r="V2366" s="23"/>
      <c r="W2366" s="23"/>
    </row>
    <row r="2367">
      <c r="U2367" s="23"/>
      <c r="V2367" s="23"/>
      <c r="W2367" s="23"/>
    </row>
    <row r="2368">
      <c r="U2368" s="23"/>
      <c r="V2368" s="23"/>
      <c r="W2368" s="23"/>
    </row>
    <row r="2369">
      <c r="U2369" s="23"/>
      <c r="V2369" s="23"/>
      <c r="W2369" s="23"/>
    </row>
    <row r="2370">
      <c r="U2370" s="23"/>
      <c r="V2370" s="23"/>
      <c r="W2370" s="23"/>
    </row>
    <row r="2371">
      <c r="U2371" s="23"/>
      <c r="V2371" s="23"/>
      <c r="W2371" s="23"/>
    </row>
    <row r="2372">
      <c r="U2372" s="23"/>
      <c r="V2372" s="23"/>
      <c r="W2372" s="23"/>
    </row>
    <row r="2373">
      <c r="U2373" s="23"/>
      <c r="V2373" s="23"/>
      <c r="W2373" s="23"/>
    </row>
    <row r="2374">
      <c r="U2374" s="23"/>
      <c r="V2374" s="23"/>
      <c r="W2374" s="23"/>
    </row>
    <row r="2375">
      <c r="U2375" s="23"/>
      <c r="V2375" s="23"/>
      <c r="W2375" s="23"/>
    </row>
    <row r="2376">
      <c r="U2376" s="23"/>
      <c r="V2376" s="23"/>
      <c r="W2376" s="23"/>
    </row>
    <row r="2377">
      <c r="U2377" s="23"/>
      <c r="V2377" s="23"/>
      <c r="W2377" s="23"/>
    </row>
    <row r="2378">
      <c r="U2378" s="23"/>
      <c r="V2378" s="23"/>
      <c r="W2378" s="23"/>
    </row>
    <row r="2379">
      <c r="U2379" s="23"/>
      <c r="V2379" s="23"/>
      <c r="W2379" s="23"/>
    </row>
    <row r="2380">
      <c r="U2380" s="23"/>
      <c r="V2380" s="23"/>
      <c r="W2380" s="23"/>
    </row>
    <row r="2381">
      <c r="U2381" s="23"/>
      <c r="V2381" s="23"/>
      <c r="W2381" s="23"/>
    </row>
    <row r="2382">
      <c r="U2382" s="23"/>
      <c r="V2382" s="23"/>
      <c r="W2382" s="23"/>
    </row>
    <row r="2383">
      <c r="U2383" s="23"/>
      <c r="V2383" s="23"/>
      <c r="W2383" s="23"/>
    </row>
    <row r="2384">
      <c r="U2384" s="23"/>
      <c r="V2384" s="23"/>
      <c r="W2384" s="23"/>
    </row>
    <row r="2385">
      <c r="U2385" s="23"/>
      <c r="V2385" s="23"/>
      <c r="W2385" s="23"/>
    </row>
    <row r="2386">
      <c r="U2386" s="23"/>
      <c r="V2386" s="23"/>
      <c r="W2386" s="23"/>
    </row>
    <row r="2387">
      <c r="U2387" s="23"/>
      <c r="V2387" s="23"/>
      <c r="W2387" s="23"/>
    </row>
    <row r="2388">
      <c r="U2388" s="23"/>
      <c r="V2388" s="23"/>
      <c r="W2388" s="23"/>
    </row>
    <row r="2389">
      <c r="U2389" s="23"/>
      <c r="V2389" s="23"/>
      <c r="W2389" s="23"/>
    </row>
    <row r="2390">
      <c r="U2390" s="23"/>
      <c r="V2390" s="23"/>
      <c r="W2390" s="23"/>
    </row>
    <row r="2391">
      <c r="U2391" s="23"/>
      <c r="V2391" s="23"/>
      <c r="W2391" s="23"/>
    </row>
    <row r="2392">
      <c r="U2392" s="23"/>
      <c r="V2392" s="23"/>
      <c r="W2392" s="23"/>
    </row>
    <row r="2393">
      <c r="U2393" s="23"/>
      <c r="V2393" s="23"/>
      <c r="W2393" s="23"/>
    </row>
    <row r="2394">
      <c r="U2394" s="23"/>
      <c r="V2394" s="23"/>
      <c r="W2394" s="23"/>
    </row>
    <row r="2395">
      <c r="U2395" s="23"/>
      <c r="V2395" s="23"/>
      <c r="W2395" s="23"/>
    </row>
    <row r="2396">
      <c r="U2396" s="23"/>
      <c r="V2396" s="23"/>
      <c r="W2396" s="23"/>
    </row>
    <row r="2397">
      <c r="U2397" s="23"/>
      <c r="V2397" s="23"/>
      <c r="W2397" s="23"/>
    </row>
    <row r="2398">
      <c r="U2398" s="23"/>
      <c r="V2398" s="23"/>
      <c r="W2398" s="23"/>
    </row>
    <row r="2399">
      <c r="U2399" s="23"/>
      <c r="V2399" s="23"/>
      <c r="W2399" s="23"/>
    </row>
    <row r="2400">
      <c r="U2400" s="23"/>
      <c r="V2400" s="23"/>
      <c r="W2400" s="23"/>
    </row>
    <row r="2401">
      <c r="U2401" s="23"/>
      <c r="V2401" s="23"/>
      <c r="W2401" s="23"/>
    </row>
    <row r="2402">
      <c r="U2402" s="23"/>
      <c r="V2402" s="23"/>
      <c r="W2402" s="23"/>
    </row>
    <row r="2403">
      <c r="U2403" s="23"/>
      <c r="V2403" s="23"/>
      <c r="W2403" s="23"/>
    </row>
    <row r="2404">
      <c r="U2404" s="23"/>
      <c r="V2404" s="23"/>
      <c r="W2404" s="23"/>
    </row>
    <row r="2405">
      <c r="U2405" s="23"/>
      <c r="V2405" s="23"/>
      <c r="W2405" s="23"/>
    </row>
    <row r="2406">
      <c r="U2406" s="23"/>
      <c r="V2406" s="23"/>
      <c r="W2406" s="23"/>
    </row>
    <row r="2407">
      <c r="U2407" s="23"/>
      <c r="V2407" s="23"/>
      <c r="W2407" s="23"/>
    </row>
    <row r="2408">
      <c r="U2408" s="23"/>
      <c r="V2408" s="23"/>
      <c r="W2408" s="23"/>
    </row>
    <row r="2409">
      <c r="U2409" s="23"/>
      <c r="V2409" s="23"/>
      <c r="W2409" s="23"/>
    </row>
    <row r="2410">
      <c r="U2410" s="23"/>
      <c r="V2410" s="23"/>
      <c r="W2410" s="23"/>
    </row>
    <row r="2411">
      <c r="U2411" s="23"/>
      <c r="V2411" s="23"/>
      <c r="W2411" s="23"/>
    </row>
    <row r="2412">
      <c r="U2412" s="23"/>
      <c r="V2412" s="23"/>
      <c r="W2412" s="23"/>
    </row>
    <row r="2413">
      <c r="U2413" s="23"/>
      <c r="V2413" s="23"/>
      <c r="W2413" s="23"/>
    </row>
    <row r="2414">
      <c r="U2414" s="23"/>
      <c r="V2414" s="23"/>
      <c r="W2414" s="23"/>
    </row>
    <row r="2415">
      <c r="U2415" s="23"/>
      <c r="V2415" s="23"/>
      <c r="W2415" s="23"/>
    </row>
    <row r="2416">
      <c r="U2416" s="23"/>
      <c r="V2416" s="23"/>
      <c r="W2416" s="23"/>
    </row>
    <row r="2417">
      <c r="U2417" s="23"/>
      <c r="V2417" s="23"/>
      <c r="W2417" s="23"/>
    </row>
    <row r="2418">
      <c r="U2418" s="23"/>
      <c r="V2418" s="23"/>
      <c r="W2418" s="23"/>
    </row>
    <row r="2419">
      <c r="U2419" s="23"/>
      <c r="V2419" s="23"/>
      <c r="W2419" s="23"/>
    </row>
    <row r="2420">
      <c r="U2420" s="23"/>
      <c r="V2420" s="23"/>
      <c r="W2420" s="23"/>
    </row>
    <row r="2421">
      <c r="U2421" s="23"/>
      <c r="V2421" s="23"/>
      <c r="W2421" s="23"/>
    </row>
    <row r="2422">
      <c r="U2422" s="23"/>
      <c r="V2422" s="23"/>
      <c r="W2422" s="23"/>
    </row>
    <row r="2423">
      <c r="U2423" s="23"/>
      <c r="V2423" s="23"/>
      <c r="W2423" s="23"/>
    </row>
    <row r="2424">
      <c r="U2424" s="23"/>
      <c r="V2424" s="23"/>
      <c r="W2424" s="23"/>
    </row>
    <row r="2425">
      <c r="U2425" s="23"/>
      <c r="V2425" s="23"/>
      <c r="W2425" s="23"/>
    </row>
    <row r="2426">
      <c r="U2426" s="23"/>
      <c r="V2426" s="23"/>
      <c r="W2426" s="23"/>
    </row>
    <row r="2427">
      <c r="U2427" s="23"/>
      <c r="V2427" s="23"/>
      <c r="W2427" s="23"/>
    </row>
    <row r="2428">
      <c r="U2428" s="23"/>
      <c r="V2428" s="23"/>
      <c r="W2428" s="23"/>
    </row>
    <row r="2429">
      <c r="U2429" s="23"/>
      <c r="V2429" s="23"/>
      <c r="W2429" s="23"/>
    </row>
    <row r="2430">
      <c r="U2430" s="23"/>
      <c r="V2430" s="23"/>
      <c r="W2430" s="23"/>
    </row>
    <row r="2431">
      <c r="U2431" s="23"/>
      <c r="V2431" s="23"/>
      <c r="W2431" s="23"/>
    </row>
    <row r="2432">
      <c r="U2432" s="23"/>
      <c r="V2432" s="23"/>
      <c r="W2432" s="23"/>
    </row>
    <row r="2433">
      <c r="U2433" s="23"/>
      <c r="V2433" s="23"/>
      <c r="W2433" s="23"/>
    </row>
    <row r="2434">
      <c r="U2434" s="23"/>
      <c r="V2434" s="23"/>
      <c r="W2434" s="23"/>
    </row>
    <row r="2435">
      <c r="U2435" s="23"/>
      <c r="V2435" s="23"/>
      <c r="W2435" s="23"/>
    </row>
    <row r="2436">
      <c r="U2436" s="23"/>
      <c r="V2436" s="23"/>
      <c r="W2436" s="23"/>
    </row>
    <row r="2437">
      <c r="U2437" s="23"/>
      <c r="V2437" s="23"/>
      <c r="W2437" s="23"/>
    </row>
    <row r="2438">
      <c r="U2438" s="23"/>
      <c r="V2438" s="23"/>
      <c r="W2438" s="23"/>
    </row>
    <row r="2439">
      <c r="U2439" s="23"/>
      <c r="V2439" s="23"/>
      <c r="W2439" s="23"/>
    </row>
    <row r="2440">
      <c r="U2440" s="23"/>
      <c r="V2440" s="23"/>
      <c r="W2440" s="23"/>
    </row>
    <row r="2441">
      <c r="U2441" s="23"/>
      <c r="V2441" s="23"/>
      <c r="W2441" s="23"/>
    </row>
    <row r="2442">
      <c r="U2442" s="23"/>
      <c r="V2442" s="23"/>
      <c r="W2442" s="23"/>
    </row>
    <row r="2443">
      <c r="U2443" s="23"/>
      <c r="V2443" s="23"/>
      <c r="W2443" s="23"/>
    </row>
    <row r="2444">
      <c r="U2444" s="23"/>
      <c r="V2444" s="23"/>
      <c r="W2444" s="23"/>
    </row>
    <row r="2445">
      <c r="U2445" s="23"/>
      <c r="V2445" s="23"/>
      <c r="W2445" s="23"/>
    </row>
    <row r="2446">
      <c r="U2446" s="23"/>
      <c r="V2446" s="23"/>
      <c r="W2446" s="23"/>
    </row>
    <row r="2447">
      <c r="U2447" s="23"/>
      <c r="V2447" s="23"/>
      <c r="W2447" s="23"/>
    </row>
    <row r="2448">
      <c r="U2448" s="23"/>
      <c r="V2448" s="23"/>
      <c r="W2448" s="23"/>
    </row>
    <row r="2449">
      <c r="U2449" s="23"/>
      <c r="V2449" s="23"/>
      <c r="W2449" s="23"/>
    </row>
    <row r="2450">
      <c r="U2450" s="23"/>
      <c r="V2450" s="23"/>
      <c r="W2450" s="23"/>
    </row>
    <row r="2451">
      <c r="U2451" s="23"/>
      <c r="V2451" s="23"/>
      <c r="W2451" s="23"/>
    </row>
    <row r="2452">
      <c r="U2452" s="23"/>
      <c r="V2452" s="23"/>
      <c r="W2452" s="23"/>
    </row>
    <row r="2453">
      <c r="U2453" s="23"/>
      <c r="V2453" s="23"/>
      <c r="W2453" s="23"/>
    </row>
    <row r="2454">
      <c r="U2454" s="23"/>
      <c r="V2454" s="23"/>
      <c r="W2454" s="23"/>
    </row>
    <row r="2455">
      <c r="U2455" s="23"/>
      <c r="V2455" s="23"/>
      <c r="W2455" s="23"/>
    </row>
    <row r="2456">
      <c r="U2456" s="23"/>
      <c r="V2456" s="23"/>
      <c r="W2456" s="23"/>
    </row>
    <row r="2457">
      <c r="U2457" s="23"/>
      <c r="V2457" s="23"/>
      <c r="W2457" s="23"/>
    </row>
    <row r="2458">
      <c r="U2458" s="23"/>
      <c r="V2458" s="23"/>
      <c r="W2458" s="23"/>
    </row>
    <row r="2459">
      <c r="U2459" s="23"/>
      <c r="V2459" s="23"/>
      <c r="W2459" s="23"/>
    </row>
    <row r="2460">
      <c r="U2460" s="23"/>
      <c r="V2460" s="23"/>
      <c r="W2460" s="23"/>
    </row>
    <row r="2461">
      <c r="U2461" s="23"/>
      <c r="V2461" s="23"/>
      <c r="W2461" s="23"/>
    </row>
    <row r="2462">
      <c r="U2462" s="23"/>
      <c r="V2462" s="23"/>
      <c r="W2462" s="23"/>
    </row>
    <row r="2463">
      <c r="U2463" s="23"/>
      <c r="V2463" s="23"/>
      <c r="W2463" s="23"/>
    </row>
    <row r="2464">
      <c r="U2464" s="23"/>
      <c r="V2464" s="23"/>
      <c r="W2464" s="23"/>
    </row>
    <row r="2465">
      <c r="U2465" s="23"/>
      <c r="V2465" s="23"/>
      <c r="W2465" s="23"/>
    </row>
    <row r="2466">
      <c r="U2466" s="23"/>
      <c r="V2466" s="23"/>
      <c r="W2466" s="23"/>
    </row>
    <row r="2467">
      <c r="U2467" s="23"/>
      <c r="V2467" s="23"/>
      <c r="W2467" s="23"/>
    </row>
    <row r="2468">
      <c r="U2468" s="23"/>
      <c r="V2468" s="23"/>
      <c r="W2468" s="23"/>
    </row>
    <row r="2469">
      <c r="U2469" s="23"/>
      <c r="V2469" s="23"/>
      <c r="W2469" s="23"/>
    </row>
    <row r="2470">
      <c r="U2470" s="23"/>
      <c r="V2470" s="23"/>
      <c r="W2470" s="23"/>
    </row>
    <row r="2471">
      <c r="U2471" s="23"/>
      <c r="V2471" s="23"/>
      <c r="W2471" s="23"/>
    </row>
    <row r="2472">
      <c r="U2472" s="23"/>
      <c r="V2472" s="23"/>
      <c r="W2472" s="23"/>
    </row>
    <row r="2473">
      <c r="U2473" s="23"/>
      <c r="V2473" s="23"/>
      <c r="W2473" s="23"/>
    </row>
    <row r="2474">
      <c r="U2474" s="23"/>
      <c r="V2474" s="23"/>
      <c r="W2474" s="23"/>
    </row>
    <row r="2475">
      <c r="U2475" s="23"/>
      <c r="V2475" s="23"/>
      <c r="W2475" s="23"/>
    </row>
    <row r="2476">
      <c r="U2476" s="23"/>
      <c r="V2476" s="23"/>
      <c r="W2476" s="23"/>
    </row>
    <row r="2477">
      <c r="U2477" s="23"/>
      <c r="V2477" s="23"/>
      <c r="W2477" s="23"/>
    </row>
    <row r="2478">
      <c r="U2478" s="23"/>
      <c r="V2478" s="23"/>
      <c r="W2478" s="23"/>
    </row>
    <row r="2479">
      <c r="U2479" s="23"/>
      <c r="V2479" s="23"/>
      <c r="W2479" s="23"/>
    </row>
    <row r="2480">
      <c r="U2480" s="23"/>
      <c r="V2480" s="23"/>
      <c r="W2480" s="23"/>
    </row>
    <row r="2481">
      <c r="U2481" s="23"/>
      <c r="V2481" s="23"/>
      <c r="W2481" s="23"/>
    </row>
    <row r="2482">
      <c r="U2482" s="23"/>
      <c r="V2482" s="23"/>
      <c r="W2482" s="23"/>
    </row>
    <row r="2483">
      <c r="U2483" s="23"/>
      <c r="V2483" s="23"/>
      <c r="W2483" s="23"/>
    </row>
    <row r="2484">
      <c r="U2484" s="23"/>
      <c r="V2484" s="23"/>
      <c r="W2484" s="23"/>
    </row>
    <row r="2485">
      <c r="U2485" s="23"/>
      <c r="V2485" s="23"/>
      <c r="W2485" s="23"/>
    </row>
    <row r="2486">
      <c r="U2486" s="23"/>
      <c r="V2486" s="23"/>
      <c r="W2486" s="23"/>
    </row>
    <row r="2487">
      <c r="U2487" s="23"/>
      <c r="V2487" s="23"/>
      <c r="W2487" s="23"/>
    </row>
    <row r="2488">
      <c r="U2488" s="23"/>
      <c r="V2488" s="23"/>
      <c r="W2488" s="23"/>
    </row>
    <row r="2489">
      <c r="U2489" s="23"/>
      <c r="V2489" s="23"/>
      <c r="W2489" s="23"/>
    </row>
    <row r="2490">
      <c r="U2490" s="23"/>
      <c r="V2490" s="23"/>
      <c r="W2490" s="23"/>
    </row>
    <row r="2491">
      <c r="U2491" s="23"/>
      <c r="V2491" s="23"/>
      <c r="W2491" s="23"/>
    </row>
    <row r="2492">
      <c r="U2492" s="23"/>
      <c r="V2492" s="23"/>
      <c r="W2492" s="23"/>
    </row>
    <row r="2493">
      <c r="U2493" s="23"/>
      <c r="V2493" s="23"/>
      <c r="W2493" s="23"/>
    </row>
    <row r="2494">
      <c r="U2494" s="23"/>
      <c r="V2494" s="23"/>
      <c r="W2494" s="23"/>
    </row>
    <row r="2495">
      <c r="U2495" s="23"/>
      <c r="V2495" s="23"/>
      <c r="W2495" s="23"/>
    </row>
    <row r="2496">
      <c r="U2496" s="23"/>
      <c r="V2496" s="23"/>
      <c r="W2496" s="23"/>
    </row>
    <row r="2497">
      <c r="U2497" s="23"/>
      <c r="V2497" s="23"/>
      <c r="W2497" s="23"/>
    </row>
    <row r="2498">
      <c r="U2498" s="23"/>
      <c r="V2498" s="23"/>
      <c r="W2498" s="23"/>
    </row>
    <row r="2499">
      <c r="U2499" s="23"/>
      <c r="V2499" s="23"/>
      <c r="W2499" s="23"/>
    </row>
    <row r="2500">
      <c r="U2500" s="23"/>
      <c r="V2500" s="23"/>
      <c r="W2500" s="23"/>
    </row>
    <row r="2501">
      <c r="U2501" s="23"/>
      <c r="V2501" s="23"/>
      <c r="W2501" s="23"/>
    </row>
    <row r="2502">
      <c r="U2502" s="23"/>
      <c r="V2502" s="23"/>
      <c r="W2502" s="23"/>
    </row>
    <row r="2503">
      <c r="U2503" s="23"/>
      <c r="V2503" s="23"/>
      <c r="W2503" s="23"/>
    </row>
    <row r="2504">
      <c r="U2504" s="23"/>
      <c r="V2504" s="23"/>
      <c r="W2504" s="23"/>
    </row>
    <row r="2505">
      <c r="U2505" s="23"/>
      <c r="V2505" s="23"/>
      <c r="W2505" s="23"/>
    </row>
    <row r="2506">
      <c r="U2506" s="23"/>
      <c r="V2506" s="23"/>
      <c r="W2506" s="23"/>
    </row>
    <row r="2507">
      <c r="U2507" s="23"/>
      <c r="V2507" s="23"/>
      <c r="W2507" s="23"/>
    </row>
    <row r="2508">
      <c r="U2508" s="23"/>
      <c r="V2508" s="23"/>
      <c r="W2508" s="23"/>
    </row>
    <row r="2509">
      <c r="U2509" s="23"/>
      <c r="V2509" s="23"/>
      <c r="W2509" s="23"/>
    </row>
    <row r="2510">
      <c r="U2510" s="23"/>
      <c r="V2510" s="23"/>
      <c r="W2510" s="23"/>
    </row>
    <row r="2511">
      <c r="U2511" s="23"/>
      <c r="V2511" s="23"/>
      <c r="W2511" s="23"/>
    </row>
    <row r="2512">
      <c r="U2512" s="23"/>
      <c r="V2512" s="23"/>
      <c r="W2512" s="23"/>
    </row>
    <row r="2513">
      <c r="U2513" s="23"/>
      <c r="V2513" s="23"/>
      <c r="W2513" s="23"/>
    </row>
    <row r="2514">
      <c r="U2514" s="23"/>
      <c r="V2514" s="23"/>
      <c r="W2514" s="23"/>
    </row>
    <row r="2515">
      <c r="U2515" s="23"/>
      <c r="V2515" s="23"/>
      <c r="W2515" s="23"/>
    </row>
    <row r="2516">
      <c r="U2516" s="23"/>
      <c r="V2516" s="23"/>
      <c r="W2516" s="23"/>
    </row>
    <row r="2517">
      <c r="U2517" s="23"/>
      <c r="V2517" s="23"/>
      <c r="W2517" s="23"/>
    </row>
    <row r="2518">
      <c r="U2518" s="23"/>
      <c r="V2518" s="23"/>
      <c r="W2518" s="23"/>
    </row>
    <row r="2519">
      <c r="U2519" s="23"/>
      <c r="V2519" s="23"/>
      <c r="W2519" s="23"/>
    </row>
    <row r="2520">
      <c r="U2520" s="23"/>
      <c r="V2520" s="23"/>
      <c r="W2520" s="23"/>
    </row>
    <row r="2521">
      <c r="U2521" s="23"/>
      <c r="V2521" s="23"/>
      <c r="W2521" s="23"/>
    </row>
    <row r="2522">
      <c r="U2522" s="23"/>
      <c r="V2522" s="23"/>
      <c r="W2522" s="23"/>
    </row>
    <row r="2523">
      <c r="U2523" s="23"/>
      <c r="V2523" s="23"/>
      <c r="W2523" s="23"/>
    </row>
    <row r="2524">
      <c r="U2524" s="23"/>
      <c r="V2524" s="23"/>
      <c r="W2524" s="23"/>
    </row>
    <row r="2525">
      <c r="U2525" s="23"/>
      <c r="V2525" s="23"/>
      <c r="W2525" s="23"/>
    </row>
    <row r="2526">
      <c r="U2526" s="23"/>
      <c r="V2526" s="23"/>
      <c r="W2526" s="23"/>
    </row>
    <row r="2527">
      <c r="U2527" s="23"/>
      <c r="V2527" s="23"/>
      <c r="W2527" s="23"/>
    </row>
    <row r="2528">
      <c r="U2528" s="23"/>
      <c r="V2528" s="23"/>
      <c r="W2528" s="23"/>
    </row>
    <row r="2529">
      <c r="U2529" s="23"/>
      <c r="V2529" s="23"/>
      <c r="W2529" s="23"/>
    </row>
    <row r="2530">
      <c r="U2530" s="23"/>
      <c r="V2530" s="23"/>
      <c r="W2530" s="23"/>
    </row>
    <row r="2531">
      <c r="U2531" s="23"/>
      <c r="V2531" s="23"/>
      <c r="W2531" s="23"/>
    </row>
    <row r="2532">
      <c r="U2532" s="23"/>
      <c r="V2532" s="23"/>
      <c r="W2532" s="23"/>
    </row>
    <row r="2533">
      <c r="U2533" s="23"/>
      <c r="V2533" s="23"/>
      <c r="W2533" s="23"/>
    </row>
    <row r="2534">
      <c r="U2534" s="23"/>
      <c r="V2534" s="23"/>
      <c r="W2534" s="23"/>
    </row>
    <row r="2535">
      <c r="U2535" s="23"/>
      <c r="V2535" s="23"/>
      <c r="W2535" s="23"/>
    </row>
    <row r="2536">
      <c r="U2536" s="23"/>
      <c r="V2536" s="23"/>
      <c r="W2536" s="23"/>
    </row>
    <row r="2537">
      <c r="U2537" s="23"/>
      <c r="V2537" s="23"/>
      <c r="W2537" s="23"/>
    </row>
    <row r="2538">
      <c r="U2538" s="23"/>
      <c r="V2538" s="23"/>
      <c r="W2538" s="23"/>
    </row>
    <row r="2539">
      <c r="U2539" s="23"/>
      <c r="V2539" s="23"/>
      <c r="W2539" s="23"/>
    </row>
    <row r="2540">
      <c r="U2540" s="23"/>
      <c r="V2540" s="23"/>
      <c r="W2540" s="23"/>
    </row>
    <row r="2541">
      <c r="U2541" s="23"/>
      <c r="V2541" s="23"/>
      <c r="W2541" s="23"/>
    </row>
    <row r="2542">
      <c r="U2542" s="23"/>
      <c r="V2542" s="23"/>
      <c r="W2542" s="23"/>
    </row>
    <row r="2543">
      <c r="U2543" s="23"/>
      <c r="V2543" s="23"/>
      <c r="W2543" s="23"/>
    </row>
    <row r="2544">
      <c r="U2544" s="23"/>
      <c r="V2544" s="23"/>
      <c r="W2544" s="23"/>
    </row>
    <row r="2545">
      <c r="U2545" s="23"/>
      <c r="V2545" s="23"/>
      <c r="W2545" s="23"/>
    </row>
    <row r="2546">
      <c r="U2546" s="23"/>
      <c r="V2546" s="23"/>
      <c r="W2546" s="23"/>
    </row>
    <row r="2547">
      <c r="U2547" s="23"/>
      <c r="V2547" s="23"/>
      <c r="W2547" s="23"/>
    </row>
    <row r="2548">
      <c r="U2548" s="23"/>
      <c r="V2548" s="23"/>
      <c r="W2548" s="23"/>
    </row>
    <row r="2549">
      <c r="U2549" s="23"/>
      <c r="V2549" s="23"/>
      <c r="W2549" s="23"/>
    </row>
    <row r="2550">
      <c r="U2550" s="23"/>
      <c r="V2550" s="23"/>
      <c r="W2550" s="23"/>
    </row>
    <row r="2551">
      <c r="U2551" s="23"/>
      <c r="V2551" s="23"/>
      <c r="W2551" s="23"/>
    </row>
    <row r="2552">
      <c r="U2552" s="23"/>
      <c r="V2552" s="23"/>
      <c r="W2552" s="23"/>
    </row>
    <row r="2553">
      <c r="U2553" s="23"/>
      <c r="V2553" s="23"/>
      <c r="W2553" s="23"/>
    </row>
    <row r="2554">
      <c r="U2554" s="23"/>
      <c r="V2554" s="23"/>
      <c r="W2554" s="23"/>
    </row>
    <row r="2555">
      <c r="U2555" s="23"/>
      <c r="V2555" s="23"/>
      <c r="W2555" s="23"/>
    </row>
    <row r="2556">
      <c r="U2556" s="23"/>
      <c r="V2556" s="23"/>
      <c r="W2556" s="23"/>
    </row>
    <row r="2557">
      <c r="U2557" s="23"/>
      <c r="V2557" s="23"/>
      <c r="W2557" s="23"/>
    </row>
    <row r="2558">
      <c r="U2558" s="23"/>
      <c r="V2558" s="23"/>
      <c r="W2558" s="23"/>
    </row>
    <row r="2559">
      <c r="U2559" s="23"/>
      <c r="V2559" s="23"/>
      <c r="W2559" s="23"/>
    </row>
    <row r="2560">
      <c r="U2560" s="23"/>
      <c r="V2560" s="23"/>
      <c r="W2560" s="23"/>
    </row>
    <row r="2561">
      <c r="U2561" s="23"/>
      <c r="V2561" s="23"/>
      <c r="W2561" s="23"/>
    </row>
    <row r="2562">
      <c r="U2562" s="23"/>
      <c r="V2562" s="23"/>
      <c r="W2562" s="23"/>
    </row>
    <row r="2563">
      <c r="U2563" s="23"/>
      <c r="V2563" s="23"/>
      <c r="W2563" s="23"/>
    </row>
    <row r="2564">
      <c r="U2564" s="23"/>
      <c r="V2564" s="23"/>
      <c r="W2564" s="23"/>
    </row>
    <row r="2565">
      <c r="U2565" s="23"/>
      <c r="V2565" s="23"/>
      <c r="W2565" s="23"/>
    </row>
    <row r="2566">
      <c r="U2566" s="23"/>
      <c r="V2566" s="23"/>
      <c r="W2566" s="23"/>
    </row>
    <row r="2567">
      <c r="U2567" s="23"/>
      <c r="V2567" s="23"/>
      <c r="W2567" s="23"/>
    </row>
    <row r="2568">
      <c r="U2568" s="23"/>
      <c r="V2568" s="23"/>
      <c r="W2568" s="23"/>
    </row>
    <row r="2569">
      <c r="U2569" s="23"/>
      <c r="V2569" s="23"/>
      <c r="W2569" s="23"/>
    </row>
    <row r="2570">
      <c r="U2570" s="23"/>
      <c r="V2570" s="23"/>
      <c r="W2570" s="23"/>
    </row>
    <row r="2571">
      <c r="U2571" s="23"/>
      <c r="V2571" s="23"/>
      <c r="W2571" s="23"/>
    </row>
    <row r="2572">
      <c r="U2572" s="23"/>
      <c r="V2572" s="23"/>
      <c r="W2572" s="23"/>
    </row>
    <row r="2573">
      <c r="U2573" s="23"/>
      <c r="V2573" s="23"/>
      <c r="W2573" s="23"/>
    </row>
    <row r="2574">
      <c r="U2574" s="23"/>
      <c r="V2574" s="23"/>
      <c r="W2574" s="23"/>
    </row>
    <row r="2575">
      <c r="U2575" s="23"/>
      <c r="V2575" s="23"/>
      <c r="W2575" s="23"/>
    </row>
    <row r="2576">
      <c r="U2576" s="23"/>
      <c r="V2576" s="23"/>
      <c r="W2576" s="23"/>
    </row>
    <row r="2577">
      <c r="U2577" s="23"/>
      <c r="V2577" s="23"/>
      <c r="W2577" s="23"/>
    </row>
    <row r="2578">
      <c r="U2578" s="23"/>
      <c r="V2578" s="23"/>
      <c r="W2578" s="23"/>
    </row>
    <row r="2579">
      <c r="U2579" s="23"/>
      <c r="V2579" s="23"/>
      <c r="W2579" s="23"/>
    </row>
    <row r="2580">
      <c r="U2580" s="23"/>
      <c r="V2580" s="23"/>
      <c r="W2580" s="23"/>
    </row>
    <row r="2581">
      <c r="U2581" s="23"/>
      <c r="V2581" s="23"/>
      <c r="W2581" s="23"/>
    </row>
    <row r="2582">
      <c r="U2582" s="23"/>
      <c r="V2582" s="23"/>
      <c r="W2582" s="23"/>
    </row>
    <row r="2583">
      <c r="U2583" s="23"/>
      <c r="V2583" s="23"/>
      <c r="W2583" s="23"/>
    </row>
    <row r="2584">
      <c r="U2584" s="23"/>
      <c r="V2584" s="23"/>
      <c r="W2584" s="23"/>
    </row>
    <row r="2585">
      <c r="U2585" s="23"/>
      <c r="V2585" s="23"/>
      <c r="W2585" s="23"/>
    </row>
    <row r="2586">
      <c r="U2586" s="23"/>
      <c r="V2586" s="23"/>
      <c r="W2586" s="23"/>
    </row>
    <row r="2587">
      <c r="U2587" s="23"/>
      <c r="V2587" s="23"/>
      <c r="W2587" s="23"/>
    </row>
    <row r="2588">
      <c r="U2588" s="23"/>
      <c r="V2588" s="23"/>
      <c r="W2588" s="23"/>
    </row>
    <row r="2589">
      <c r="U2589" s="23"/>
      <c r="V2589" s="23"/>
      <c r="W2589" s="23"/>
    </row>
    <row r="2590">
      <c r="U2590" s="23"/>
      <c r="V2590" s="23"/>
      <c r="W2590" s="23"/>
    </row>
    <row r="2591">
      <c r="U2591" s="23"/>
      <c r="V2591" s="23"/>
      <c r="W2591" s="23"/>
    </row>
    <row r="2592">
      <c r="U2592" s="23"/>
      <c r="V2592" s="23"/>
      <c r="W2592" s="23"/>
    </row>
    <row r="2593">
      <c r="U2593" s="23"/>
      <c r="V2593" s="23"/>
      <c r="W2593" s="23"/>
    </row>
    <row r="2594">
      <c r="U2594" s="23"/>
      <c r="V2594" s="23"/>
      <c r="W2594" s="23"/>
    </row>
    <row r="2595">
      <c r="U2595" s="23"/>
      <c r="V2595" s="23"/>
      <c r="W2595" s="23"/>
    </row>
    <row r="2596">
      <c r="U2596" s="23"/>
      <c r="V2596" s="23"/>
      <c r="W2596" s="23"/>
    </row>
    <row r="2597">
      <c r="U2597" s="23"/>
      <c r="V2597" s="23"/>
      <c r="W2597" s="23"/>
    </row>
    <row r="2598">
      <c r="U2598" s="23"/>
      <c r="V2598" s="23"/>
      <c r="W2598" s="23"/>
    </row>
    <row r="2599">
      <c r="U2599" s="23"/>
      <c r="V2599" s="23"/>
      <c r="W2599" s="23"/>
    </row>
    <row r="2600">
      <c r="U2600" s="23"/>
      <c r="V2600" s="23"/>
      <c r="W2600" s="23"/>
    </row>
    <row r="2601">
      <c r="U2601" s="23"/>
      <c r="V2601" s="23"/>
      <c r="W2601" s="23"/>
    </row>
    <row r="2602">
      <c r="U2602" s="23"/>
      <c r="V2602" s="23"/>
      <c r="W2602" s="23"/>
    </row>
    <row r="2603">
      <c r="U2603" s="23"/>
      <c r="V2603" s="23"/>
      <c r="W2603" s="23"/>
    </row>
    <row r="2604">
      <c r="U2604" s="23"/>
      <c r="V2604" s="23"/>
      <c r="W2604" s="23"/>
    </row>
    <row r="2605">
      <c r="U2605" s="23"/>
      <c r="V2605" s="23"/>
      <c r="W2605" s="23"/>
    </row>
    <row r="2606">
      <c r="U2606" s="23"/>
      <c r="V2606" s="23"/>
      <c r="W2606" s="23"/>
    </row>
    <row r="2607">
      <c r="U2607" s="23"/>
      <c r="V2607" s="23"/>
      <c r="W2607" s="23"/>
    </row>
    <row r="2608">
      <c r="U2608" s="23"/>
      <c r="V2608" s="23"/>
      <c r="W2608" s="23"/>
    </row>
    <row r="2609">
      <c r="U2609" s="23"/>
      <c r="V2609" s="23"/>
      <c r="W2609" s="23"/>
    </row>
    <row r="2610">
      <c r="U2610" s="23"/>
      <c r="V2610" s="23"/>
      <c r="W2610" s="23"/>
    </row>
    <row r="2611">
      <c r="U2611" s="23"/>
      <c r="V2611" s="23"/>
      <c r="W2611" s="23"/>
    </row>
    <row r="2612">
      <c r="U2612" s="23"/>
      <c r="V2612" s="23"/>
      <c r="W2612" s="23"/>
    </row>
    <row r="2613">
      <c r="U2613" s="23"/>
      <c r="V2613" s="23"/>
      <c r="W2613" s="23"/>
    </row>
    <row r="2614">
      <c r="U2614" s="23"/>
      <c r="V2614" s="23"/>
      <c r="W2614" s="23"/>
    </row>
    <row r="2615">
      <c r="U2615" s="23"/>
      <c r="V2615" s="23"/>
      <c r="W2615" s="23"/>
    </row>
    <row r="2616">
      <c r="U2616" s="23"/>
      <c r="V2616" s="23"/>
      <c r="W2616" s="23"/>
    </row>
    <row r="2617">
      <c r="U2617" s="23"/>
      <c r="V2617" s="23"/>
      <c r="W2617" s="23"/>
    </row>
    <row r="2618">
      <c r="U2618" s="23"/>
      <c r="V2618" s="23"/>
      <c r="W2618" s="23"/>
    </row>
    <row r="2619">
      <c r="U2619" s="23"/>
      <c r="V2619" s="23"/>
      <c r="W2619" s="23"/>
    </row>
    <row r="2620">
      <c r="U2620" s="23"/>
      <c r="V2620" s="23"/>
      <c r="W2620" s="23"/>
    </row>
    <row r="2621">
      <c r="U2621" s="23"/>
      <c r="V2621" s="23"/>
      <c r="W2621" s="23"/>
    </row>
    <row r="2622">
      <c r="U2622" s="23"/>
      <c r="V2622" s="23"/>
      <c r="W2622" s="23"/>
    </row>
    <row r="2623">
      <c r="U2623" s="23"/>
      <c r="V2623" s="23"/>
      <c r="W2623" s="23"/>
    </row>
    <row r="2624">
      <c r="U2624" s="23"/>
      <c r="V2624" s="23"/>
      <c r="W2624" s="23"/>
    </row>
    <row r="2625">
      <c r="U2625" s="23"/>
      <c r="V2625" s="23"/>
      <c r="W2625" s="23"/>
    </row>
    <row r="2626">
      <c r="U2626" s="23"/>
      <c r="V2626" s="23"/>
      <c r="W2626" s="23"/>
    </row>
    <row r="2627">
      <c r="U2627" s="23"/>
      <c r="V2627" s="23"/>
      <c r="W2627" s="23"/>
    </row>
    <row r="2628">
      <c r="U2628" s="23"/>
      <c r="V2628" s="23"/>
      <c r="W2628" s="23"/>
    </row>
    <row r="2629">
      <c r="U2629" s="23"/>
      <c r="V2629" s="23"/>
      <c r="W2629" s="23"/>
    </row>
    <row r="2630">
      <c r="U2630" s="23"/>
      <c r="V2630" s="23"/>
      <c r="W2630" s="23"/>
    </row>
    <row r="2631">
      <c r="U2631" s="23"/>
      <c r="V2631" s="23"/>
      <c r="W2631" s="23"/>
    </row>
    <row r="2632">
      <c r="U2632" s="23"/>
      <c r="V2632" s="23"/>
      <c r="W2632" s="23"/>
    </row>
    <row r="2633">
      <c r="U2633" s="23"/>
      <c r="V2633" s="23"/>
      <c r="W2633" s="23"/>
    </row>
    <row r="2634">
      <c r="U2634" s="23"/>
      <c r="V2634" s="23"/>
      <c r="W2634" s="23"/>
    </row>
    <row r="2635">
      <c r="U2635" s="23"/>
      <c r="V2635" s="23"/>
      <c r="W2635" s="23"/>
    </row>
    <row r="2636">
      <c r="U2636" s="23"/>
      <c r="V2636" s="23"/>
      <c r="W2636" s="23"/>
    </row>
    <row r="2637">
      <c r="U2637" s="23"/>
      <c r="V2637" s="23"/>
      <c r="W2637" s="23"/>
    </row>
    <row r="2638">
      <c r="U2638" s="23"/>
      <c r="V2638" s="23"/>
      <c r="W2638" s="23"/>
    </row>
    <row r="2639">
      <c r="U2639" s="23"/>
      <c r="V2639" s="23"/>
      <c r="W2639" s="23"/>
    </row>
    <row r="2640">
      <c r="U2640" s="23"/>
      <c r="V2640" s="23"/>
      <c r="W2640" s="23"/>
    </row>
    <row r="2641">
      <c r="U2641" s="23"/>
      <c r="V2641" s="23"/>
      <c r="W2641" s="23"/>
    </row>
    <row r="2642">
      <c r="U2642" s="23"/>
      <c r="V2642" s="23"/>
      <c r="W2642" s="23"/>
    </row>
    <row r="2643">
      <c r="U2643" s="23"/>
      <c r="V2643" s="23"/>
      <c r="W2643" s="23"/>
    </row>
    <row r="2644">
      <c r="U2644" s="23"/>
      <c r="V2644" s="23"/>
      <c r="W2644" s="23"/>
    </row>
    <row r="2645">
      <c r="U2645" s="23"/>
      <c r="V2645" s="23"/>
      <c r="W2645" s="23"/>
    </row>
    <row r="2646">
      <c r="U2646" s="23"/>
      <c r="V2646" s="23"/>
      <c r="W2646" s="23"/>
    </row>
    <row r="2647">
      <c r="U2647" s="23"/>
      <c r="V2647" s="23"/>
      <c r="W2647" s="23"/>
    </row>
    <row r="2648">
      <c r="U2648" s="23"/>
      <c r="V2648" s="23"/>
      <c r="W2648" s="23"/>
    </row>
    <row r="2649">
      <c r="U2649" s="23"/>
      <c r="V2649" s="23"/>
      <c r="W2649" s="23"/>
    </row>
    <row r="2650">
      <c r="U2650" s="23"/>
      <c r="V2650" s="23"/>
      <c r="W2650" s="23"/>
    </row>
    <row r="2651">
      <c r="U2651" s="23"/>
      <c r="V2651" s="23"/>
      <c r="W2651" s="23"/>
    </row>
    <row r="2652">
      <c r="U2652" s="23"/>
      <c r="V2652" s="23"/>
      <c r="W2652" s="23"/>
    </row>
    <row r="2653">
      <c r="U2653" s="23"/>
      <c r="V2653" s="23"/>
      <c r="W2653" s="23"/>
    </row>
    <row r="2654">
      <c r="U2654" s="23"/>
      <c r="V2654" s="23"/>
      <c r="W2654" s="23"/>
    </row>
    <row r="2655">
      <c r="U2655" s="23"/>
      <c r="V2655" s="23"/>
      <c r="W2655" s="23"/>
    </row>
    <row r="2656">
      <c r="U2656" s="23"/>
      <c r="V2656" s="23"/>
      <c r="W2656" s="23"/>
    </row>
    <row r="2657">
      <c r="U2657" s="23"/>
      <c r="V2657" s="23"/>
      <c r="W2657" s="23"/>
    </row>
    <row r="2658">
      <c r="U2658" s="23"/>
      <c r="V2658" s="23"/>
      <c r="W2658" s="23"/>
    </row>
    <row r="2659">
      <c r="U2659" s="23"/>
      <c r="V2659" s="23"/>
      <c r="W2659" s="23"/>
    </row>
    <row r="2660">
      <c r="U2660" s="23"/>
      <c r="V2660" s="23"/>
      <c r="W2660" s="23"/>
    </row>
    <row r="2661">
      <c r="U2661" s="23"/>
      <c r="V2661" s="23"/>
      <c r="W2661" s="23"/>
    </row>
    <row r="2662">
      <c r="U2662" s="23"/>
      <c r="V2662" s="23"/>
      <c r="W2662" s="23"/>
    </row>
    <row r="2663">
      <c r="U2663" s="23"/>
      <c r="V2663" s="23"/>
      <c r="W2663" s="23"/>
    </row>
    <row r="2664">
      <c r="U2664" s="23"/>
      <c r="V2664" s="23"/>
      <c r="W2664" s="23"/>
    </row>
    <row r="2665">
      <c r="U2665" s="23"/>
      <c r="V2665" s="23"/>
      <c r="W2665" s="23"/>
    </row>
    <row r="2666">
      <c r="U2666" s="23"/>
      <c r="V2666" s="23"/>
      <c r="W2666" s="23"/>
    </row>
    <row r="2667">
      <c r="U2667" s="23"/>
      <c r="V2667" s="23"/>
      <c r="W2667" s="23"/>
    </row>
    <row r="2668">
      <c r="U2668" s="23"/>
      <c r="V2668" s="23"/>
      <c r="W2668" s="23"/>
    </row>
    <row r="2669">
      <c r="U2669" s="23"/>
      <c r="V2669" s="23"/>
      <c r="W2669" s="23"/>
    </row>
    <row r="2670">
      <c r="U2670" s="23"/>
      <c r="V2670" s="23"/>
      <c r="W2670" s="23"/>
    </row>
    <row r="2671">
      <c r="U2671" s="23"/>
      <c r="V2671" s="23"/>
      <c r="W2671" s="23"/>
    </row>
    <row r="2672">
      <c r="U2672" s="23"/>
      <c r="V2672" s="23"/>
      <c r="W2672" s="23"/>
    </row>
    <row r="2673">
      <c r="U2673" s="23"/>
      <c r="V2673" s="23"/>
      <c r="W2673" s="23"/>
    </row>
    <row r="2674">
      <c r="U2674" s="23"/>
      <c r="V2674" s="23"/>
      <c r="W2674" s="23"/>
    </row>
    <row r="2675">
      <c r="U2675" s="23"/>
      <c r="V2675" s="23"/>
      <c r="W2675" s="23"/>
    </row>
    <row r="2676">
      <c r="U2676" s="23"/>
      <c r="V2676" s="23"/>
      <c r="W2676" s="23"/>
    </row>
    <row r="2677">
      <c r="U2677" s="23"/>
      <c r="V2677" s="23"/>
      <c r="W2677" s="23"/>
    </row>
    <row r="2678">
      <c r="U2678" s="23"/>
      <c r="V2678" s="23"/>
      <c r="W2678" s="23"/>
    </row>
    <row r="2679">
      <c r="U2679" s="23"/>
      <c r="V2679" s="23"/>
      <c r="W2679" s="23"/>
    </row>
    <row r="2680">
      <c r="U2680" s="23"/>
      <c r="V2680" s="23"/>
      <c r="W2680" s="23"/>
    </row>
    <row r="2681">
      <c r="U2681" s="23"/>
      <c r="V2681" s="23"/>
      <c r="W2681" s="23"/>
    </row>
    <row r="2682">
      <c r="U2682" s="23"/>
      <c r="V2682" s="23"/>
      <c r="W2682" s="23"/>
    </row>
    <row r="2683">
      <c r="U2683" s="23"/>
      <c r="V2683" s="23"/>
      <c r="W2683" s="23"/>
    </row>
    <row r="2684">
      <c r="U2684" s="23"/>
      <c r="V2684" s="23"/>
      <c r="W2684" s="23"/>
    </row>
    <row r="2685">
      <c r="U2685" s="23"/>
      <c r="V2685" s="23"/>
      <c r="W2685" s="23"/>
    </row>
    <row r="2686">
      <c r="U2686" s="23"/>
      <c r="V2686" s="23"/>
      <c r="W2686" s="23"/>
    </row>
    <row r="2687">
      <c r="U2687" s="23"/>
      <c r="V2687" s="23"/>
      <c r="W2687" s="23"/>
    </row>
    <row r="2688">
      <c r="U2688" s="23"/>
      <c r="V2688" s="23"/>
      <c r="W2688" s="23"/>
    </row>
    <row r="2689">
      <c r="U2689" s="23"/>
      <c r="V2689" s="23"/>
      <c r="W2689" s="23"/>
    </row>
    <row r="2690">
      <c r="U2690" s="23"/>
      <c r="V2690" s="23"/>
      <c r="W2690" s="23"/>
    </row>
    <row r="2691">
      <c r="U2691" s="23"/>
      <c r="V2691" s="23"/>
      <c r="W2691" s="23"/>
    </row>
    <row r="2692">
      <c r="U2692" s="23"/>
      <c r="V2692" s="23"/>
      <c r="W2692" s="23"/>
    </row>
    <row r="2693">
      <c r="U2693" s="23"/>
      <c r="V2693" s="23"/>
      <c r="W2693" s="23"/>
    </row>
    <row r="2694">
      <c r="U2694" s="23"/>
      <c r="V2694" s="23"/>
      <c r="W2694" s="23"/>
    </row>
    <row r="2695">
      <c r="U2695" s="23"/>
      <c r="V2695" s="23"/>
      <c r="W2695" s="23"/>
    </row>
    <row r="2696">
      <c r="U2696" s="23"/>
      <c r="V2696" s="23"/>
      <c r="W2696" s="23"/>
    </row>
    <row r="2697">
      <c r="U2697" s="23"/>
      <c r="V2697" s="23"/>
      <c r="W2697" s="23"/>
    </row>
    <row r="2698">
      <c r="U2698" s="23"/>
      <c r="V2698" s="23"/>
      <c r="W2698" s="23"/>
    </row>
    <row r="2699">
      <c r="U2699" s="23"/>
      <c r="V2699" s="23"/>
      <c r="W2699" s="23"/>
    </row>
    <row r="2700">
      <c r="U2700" s="23"/>
      <c r="V2700" s="23"/>
      <c r="W2700" s="23"/>
    </row>
    <row r="2701">
      <c r="U2701" s="23"/>
      <c r="V2701" s="23"/>
      <c r="W2701" s="23"/>
    </row>
    <row r="2702">
      <c r="U2702" s="23"/>
      <c r="V2702" s="23"/>
      <c r="W2702" s="23"/>
    </row>
    <row r="2703">
      <c r="U2703" s="23"/>
      <c r="V2703" s="23"/>
      <c r="W2703" s="23"/>
    </row>
    <row r="2704">
      <c r="U2704" s="23"/>
      <c r="V2704" s="23"/>
      <c r="W2704" s="23"/>
    </row>
    <row r="2705">
      <c r="U2705" s="23"/>
      <c r="V2705" s="23"/>
      <c r="W2705" s="23"/>
    </row>
    <row r="2706">
      <c r="U2706" s="23"/>
      <c r="V2706" s="23"/>
      <c r="W2706" s="23"/>
    </row>
    <row r="2707">
      <c r="U2707" s="23"/>
      <c r="V2707" s="23"/>
      <c r="W2707" s="23"/>
    </row>
    <row r="2708">
      <c r="U2708" s="23"/>
      <c r="V2708" s="23"/>
      <c r="W2708" s="23"/>
    </row>
    <row r="2709">
      <c r="U2709" s="23"/>
      <c r="V2709" s="23"/>
      <c r="W2709" s="23"/>
    </row>
    <row r="2710">
      <c r="U2710" s="23"/>
      <c r="V2710" s="23"/>
      <c r="W2710" s="23"/>
    </row>
    <row r="2711">
      <c r="U2711" s="23"/>
      <c r="V2711" s="23"/>
      <c r="W2711" s="23"/>
    </row>
    <row r="2712">
      <c r="U2712" s="23"/>
      <c r="V2712" s="23"/>
      <c r="W2712" s="23"/>
    </row>
    <row r="2713">
      <c r="U2713" s="23"/>
      <c r="V2713" s="23"/>
      <c r="W2713" s="23"/>
    </row>
    <row r="2714">
      <c r="U2714" s="23"/>
      <c r="V2714" s="23"/>
      <c r="W2714" s="23"/>
    </row>
    <row r="2715">
      <c r="U2715" s="23"/>
      <c r="V2715" s="23"/>
      <c r="W2715" s="23"/>
    </row>
    <row r="2716">
      <c r="U2716" s="23"/>
      <c r="V2716" s="23"/>
      <c r="W2716" s="23"/>
    </row>
    <row r="2717">
      <c r="U2717" s="23"/>
      <c r="V2717" s="23"/>
      <c r="W2717" s="23"/>
    </row>
    <row r="2718">
      <c r="U2718" s="23"/>
      <c r="V2718" s="23"/>
      <c r="W2718" s="23"/>
    </row>
    <row r="2719">
      <c r="U2719" s="23"/>
      <c r="V2719" s="23"/>
      <c r="W2719" s="23"/>
    </row>
    <row r="2720">
      <c r="U2720" s="23"/>
      <c r="V2720" s="23"/>
      <c r="W2720" s="23"/>
    </row>
    <row r="2721">
      <c r="U2721" s="23"/>
      <c r="V2721" s="23"/>
      <c r="W2721" s="23"/>
    </row>
    <row r="2722">
      <c r="U2722" s="23"/>
      <c r="V2722" s="23"/>
      <c r="W2722" s="23"/>
    </row>
    <row r="2723">
      <c r="U2723" s="23"/>
      <c r="V2723" s="23"/>
      <c r="W2723" s="23"/>
    </row>
    <row r="2724">
      <c r="U2724" s="23"/>
      <c r="V2724" s="23"/>
      <c r="W2724" s="23"/>
    </row>
    <row r="2725">
      <c r="U2725" s="23"/>
      <c r="V2725" s="23"/>
      <c r="W2725" s="23"/>
    </row>
    <row r="2726">
      <c r="U2726" s="23"/>
      <c r="V2726" s="23"/>
      <c r="W2726" s="23"/>
    </row>
    <row r="2727">
      <c r="U2727" s="23"/>
      <c r="V2727" s="23"/>
      <c r="W2727" s="23"/>
    </row>
    <row r="2728">
      <c r="U2728" s="23"/>
      <c r="V2728" s="23"/>
      <c r="W2728" s="23"/>
    </row>
    <row r="2729">
      <c r="U2729" s="23"/>
      <c r="V2729" s="23"/>
      <c r="W2729" s="23"/>
    </row>
    <row r="2730">
      <c r="U2730" s="23"/>
      <c r="V2730" s="23"/>
      <c r="W2730" s="23"/>
    </row>
    <row r="2731">
      <c r="U2731" s="23"/>
      <c r="V2731" s="23"/>
      <c r="W2731" s="23"/>
    </row>
    <row r="2732">
      <c r="U2732" s="23"/>
      <c r="V2732" s="23"/>
      <c r="W2732" s="23"/>
    </row>
    <row r="2733">
      <c r="U2733" s="23"/>
      <c r="V2733" s="23"/>
      <c r="W2733" s="23"/>
    </row>
    <row r="2734">
      <c r="U2734" s="23"/>
      <c r="V2734" s="23"/>
      <c r="W2734" s="23"/>
    </row>
    <row r="2735">
      <c r="U2735" s="23"/>
      <c r="V2735" s="23"/>
      <c r="W2735" s="23"/>
    </row>
    <row r="2736">
      <c r="U2736" s="23"/>
      <c r="V2736" s="23"/>
      <c r="W2736" s="23"/>
    </row>
    <row r="2737">
      <c r="U2737" s="23"/>
      <c r="V2737" s="23"/>
      <c r="W2737" s="23"/>
    </row>
    <row r="2738">
      <c r="U2738" s="23"/>
      <c r="V2738" s="23"/>
      <c r="W2738" s="23"/>
    </row>
    <row r="2739">
      <c r="U2739" s="23"/>
      <c r="V2739" s="23"/>
      <c r="W2739" s="23"/>
    </row>
    <row r="2740">
      <c r="U2740" s="23"/>
      <c r="V2740" s="23"/>
      <c r="W2740" s="23"/>
    </row>
    <row r="2741">
      <c r="U2741" s="23"/>
      <c r="V2741" s="23"/>
      <c r="W2741" s="23"/>
    </row>
    <row r="2742">
      <c r="U2742" s="23"/>
      <c r="V2742" s="23"/>
      <c r="W2742" s="23"/>
    </row>
    <row r="2743">
      <c r="U2743" s="23"/>
      <c r="V2743" s="23"/>
      <c r="W2743" s="23"/>
    </row>
    <row r="2744">
      <c r="U2744" s="23"/>
      <c r="V2744" s="23"/>
      <c r="W2744" s="23"/>
    </row>
    <row r="2745">
      <c r="U2745" s="23"/>
      <c r="V2745" s="23"/>
      <c r="W2745" s="23"/>
    </row>
    <row r="2746">
      <c r="U2746" s="23"/>
      <c r="V2746" s="23"/>
      <c r="W2746" s="23"/>
    </row>
    <row r="2747">
      <c r="U2747" s="23"/>
      <c r="V2747" s="23"/>
      <c r="W2747" s="23"/>
    </row>
    <row r="2748">
      <c r="U2748" s="23"/>
      <c r="V2748" s="23"/>
      <c r="W2748" s="23"/>
    </row>
    <row r="2749">
      <c r="U2749" s="23"/>
      <c r="V2749" s="23"/>
      <c r="W2749" s="23"/>
    </row>
    <row r="2750">
      <c r="U2750" s="23"/>
      <c r="V2750" s="23"/>
      <c r="W2750" s="23"/>
    </row>
    <row r="2751">
      <c r="U2751" s="23"/>
      <c r="V2751" s="23"/>
      <c r="W2751" s="23"/>
    </row>
    <row r="2752">
      <c r="U2752" s="23"/>
      <c r="V2752" s="23"/>
      <c r="W2752" s="23"/>
    </row>
    <row r="2753">
      <c r="U2753" s="23"/>
      <c r="V2753" s="23"/>
      <c r="W2753" s="23"/>
    </row>
    <row r="2754">
      <c r="U2754" s="23"/>
      <c r="V2754" s="23"/>
      <c r="W2754" s="23"/>
    </row>
    <row r="2755">
      <c r="U2755" s="23"/>
      <c r="V2755" s="23"/>
      <c r="W2755" s="23"/>
    </row>
    <row r="2756">
      <c r="U2756" s="23"/>
      <c r="V2756" s="23"/>
      <c r="W2756" s="23"/>
    </row>
    <row r="2757">
      <c r="U2757" s="23"/>
      <c r="V2757" s="23"/>
      <c r="W2757" s="23"/>
    </row>
    <row r="2758">
      <c r="U2758" s="23"/>
      <c r="V2758" s="23"/>
      <c r="W2758" s="23"/>
    </row>
    <row r="2759">
      <c r="U2759" s="23"/>
      <c r="V2759" s="23"/>
      <c r="W2759" s="23"/>
    </row>
    <row r="2760">
      <c r="U2760" s="23"/>
      <c r="V2760" s="23"/>
      <c r="W2760" s="23"/>
    </row>
    <row r="2761">
      <c r="U2761" s="23"/>
      <c r="V2761" s="23"/>
      <c r="W2761" s="23"/>
    </row>
    <row r="2762">
      <c r="U2762" s="23"/>
      <c r="V2762" s="23"/>
      <c r="W2762" s="23"/>
    </row>
    <row r="2763">
      <c r="U2763" s="23"/>
      <c r="V2763" s="23"/>
      <c r="W2763" s="23"/>
    </row>
    <row r="2764">
      <c r="U2764" s="23"/>
      <c r="V2764" s="23"/>
      <c r="W2764" s="23"/>
    </row>
    <row r="2765">
      <c r="U2765" s="23"/>
      <c r="V2765" s="23"/>
      <c r="W2765" s="23"/>
    </row>
    <row r="2766">
      <c r="U2766" s="23"/>
      <c r="V2766" s="23"/>
      <c r="W2766" s="23"/>
    </row>
    <row r="2767">
      <c r="U2767" s="23"/>
      <c r="V2767" s="23"/>
      <c r="W2767" s="23"/>
    </row>
    <row r="2768">
      <c r="U2768" s="23"/>
      <c r="V2768" s="23"/>
      <c r="W2768" s="23"/>
    </row>
    <row r="2769">
      <c r="U2769" s="23"/>
      <c r="V2769" s="23"/>
      <c r="W2769" s="23"/>
    </row>
    <row r="2770">
      <c r="U2770" s="23"/>
      <c r="V2770" s="23"/>
      <c r="W2770" s="23"/>
    </row>
    <row r="2771">
      <c r="U2771" s="23"/>
      <c r="V2771" s="23"/>
      <c r="W2771" s="23"/>
    </row>
    <row r="2772">
      <c r="U2772" s="23"/>
      <c r="V2772" s="23"/>
      <c r="W2772" s="23"/>
    </row>
    <row r="2773">
      <c r="U2773" s="23"/>
      <c r="V2773" s="23"/>
      <c r="W2773" s="23"/>
    </row>
    <row r="2774">
      <c r="U2774" s="23"/>
      <c r="V2774" s="23"/>
      <c r="W2774" s="23"/>
    </row>
    <row r="2775">
      <c r="U2775" s="23"/>
      <c r="V2775" s="23"/>
      <c r="W2775" s="23"/>
    </row>
    <row r="2776">
      <c r="U2776" s="23"/>
      <c r="V2776" s="23"/>
      <c r="W2776" s="23"/>
    </row>
    <row r="2777">
      <c r="U2777" s="23"/>
      <c r="V2777" s="23"/>
      <c r="W2777" s="23"/>
    </row>
    <row r="2778">
      <c r="U2778" s="23"/>
      <c r="V2778" s="23"/>
      <c r="W2778" s="23"/>
    </row>
    <row r="2779">
      <c r="U2779" s="23"/>
      <c r="V2779" s="23"/>
      <c r="W2779" s="23"/>
    </row>
    <row r="2780">
      <c r="U2780" s="23"/>
      <c r="V2780" s="23"/>
      <c r="W2780" s="23"/>
    </row>
    <row r="2781">
      <c r="U2781" s="23"/>
      <c r="V2781" s="23"/>
      <c r="W2781" s="23"/>
    </row>
    <row r="2782">
      <c r="U2782" s="23"/>
      <c r="V2782" s="23"/>
      <c r="W2782" s="23"/>
    </row>
    <row r="2783">
      <c r="U2783" s="23"/>
      <c r="V2783" s="23"/>
      <c r="W2783" s="23"/>
    </row>
    <row r="2784">
      <c r="U2784" s="23"/>
      <c r="V2784" s="23"/>
      <c r="W2784" s="23"/>
    </row>
    <row r="2785">
      <c r="U2785" s="23"/>
      <c r="V2785" s="23"/>
      <c r="W2785" s="23"/>
    </row>
    <row r="2786">
      <c r="U2786" s="23"/>
      <c r="V2786" s="23"/>
      <c r="W2786" s="23"/>
    </row>
    <row r="2787">
      <c r="U2787" s="23"/>
      <c r="V2787" s="23"/>
      <c r="W2787" s="23"/>
    </row>
    <row r="2788">
      <c r="U2788" s="23"/>
      <c r="V2788" s="23"/>
      <c r="W2788" s="23"/>
    </row>
    <row r="2789">
      <c r="U2789" s="23"/>
      <c r="V2789" s="23"/>
      <c r="W2789" s="23"/>
    </row>
    <row r="2790">
      <c r="U2790" s="23"/>
      <c r="V2790" s="23"/>
      <c r="W2790" s="23"/>
    </row>
    <row r="2791">
      <c r="U2791" s="23"/>
      <c r="V2791" s="23"/>
      <c r="W2791" s="23"/>
    </row>
    <row r="2792">
      <c r="U2792" s="23"/>
      <c r="V2792" s="23"/>
      <c r="W2792" s="23"/>
    </row>
    <row r="2793">
      <c r="U2793" s="23"/>
      <c r="V2793" s="23"/>
      <c r="W2793" s="23"/>
    </row>
    <row r="2794">
      <c r="U2794" s="23"/>
      <c r="V2794" s="23"/>
      <c r="W2794" s="23"/>
    </row>
    <row r="2795">
      <c r="U2795" s="23"/>
      <c r="V2795" s="23"/>
      <c r="W2795" s="23"/>
    </row>
    <row r="2796">
      <c r="U2796" s="23"/>
      <c r="V2796" s="23"/>
      <c r="W2796" s="23"/>
    </row>
    <row r="2797">
      <c r="U2797" s="23"/>
      <c r="V2797" s="23"/>
      <c r="W2797" s="23"/>
    </row>
    <row r="2798">
      <c r="U2798" s="23"/>
      <c r="V2798" s="23"/>
      <c r="W2798" s="23"/>
    </row>
    <row r="2799">
      <c r="U2799" s="23"/>
      <c r="V2799" s="23"/>
      <c r="W2799" s="23"/>
    </row>
    <row r="2800">
      <c r="U2800" s="23"/>
      <c r="V2800" s="23"/>
      <c r="W2800" s="23"/>
    </row>
    <row r="2801">
      <c r="U2801" s="23"/>
      <c r="V2801" s="23"/>
      <c r="W2801" s="23"/>
    </row>
    <row r="2802">
      <c r="U2802" s="23"/>
      <c r="V2802" s="23"/>
      <c r="W2802" s="23"/>
    </row>
    <row r="2803">
      <c r="U2803" s="23"/>
      <c r="V2803" s="23"/>
      <c r="W2803" s="23"/>
    </row>
    <row r="2804">
      <c r="U2804" s="23"/>
      <c r="V2804" s="23"/>
      <c r="W2804" s="23"/>
    </row>
    <row r="2805">
      <c r="U2805" s="23"/>
      <c r="V2805" s="23"/>
      <c r="W2805" s="23"/>
    </row>
    <row r="2806">
      <c r="U2806" s="23"/>
      <c r="V2806" s="23"/>
      <c r="W2806" s="23"/>
    </row>
    <row r="2807">
      <c r="U2807" s="23"/>
      <c r="V2807" s="23"/>
      <c r="W2807" s="23"/>
    </row>
    <row r="2808">
      <c r="U2808" s="23"/>
      <c r="V2808" s="23"/>
      <c r="W2808" s="23"/>
    </row>
    <row r="2809">
      <c r="U2809" s="23"/>
      <c r="V2809" s="23"/>
      <c r="W2809" s="23"/>
    </row>
    <row r="2810">
      <c r="U2810" s="23"/>
      <c r="V2810" s="23"/>
      <c r="W2810" s="23"/>
    </row>
    <row r="2811">
      <c r="U2811" s="23"/>
      <c r="V2811" s="23"/>
      <c r="W2811" s="23"/>
    </row>
    <row r="2812">
      <c r="U2812" s="23"/>
      <c r="V2812" s="23"/>
      <c r="W2812" s="23"/>
    </row>
    <row r="2813">
      <c r="U2813" s="23"/>
      <c r="V2813" s="23"/>
      <c r="W2813" s="23"/>
    </row>
    <row r="2814">
      <c r="U2814" s="23"/>
      <c r="V2814" s="23"/>
      <c r="W2814" s="23"/>
    </row>
    <row r="2815">
      <c r="U2815" s="23"/>
      <c r="V2815" s="23"/>
      <c r="W2815" s="23"/>
    </row>
    <row r="2816">
      <c r="U2816" s="23"/>
      <c r="V2816" s="23"/>
      <c r="W2816" s="23"/>
    </row>
    <row r="2817">
      <c r="U2817" s="23"/>
      <c r="V2817" s="23"/>
      <c r="W2817" s="23"/>
    </row>
    <row r="2818">
      <c r="U2818" s="23"/>
      <c r="V2818" s="23"/>
      <c r="W2818" s="23"/>
    </row>
    <row r="2819">
      <c r="U2819" s="23"/>
      <c r="V2819" s="23"/>
      <c r="W2819" s="23"/>
    </row>
    <row r="2820">
      <c r="U2820" s="23"/>
      <c r="V2820" s="23"/>
      <c r="W2820" s="23"/>
    </row>
    <row r="2821">
      <c r="U2821" s="23"/>
      <c r="V2821" s="23"/>
      <c r="W2821" s="23"/>
    </row>
    <row r="2822">
      <c r="U2822" s="23"/>
      <c r="V2822" s="23"/>
      <c r="W2822" s="23"/>
    </row>
    <row r="2823">
      <c r="U2823" s="23"/>
      <c r="V2823" s="23"/>
      <c r="W2823" s="23"/>
    </row>
    <row r="2824">
      <c r="U2824" s="23"/>
      <c r="V2824" s="23"/>
      <c r="W2824" s="23"/>
    </row>
    <row r="2825">
      <c r="U2825" s="23"/>
      <c r="V2825" s="23"/>
      <c r="W2825" s="23"/>
    </row>
    <row r="2826">
      <c r="U2826" s="23"/>
      <c r="V2826" s="23"/>
      <c r="W2826" s="23"/>
    </row>
    <row r="2827">
      <c r="U2827" s="23"/>
      <c r="V2827" s="23"/>
      <c r="W2827" s="23"/>
    </row>
    <row r="2828">
      <c r="U2828" s="23"/>
      <c r="V2828" s="23"/>
      <c r="W2828" s="23"/>
    </row>
    <row r="2829">
      <c r="U2829" s="23"/>
      <c r="V2829" s="23"/>
      <c r="W2829" s="23"/>
    </row>
    <row r="2830">
      <c r="U2830" s="23"/>
      <c r="V2830" s="23"/>
      <c r="W2830" s="23"/>
    </row>
    <row r="2831">
      <c r="U2831" s="23"/>
      <c r="V2831" s="23"/>
      <c r="W2831" s="23"/>
    </row>
    <row r="2832">
      <c r="U2832" s="23"/>
      <c r="V2832" s="23"/>
      <c r="W2832" s="23"/>
    </row>
    <row r="2833">
      <c r="U2833" s="23"/>
      <c r="V2833" s="23"/>
      <c r="W2833" s="23"/>
    </row>
    <row r="2834">
      <c r="U2834" s="23"/>
      <c r="V2834" s="23"/>
      <c r="W2834" s="23"/>
    </row>
    <row r="2835">
      <c r="U2835" s="23"/>
      <c r="V2835" s="23"/>
      <c r="W2835" s="23"/>
    </row>
    <row r="2836">
      <c r="U2836" s="23"/>
      <c r="V2836" s="23"/>
      <c r="W2836" s="23"/>
    </row>
    <row r="2837">
      <c r="U2837" s="23"/>
      <c r="V2837" s="23"/>
      <c r="W2837" s="23"/>
    </row>
    <row r="2838">
      <c r="U2838" s="23"/>
      <c r="V2838" s="23"/>
      <c r="W2838" s="23"/>
    </row>
    <row r="2839">
      <c r="U2839" s="23"/>
      <c r="V2839" s="23"/>
      <c r="W2839" s="23"/>
    </row>
    <row r="2840">
      <c r="U2840" s="23"/>
      <c r="V2840" s="23"/>
      <c r="W2840" s="23"/>
    </row>
    <row r="2841">
      <c r="U2841" s="23"/>
      <c r="V2841" s="23"/>
      <c r="W2841" s="23"/>
    </row>
    <row r="2842">
      <c r="U2842" s="23"/>
      <c r="V2842" s="23"/>
      <c r="W2842" s="23"/>
    </row>
    <row r="2843">
      <c r="U2843" s="23"/>
      <c r="V2843" s="23"/>
      <c r="W2843" s="23"/>
    </row>
    <row r="2844">
      <c r="U2844" s="23"/>
      <c r="V2844" s="23"/>
      <c r="W2844" s="23"/>
    </row>
    <row r="2845">
      <c r="U2845" s="23"/>
      <c r="V2845" s="23"/>
      <c r="W2845" s="23"/>
    </row>
    <row r="2846">
      <c r="U2846" s="23"/>
      <c r="V2846" s="23"/>
      <c r="W2846" s="23"/>
    </row>
    <row r="2847">
      <c r="U2847" s="23"/>
      <c r="V2847" s="23"/>
      <c r="W2847" s="23"/>
    </row>
    <row r="2848">
      <c r="U2848" s="23"/>
      <c r="V2848" s="23"/>
      <c r="W2848" s="23"/>
    </row>
    <row r="2849">
      <c r="U2849" s="23"/>
      <c r="V2849" s="23"/>
      <c r="W2849" s="23"/>
    </row>
    <row r="2850">
      <c r="U2850" s="23"/>
      <c r="V2850" s="23"/>
      <c r="W2850" s="23"/>
    </row>
    <row r="2851">
      <c r="U2851" s="23"/>
      <c r="V2851" s="23"/>
      <c r="W2851" s="23"/>
    </row>
    <row r="2852">
      <c r="U2852" s="23"/>
      <c r="V2852" s="23"/>
      <c r="W2852" s="23"/>
    </row>
    <row r="2853">
      <c r="U2853" s="23"/>
      <c r="V2853" s="23"/>
      <c r="W2853" s="23"/>
    </row>
    <row r="2854">
      <c r="U2854" s="23"/>
      <c r="V2854" s="23"/>
      <c r="W2854" s="23"/>
    </row>
    <row r="2855">
      <c r="U2855" s="23"/>
      <c r="V2855" s="23"/>
      <c r="W2855" s="23"/>
    </row>
    <row r="2856">
      <c r="U2856" s="23"/>
      <c r="V2856" s="23"/>
      <c r="W2856" s="23"/>
    </row>
    <row r="2857">
      <c r="U2857" s="23"/>
      <c r="V2857" s="23"/>
      <c r="W2857" s="23"/>
    </row>
    <row r="2858">
      <c r="U2858" s="23"/>
      <c r="V2858" s="23"/>
      <c r="W2858" s="23"/>
    </row>
    <row r="2859">
      <c r="U2859" s="23"/>
      <c r="V2859" s="23"/>
      <c r="W2859" s="23"/>
    </row>
    <row r="2860">
      <c r="U2860" s="23"/>
      <c r="V2860" s="23"/>
      <c r="W2860" s="23"/>
    </row>
    <row r="2861">
      <c r="U2861" s="23"/>
      <c r="V2861" s="23"/>
      <c r="W2861" s="23"/>
    </row>
    <row r="2862">
      <c r="U2862" s="23"/>
      <c r="V2862" s="23"/>
      <c r="W2862" s="23"/>
    </row>
    <row r="2863">
      <c r="U2863" s="23"/>
      <c r="V2863" s="23"/>
      <c r="W2863" s="23"/>
    </row>
    <row r="2864">
      <c r="U2864" s="23"/>
      <c r="V2864" s="23"/>
      <c r="W2864" s="23"/>
    </row>
    <row r="2865">
      <c r="U2865" s="23"/>
      <c r="V2865" s="23"/>
      <c r="W2865" s="23"/>
    </row>
    <row r="2866">
      <c r="U2866" s="23"/>
      <c r="V2866" s="23"/>
      <c r="W2866" s="23"/>
    </row>
    <row r="2867">
      <c r="U2867" s="23"/>
      <c r="V2867" s="23"/>
      <c r="W2867" s="23"/>
    </row>
    <row r="2868">
      <c r="U2868" s="23"/>
      <c r="V2868" s="23"/>
      <c r="W2868" s="23"/>
    </row>
    <row r="2869">
      <c r="U2869" s="23"/>
      <c r="V2869" s="23"/>
      <c r="W2869" s="23"/>
    </row>
    <row r="2870">
      <c r="U2870" s="23"/>
      <c r="V2870" s="23"/>
      <c r="W2870" s="23"/>
    </row>
    <row r="2871">
      <c r="U2871" s="23"/>
      <c r="V2871" s="23"/>
      <c r="W2871" s="23"/>
    </row>
    <row r="2872">
      <c r="U2872" s="23"/>
      <c r="V2872" s="23"/>
      <c r="W2872" s="23"/>
    </row>
    <row r="2873">
      <c r="U2873" s="23"/>
      <c r="V2873" s="23"/>
      <c r="W2873" s="23"/>
    </row>
    <row r="2874">
      <c r="U2874" s="23"/>
      <c r="V2874" s="23"/>
      <c r="W2874" s="23"/>
    </row>
    <row r="2875">
      <c r="U2875" s="23"/>
      <c r="V2875" s="23"/>
      <c r="W2875" s="23"/>
    </row>
    <row r="2876">
      <c r="U2876" s="23"/>
      <c r="V2876" s="23"/>
      <c r="W2876" s="23"/>
    </row>
    <row r="2877">
      <c r="U2877" s="23"/>
      <c r="V2877" s="23"/>
      <c r="W2877" s="23"/>
    </row>
    <row r="2878">
      <c r="U2878" s="23"/>
      <c r="V2878" s="23"/>
      <c r="W2878" s="23"/>
    </row>
    <row r="2879">
      <c r="U2879" s="23"/>
      <c r="V2879" s="23"/>
      <c r="W2879" s="23"/>
    </row>
    <row r="2880">
      <c r="U2880" s="23"/>
      <c r="V2880" s="23"/>
      <c r="W2880" s="23"/>
    </row>
    <row r="2881">
      <c r="U2881" s="23"/>
      <c r="V2881" s="23"/>
      <c r="W2881" s="23"/>
    </row>
    <row r="2882">
      <c r="U2882" s="23"/>
      <c r="V2882" s="23"/>
      <c r="W2882" s="23"/>
    </row>
    <row r="2883">
      <c r="U2883" s="23"/>
      <c r="V2883" s="23"/>
      <c r="W2883" s="23"/>
    </row>
    <row r="2884">
      <c r="U2884" s="23"/>
      <c r="V2884" s="23"/>
      <c r="W2884" s="23"/>
    </row>
    <row r="2885">
      <c r="U2885" s="23"/>
      <c r="V2885" s="23"/>
      <c r="W2885" s="23"/>
    </row>
    <row r="2886">
      <c r="U2886" s="23"/>
      <c r="V2886" s="23"/>
      <c r="W2886" s="23"/>
    </row>
    <row r="2887">
      <c r="U2887" s="23"/>
      <c r="V2887" s="23"/>
      <c r="W2887" s="23"/>
    </row>
    <row r="2888">
      <c r="U2888" s="23"/>
      <c r="V2888" s="23"/>
      <c r="W2888" s="23"/>
    </row>
    <row r="2889">
      <c r="U2889" s="23"/>
      <c r="V2889" s="23"/>
      <c r="W2889" s="23"/>
    </row>
    <row r="2890">
      <c r="U2890" s="23"/>
      <c r="V2890" s="23"/>
      <c r="W2890" s="23"/>
    </row>
    <row r="2891">
      <c r="U2891" s="23"/>
      <c r="V2891" s="23"/>
      <c r="W2891" s="23"/>
    </row>
    <row r="2892">
      <c r="U2892" s="23"/>
      <c r="V2892" s="23"/>
      <c r="W2892" s="23"/>
    </row>
    <row r="2893">
      <c r="U2893" s="23"/>
      <c r="V2893" s="23"/>
      <c r="W2893" s="23"/>
    </row>
    <row r="2894">
      <c r="U2894" s="23"/>
      <c r="V2894" s="23"/>
      <c r="W2894" s="23"/>
    </row>
    <row r="2895">
      <c r="U2895" s="23"/>
      <c r="V2895" s="23"/>
      <c r="W2895" s="23"/>
    </row>
    <row r="2896">
      <c r="U2896" s="23"/>
      <c r="V2896" s="23"/>
      <c r="W2896" s="23"/>
    </row>
    <row r="2897">
      <c r="U2897" s="23"/>
      <c r="V2897" s="23"/>
      <c r="W2897" s="23"/>
    </row>
    <row r="2898">
      <c r="U2898" s="23"/>
      <c r="V2898" s="23"/>
      <c r="W2898" s="23"/>
    </row>
    <row r="2899">
      <c r="U2899" s="23"/>
      <c r="V2899" s="23"/>
      <c r="W2899" s="23"/>
    </row>
    <row r="2900">
      <c r="U2900" s="23"/>
      <c r="V2900" s="23"/>
      <c r="W2900" s="23"/>
    </row>
    <row r="2901">
      <c r="U2901" s="23"/>
      <c r="V2901" s="23"/>
      <c r="W2901" s="23"/>
    </row>
    <row r="2902">
      <c r="U2902" s="23"/>
      <c r="V2902" s="23"/>
      <c r="W2902" s="23"/>
    </row>
    <row r="2903">
      <c r="U2903" s="23"/>
      <c r="V2903" s="23"/>
      <c r="W2903" s="23"/>
    </row>
    <row r="2904">
      <c r="U2904" s="23"/>
      <c r="V2904" s="23"/>
      <c r="W2904" s="23"/>
    </row>
    <row r="2905">
      <c r="U2905" s="23"/>
      <c r="V2905" s="23"/>
      <c r="W2905" s="23"/>
    </row>
    <row r="2906">
      <c r="U2906" s="23"/>
      <c r="V2906" s="23"/>
      <c r="W2906" s="23"/>
    </row>
    <row r="2907">
      <c r="U2907" s="23"/>
      <c r="V2907" s="23"/>
      <c r="W2907" s="23"/>
    </row>
    <row r="2908">
      <c r="U2908" s="23"/>
      <c r="V2908" s="23"/>
      <c r="W2908" s="23"/>
    </row>
    <row r="2909">
      <c r="U2909" s="23"/>
      <c r="V2909" s="23"/>
      <c r="W2909" s="23"/>
    </row>
    <row r="2910">
      <c r="U2910" s="23"/>
      <c r="V2910" s="23"/>
      <c r="W2910" s="23"/>
    </row>
    <row r="2911">
      <c r="U2911" s="23"/>
      <c r="V2911" s="23"/>
      <c r="W2911" s="23"/>
    </row>
    <row r="2912">
      <c r="U2912" s="23"/>
      <c r="V2912" s="23"/>
      <c r="W2912" s="23"/>
    </row>
    <row r="2913">
      <c r="U2913" s="23"/>
      <c r="V2913" s="23"/>
      <c r="W2913" s="23"/>
    </row>
    <row r="2914">
      <c r="U2914" s="23"/>
      <c r="V2914" s="23"/>
      <c r="W2914" s="23"/>
    </row>
    <row r="2915">
      <c r="U2915" s="23"/>
      <c r="V2915" s="23"/>
      <c r="W2915" s="23"/>
    </row>
    <row r="2916">
      <c r="U2916" s="23"/>
      <c r="V2916" s="23"/>
      <c r="W2916" s="23"/>
    </row>
    <row r="2917">
      <c r="U2917" s="23"/>
      <c r="V2917" s="23"/>
      <c r="W2917" s="23"/>
    </row>
    <row r="2918">
      <c r="U2918" s="23"/>
      <c r="V2918" s="23"/>
      <c r="W2918" s="23"/>
    </row>
    <row r="2919">
      <c r="U2919" s="23"/>
      <c r="V2919" s="23"/>
      <c r="W2919" s="23"/>
    </row>
    <row r="2920">
      <c r="U2920" s="23"/>
      <c r="V2920" s="23"/>
      <c r="W2920" s="23"/>
    </row>
    <row r="2921">
      <c r="U2921" s="23"/>
      <c r="V2921" s="23"/>
      <c r="W2921" s="23"/>
    </row>
    <row r="2922">
      <c r="U2922" s="23"/>
      <c r="V2922" s="23"/>
      <c r="W2922" s="23"/>
    </row>
    <row r="2923">
      <c r="U2923" s="23"/>
      <c r="V2923" s="23"/>
      <c r="W2923" s="23"/>
    </row>
    <row r="2924">
      <c r="U2924" s="23"/>
      <c r="V2924" s="23"/>
      <c r="W2924" s="23"/>
    </row>
    <row r="2925">
      <c r="U2925" s="23"/>
      <c r="V2925" s="23"/>
      <c r="W2925" s="23"/>
    </row>
    <row r="2926">
      <c r="U2926" s="23"/>
      <c r="V2926" s="23"/>
      <c r="W2926" s="23"/>
    </row>
    <row r="2927">
      <c r="U2927" s="23"/>
      <c r="V2927" s="23"/>
      <c r="W2927" s="23"/>
    </row>
    <row r="2928">
      <c r="U2928" s="23"/>
      <c r="V2928" s="23"/>
      <c r="W2928" s="23"/>
    </row>
    <row r="2929">
      <c r="U2929" s="23"/>
      <c r="V2929" s="23"/>
      <c r="W2929" s="23"/>
    </row>
    <row r="2930">
      <c r="U2930" s="23"/>
      <c r="V2930" s="23"/>
      <c r="W2930" s="23"/>
    </row>
    <row r="2931">
      <c r="U2931" s="23"/>
      <c r="V2931" s="23"/>
      <c r="W2931" s="23"/>
    </row>
    <row r="2932">
      <c r="U2932" s="23"/>
      <c r="V2932" s="23"/>
      <c r="W2932" s="23"/>
    </row>
    <row r="2933">
      <c r="U2933" s="23"/>
      <c r="V2933" s="23"/>
      <c r="W2933" s="23"/>
    </row>
    <row r="2934">
      <c r="U2934" s="23"/>
      <c r="V2934" s="23"/>
      <c r="W2934" s="23"/>
    </row>
    <row r="2935">
      <c r="U2935" s="23"/>
      <c r="V2935" s="23"/>
      <c r="W2935" s="23"/>
    </row>
    <row r="2936">
      <c r="U2936" s="23"/>
      <c r="V2936" s="23"/>
      <c r="W2936" s="23"/>
    </row>
    <row r="2937">
      <c r="U2937" s="23"/>
      <c r="V2937" s="23"/>
      <c r="W2937" s="23"/>
    </row>
    <row r="2938">
      <c r="U2938" s="23"/>
      <c r="V2938" s="23"/>
      <c r="W2938" s="23"/>
    </row>
    <row r="2939">
      <c r="U2939" s="23"/>
      <c r="V2939" s="23"/>
      <c r="W2939" s="23"/>
    </row>
    <row r="2940">
      <c r="U2940" s="23"/>
      <c r="V2940" s="23"/>
      <c r="W2940" s="23"/>
    </row>
    <row r="2941">
      <c r="U2941" s="23"/>
      <c r="V2941" s="23"/>
      <c r="W2941" s="23"/>
    </row>
    <row r="2942">
      <c r="U2942" s="23"/>
      <c r="V2942" s="23"/>
      <c r="W2942" s="23"/>
    </row>
    <row r="2943">
      <c r="U2943" s="23"/>
      <c r="V2943" s="23"/>
      <c r="W2943" s="23"/>
    </row>
    <row r="2944">
      <c r="U2944" s="23"/>
      <c r="V2944" s="23"/>
      <c r="W2944" s="23"/>
    </row>
    <row r="2945">
      <c r="U2945" s="23"/>
      <c r="V2945" s="23"/>
      <c r="W2945" s="23"/>
    </row>
    <row r="2946">
      <c r="U2946" s="23"/>
      <c r="V2946" s="23"/>
      <c r="W2946" s="23"/>
    </row>
    <row r="2947">
      <c r="U2947" s="23"/>
      <c r="V2947" s="23"/>
      <c r="W2947" s="23"/>
    </row>
    <row r="2948">
      <c r="U2948" s="23"/>
      <c r="V2948" s="23"/>
      <c r="W2948" s="23"/>
    </row>
    <row r="2949">
      <c r="U2949" s="23"/>
      <c r="V2949" s="23"/>
      <c r="W2949" s="23"/>
    </row>
    <row r="2950">
      <c r="U2950" s="23"/>
      <c r="V2950" s="23"/>
      <c r="W2950" s="23"/>
    </row>
    <row r="2951">
      <c r="U2951" s="23"/>
      <c r="V2951" s="23"/>
      <c r="W2951" s="23"/>
    </row>
    <row r="2952">
      <c r="U2952" s="23"/>
      <c r="V2952" s="23"/>
      <c r="W2952" s="23"/>
    </row>
    <row r="2953">
      <c r="U2953" s="23"/>
      <c r="V2953" s="23"/>
      <c r="W2953" s="23"/>
    </row>
    <row r="2954">
      <c r="U2954" s="23"/>
      <c r="V2954" s="23"/>
      <c r="W2954" s="23"/>
    </row>
    <row r="2955">
      <c r="U2955" s="23"/>
      <c r="V2955" s="23"/>
      <c r="W2955" s="23"/>
    </row>
    <row r="2956">
      <c r="U2956" s="23"/>
      <c r="V2956" s="23"/>
      <c r="W2956" s="23"/>
    </row>
    <row r="2957">
      <c r="U2957" s="23"/>
      <c r="V2957" s="23"/>
      <c r="W2957" s="23"/>
    </row>
    <row r="2958">
      <c r="U2958" s="23"/>
      <c r="V2958" s="23"/>
      <c r="W2958" s="23"/>
    </row>
    <row r="2959">
      <c r="U2959" s="23"/>
      <c r="V2959" s="23"/>
      <c r="W2959" s="23"/>
    </row>
    <row r="2960">
      <c r="U2960" s="23"/>
      <c r="V2960" s="23"/>
      <c r="W2960" s="23"/>
    </row>
    <row r="2961">
      <c r="U2961" s="23"/>
      <c r="V2961" s="23"/>
      <c r="W2961" s="23"/>
    </row>
    <row r="2962">
      <c r="U2962" s="23"/>
      <c r="V2962" s="23"/>
      <c r="W2962" s="23"/>
    </row>
    <row r="2963">
      <c r="U2963" s="23"/>
      <c r="V2963" s="23"/>
      <c r="W2963" s="23"/>
    </row>
    <row r="2964">
      <c r="U2964" s="23"/>
      <c r="V2964" s="23"/>
      <c r="W2964" s="23"/>
    </row>
    <row r="2965">
      <c r="U2965" s="23"/>
      <c r="V2965" s="23"/>
      <c r="W2965" s="23"/>
    </row>
    <row r="2966">
      <c r="U2966" s="23"/>
      <c r="V2966" s="23"/>
      <c r="W2966" s="23"/>
    </row>
    <row r="2967">
      <c r="U2967" s="23"/>
      <c r="V2967" s="23"/>
      <c r="W2967" s="23"/>
    </row>
    <row r="2968">
      <c r="U2968" s="23"/>
      <c r="V2968" s="23"/>
      <c r="W2968" s="23"/>
    </row>
    <row r="2969">
      <c r="U2969" s="23"/>
      <c r="V2969" s="23"/>
      <c r="W2969" s="23"/>
    </row>
    <row r="2970">
      <c r="U2970" s="23"/>
      <c r="V2970" s="23"/>
      <c r="W2970" s="23"/>
    </row>
    <row r="2971">
      <c r="U2971" s="23"/>
      <c r="V2971" s="23"/>
      <c r="W2971" s="23"/>
    </row>
    <row r="2972">
      <c r="U2972" s="23"/>
      <c r="V2972" s="23"/>
      <c r="W2972" s="23"/>
    </row>
    <row r="2973">
      <c r="U2973" s="23"/>
      <c r="V2973" s="23"/>
      <c r="W2973" s="23"/>
    </row>
    <row r="2974">
      <c r="U2974" s="23"/>
      <c r="V2974" s="23"/>
      <c r="W2974" s="23"/>
    </row>
    <row r="2975">
      <c r="U2975" s="23"/>
      <c r="V2975" s="23"/>
      <c r="W2975" s="23"/>
    </row>
    <row r="2976">
      <c r="U2976" s="23"/>
      <c r="V2976" s="23"/>
      <c r="W2976" s="23"/>
    </row>
    <row r="2977">
      <c r="U2977" s="23"/>
      <c r="V2977" s="23"/>
      <c r="W2977" s="23"/>
    </row>
    <row r="2978">
      <c r="U2978" s="23"/>
      <c r="V2978" s="23"/>
      <c r="W2978" s="23"/>
    </row>
    <row r="2979">
      <c r="U2979" s="23"/>
      <c r="V2979" s="23"/>
      <c r="W2979" s="23"/>
    </row>
    <row r="2980">
      <c r="U2980" s="23"/>
      <c r="V2980" s="23"/>
      <c r="W2980" s="23"/>
    </row>
    <row r="2981">
      <c r="U2981" s="23"/>
      <c r="V2981" s="23"/>
      <c r="W2981" s="23"/>
    </row>
    <row r="2982">
      <c r="U2982" s="23"/>
      <c r="V2982" s="23"/>
      <c r="W2982" s="23"/>
    </row>
    <row r="2983">
      <c r="U2983" s="23"/>
      <c r="V2983" s="23"/>
      <c r="W2983" s="23"/>
    </row>
    <row r="2984">
      <c r="U2984" s="23"/>
      <c r="V2984" s="23"/>
      <c r="W2984" s="23"/>
    </row>
    <row r="2985">
      <c r="U2985" s="23"/>
      <c r="V2985" s="23"/>
      <c r="W2985" s="23"/>
    </row>
    <row r="2986">
      <c r="U2986" s="23"/>
      <c r="V2986" s="23"/>
      <c r="W2986" s="23"/>
    </row>
    <row r="2987">
      <c r="U2987" s="23"/>
      <c r="V2987" s="23"/>
      <c r="W2987" s="23"/>
    </row>
    <row r="2988">
      <c r="U2988" s="23"/>
      <c r="V2988" s="23"/>
      <c r="W2988" s="23"/>
    </row>
    <row r="2989">
      <c r="U2989" s="23"/>
      <c r="V2989" s="23"/>
      <c r="W2989" s="23"/>
    </row>
    <row r="2990">
      <c r="U2990" s="23"/>
      <c r="V2990" s="23"/>
      <c r="W2990" s="23"/>
    </row>
    <row r="2991">
      <c r="U2991" s="23"/>
      <c r="V2991" s="23"/>
      <c r="W2991" s="23"/>
    </row>
    <row r="2992">
      <c r="U2992" s="23"/>
      <c r="V2992" s="23"/>
      <c r="W2992" s="23"/>
    </row>
    <row r="2993">
      <c r="U2993" s="23"/>
      <c r="V2993" s="23"/>
      <c r="W2993" s="23"/>
    </row>
    <row r="2994">
      <c r="U2994" s="23"/>
      <c r="V2994" s="23"/>
      <c r="W2994" s="23"/>
    </row>
    <row r="2995">
      <c r="U2995" s="23"/>
      <c r="V2995" s="23"/>
      <c r="W2995" s="23"/>
    </row>
    <row r="2996">
      <c r="U2996" s="23"/>
      <c r="V2996" s="23"/>
      <c r="W2996" s="23"/>
    </row>
    <row r="2997">
      <c r="U2997" s="23"/>
      <c r="V2997" s="23"/>
      <c r="W2997" s="23"/>
    </row>
    <row r="2998">
      <c r="U2998" s="23"/>
      <c r="V2998" s="23"/>
      <c r="W2998" s="23"/>
    </row>
    <row r="2999">
      <c r="U2999" s="23"/>
      <c r="V2999" s="23"/>
      <c r="W2999" s="23"/>
    </row>
    <row r="3000">
      <c r="U3000" s="23"/>
      <c r="V3000" s="23"/>
      <c r="W3000" s="23"/>
    </row>
    <row r="3001">
      <c r="U3001" s="23"/>
      <c r="V3001" s="23"/>
      <c r="W3001" s="23"/>
    </row>
    <row r="3002">
      <c r="U3002" s="23"/>
      <c r="V3002" s="23"/>
      <c r="W3002" s="23"/>
    </row>
    <row r="3003">
      <c r="U3003" s="23"/>
      <c r="V3003" s="23"/>
      <c r="W3003" s="23"/>
    </row>
    <row r="3004">
      <c r="U3004" s="23"/>
      <c r="V3004" s="23"/>
      <c r="W3004" s="23"/>
    </row>
    <row r="3005">
      <c r="U3005" s="23"/>
      <c r="V3005" s="23"/>
      <c r="W3005" s="23"/>
    </row>
    <row r="3006">
      <c r="U3006" s="23"/>
      <c r="V3006" s="23"/>
      <c r="W3006" s="23"/>
    </row>
    <row r="3007">
      <c r="U3007" s="23"/>
      <c r="V3007" s="23"/>
      <c r="W3007" s="23"/>
    </row>
    <row r="3008">
      <c r="U3008" s="23"/>
      <c r="V3008" s="23"/>
      <c r="W3008" s="23"/>
    </row>
    <row r="3009">
      <c r="U3009" s="23"/>
      <c r="V3009" s="23"/>
      <c r="W3009" s="23"/>
    </row>
    <row r="3010">
      <c r="U3010" s="23"/>
      <c r="V3010" s="23"/>
      <c r="W3010" s="23"/>
    </row>
    <row r="3011">
      <c r="U3011" s="23"/>
      <c r="V3011" s="23"/>
      <c r="W3011" s="23"/>
    </row>
    <row r="3012">
      <c r="U3012" s="23"/>
      <c r="V3012" s="23"/>
      <c r="W3012" s="23"/>
    </row>
    <row r="3013">
      <c r="U3013" s="23"/>
      <c r="V3013" s="23"/>
      <c r="W3013" s="23"/>
    </row>
    <row r="3014">
      <c r="U3014" s="23"/>
      <c r="V3014" s="23"/>
      <c r="W3014" s="23"/>
    </row>
    <row r="3015">
      <c r="U3015" s="23"/>
      <c r="V3015" s="23"/>
      <c r="W3015" s="23"/>
    </row>
    <row r="3016">
      <c r="U3016" s="23"/>
      <c r="V3016" s="23"/>
      <c r="W3016" s="23"/>
    </row>
    <row r="3017">
      <c r="U3017" s="23"/>
      <c r="V3017" s="23"/>
      <c r="W3017" s="23"/>
    </row>
    <row r="3018">
      <c r="U3018" s="23"/>
      <c r="V3018" s="23"/>
      <c r="W3018" s="23"/>
    </row>
    <row r="3019">
      <c r="U3019" s="23"/>
      <c r="V3019" s="23"/>
      <c r="W3019" s="23"/>
    </row>
    <row r="3020">
      <c r="U3020" s="23"/>
      <c r="V3020" s="23"/>
      <c r="W3020" s="23"/>
    </row>
    <row r="3021">
      <c r="U3021" s="23"/>
      <c r="V3021" s="23"/>
      <c r="W3021" s="23"/>
    </row>
    <row r="3022">
      <c r="U3022" s="23"/>
      <c r="V3022" s="23"/>
      <c r="W3022" s="23"/>
    </row>
    <row r="3023">
      <c r="U3023" s="23"/>
      <c r="V3023" s="23"/>
      <c r="W3023" s="23"/>
    </row>
    <row r="3024">
      <c r="U3024" s="23"/>
      <c r="V3024" s="23"/>
      <c r="W3024" s="23"/>
    </row>
    <row r="3025">
      <c r="U3025" s="23"/>
      <c r="V3025" s="23"/>
      <c r="W3025" s="23"/>
    </row>
    <row r="3026">
      <c r="U3026" s="23"/>
      <c r="V3026" s="23"/>
      <c r="W3026" s="23"/>
    </row>
    <row r="3027">
      <c r="U3027" s="23"/>
      <c r="V3027" s="23"/>
      <c r="W3027" s="23"/>
    </row>
    <row r="3028">
      <c r="U3028" s="23"/>
      <c r="V3028" s="23"/>
      <c r="W3028" s="23"/>
    </row>
    <row r="3029">
      <c r="U3029" s="23"/>
      <c r="V3029" s="23"/>
      <c r="W3029" s="23"/>
    </row>
    <row r="3030">
      <c r="U3030" s="23"/>
      <c r="V3030" s="23"/>
      <c r="W3030" s="23"/>
    </row>
    <row r="3031">
      <c r="U3031" s="23"/>
      <c r="V3031" s="23"/>
      <c r="W3031" s="23"/>
    </row>
    <row r="3032">
      <c r="U3032" s="23"/>
      <c r="V3032" s="23"/>
      <c r="W3032" s="23"/>
    </row>
    <row r="3033">
      <c r="U3033" s="23"/>
      <c r="V3033" s="23"/>
      <c r="W3033" s="23"/>
    </row>
    <row r="3034">
      <c r="U3034" s="23"/>
      <c r="V3034" s="23"/>
      <c r="W3034" s="23"/>
    </row>
    <row r="3035">
      <c r="U3035" s="23"/>
      <c r="V3035" s="23"/>
      <c r="W3035" s="23"/>
    </row>
    <row r="3036">
      <c r="U3036" s="23"/>
      <c r="V3036" s="23"/>
      <c r="W3036" s="23"/>
    </row>
    <row r="3037">
      <c r="U3037" s="23"/>
      <c r="V3037" s="23"/>
      <c r="W3037" s="23"/>
    </row>
    <row r="3038">
      <c r="U3038" s="23"/>
      <c r="V3038" s="23"/>
      <c r="W3038" s="23"/>
    </row>
    <row r="3039">
      <c r="U3039" s="23"/>
      <c r="V3039" s="23"/>
      <c r="W3039" s="23"/>
    </row>
    <row r="3040">
      <c r="U3040" s="23"/>
      <c r="V3040" s="23"/>
      <c r="W3040" s="23"/>
    </row>
    <row r="3041">
      <c r="U3041" s="23"/>
      <c r="V3041" s="23"/>
      <c r="W3041" s="23"/>
    </row>
    <row r="3042">
      <c r="U3042" s="23"/>
      <c r="V3042" s="23"/>
      <c r="W3042" s="23"/>
    </row>
    <row r="3043">
      <c r="U3043" s="23"/>
      <c r="V3043" s="23"/>
      <c r="W3043" s="23"/>
    </row>
    <row r="3044">
      <c r="U3044" s="23"/>
      <c r="V3044" s="23"/>
      <c r="W3044" s="23"/>
    </row>
    <row r="3045">
      <c r="U3045" s="23"/>
      <c r="V3045" s="23"/>
      <c r="W3045" s="23"/>
    </row>
    <row r="3046">
      <c r="U3046" s="23"/>
      <c r="V3046" s="23"/>
      <c r="W3046" s="23"/>
    </row>
    <row r="3047">
      <c r="U3047" s="23"/>
      <c r="V3047" s="23"/>
      <c r="W3047" s="23"/>
    </row>
    <row r="3048">
      <c r="U3048" s="23"/>
      <c r="V3048" s="23"/>
      <c r="W3048" s="23"/>
    </row>
    <row r="3049">
      <c r="U3049" s="23"/>
      <c r="V3049" s="23"/>
      <c r="W3049" s="23"/>
    </row>
    <row r="3050">
      <c r="U3050" s="23"/>
      <c r="V3050" s="23"/>
      <c r="W3050" s="23"/>
    </row>
    <row r="3051">
      <c r="U3051" s="23"/>
      <c r="V3051" s="23"/>
      <c r="W3051" s="23"/>
    </row>
    <row r="3052">
      <c r="U3052" s="23"/>
      <c r="V3052" s="23"/>
      <c r="W3052" s="23"/>
    </row>
    <row r="3053">
      <c r="U3053" s="23"/>
      <c r="V3053" s="23"/>
      <c r="W3053" s="23"/>
    </row>
    <row r="3054">
      <c r="U3054" s="23"/>
      <c r="V3054" s="23"/>
      <c r="W3054" s="23"/>
    </row>
    <row r="3055">
      <c r="U3055" s="23"/>
      <c r="V3055" s="23"/>
      <c r="W3055" s="23"/>
    </row>
    <row r="3056">
      <c r="U3056" s="23"/>
      <c r="V3056" s="23"/>
      <c r="W3056" s="23"/>
    </row>
    <row r="3057">
      <c r="U3057" s="23"/>
      <c r="V3057" s="23"/>
      <c r="W3057" s="23"/>
    </row>
    <row r="3058">
      <c r="U3058" s="23"/>
      <c r="V3058" s="23"/>
      <c r="W3058" s="23"/>
    </row>
    <row r="3059">
      <c r="U3059" s="23"/>
      <c r="V3059" s="23"/>
      <c r="W3059" s="23"/>
    </row>
    <row r="3060">
      <c r="U3060" s="23"/>
      <c r="V3060" s="23"/>
      <c r="W3060" s="23"/>
    </row>
    <row r="3061">
      <c r="U3061" s="23"/>
      <c r="V3061" s="23"/>
      <c r="W3061" s="23"/>
    </row>
    <row r="3062">
      <c r="U3062" s="23"/>
      <c r="V3062" s="23"/>
      <c r="W3062" s="23"/>
    </row>
    <row r="3063">
      <c r="U3063" s="23"/>
      <c r="V3063" s="23"/>
      <c r="W3063" s="23"/>
    </row>
    <row r="3064">
      <c r="U3064" s="23"/>
      <c r="V3064" s="23"/>
      <c r="W3064" s="23"/>
    </row>
    <row r="3065">
      <c r="U3065" s="23"/>
      <c r="V3065" s="23"/>
      <c r="W3065" s="23"/>
    </row>
    <row r="3066">
      <c r="U3066" s="23"/>
      <c r="V3066" s="23"/>
      <c r="W3066" s="23"/>
    </row>
    <row r="3067">
      <c r="U3067" s="23"/>
      <c r="V3067" s="23"/>
      <c r="W3067" s="23"/>
    </row>
    <row r="3068">
      <c r="U3068" s="23"/>
      <c r="V3068" s="23"/>
      <c r="W3068" s="23"/>
    </row>
    <row r="3069">
      <c r="U3069" s="23"/>
      <c r="V3069" s="23"/>
      <c r="W3069" s="23"/>
    </row>
    <row r="3070">
      <c r="U3070" s="23"/>
      <c r="V3070" s="23"/>
      <c r="W3070" s="23"/>
    </row>
    <row r="3071">
      <c r="U3071" s="23"/>
      <c r="V3071" s="23"/>
      <c r="W3071" s="23"/>
    </row>
    <row r="3072">
      <c r="U3072" s="23"/>
      <c r="V3072" s="23"/>
      <c r="W3072" s="23"/>
    </row>
    <row r="3073">
      <c r="U3073" s="23"/>
      <c r="V3073" s="23"/>
      <c r="W3073" s="23"/>
    </row>
    <row r="3074">
      <c r="U3074" s="23"/>
      <c r="V3074" s="23"/>
      <c r="W3074" s="23"/>
    </row>
    <row r="3075">
      <c r="U3075" s="23"/>
      <c r="V3075" s="23"/>
      <c r="W3075" s="23"/>
    </row>
    <row r="3076">
      <c r="U3076" s="23"/>
      <c r="V3076" s="23"/>
      <c r="W3076" s="23"/>
    </row>
    <row r="3077">
      <c r="U3077" s="23"/>
      <c r="V3077" s="23"/>
      <c r="W3077" s="23"/>
    </row>
    <row r="3078">
      <c r="U3078" s="23"/>
      <c r="V3078" s="23"/>
      <c r="W3078" s="23"/>
    </row>
    <row r="3079">
      <c r="U3079" s="23"/>
      <c r="V3079" s="23"/>
      <c r="W3079" s="23"/>
    </row>
    <row r="3080">
      <c r="U3080" s="23"/>
      <c r="V3080" s="23"/>
      <c r="W3080" s="23"/>
    </row>
    <row r="3081">
      <c r="U3081" s="23"/>
      <c r="V3081" s="23"/>
      <c r="W3081" s="23"/>
    </row>
    <row r="3082">
      <c r="U3082" s="23"/>
      <c r="V3082" s="23"/>
      <c r="W3082" s="23"/>
    </row>
    <row r="3083">
      <c r="U3083" s="23"/>
      <c r="V3083" s="23"/>
      <c r="W3083" s="23"/>
    </row>
    <row r="3084">
      <c r="U3084" s="23"/>
      <c r="V3084" s="23"/>
      <c r="W3084" s="23"/>
    </row>
    <row r="3085">
      <c r="U3085" s="23"/>
      <c r="V3085" s="23"/>
      <c r="W3085" s="23"/>
    </row>
    <row r="3086">
      <c r="U3086" s="23"/>
      <c r="V3086" s="23"/>
      <c r="W3086" s="23"/>
    </row>
    <row r="3087">
      <c r="U3087" s="23"/>
      <c r="V3087" s="23"/>
      <c r="W3087" s="23"/>
    </row>
    <row r="3088">
      <c r="U3088" s="23"/>
      <c r="V3088" s="23"/>
      <c r="W3088" s="23"/>
    </row>
    <row r="3089">
      <c r="U3089" s="23"/>
      <c r="V3089" s="23"/>
      <c r="W3089" s="23"/>
    </row>
    <row r="3090">
      <c r="U3090" s="23"/>
      <c r="V3090" s="23"/>
      <c r="W3090" s="23"/>
    </row>
    <row r="3091">
      <c r="U3091" s="23"/>
      <c r="V3091" s="23"/>
      <c r="W3091" s="23"/>
    </row>
    <row r="3092">
      <c r="U3092" s="23"/>
      <c r="V3092" s="23"/>
      <c r="W3092" s="23"/>
    </row>
    <row r="3093">
      <c r="U3093" s="23"/>
      <c r="V3093" s="23"/>
      <c r="W3093" s="23"/>
    </row>
    <row r="3094">
      <c r="U3094" s="23"/>
      <c r="V3094" s="23"/>
      <c r="W3094" s="23"/>
    </row>
    <row r="3095">
      <c r="U3095" s="23"/>
      <c r="V3095" s="23"/>
      <c r="W3095" s="23"/>
    </row>
    <row r="3096">
      <c r="U3096" s="23"/>
      <c r="V3096" s="23"/>
      <c r="W3096" s="23"/>
    </row>
    <row r="3097">
      <c r="U3097" s="23"/>
      <c r="V3097" s="23"/>
      <c r="W3097" s="23"/>
    </row>
    <row r="3098">
      <c r="U3098" s="23"/>
      <c r="V3098" s="23"/>
      <c r="W3098" s="23"/>
    </row>
    <row r="3099">
      <c r="U3099" s="23"/>
      <c r="V3099" s="23"/>
      <c r="W3099" s="23"/>
    </row>
    <row r="3100">
      <c r="U3100" s="23"/>
      <c r="V3100" s="23"/>
      <c r="W3100" s="23"/>
    </row>
    <row r="3101">
      <c r="U3101" s="23"/>
      <c r="V3101" s="23"/>
      <c r="W3101" s="23"/>
    </row>
    <row r="3102">
      <c r="U3102" s="23"/>
      <c r="V3102" s="23"/>
      <c r="W3102" s="23"/>
    </row>
    <row r="3103">
      <c r="U3103" s="23"/>
      <c r="V3103" s="23"/>
      <c r="W3103" s="23"/>
    </row>
    <row r="3104">
      <c r="U3104" s="23"/>
      <c r="V3104" s="23"/>
      <c r="W3104" s="23"/>
    </row>
    <row r="3105">
      <c r="U3105" s="23"/>
      <c r="V3105" s="23"/>
      <c r="W3105" s="23"/>
    </row>
    <row r="3106">
      <c r="U3106" s="23"/>
      <c r="V3106" s="23"/>
      <c r="W3106" s="23"/>
    </row>
    <row r="3107">
      <c r="U3107" s="23"/>
      <c r="V3107" s="23"/>
      <c r="W3107" s="23"/>
    </row>
    <row r="3108">
      <c r="U3108" s="23"/>
      <c r="V3108" s="23"/>
      <c r="W3108" s="23"/>
    </row>
    <row r="3109">
      <c r="U3109" s="23"/>
      <c r="V3109" s="23"/>
      <c r="W3109" s="23"/>
    </row>
    <row r="3110">
      <c r="U3110" s="23"/>
      <c r="V3110" s="23"/>
      <c r="W3110" s="23"/>
    </row>
    <row r="3111">
      <c r="U3111" s="23"/>
      <c r="V3111" s="23"/>
      <c r="W3111" s="23"/>
    </row>
    <row r="3112">
      <c r="U3112" s="23"/>
      <c r="V3112" s="23"/>
      <c r="W3112" s="23"/>
    </row>
    <row r="3113">
      <c r="U3113" s="23"/>
      <c r="V3113" s="23"/>
      <c r="W3113" s="23"/>
    </row>
    <row r="3114">
      <c r="U3114" s="23"/>
      <c r="V3114" s="23"/>
      <c r="W3114" s="23"/>
    </row>
    <row r="3115">
      <c r="U3115" s="23"/>
      <c r="V3115" s="23"/>
      <c r="W3115" s="23"/>
    </row>
    <row r="3116">
      <c r="U3116" s="23"/>
      <c r="V3116" s="23"/>
      <c r="W3116" s="23"/>
    </row>
    <row r="3117">
      <c r="U3117" s="23"/>
      <c r="V3117" s="23"/>
      <c r="W3117" s="23"/>
    </row>
    <row r="3118">
      <c r="U3118" s="23"/>
      <c r="V3118" s="23"/>
      <c r="W3118" s="23"/>
    </row>
    <row r="3119">
      <c r="U3119" s="23"/>
      <c r="V3119" s="23"/>
      <c r="W3119" s="23"/>
    </row>
    <row r="3120">
      <c r="U3120" s="23"/>
      <c r="V3120" s="23"/>
      <c r="W3120" s="23"/>
    </row>
    <row r="3121">
      <c r="U3121" s="23"/>
      <c r="V3121" s="23"/>
      <c r="W3121" s="23"/>
    </row>
    <row r="3122">
      <c r="U3122" s="23"/>
      <c r="V3122" s="23"/>
      <c r="W3122" s="23"/>
    </row>
    <row r="3123">
      <c r="U3123" s="23"/>
      <c r="V3123" s="23"/>
      <c r="W3123" s="23"/>
    </row>
    <row r="3124">
      <c r="U3124" s="23"/>
      <c r="V3124" s="23"/>
      <c r="W3124" s="23"/>
    </row>
    <row r="3125">
      <c r="U3125" s="23"/>
      <c r="V3125" s="23"/>
      <c r="W3125" s="23"/>
    </row>
    <row r="3126">
      <c r="U3126" s="23"/>
      <c r="V3126" s="23"/>
      <c r="W3126" s="23"/>
    </row>
    <row r="3127">
      <c r="U3127" s="23"/>
      <c r="V3127" s="23"/>
      <c r="W3127" s="23"/>
    </row>
    <row r="3128">
      <c r="U3128" s="23"/>
      <c r="V3128" s="23"/>
      <c r="W3128" s="23"/>
    </row>
    <row r="3129">
      <c r="U3129" s="23"/>
      <c r="V3129" s="23"/>
      <c r="W3129" s="23"/>
    </row>
    <row r="3130">
      <c r="U3130" s="23"/>
      <c r="V3130" s="23"/>
      <c r="W3130" s="23"/>
    </row>
    <row r="3131">
      <c r="U3131" s="23"/>
      <c r="V3131" s="23"/>
      <c r="W3131" s="23"/>
    </row>
    <row r="3132">
      <c r="U3132" s="23"/>
      <c r="V3132" s="23"/>
      <c r="W3132" s="23"/>
    </row>
    <row r="3133">
      <c r="U3133" s="23"/>
      <c r="V3133" s="23"/>
      <c r="W3133" s="23"/>
    </row>
    <row r="3134">
      <c r="U3134" s="23"/>
      <c r="V3134" s="23"/>
      <c r="W3134" s="23"/>
    </row>
    <row r="3135">
      <c r="U3135" s="23"/>
      <c r="V3135" s="23"/>
      <c r="W3135" s="23"/>
    </row>
    <row r="3136">
      <c r="U3136" s="23"/>
      <c r="V3136" s="23"/>
      <c r="W3136" s="23"/>
    </row>
    <row r="3137">
      <c r="U3137" s="23"/>
      <c r="V3137" s="23"/>
      <c r="W3137" s="23"/>
    </row>
    <row r="3138">
      <c r="U3138" s="23"/>
      <c r="V3138" s="23"/>
      <c r="W3138" s="23"/>
    </row>
    <row r="3139">
      <c r="U3139" s="23"/>
      <c r="V3139" s="23"/>
      <c r="W3139" s="23"/>
    </row>
    <row r="3140">
      <c r="U3140" s="23"/>
      <c r="V3140" s="23"/>
      <c r="W3140" s="23"/>
    </row>
    <row r="3141">
      <c r="U3141" s="23"/>
      <c r="V3141" s="23"/>
      <c r="W3141" s="23"/>
    </row>
    <row r="3142">
      <c r="U3142" s="23"/>
      <c r="V3142" s="23"/>
      <c r="W3142" s="23"/>
    </row>
    <row r="3143">
      <c r="U3143" s="23"/>
      <c r="V3143" s="23"/>
      <c r="W3143" s="23"/>
    </row>
    <row r="3144">
      <c r="U3144" s="23"/>
      <c r="V3144" s="23"/>
      <c r="W3144" s="23"/>
    </row>
    <row r="3145">
      <c r="U3145" s="23"/>
      <c r="V3145" s="23"/>
      <c r="W3145" s="23"/>
    </row>
    <row r="3146">
      <c r="U3146" s="23"/>
      <c r="V3146" s="23"/>
      <c r="W3146" s="23"/>
    </row>
    <row r="3147">
      <c r="U3147" s="23"/>
      <c r="V3147" s="23"/>
      <c r="W3147" s="23"/>
    </row>
    <row r="3148">
      <c r="U3148" s="23"/>
      <c r="V3148" s="23"/>
      <c r="W3148" s="23"/>
    </row>
    <row r="3149">
      <c r="U3149" s="23"/>
      <c r="V3149" s="23"/>
      <c r="W3149" s="23"/>
    </row>
    <row r="3150">
      <c r="U3150" s="23"/>
      <c r="V3150" s="23"/>
      <c r="W3150" s="23"/>
    </row>
    <row r="3151">
      <c r="U3151" s="23"/>
      <c r="V3151" s="23"/>
      <c r="W3151" s="23"/>
    </row>
    <row r="3152">
      <c r="U3152" s="23"/>
      <c r="V3152" s="23"/>
      <c r="W3152" s="23"/>
    </row>
    <row r="3153">
      <c r="U3153" s="23"/>
      <c r="V3153" s="23"/>
      <c r="W3153" s="23"/>
    </row>
    <row r="3154">
      <c r="U3154" s="23"/>
      <c r="V3154" s="23"/>
      <c r="W3154" s="23"/>
    </row>
    <row r="3155">
      <c r="U3155" s="23"/>
      <c r="V3155" s="23"/>
      <c r="W3155" s="23"/>
    </row>
    <row r="3156">
      <c r="U3156" s="23"/>
      <c r="V3156" s="23"/>
      <c r="W3156" s="23"/>
    </row>
    <row r="3157">
      <c r="U3157" s="23"/>
      <c r="V3157" s="23"/>
      <c r="W3157" s="23"/>
    </row>
    <row r="3158">
      <c r="U3158" s="23"/>
      <c r="V3158" s="23"/>
      <c r="W3158" s="23"/>
    </row>
    <row r="3159">
      <c r="U3159" s="23"/>
      <c r="V3159" s="23"/>
      <c r="W3159" s="23"/>
    </row>
    <row r="3160">
      <c r="U3160" s="23"/>
      <c r="V3160" s="23"/>
      <c r="W3160" s="23"/>
    </row>
    <row r="3161">
      <c r="U3161" s="23"/>
      <c r="V3161" s="23"/>
      <c r="W3161" s="23"/>
    </row>
    <row r="3162">
      <c r="U3162" s="23"/>
      <c r="V3162" s="23"/>
      <c r="W3162" s="23"/>
    </row>
    <row r="3163">
      <c r="U3163" s="23"/>
      <c r="V3163" s="23"/>
      <c r="W3163" s="23"/>
    </row>
    <row r="3164">
      <c r="U3164" s="23"/>
      <c r="V3164" s="23"/>
      <c r="W3164" s="23"/>
    </row>
    <row r="3165">
      <c r="U3165" s="23"/>
      <c r="V3165" s="23"/>
      <c r="W3165" s="23"/>
    </row>
    <row r="3166">
      <c r="U3166" s="23"/>
      <c r="V3166" s="23"/>
      <c r="W3166" s="23"/>
    </row>
    <row r="3167">
      <c r="U3167" s="23"/>
      <c r="V3167" s="23"/>
      <c r="W3167" s="23"/>
    </row>
    <row r="3168">
      <c r="U3168" s="23"/>
      <c r="V3168" s="23"/>
      <c r="W3168" s="23"/>
    </row>
    <row r="3169">
      <c r="U3169" s="23"/>
      <c r="V3169" s="23"/>
      <c r="W3169" s="23"/>
    </row>
    <row r="3170">
      <c r="U3170" s="23"/>
      <c r="V3170" s="23"/>
      <c r="W3170" s="23"/>
    </row>
    <row r="3171">
      <c r="U3171" s="23"/>
      <c r="V3171" s="23"/>
      <c r="W3171" s="23"/>
    </row>
    <row r="3172">
      <c r="U3172" s="23"/>
      <c r="V3172" s="23"/>
      <c r="W3172" s="23"/>
    </row>
    <row r="3173">
      <c r="U3173" s="23"/>
      <c r="V3173" s="23"/>
      <c r="W3173" s="23"/>
    </row>
    <row r="3174">
      <c r="U3174" s="23"/>
      <c r="V3174" s="23"/>
      <c r="W3174" s="23"/>
    </row>
    <row r="3175">
      <c r="U3175" s="23"/>
      <c r="V3175" s="23"/>
      <c r="W3175" s="23"/>
    </row>
    <row r="3176">
      <c r="U3176" s="23"/>
      <c r="V3176" s="23"/>
      <c r="W3176" s="23"/>
    </row>
    <row r="3177">
      <c r="U3177" s="23"/>
      <c r="V3177" s="23"/>
      <c r="W3177" s="23"/>
    </row>
    <row r="3178">
      <c r="U3178" s="23"/>
      <c r="V3178" s="23"/>
      <c r="W3178" s="23"/>
    </row>
    <row r="3179">
      <c r="U3179" s="23"/>
      <c r="V3179" s="23"/>
      <c r="W3179" s="23"/>
    </row>
    <row r="3180">
      <c r="U3180" s="23"/>
      <c r="V3180" s="23"/>
      <c r="W3180" s="23"/>
    </row>
    <row r="3181">
      <c r="U3181" s="23"/>
      <c r="V3181" s="23"/>
      <c r="W3181" s="23"/>
    </row>
    <row r="3182">
      <c r="U3182" s="23"/>
      <c r="V3182" s="23"/>
      <c r="W3182" s="23"/>
    </row>
    <row r="3183">
      <c r="U3183" s="23"/>
      <c r="V3183" s="23"/>
      <c r="W3183" s="23"/>
    </row>
    <row r="3184">
      <c r="U3184" s="23"/>
      <c r="V3184" s="23"/>
      <c r="W3184" s="23"/>
    </row>
    <row r="3185">
      <c r="U3185" s="23"/>
      <c r="V3185" s="23"/>
      <c r="W3185" s="23"/>
    </row>
    <row r="3186">
      <c r="U3186" s="23"/>
      <c r="V3186" s="23"/>
      <c r="W3186" s="23"/>
    </row>
    <row r="3187">
      <c r="U3187" s="23"/>
      <c r="V3187" s="23"/>
      <c r="W3187" s="23"/>
    </row>
    <row r="3188">
      <c r="U3188" s="23"/>
      <c r="V3188" s="23"/>
      <c r="W3188" s="23"/>
    </row>
    <row r="3189">
      <c r="U3189" s="23"/>
      <c r="V3189" s="23"/>
      <c r="W3189" s="23"/>
    </row>
    <row r="3190">
      <c r="U3190" s="23"/>
      <c r="V3190" s="23"/>
      <c r="W3190" s="23"/>
    </row>
    <row r="3191">
      <c r="U3191" s="23"/>
      <c r="V3191" s="23"/>
      <c r="W3191" s="23"/>
    </row>
    <row r="3192">
      <c r="U3192" s="23"/>
      <c r="V3192" s="23"/>
      <c r="W3192" s="23"/>
    </row>
    <row r="3193">
      <c r="U3193" s="23"/>
      <c r="V3193" s="23"/>
      <c r="W3193" s="23"/>
    </row>
    <row r="3194">
      <c r="U3194" s="23"/>
      <c r="V3194" s="23"/>
      <c r="W3194" s="23"/>
    </row>
    <row r="3195">
      <c r="U3195" s="23"/>
      <c r="V3195" s="23"/>
      <c r="W3195" s="23"/>
    </row>
    <row r="3196">
      <c r="U3196" s="23"/>
      <c r="V3196" s="23"/>
      <c r="W3196" s="23"/>
    </row>
    <row r="3197">
      <c r="U3197" s="23"/>
      <c r="V3197" s="23"/>
      <c r="W3197" s="23"/>
    </row>
    <row r="3198">
      <c r="U3198" s="23"/>
      <c r="V3198" s="23"/>
      <c r="W3198" s="23"/>
    </row>
    <row r="3199">
      <c r="U3199" s="23"/>
      <c r="V3199" s="23"/>
      <c r="W3199" s="23"/>
    </row>
    <row r="3200">
      <c r="U3200" s="23"/>
      <c r="V3200" s="23"/>
      <c r="W3200" s="23"/>
    </row>
    <row r="3201">
      <c r="U3201" s="23"/>
      <c r="V3201" s="23"/>
      <c r="W3201" s="23"/>
    </row>
    <row r="3202">
      <c r="U3202" s="23"/>
      <c r="V3202" s="23"/>
      <c r="W3202" s="23"/>
    </row>
    <row r="3203">
      <c r="U3203" s="23"/>
      <c r="V3203" s="23"/>
      <c r="W3203" s="23"/>
    </row>
    <row r="3204">
      <c r="U3204" s="23"/>
      <c r="V3204" s="23"/>
      <c r="W3204" s="23"/>
    </row>
    <row r="3205">
      <c r="U3205" s="23"/>
      <c r="V3205" s="23"/>
      <c r="W3205" s="23"/>
    </row>
    <row r="3206">
      <c r="U3206" s="23"/>
      <c r="V3206" s="23"/>
      <c r="W3206" s="23"/>
    </row>
    <row r="3207">
      <c r="U3207" s="23"/>
      <c r="V3207" s="23"/>
      <c r="W3207" s="23"/>
    </row>
    <row r="3208">
      <c r="U3208" s="23"/>
      <c r="V3208" s="23"/>
      <c r="W3208" s="23"/>
    </row>
    <row r="3209">
      <c r="U3209" s="23"/>
      <c r="V3209" s="23"/>
      <c r="W3209" s="23"/>
    </row>
    <row r="3210">
      <c r="U3210" s="23"/>
      <c r="V3210" s="23"/>
      <c r="W3210" s="23"/>
    </row>
    <row r="3211">
      <c r="U3211" s="23"/>
      <c r="V3211" s="23"/>
      <c r="W3211" s="23"/>
    </row>
    <row r="3212">
      <c r="U3212" s="23"/>
      <c r="V3212" s="23"/>
      <c r="W3212" s="23"/>
    </row>
    <row r="3213">
      <c r="U3213" s="23"/>
      <c r="V3213" s="23"/>
      <c r="W3213" s="23"/>
    </row>
    <row r="3214">
      <c r="U3214" s="23"/>
      <c r="V3214" s="23"/>
      <c r="W3214" s="23"/>
    </row>
    <row r="3215">
      <c r="U3215" s="23"/>
      <c r="V3215" s="23"/>
      <c r="W3215" s="23"/>
    </row>
    <row r="3216">
      <c r="U3216" s="23"/>
      <c r="V3216" s="23"/>
      <c r="W3216" s="23"/>
    </row>
    <row r="3217">
      <c r="U3217" s="23"/>
      <c r="V3217" s="23"/>
      <c r="W3217" s="23"/>
    </row>
    <row r="3218">
      <c r="U3218" s="23"/>
      <c r="V3218" s="23"/>
      <c r="W3218" s="23"/>
    </row>
    <row r="3219">
      <c r="U3219" s="23"/>
      <c r="V3219" s="23"/>
      <c r="W3219" s="23"/>
    </row>
    <row r="3220">
      <c r="U3220" s="23"/>
      <c r="V3220" s="23"/>
      <c r="W3220" s="23"/>
    </row>
    <row r="3221">
      <c r="U3221" s="23"/>
      <c r="V3221" s="23"/>
      <c r="W3221" s="23"/>
    </row>
    <row r="3222">
      <c r="U3222" s="23"/>
      <c r="V3222" s="23"/>
      <c r="W3222" s="23"/>
    </row>
    <row r="3223">
      <c r="U3223" s="23"/>
      <c r="V3223" s="23"/>
      <c r="W3223" s="23"/>
    </row>
    <row r="3224">
      <c r="U3224" s="23"/>
      <c r="V3224" s="23"/>
      <c r="W3224" s="23"/>
    </row>
    <row r="3225">
      <c r="U3225" s="23"/>
      <c r="V3225" s="23"/>
      <c r="W3225" s="23"/>
    </row>
    <row r="3226">
      <c r="U3226" s="23"/>
      <c r="V3226" s="23"/>
      <c r="W3226" s="23"/>
    </row>
    <row r="3227">
      <c r="U3227" s="23"/>
      <c r="V3227" s="23"/>
      <c r="W3227" s="23"/>
    </row>
    <row r="3228">
      <c r="U3228" s="23"/>
      <c r="V3228" s="23"/>
      <c r="W3228" s="23"/>
    </row>
    <row r="3229">
      <c r="U3229" s="23"/>
      <c r="V3229" s="23"/>
      <c r="W3229" s="23"/>
    </row>
    <row r="3230">
      <c r="U3230" s="23"/>
      <c r="V3230" s="23"/>
      <c r="W3230" s="23"/>
    </row>
    <row r="3231">
      <c r="U3231" s="23"/>
      <c r="V3231" s="23"/>
      <c r="W3231" s="23"/>
    </row>
    <row r="3232">
      <c r="U3232" s="23"/>
      <c r="V3232" s="23"/>
      <c r="W3232" s="23"/>
    </row>
    <row r="3233">
      <c r="U3233" s="23"/>
      <c r="V3233" s="23"/>
      <c r="W3233" s="23"/>
    </row>
    <row r="3234">
      <c r="U3234" s="23"/>
      <c r="V3234" s="23"/>
      <c r="W3234" s="23"/>
    </row>
    <row r="3235">
      <c r="U3235" s="23"/>
      <c r="V3235" s="23"/>
      <c r="W3235" s="23"/>
    </row>
    <row r="3236">
      <c r="U3236" s="23"/>
      <c r="V3236" s="23"/>
      <c r="W3236" s="23"/>
    </row>
    <row r="3237">
      <c r="U3237" s="23"/>
      <c r="V3237" s="23"/>
      <c r="W3237" s="23"/>
    </row>
    <row r="3238">
      <c r="U3238" s="23"/>
      <c r="V3238" s="23"/>
      <c r="W3238" s="23"/>
    </row>
    <row r="3239">
      <c r="U3239" s="23"/>
      <c r="V3239" s="23"/>
      <c r="W3239" s="23"/>
    </row>
    <row r="3240">
      <c r="U3240" s="23"/>
      <c r="V3240" s="23"/>
      <c r="W3240" s="23"/>
    </row>
    <row r="3241">
      <c r="U3241" s="23"/>
      <c r="V3241" s="23"/>
      <c r="W3241" s="23"/>
    </row>
    <row r="3242">
      <c r="U3242" s="23"/>
      <c r="V3242" s="23"/>
      <c r="W3242" s="23"/>
    </row>
    <row r="3243">
      <c r="U3243" s="23"/>
      <c r="V3243" s="23"/>
      <c r="W3243" s="23"/>
    </row>
    <row r="3244">
      <c r="U3244" s="23"/>
      <c r="V3244" s="23"/>
      <c r="W3244" s="23"/>
    </row>
    <row r="3245">
      <c r="U3245" s="23"/>
      <c r="V3245" s="23"/>
      <c r="W3245" s="23"/>
    </row>
    <row r="3246">
      <c r="U3246" s="23"/>
      <c r="V3246" s="23"/>
      <c r="W3246" s="23"/>
    </row>
    <row r="3247">
      <c r="U3247" s="23"/>
      <c r="V3247" s="23"/>
      <c r="W3247" s="23"/>
    </row>
    <row r="3248">
      <c r="U3248" s="23"/>
      <c r="V3248" s="23"/>
      <c r="W3248" s="23"/>
    </row>
    <row r="3249">
      <c r="U3249" s="23"/>
      <c r="V3249" s="23"/>
      <c r="W3249" s="23"/>
    </row>
    <row r="3250">
      <c r="U3250" s="23"/>
      <c r="V3250" s="23"/>
      <c r="W3250" s="23"/>
    </row>
    <row r="3251">
      <c r="U3251" s="23"/>
      <c r="V3251" s="23"/>
      <c r="W3251" s="23"/>
    </row>
    <row r="3252">
      <c r="U3252" s="23"/>
      <c r="V3252" s="23"/>
      <c r="W3252" s="23"/>
    </row>
    <row r="3253">
      <c r="U3253" s="23"/>
      <c r="V3253" s="23"/>
      <c r="W3253" s="23"/>
    </row>
    <row r="3254">
      <c r="U3254" s="23"/>
      <c r="V3254" s="23"/>
      <c r="W3254" s="23"/>
    </row>
    <row r="3255">
      <c r="U3255" s="23"/>
      <c r="V3255" s="23"/>
      <c r="W3255" s="23"/>
    </row>
    <row r="3256">
      <c r="U3256" s="23"/>
      <c r="V3256" s="23"/>
      <c r="W3256" s="23"/>
    </row>
    <row r="3257">
      <c r="U3257" s="23"/>
      <c r="V3257" s="23"/>
      <c r="W3257" s="23"/>
    </row>
    <row r="3258">
      <c r="U3258" s="23"/>
      <c r="V3258" s="23"/>
      <c r="W3258" s="23"/>
    </row>
    <row r="3259">
      <c r="U3259" s="23"/>
      <c r="V3259" s="23"/>
      <c r="W3259" s="23"/>
    </row>
    <row r="3260">
      <c r="U3260" s="23"/>
      <c r="V3260" s="23"/>
      <c r="W3260" s="23"/>
    </row>
    <row r="3261">
      <c r="U3261" s="23"/>
      <c r="V3261" s="23"/>
      <c r="W3261" s="23"/>
    </row>
    <row r="3262">
      <c r="U3262" s="23"/>
      <c r="V3262" s="23"/>
      <c r="W3262" s="23"/>
    </row>
    <row r="3263">
      <c r="U3263" s="23"/>
      <c r="V3263" s="23"/>
      <c r="W3263" s="23"/>
    </row>
    <row r="3264">
      <c r="U3264" s="23"/>
      <c r="V3264" s="23"/>
      <c r="W3264" s="23"/>
    </row>
    <row r="3265">
      <c r="U3265" s="23"/>
      <c r="V3265" s="23"/>
      <c r="W3265" s="23"/>
    </row>
    <row r="3266">
      <c r="U3266" s="23"/>
      <c r="V3266" s="23"/>
      <c r="W3266" s="23"/>
    </row>
    <row r="3267">
      <c r="U3267" s="23"/>
      <c r="V3267" s="23"/>
      <c r="W3267" s="23"/>
    </row>
    <row r="3268">
      <c r="U3268" s="23"/>
      <c r="V3268" s="23"/>
      <c r="W3268" s="23"/>
    </row>
    <row r="3269">
      <c r="U3269" s="23"/>
      <c r="V3269" s="23"/>
      <c r="W3269" s="23"/>
    </row>
    <row r="3270">
      <c r="U3270" s="23"/>
      <c r="V3270" s="23"/>
      <c r="W3270" s="23"/>
    </row>
    <row r="3271">
      <c r="U3271" s="23"/>
      <c r="V3271" s="23"/>
      <c r="W3271" s="23"/>
    </row>
    <row r="3272">
      <c r="U3272" s="23"/>
      <c r="V3272" s="23"/>
      <c r="W3272" s="23"/>
    </row>
    <row r="3273">
      <c r="U3273" s="23"/>
      <c r="V3273" s="23"/>
      <c r="W3273" s="23"/>
    </row>
    <row r="3274">
      <c r="U3274" s="23"/>
      <c r="V3274" s="23"/>
      <c r="W3274" s="23"/>
    </row>
    <row r="3275">
      <c r="U3275" s="23"/>
      <c r="V3275" s="23"/>
      <c r="W3275" s="23"/>
    </row>
    <row r="3276">
      <c r="U3276" s="23"/>
      <c r="V3276" s="23"/>
      <c r="W3276" s="23"/>
    </row>
    <row r="3277">
      <c r="U3277" s="23"/>
      <c r="V3277" s="23"/>
      <c r="W3277" s="23"/>
    </row>
    <row r="3278">
      <c r="U3278" s="23"/>
      <c r="V3278" s="23"/>
      <c r="W3278" s="23"/>
    </row>
    <row r="3279">
      <c r="U3279" s="23"/>
      <c r="V3279" s="23"/>
      <c r="W3279" s="23"/>
    </row>
    <row r="3280">
      <c r="U3280" s="23"/>
      <c r="V3280" s="23"/>
      <c r="W3280" s="23"/>
    </row>
    <row r="3281">
      <c r="U3281" s="23"/>
      <c r="V3281" s="23"/>
      <c r="W3281" s="23"/>
    </row>
    <row r="3282">
      <c r="U3282" s="23"/>
      <c r="V3282" s="23"/>
      <c r="W3282" s="23"/>
    </row>
    <row r="3283">
      <c r="U3283" s="23"/>
      <c r="V3283" s="23"/>
      <c r="W3283" s="23"/>
    </row>
    <row r="3284">
      <c r="U3284" s="23"/>
      <c r="V3284" s="23"/>
      <c r="W3284" s="23"/>
    </row>
    <row r="3285">
      <c r="U3285" s="23"/>
      <c r="V3285" s="23"/>
      <c r="W3285" s="23"/>
    </row>
    <row r="3286">
      <c r="U3286" s="23"/>
      <c r="V3286" s="23"/>
      <c r="W3286" s="23"/>
    </row>
    <row r="3287">
      <c r="U3287" s="23"/>
      <c r="V3287" s="23"/>
      <c r="W3287" s="23"/>
    </row>
    <row r="3288">
      <c r="U3288" s="23"/>
      <c r="V3288" s="23"/>
      <c r="W3288" s="23"/>
    </row>
    <row r="3289">
      <c r="U3289" s="23"/>
      <c r="V3289" s="23"/>
      <c r="W3289" s="23"/>
    </row>
    <row r="3290">
      <c r="U3290" s="23"/>
      <c r="V3290" s="23"/>
      <c r="W3290" s="23"/>
    </row>
    <row r="3291">
      <c r="U3291" s="23"/>
      <c r="V3291" s="23"/>
      <c r="W3291" s="23"/>
    </row>
    <row r="3292">
      <c r="U3292" s="23"/>
      <c r="V3292" s="23"/>
      <c r="W3292" s="23"/>
    </row>
    <row r="3293">
      <c r="U3293" s="23"/>
      <c r="V3293" s="23"/>
      <c r="W3293" s="23"/>
    </row>
    <row r="3294">
      <c r="U3294" s="23"/>
      <c r="V3294" s="23"/>
      <c r="W3294" s="23"/>
    </row>
    <row r="3295">
      <c r="U3295" s="23"/>
      <c r="V3295" s="23"/>
      <c r="W3295" s="23"/>
    </row>
    <row r="3296">
      <c r="U3296" s="23"/>
      <c r="V3296" s="23"/>
      <c r="W3296" s="23"/>
    </row>
    <row r="3297">
      <c r="U3297" s="23"/>
      <c r="V3297" s="23"/>
      <c r="W3297" s="23"/>
    </row>
    <row r="3298">
      <c r="U3298" s="23"/>
      <c r="V3298" s="23"/>
      <c r="W3298" s="23"/>
    </row>
    <row r="3299">
      <c r="U3299" s="23"/>
      <c r="V3299" s="23"/>
      <c r="W3299" s="23"/>
    </row>
    <row r="3300">
      <c r="U3300" s="23"/>
      <c r="V3300" s="23"/>
      <c r="W3300" s="23"/>
    </row>
    <row r="3301">
      <c r="U3301" s="23"/>
      <c r="V3301" s="23"/>
      <c r="W3301" s="23"/>
    </row>
    <row r="3302">
      <c r="U3302" s="23"/>
      <c r="V3302" s="23"/>
      <c r="W3302" s="23"/>
    </row>
    <row r="3303">
      <c r="U3303" s="23"/>
      <c r="V3303" s="23"/>
      <c r="W3303" s="23"/>
    </row>
    <row r="3304">
      <c r="U3304" s="23"/>
      <c r="V3304" s="23"/>
      <c r="W3304" s="23"/>
    </row>
    <row r="3305">
      <c r="U3305" s="23"/>
      <c r="V3305" s="23"/>
      <c r="W3305" s="23"/>
    </row>
    <row r="3306">
      <c r="U3306" s="23"/>
      <c r="V3306" s="23"/>
      <c r="W3306" s="23"/>
    </row>
    <row r="3307">
      <c r="U3307" s="23"/>
      <c r="V3307" s="23"/>
      <c r="W3307" s="23"/>
    </row>
    <row r="3308">
      <c r="U3308" s="23"/>
      <c r="V3308" s="23"/>
      <c r="W3308" s="23"/>
    </row>
    <row r="3309">
      <c r="U3309" s="23"/>
      <c r="V3309" s="23"/>
      <c r="W3309" s="23"/>
    </row>
    <row r="3310">
      <c r="U3310" s="23"/>
      <c r="V3310" s="23"/>
      <c r="W3310" s="23"/>
    </row>
    <row r="3311">
      <c r="U3311" s="23"/>
      <c r="V3311" s="23"/>
      <c r="W3311" s="23"/>
    </row>
    <row r="3312">
      <c r="U3312" s="23"/>
      <c r="V3312" s="23"/>
      <c r="W3312" s="23"/>
    </row>
    <row r="3313">
      <c r="U3313" s="23"/>
      <c r="V3313" s="23"/>
      <c r="W3313" s="23"/>
    </row>
    <row r="3314">
      <c r="U3314" s="23"/>
      <c r="V3314" s="23"/>
      <c r="W3314" s="23"/>
    </row>
    <row r="3315">
      <c r="U3315" s="23"/>
      <c r="V3315" s="23"/>
      <c r="W3315" s="23"/>
    </row>
    <row r="3316">
      <c r="U3316" s="23"/>
      <c r="V3316" s="23"/>
      <c r="W3316" s="23"/>
    </row>
    <row r="3317">
      <c r="U3317" s="23"/>
      <c r="V3317" s="23"/>
      <c r="W3317" s="23"/>
    </row>
    <row r="3318">
      <c r="U3318" s="23"/>
      <c r="V3318" s="23"/>
      <c r="W3318" s="23"/>
    </row>
    <row r="3319">
      <c r="U3319" s="23"/>
      <c r="V3319" s="23"/>
      <c r="W3319" s="23"/>
    </row>
    <row r="3320">
      <c r="U3320" s="23"/>
      <c r="V3320" s="23"/>
      <c r="W3320" s="23"/>
    </row>
    <row r="3321">
      <c r="U3321" s="23"/>
      <c r="V3321" s="23"/>
      <c r="W3321" s="23"/>
    </row>
    <row r="3322">
      <c r="U3322" s="23"/>
      <c r="V3322" s="23"/>
      <c r="W3322" s="23"/>
    </row>
    <row r="3323">
      <c r="U3323" s="23"/>
      <c r="V3323" s="23"/>
      <c r="W3323" s="23"/>
    </row>
    <row r="3324">
      <c r="U3324" s="23"/>
      <c r="V3324" s="23"/>
      <c r="W3324" s="23"/>
    </row>
    <row r="3325">
      <c r="U3325" s="23"/>
      <c r="V3325" s="23"/>
      <c r="W3325" s="23"/>
    </row>
    <row r="3326">
      <c r="U3326" s="23"/>
      <c r="V3326" s="23"/>
      <c r="W3326" s="23"/>
    </row>
    <row r="3327">
      <c r="U3327" s="23"/>
      <c r="V3327" s="23"/>
      <c r="W3327" s="23"/>
    </row>
    <row r="3328">
      <c r="U3328" s="23"/>
      <c r="V3328" s="23"/>
      <c r="W3328" s="23"/>
    </row>
    <row r="3329">
      <c r="U3329" s="23"/>
      <c r="V3329" s="23"/>
      <c r="W3329" s="23"/>
    </row>
    <row r="3330">
      <c r="U3330" s="23"/>
      <c r="V3330" s="23"/>
      <c r="W3330" s="23"/>
    </row>
    <row r="3331">
      <c r="U3331" s="23"/>
      <c r="V3331" s="23"/>
      <c r="W3331" s="23"/>
    </row>
    <row r="3332">
      <c r="U3332" s="23"/>
      <c r="V3332" s="23"/>
      <c r="W3332" s="23"/>
    </row>
    <row r="3333">
      <c r="U3333" s="23"/>
      <c r="V3333" s="23"/>
      <c r="W3333" s="23"/>
    </row>
    <row r="3334">
      <c r="U3334" s="23"/>
      <c r="V3334" s="23"/>
      <c r="W3334" s="23"/>
    </row>
    <row r="3335">
      <c r="U3335" s="23"/>
      <c r="V3335" s="23"/>
      <c r="W3335" s="23"/>
    </row>
    <row r="3336">
      <c r="U3336" s="23"/>
      <c r="V3336" s="23"/>
      <c r="W3336" s="23"/>
    </row>
    <row r="3337">
      <c r="U3337" s="23"/>
      <c r="V3337" s="23"/>
      <c r="W3337" s="23"/>
    </row>
    <row r="3338">
      <c r="U3338" s="23"/>
      <c r="V3338" s="23"/>
      <c r="W3338" s="23"/>
    </row>
    <row r="3339">
      <c r="U3339" s="23"/>
      <c r="V3339" s="23"/>
      <c r="W3339" s="23"/>
    </row>
    <row r="3340">
      <c r="U3340" s="23"/>
      <c r="V3340" s="23"/>
      <c r="W3340" s="23"/>
    </row>
    <row r="3341">
      <c r="U3341" s="23"/>
      <c r="V3341" s="23"/>
      <c r="W3341" s="23"/>
    </row>
    <row r="3342">
      <c r="U3342" s="23"/>
      <c r="V3342" s="23"/>
      <c r="W3342" s="23"/>
    </row>
    <row r="3343">
      <c r="U3343" s="23"/>
      <c r="V3343" s="23"/>
      <c r="W3343" s="23"/>
    </row>
    <row r="3344">
      <c r="U3344" s="23"/>
      <c r="V3344" s="23"/>
      <c r="W3344" s="23"/>
    </row>
    <row r="3345">
      <c r="U3345" s="23"/>
      <c r="V3345" s="23"/>
      <c r="W3345" s="23"/>
    </row>
    <row r="3346">
      <c r="U3346" s="23"/>
      <c r="V3346" s="23"/>
      <c r="W3346" s="23"/>
    </row>
    <row r="3347">
      <c r="U3347" s="23"/>
      <c r="V3347" s="23"/>
      <c r="W3347" s="23"/>
    </row>
    <row r="3348">
      <c r="U3348" s="23"/>
      <c r="V3348" s="23"/>
      <c r="W3348" s="23"/>
    </row>
    <row r="3349">
      <c r="U3349" s="23"/>
      <c r="V3349" s="23"/>
      <c r="W3349" s="23"/>
    </row>
    <row r="3350">
      <c r="U3350" s="23"/>
      <c r="V3350" s="23"/>
      <c r="W3350" s="23"/>
    </row>
    <row r="3351">
      <c r="U3351" s="23"/>
      <c r="V3351" s="23"/>
      <c r="W3351" s="23"/>
    </row>
    <row r="3352">
      <c r="U3352" s="23"/>
      <c r="V3352" s="23"/>
      <c r="W3352" s="23"/>
    </row>
    <row r="3353">
      <c r="U3353" s="23"/>
      <c r="V3353" s="23"/>
      <c r="W3353" s="23"/>
    </row>
    <row r="3354">
      <c r="U3354" s="23"/>
      <c r="V3354" s="23"/>
      <c r="W3354" s="23"/>
    </row>
    <row r="3355">
      <c r="U3355" s="23"/>
      <c r="V3355" s="23"/>
      <c r="W3355" s="23"/>
    </row>
    <row r="3356">
      <c r="U3356" s="23"/>
      <c r="V3356" s="23"/>
      <c r="W3356" s="23"/>
    </row>
    <row r="3357">
      <c r="U3357" s="23"/>
      <c r="V3357" s="23"/>
      <c r="W3357" s="23"/>
    </row>
    <row r="3358">
      <c r="U3358" s="23"/>
      <c r="V3358" s="23"/>
      <c r="W3358" s="23"/>
    </row>
    <row r="3359">
      <c r="U3359" s="23"/>
      <c r="V3359" s="23"/>
      <c r="W3359" s="23"/>
    </row>
    <row r="3360">
      <c r="U3360" s="23"/>
      <c r="V3360" s="23"/>
      <c r="W3360" s="23"/>
    </row>
    <row r="3361">
      <c r="U3361" s="23"/>
      <c r="V3361" s="23"/>
      <c r="W3361" s="23"/>
    </row>
    <row r="3362">
      <c r="U3362" s="23"/>
      <c r="V3362" s="23"/>
      <c r="W3362" s="23"/>
    </row>
    <row r="3363">
      <c r="U3363" s="23"/>
      <c r="V3363" s="23"/>
      <c r="W3363" s="23"/>
    </row>
    <row r="3364">
      <c r="U3364" s="23"/>
      <c r="V3364" s="23"/>
      <c r="W3364" s="23"/>
    </row>
    <row r="3365">
      <c r="U3365" s="23"/>
      <c r="V3365" s="23"/>
      <c r="W3365" s="23"/>
    </row>
    <row r="3366">
      <c r="U3366" s="23"/>
      <c r="V3366" s="23"/>
      <c r="W3366" s="23"/>
    </row>
    <row r="3367">
      <c r="U3367" s="23"/>
      <c r="V3367" s="23"/>
      <c r="W3367" s="23"/>
    </row>
    <row r="3368">
      <c r="U3368" s="23"/>
      <c r="V3368" s="23"/>
      <c r="W3368" s="23"/>
    </row>
    <row r="3369">
      <c r="U3369" s="23"/>
      <c r="V3369" s="23"/>
      <c r="W3369" s="23"/>
    </row>
    <row r="3370">
      <c r="U3370" s="23"/>
      <c r="V3370" s="23"/>
      <c r="W3370" s="23"/>
    </row>
    <row r="3371">
      <c r="U3371" s="23"/>
      <c r="V3371" s="23"/>
      <c r="W3371" s="23"/>
    </row>
    <row r="3372">
      <c r="U3372" s="23"/>
      <c r="V3372" s="23"/>
      <c r="W3372" s="23"/>
    </row>
    <row r="3373">
      <c r="U3373" s="23"/>
      <c r="V3373" s="23"/>
      <c r="W3373" s="23"/>
    </row>
    <row r="3374">
      <c r="U3374" s="23"/>
      <c r="V3374" s="23"/>
      <c r="W3374" s="23"/>
    </row>
    <row r="3375">
      <c r="U3375" s="23"/>
      <c r="V3375" s="23"/>
      <c r="W3375" s="23"/>
    </row>
    <row r="3376">
      <c r="U3376" s="23"/>
      <c r="V3376" s="23"/>
      <c r="W3376" s="23"/>
    </row>
    <row r="3377">
      <c r="U3377" s="23"/>
      <c r="V3377" s="23"/>
      <c r="W3377" s="23"/>
    </row>
    <row r="3378">
      <c r="U3378" s="23"/>
      <c r="V3378" s="23"/>
      <c r="W3378" s="23"/>
    </row>
    <row r="3379">
      <c r="U3379" s="23"/>
      <c r="V3379" s="23"/>
      <c r="W3379" s="23"/>
    </row>
    <row r="3380">
      <c r="U3380" s="23"/>
      <c r="V3380" s="23"/>
      <c r="W3380" s="23"/>
    </row>
    <row r="3381">
      <c r="U3381" s="23"/>
      <c r="V3381" s="23"/>
      <c r="W3381" s="23"/>
    </row>
    <row r="3382">
      <c r="U3382" s="23"/>
      <c r="V3382" s="23"/>
      <c r="W3382" s="23"/>
    </row>
    <row r="3383">
      <c r="U3383" s="23"/>
      <c r="V3383" s="23"/>
      <c r="W3383" s="23"/>
    </row>
    <row r="3384">
      <c r="U3384" s="23"/>
      <c r="V3384" s="23"/>
      <c r="W3384" s="23"/>
    </row>
    <row r="3385">
      <c r="U3385" s="23"/>
      <c r="V3385" s="23"/>
      <c r="W3385" s="23"/>
    </row>
    <row r="3386">
      <c r="U3386" s="23"/>
      <c r="V3386" s="23"/>
      <c r="W3386" s="23"/>
    </row>
    <row r="3387">
      <c r="U3387" s="23"/>
      <c r="V3387" s="23"/>
      <c r="W3387" s="23"/>
    </row>
    <row r="3388">
      <c r="U3388" s="23"/>
      <c r="V3388" s="23"/>
      <c r="W3388" s="23"/>
    </row>
    <row r="3389">
      <c r="U3389" s="23"/>
      <c r="V3389" s="23"/>
      <c r="W3389" s="23"/>
    </row>
    <row r="3390">
      <c r="U3390" s="23"/>
      <c r="V3390" s="23"/>
      <c r="W3390" s="23"/>
    </row>
    <row r="3391">
      <c r="U3391" s="23"/>
      <c r="V3391" s="23"/>
      <c r="W3391" s="23"/>
    </row>
    <row r="3392">
      <c r="U3392" s="23"/>
      <c r="V3392" s="23"/>
      <c r="W3392" s="23"/>
    </row>
    <row r="3393">
      <c r="U3393" s="23"/>
      <c r="V3393" s="23"/>
      <c r="W3393" s="23"/>
    </row>
    <row r="3394">
      <c r="U3394" s="23"/>
      <c r="V3394" s="23"/>
      <c r="W3394" s="23"/>
    </row>
    <row r="3395">
      <c r="U3395" s="23"/>
      <c r="V3395" s="23"/>
      <c r="W3395" s="23"/>
    </row>
    <row r="3396">
      <c r="U3396" s="23"/>
      <c r="V3396" s="23"/>
      <c r="W3396" s="23"/>
    </row>
    <row r="3397">
      <c r="U3397" s="23"/>
      <c r="V3397" s="23"/>
      <c r="W3397" s="23"/>
    </row>
    <row r="3398">
      <c r="U3398" s="23"/>
      <c r="V3398" s="23"/>
      <c r="W3398" s="23"/>
    </row>
    <row r="3399">
      <c r="U3399" s="23"/>
      <c r="V3399" s="23"/>
      <c r="W3399" s="23"/>
    </row>
    <row r="3400">
      <c r="U3400" s="23"/>
      <c r="V3400" s="23"/>
      <c r="W3400" s="23"/>
    </row>
    <row r="3401">
      <c r="U3401" s="23"/>
      <c r="V3401" s="23"/>
      <c r="W3401" s="23"/>
    </row>
    <row r="3402">
      <c r="U3402" s="23"/>
      <c r="V3402" s="23"/>
      <c r="W3402" s="23"/>
    </row>
    <row r="3403">
      <c r="U3403" s="23"/>
      <c r="V3403" s="23"/>
      <c r="W3403" s="23"/>
    </row>
    <row r="3404">
      <c r="U3404" s="23"/>
      <c r="V3404" s="23"/>
      <c r="W3404" s="23"/>
    </row>
    <row r="3405">
      <c r="U3405" s="23"/>
      <c r="V3405" s="23"/>
      <c r="W3405" s="23"/>
    </row>
    <row r="3406">
      <c r="U3406" s="23"/>
      <c r="V3406" s="23"/>
      <c r="W3406" s="23"/>
    </row>
    <row r="3407">
      <c r="U3407" s="23"/>
      <c r="V3407" s="23"/>
      <c r="W3407" s="23"/>
    </row>
    <row r="3408">
      <c r="U3408" s="23"/>
      <c r="V3408" s="23"/>
      <c r="W3408" s="23"/>
    </row>
    <row r="3409">
      <c r="U3409" s="23"/>
      <c r="V3409" s="23"/>
      <c r="W3409" s="23"/>
    </row>
    <row r="3410">
      <c r="U3410" s="23"/>
      <c r="V3410" s="23"/>
      <c r="W3410" s="23"/>
    </row>
    <row r="3411">
      <c r="U3411" s="23"/>
      <c r="V3411" s="23"/>
      <c r="W3411" s="23"/>
    </row>
    <row r="3412">
      <c r="U3412" s="23"/>
      <c r="V3412" s="23"/>
      <c r="W3412" s="23"/>
    </row>
    <row r="3413">
      <c r="U3413" s="23"/>
      <c r="V3413" s="23"/>
      <c r="W3413" s="23"/>
    </row>
    <row r="3414">
      <c r="U3414" s="23"/>
      <c r="V3414" s="23"/>
      <c r="W3414" s="23"/>
    </row>
    <row r="3415">
      <c r="U3415" s="23"/>
      <c r="V3415" s="23"/>
      <c r="W3415" s="23"/>
    </row>
    <row r="3416">
      <c r="U3416" s="23"/>
      <c r="V3416" s="23"/>
      <c r="W3416" s="23"/>
    </row>
    <row r="3417">
      <c r="U3417" s="23"/>
      <c r="V3417" s="23"/>
      <c r="W3417" s="23"/>
    </row>
    <row r="3418">
      <c r="U3418" s="23"/>
      <c r="V3418" s="23"/>
      <c r="W3418" s="23"/>
    </row>
    <row r="3419">
      <c r="U3419" s="23"/>
      <c r="V3419" s="23"/>
      <c r="W3419" s="23"/>
    </row>
    <row r="3420">
      <c r="U3420" s="23"/>
      <c r="V3420" s="23"/>
      <c r="W3420" s="23"/>
    </row>
    <row r="3421">
      <c r="U3421" s="23"/>
      <c r="V3421" s="23"/>
      <c r="W3421" s="23"/>
    </row>
    <row r="3422">
      <c r="U3422" s="23"/>
      <c r="V3422" s="23"/>
      <c r="W3422" s="23"/>
    </row>
    <row r="3423">
      <c r="U3423" s="23"/>
      <c r="V3423" s="23"/>
      <c r="W3423" s="23"/>
    </row>
    <row r="3424">
      <c r="U3424" s="23"/>
      <c r="V3424" s="23"/>
      <c r="W3424" s="23"/>
    </row>
    <row r="3425">
      <c r="U3425" s="23"/>
      <c r="V3425" s="23"/>
      <c r="W3425" s="23"/>
    </row>
    <row r="3426">
      <c r="U3426" s="23"/>
      <c r="V3426" s="23"/>
      <c r="W3426" s="23"/>
    </row>
    <row r="3427">
      <c r="U3427" s="23"/>
      <c r="V3427" s="23"/>
      <c r="W3427" s="23"/>
    </row>
    <row r="3428">
      <c r="U3428" s="23"/>
      <c r="V3428" s="23"/>
      <c r="W3428" s="23"/>
    </row>
    <row r="3429">
      <c r="U3429" s="23"/>
      <c r="V3429" s="23"/>
      <c r="W3429" s="23"/>
    </row>
    <row r="3430">
      <c r="U3430" s="23"/>
      <c r="V3430" s="23"/>
      <c r="W3430" s="23"/>
    </row>
    <row r="3431">
      <c r="U3431" s="23"/>
      <c r="V3431" s="23"/>
      <c r="W3431" s="23"/>
    </row>
    <row r="3432">
      <c r="U3432" s="23"/>
      <c r="V3432" s="23"/>
      <c r="W3432" s="23"/>
    </row>
    <row r="3433">
      <c r="U3433" s="23"/>
      <c r="V3433" s="23"/>
      <c r="W3433" s="23"/>
    </row>
    <row r="3434">
      <c r="U3434" s="23"/>
      <c r="V3434" s="23"/>
      <c r="W3434" s="23"/>
    </row>
    <row r="3435">
      <c r="U3435" s="23"/>
      <c r="V3435" s="23"/>
      <c r="W3435" s="23"/>
    </row>
    <row r="3436">
      <c r="U3436" s="23"/>
      <c r="V3436" s="23"/>
      <c r="W3436" s="23"/>
    </row>
    <row r="3437">
      <c r="U3437" s="23"/>
      <c r="V3437" s="23"/>
      <c r="W3437" s="23"/>
    </row>
    <row r="3438">
      <c r="U3438" s="23"/>
      <c r="V3438" s="23"/>
      <c r="W3438" s="23"/>
    </row>
    <row r="3439">
      <c r="U3439" s="23"/>
      <c r="V3439" s="23"/>
      <c r="W3439" s="23"/>
    </row>
    <row r="3440">
      <c r="U3440" s="23"/>
      <c r="V3440" s="23"/>
      <c r="W3440" s="23"/>
    </row>
    <row r="3441">
      <c r="U3441" s="23"/>
      <c r="V3441" s="23"/>
      <c r="W3441" s="23"/>
    </row>
    <row r="3442">
      <c r="U3442" s="23"/>
      <c r="V3442" s="23"/>
      <c r="W3442" s="23"/>
    </row>
    <row r="3443">
      <c r="U3443" s="23"/>
      <c r="V3443" s="23"/>
      <c r="W3443" s="23"/>
    </row>
    <row r="3444">
      <c r="U3444" s="23"/>
      <c r="V3444" s="23"/>
      <c r="W3444" s="23"/>
    </row>
    <row r="3445">
      <c r="U3445" s="23"/>
      <c r="V3445" s="23"/>
      <c r="W3445" s="23"/>
    </row>
    <row r="3446">
      <c r="U3446" s="23"/>
      <c r="V3446" s="23"/>
      <c r="W3446" s="23"/>
    </row>
    <row r="3447">
      <c r="U3447" s="23"/>
      <c r="V3447" s="23"/>
      <c r="W3447" s="23"/>
    </row>
    <row r="3448">
      <c r="U3448" s="23"/>
      <c r="V3448" s="23"/>
      <c r="W3448" s="23"/>
    </row>
    <row r="3449">
      <c r="U3449" s="23"/>
      <c r="V3449" s="23"/>
      <c r="W3449" s="23"/>
    </row>
    <row r="3450">
      <c r="U3450" s="23"/>
      <c r="V3450" s="23"/>
      <c r="W3450" s="23"/>
    </row>
    <row r="3451">
      <c r="U3451" s="23"/>
      <c r="V3451" s="23"/>
      <c r="W3451" s="23"/>
    </row>
    <row r="3452">
      <c r="U3452" s="23"/>
      <c r="V3452" s="23"/>
      <c r="W3452" s="23"/>
    </row>
    <row r="3453">
      <c r="U3453" s="23"/>
      <c r="V3453" s="23"/>
      <c r="W3453" s="23"/>
    </row>
    <row r="3454">
      <c r="U3454" s="23"/>
      <c r="V3454" s="23"/>
      <c r="W3454" s="23"/>
    </row>
    <row r="3455">
      <c r="U3455" s="23"/>
      <c r="V3455" s="23"/>
      <c r="W3455" s="23"/>
    </row>
    <row r="3456">
      <c r="U3456" s="23"/>
      <c r="V3456" s="23"/>
      <c r="W3456" s="23"/>
    </row>
    <row r="3457">
      <c r="U3457" s="23"/>
      <c r="V3457" s="23"/>
      <c r="W3457" s="23"/>
    </row>
    <row r="3458">
      <c r="U3458" s="23"/>
      <c r="V3458" s="23"/>
      <c r="W3458" s="23"/>
    </row>
    <row r="3459">
      <c r="U3459" s="23"/>
      <c r="V3459" s="23"/>
      <c r="W3459" s="23"/>
    </row>
    <row r="3460">
      <c r="U3460" s="23"/>
      <c r="V3460" s="23"/>
      <c r="W3460" s="23"/>
    </row>
    <row r="3461">
      <c r="U3461" s="23"/>
      <c r="V3461" s="23"/>
      <c r="W3461" s="23"/>
    </row>
    <row r="3462">
      <c r="U3462" s="23"/>
      <c r="V3462" s="23"/>
      <c r="W3462" s="23"/>
    </row>
    <row r="3463">
      <c r="U3463" s="23"/>
      <c r="V3463" s="23"/>
      <c r="W3463" s="23"/>
    </row>
    <row r="3464">
      <c r="U3464" s="23"/>
      <c r="V3464" s="23"/>
      <c r="W3464" s="23"/>
    </row>
    <row r="3465">
      <c r="U3465" s="23"/>
      <c r="V3465" s="23"/>
      <c r="W3465" s="23"/>
    </row>
    <row r="3466">
      <c r="U3466" s="23"/>
      <c r="V3466" s="23"/>
      <c r="W3466" s="23"/>
    </row>
    <row r="3467">
      <c r="U3467" s="23"/>
      <c r="V3467" s="23"/>
      <c r="W3467" s="23"/>
    </row>
    <row r="3468">
      <c r="U3468" s="23"/>
      <c r="V3468" s="23"/>
      <c r="W3468" s="23"/>
    </row>
    <row r="3469">
      <c r="U3469" s="23"/>
      <c r="V3469" s="23"/>
      <c r="W3469" s="23"/>
    </row>
    <row r="3470">
      <c r="U3470" s="23"/>
      <c r="V3470" s="23"/>
      <c r="W3470" s="23"/>
    </row>
    <row r="3471">
      <c r="U3471" s="23"/>
      <c r="V3471" s="23"/>
      <c r="W3471" s="23"/>
    </row>
    <row r="3472">
      <c r="U3472" s="23"/>
      <c r="V3472" s="23"/>
      <c r="W3472" s="23"/>
    </row>
    <row r="3473">
      <c r="U3473" s="23"/>
      <c r="V3473" s="23"/>
      <c r="W3473" s="23"/>
    </row>
    <row r="3474">
      <c r="U3474" s="23"/>
      <c r="V3474" s="23"/>
      <c r="W3474" s="23"/>
    </row>
    <row r="3475">
      <c r="U3475" s="23"/>
      <c r="V3475" s="23"/>
      <c r="W3475" s="23"/>
    </row>
    <row r="3476">
      <c r="U3476" s="23"/>
      <c r="V3476" s="23"/>
      <c r="W3476" s="23"/>
    </row>
    <row r="3477">
      <c r="U3477" s="23"/>
      <c r="V3477" s="23"/>
      <c r="W3477" s="23"/>
    </row>
    <row r="3478">
      <c r="U3478" s="23"/>
      <c r="V3478" s="23"/>
      <c r="W3478" s="23"/>
    </row>
    <row r="3479">
      <c r="U3479" s="23"/>
      <c r="V3479" s="23"/>
      <c r="W3479" s="23"/>
    </row>
    <row r="3480">
      <c r="U3480" s="23"/>
      <c r="V3480" s="23"/>
      <c r="W3480" s="23"/>
    </row>
    <row r="3481">
      <c r="U3481" s="23"/>
      <c r="V3481" s="23"/>
      <c r="W3481" s="23"/>
    </row>
    <row r="3482">
      <c r="U3482" s="23"/>
      <c r="V3482" s="23"/>
      <c r="W3482" s="23"/>
    </row>
    <row r="3483">
      <c r="U3483" s="23"/>
      <c r="V3483" s="23"/>
      <c r="W3483" s="23"/>
    </row>
    <row r="3484">
      <c r="U3484" s="23"/>
      <c r="V3484" s="23"/>
      <c r="W3484" s="23"/>
    </row>
    <row r="3485">
      <c r="U3485" s="23"/>
      <c r="V3485" s="23"/>
      <c r="W3485" s="23"/>
    </row>
    <row r="3486">
      <c r="U3486" s="23"/>
      <c r="V3486" s="23"/>
      <c r="W3486" s="23"/>
    </row>
    <row r="3487">
      <c r="U3487" s="23"/>
      <c r="V3487" s="23"/>
      <c r="W3487" s="23"/>
    </row>
    <row r="3488">
      <c r="U3488" s="23"/>
      <c r="V3488" s="23"/>
      <c r="W3488" s="23"/>
    </row>
    <row r="3489">
      <c r="U3489" s="23"/>
      <c r="V3489" s="23"/>
      <c r="W3489" s="23"/>
    </row>
    <row r="3490">
      <c r="U3490" s="23"/>
      <c r="V3490" s="23"/>
      <c r="W3490" s="23"/>
    </row>
    <row r="3491">
      <c r="U3491" s="23"/>
      <c r="V3491" s="23"/>
      <c r="W3491" s="23"/>
    </row>
    <row r="3492">
      <c r="U3492" s="23"/>
      <c r="V3492" s="23"/>
      <c r="W3492" s="23"/>
    </row>
    <row r="3493">
      <c r="U3493" s="23"/>
      <c r="V3493" s="23"/>
      <c r="W3493" s="23"/>
    </row>
    <row r="3494">
      <c r="U3494" s="23"/>
      <c r="V3494" s="23"/>
      <c r="W3494" s="23"/>
    </row>
    <row r="3495">
      <c r="U3495" s="23"/>
      <c r="V3495" s="23"/>
      <c r="W3495" s="23"/>
    </row>
    <row r="3496">
      <c r="U3496" s="23"/>
      <c r="V3496" s="23"/>
      <c r="W3496" s="23"/>
    </row>
    <row r="3497">
      <c r="U3497" s="23"/>
      <c r="V3497" s="23"/>
      <c r="W3497" s="23"/>
    </row>
    <row r="3498">
      <c r="U3498" s="23"/>
      <c r="V3498" s="23"/>
      <c r="W3498" s="23"/>
    </row>
    <row r="3499">
      <c r="U3499" s="23"/>
      <c r="V3499" s="23"/>
      <c r="W3499" s="23"/>
    </row>
    <row r="3500">
      <c r="U3500" s="23"/>
      <c r="V3500" s="23"/>
      <c r="W3500" s="23"/>
    </row>
    <row r="3501">
      <c r="U3501" s="23"/>
      <c r="V3501" s="23"/>
      <c r="W3501" s="23"/>
    </row>
    <row r="3502">
      <c r="U3502" s="23"/>
      <c r="V3502" s="23"/>
      <c r="W3502" s="23"/>
    </row>
    <row r="3503">
      <c r="U3503" s="23"/>
      <c r="V3503" s="23"/>
      <c r="W3503" s="23"/>
    </row>
    <row r="3504">
      <c r="U3504" s="23"/>
      <c r="V3504" s="23"/>
      <c r="W3504" s="23"/>
    </row>
    <row r="3505">
      <c r="U3505" s="23"/>
      <c r="V3505" s="23"/>
      <c r="W3505" s="23"/>
    </row>
    <row r="3506">
      <c r="U3506" s="23"/>
      <c r="V3506" s="23"/>
      <c r="W3506" s="23"/>
    </row>
    <row r="3507">
      <c r="U3507" s="23"/>
      <c r="V3507" s="23"/>
      <c r="W3507" s="23"/>
    </row>
    <row r="3508">
      <c r="U3508" s="23"/>
      <c r="V3508" s="23"/>
      <c r="W3508" s="23"/>
    </row>
    <row r="3509">
      <c r="U3509" s="23"/>
      <c r="V3509" s="23"/>
      <c r="W3509" s="23"/>
    </row>
    <row r="3510">
      <c r="U3510" s="23"/>
      <c r="V3510" s="23"/>
      <c r="W3510" s="23"/>
    </row>
    <row r="3511">
      <c r="U3511" s="23"/>
      <c r="V3511" s="23"/>
      <c r="W3511" s="23"/>
    </row>
    <row r="3512">
      <c r="U3512" s="23"/>
      <c r="V3512" s="23"/>
      <c r="W3512" s="23"/>
    </row>
    <row r="3513">
      <c r="U3513" s="23"/>
      <c r="V3513" s="23"/>
      <c r="W3513" s="23"/>
    </row>
    <row r="3514">
      <c r="U3514" s="23"/>
      <c r="V3514" s="23"/>
      <c r="W3514" s="23"/>
    </row>
    <row r="3515">
      <c r="U3515" s="23"/>
      <c r="V3515" s="23"/>
      <c r="W3515" s="23"/>
    </row>
    <row r="3516">
      <c r="U3516" s="23"/>
      <c r="V3516" s="23"/>
      <c r="W3516" s="23"/>
    </row>
    <row r="3517">
      <c r="U3517" s="23"/>
      <c r="V3517" s="23"/>
      <c r="W3517" s="23"/>
    </row>
    <row r="3518">
      <c r="U3518" s="23"/>
      <c r="V3518" s="23"/>
      <c r="W3518" s="23"/>
    </row>
    <row r="3519">
      <c r="U3519" s="23"/>
      <c r="V3519" s="23"/>
      <c r="W3519" s="23"/>
    </row>
    <row r="3520">
      <c r="U3520" s="23"/>
      <c r="V3520" s="23"/>
      <c r="W3520" s="23"/>
    </row>
    <row r="3521">
      <c r="U3521" s="23"/>
      <c r="V3521" s="23"/>
      <c r="W3521" s="23"/>
    </row>
    <row r="3522">
      <c r="U3522" s="23"/>
      <c r="V3522" s="23"/>
      <c r="W3522" s="23"/>
    </row>
    <row r="3523">
      <c r="U3523" s="23"/>
      <c r="V3523" s="23"/>
      <c r="W3523" s="23"/>
    </row>
    <row r="3524">
      <c r="U3524" s="23"/>
      <c r="V3524" s="23"/>
      <c r="W3524" s="23"/>
    </row>
    <row r="3525">
      <c r="U3525" s="23"/>
      <c r="V3525" s="23"/>
      <c r="W3525" s="23"/>
    </row>
    <row r="3526">
      <c r="U3526" s="23"/>
      <c r="V3526" s="23"/>
      <c r="W3526" s="23"/>
    </row>
    <row r="3527">
      <c r="U3527" s="23"/>
      <c r="V3527" s="23"/>
      <c r="W3527" s="23"/>
    </row>
    <row r="3528">
      <c r="U3528" s="23"/>
      <c r="V3528" s="23"/>
      <c r="W3528" s="23"/>
    </row>
    <row r="3529">
      <c r="U3529" s="23"/>
      <c r="V3529" s="23"/>
      <c r="W3529" s="23"/>
    </row>
    <row r="3530">
      <c r="U3530" s="23"/>
      <c r="V3530" s="23"/>
      <c r="W3530" s="23"/>
    </row>
    <row r="3531">
      <c r="U3531" s="23"/>
      <c r="V3531" s="23"/>
      <c r="W3531" s="23"/>
    </row>
    <row r="3532">
      <c r="U3532" s="23"/>
      <c r="V3532" s="23"/>
      <c r="W3532" s="23"/>
    </row>
    <row r="3533">
      <c r="U3533" s="23"/>
      <c r="V3533" s="23"/>
      <c r="W3533" s="23"/>
    </row>
    <row r="3534">
      <c r="U3534" s="23"/>
      <c r="V3534" s="23"/>
      <c r="W3534" s="23"/>
    </row>
    <row r="3535">
      <c r="U3535" s="23"/>
      <c r="V3535" s="23"/>
      <c r="W3535" s="23"/>
    </row>
    <row r="3536">
      <c r="U3536" s="23"/>
      <c r="V3536" s="23"/>
      <c r="W3536" s="23"/>
    </row>
    <row r="3537">
      <c r="U3537" s="23"/>
      <c r="V3537" s="23"/>
      <c r="W3537" s="23"/>
    </row>
    <row r="3538">
      <c r="U3538" s="23"/>
      <c r="V3538" s="23"/>
      <c r="W3538" s="23"/>
    </row>
    <row r="3539">
      <c r="U3539" s="23"/>
      <c r="V3539" s="23"/>
      <c r="W3539" s="23"/>
    </row>
    <row r="3540">
      <c r="U3540" s="23"/>
      <c r="V3540" s="23"/>
      <c r="W3540" s="23"/>
    </row>
    <row r="3541">
      <c r="U3541" s="23"/>
      <c r="V3541" s="23"/>
      <c r="W3541" s="23"/>
    </row>
    <row r="3542">
      <c r="U3542" s="23"/>
      <c r="V3542" s="23"/>
      <c r="W3542" s="23"/>
    </row>
    <row r="3543">
      <c r="U3543" s="23"/>
      <c r="V3543" s="23"/>
      <c r="W3543" s="23"/>
    </row>
    <row r="3544">
      <c r="U3544" s="23"/>
      <c r="V3544" s="23"/>
      <c r="W3544" s="23"/>
    </row>
    <row r="3545">
      <c r="U3545" s="23"/>
      <c r="V3545" s="23"/>
      <c r="W3545" s="23"/>
    </row>
    <row r="3546">
      <c r="U3546" s="23"/>
      <c r="V3546" s="23"/>
      <c r="W3546" s="23"/>
    </row>
    <row r="3547">
      <c r="U3547" s="23"/>
      <c r="V3547" s="23"/>
      <c r="W3547" s="23"/>
    </row>
    <row r="3548">
      <c r="U3548" s="23"/>
      <c r="V3548" s="23"/>
      <c r="W3548" s="23"/>
    </row>
    <row r="3549">
      <c r="U3549" s="23"/>
      <c r="V3549" s="23"/>
      <c r="W3549" s="23"/>
    </row>
    <row r="3550">
      <c r="U3550" s="23"/>
      <c r="V3550" s="23"/>
      <c r="W3550" s="23"/>
    </row>
    <row r="3551">
      <c r="U3551" s="23"/>
      <c r="V3551" s="23"/>
      <c r="W3551" s="23"/>
    </row>
    <row r="3552">
      <c r="U3552" s="23"/>
      <c r="V3552" s="23"/>
      <c r="W3552" s="23"/>
    </row>
    <row r="3553">
      <c r="U3553" s="23"/>
      <c r="V3553" s="23"/>
      <c r="W3553" s="23"/>
    </row>
    <row r="3554">
      <c r="U3554" s="23"/>
      <c r="V3554" s="23"/>
      <c r="W3554" s="23"/>
    </row>
    <row r="3555">
      <c r="U3555" s="23"/>
      <c r="V3555" s="23"/>
      <c r="W3555" s="23"/>
    </row>
    <row r="3556">
      <c r="U3556" s="23"/>
      <c r="V3556" s="23"/>
      <c r="W3556" s="23"/>
    </row>
    <row r="3557">
      <c r="U3557" s="23"/>
      <c r="V3557" s="23"/>
      <c r="W3557" s="23"/>
    </row>
    <row r="3558">
      <c r="U3558" s="23"/>
      <c r="V3558" s="23"/>
      <c r="W3558" s="23"/>
    </row>
    <row r="3559">
      <c r="U3559" s="23"/>
      <c r="V3559" s="23"/>
      <c r="W3559" s="23"/>
    </row>
    <row r="3560">
      <c r="U3560" s="23"/>
      <c r="V3560" s="23"/>
      <c r="W3560" s="23"/>
    </row>
    <row r="3561">
      <c r="U3561" s="23"/>
      <c r="V3561" s="23"/>
      <c r="W3561" s="23"/>
    </row>
    <row r="3562">
      <c r="U3562" s="23"/>
      <c r="V3562" s="23"/>
      <c r="W3562" s="23"/>
    </row>
    <row r="3563">
      <c r="U3563" s="23"/>
      <c r="V3563" s="23"/>
      <c r="W3563" s="23"/>
    </row>
    <row r="3564">
      <c r="U3564" s="23"/>
      <c r="V3564" s="23"/>
      <c r="W3564" s="23"/>
    </row>
    <row r="3565">
      <c r="U3565" s="23"/>
      <c r="V3565" s="23"/>
      <c r="W3565" s="23"/>
    </row>
    <row r="3566">
      <c r="U3566" s="23"/>
      <c r="V3566" s="23"/>
      <c r="W3566" s="23"/>
    </row>
    <row r="3567">
      <c r="U3567" s="23"/>
      <c r="V3567" s="23"/>
      <c r="W3567" s="23"/>
    </row>
    <row r="3568">
      <c r="U3568" s="23"/>
      <c r="V3568" s="23"/>
      <c r="W3568" s="23"/>
    </row>
    <row r="3569">
      <c r="U3569" s="23"/>
      <c r="V3569" s="23"/>
      <c r="W3569" s="23"/>
    </row>
    <row r="3570">
      <c r="U3570" s="23"/>
      <c r="V3570" s="23"/>
      <c r="W3570" s="23"/>
    </row>
    <row r="3571">
      <c r="U3571" s="23"/>
      <c r="V3571" s="23"/>
      <c r="W3571" s="23"/>
    </row>
    <row r="3572">
      <c r="U3572" s="23"/>
      <c r="V3572" s="23"/>
      <c r="W3572" s="23"/>
    </row>
    <row r="3573">
      <c r="U3573" s="23"/>
      <c r="V3573" s="23"/>
      <c r="W3573" s="23"/>
    </row>
    <row r="3574">
      <c r="U3574" s="23"/>
      <c r="V3574" s="23"/>
      <c r="W3574" s="23"/>
    </row>
    <row r="3575">
      <c r="U3575" s="23"/>
      <c r="V3575" s="23"/>
      <c r="W3575" s="23"/>
    </row>
    <row r="3576">
      <c r="U3576" s="23"/>
      <c r="V3576" s="23"/>
      <c r="W3576" s="23"/>
    </row>
    <row r="3577">
      <c r="U3577" s="23"/>
      <c r="V3577" s="23"/>
      <c r="W3577" s="23"/>
    </row>
    <row r="3578">
      <c r="U3578" s="23"/>
      <c r="V3578" s="23"/>
      <c r="W3578" s="23"/>
    </row>
    <row r="3579">
      <c r="U3579" s="23"/>
      <c r="V3579" s="23"/>
      <c r="W3579" s="23"/>
    </row>
    <row r="3580">
      <c r="U3580" s="23"/>
      <c r="V3580" s="23"/>
      <c r="W3580" s="23"/>
    </row>
    <row r="3581">
      <c r="U3581" s="23"/>
      <c r="V3581" s="23"/>
      <c r="W3581" s="23"/>
    </row>
    <row r="3582">
      <c r="U3582" s="23"/>
      <c r="V3582" s="23"/>
      <c r="W3582" s="23"/>
    </row>
    <row r="3583">
      <c r="U3583" s="23"/>
      <c r="V3583" s="23"/>
      <c r="W3583" s="23"/>
    </row>
    <row r="3584">
      <c r="U3584" s="23"/>
      <c r="V3584" s="23"/>
      <c r="W3584" s="23"/>
    </row>
    <row r="3585">
      <c r="U3585" s="23"/>
      <c r="V3585" s="23"/>
      <c r="W3585" s="23"/>
    </row>
    <row r="3586">
      <c r="U3586" s="23"/>
      <c r="V3586" s="23"/>
      <c r="W3586" s="23"/>
    </row>
    <row r="3587">
      <c r="U3587" s="23"/>
      <c r="V3587" s="23"/>
      <c r="W3587" s="23"/>
    </row>
    <row r="3588">
      <c r="U3588" s="23"/>
      <c r="V3588" s="23"/>
      <c r="W3588" s="23"/>
    </row>
    <row r="3589">
      <c r="U3589" s="23"/>
      <c r="V3589" s="23"/>
      <c r="W3589" s="23"/>
    </row>
    <row r="3590">
      <c r="U3590" s="23"/>
      <c r="V3590" s="23"/>
      <c r="W3590" s="23"/>
    </row>
    <row r="3591">
      <c r="U3591" s="23"/>
      <c r="V3591" s="23"/>
      <c r="W3591" s="23"/>
    </row>
    <row r="3592">
      <c r="U3592" s="23"/>
      <c r="V3592" s="23"/>
      <c r="W3592" s="23"/>
    </row>
    <row r="3593">
      <c r="U3593" s="23"/>
      <c r="V3593" s="23"/>
      <c r="W3593" s="23"/>
    </row>
    <row r="3594">
      <c r="U3594" s="23"/>
      <c r="V3594" s="23"/>
      <c r="W3594" s="23"/>
    </row>
    <row r="3595">
      <c r="U3595" s="23"/>
      <c r="V3595" s="23"/>
      <c r="W3595" s="23"/>
    </row>
    <row r="3596">
      <c r="U3596" s="23"/>
      <c r="V3596" s="23"/>
      <c r="W3596" s="23"/>
    </row>
    <row r="3597">
      <c r="U3597" s="23"/>
      <c r="V3597" s="23"/>
      <c r="W3597" s="23"/>
    </row>
    <row r="3598">
      <c r="U3598" s="23"/>
      <c r="V3598" s="23"/>
      <c r="W3598" s="23"/>
    </row>
    <row r="3599">
      <c r="U3599" s="23"/>
      <c r="V3599" s="23"/>
      <c r="W3599" s="23"/>
    </row>
    <row r="3600">
      <c r="U3600" s="23"/>
      <c r="V3600" s="23"/>
      <c r="W3600" s="23"/>
    </row>
    <row r="3601">
      <c r="U3601" s="23"/>
      <c r="V3601" s="23"/>
      <c r="W3601" s="23"/>
    </row>
    <row r="3602">
      <c r="U3602" s="23"/>
      <c r="V3602" s="23"/>
      <c r="W3602" s="23"/>
    </row>
    <row r="3603">
      <c r="U3603" s="23"/>
      <c r="V3603" s="23"/>
      <c r="W3603" s="23"/>
    </row>
    <row r="3604">
      <c r="U3604" s="23"/>
      <c r="V3604" s="23"/>
      <c r="W3604" s="23"/>
    </row>
    <row r="3605">
      <c r="U3605" s="23"/>
      <c r="V3605" s="23"/>
      <c r="W3605" s="23"/>
    </row>
    <row r="3606">
      <c r="U3606" s="23"/>
      <c r="V3606" s="23"/>
      <c r="W3606" s="23"/>
    </row>
    <row r="3607">
      <c r="U3607" s="23"/>
      <c r="V3607" s="23"/>
      <c r="W3607" s="23"/>
    </row>
    <row r="3608">
      <c r="U3608" s="23"/>
      <c r="V3608" s="23"/>
      <c r="W3608" s="23"/>
    </row>
    <row r="3609">
      <c r="U3609" s="23"/>
      <c r="V3609" s="23"/>
      <c r="W3609" s="23"/>
    </row>
    <row r="3610">
      <c r="U3610" s="23"/>
      <c r="V3610" s="23"/>
      <c r="W3610" s="23"/>
    </row>
    <row r="3611">
      <c r="U3611" s="23"/>
      <c r="V3611" s="23"/>
      <c r="W3611" s="23"/>
    </row>
    <row r="3612">
      <c r="U3612" s="23"/>
      <c r="V3612" s="23"/>
      <c r="W3612" s="23"/>
    </row>
    <row r="3613">
      <c r="U3613" s="23"/>
      <c r="V3613" s="23"/>
      <c r="W3613" s="23"/>
    </row>
    <row r="3614">
      <c r="U3614" s="23"/>
      <c r="V3614" s="23"/>
      <c r="W3614" s="23"/>
    </row>
    <row r="3615">
      <c r="U3615" s="23"/>
      <c r="V3615" s="23"/>
      <c r="W3615" s="23"/>
    </row>
    <row r="3616">
      <c r="U3616" s="23"/>
      <c r="V3616" s="23"/>
      <c r="W3616" s="23"/>
    </row>
    <row r="3617">
      <c r="U3617" s="23"/>
      <c r="V3617" s="23"/>
      <c r="W3617" s="23"/>
    </row>
    <row r="3618">
      <c r="U3618" s="23"/>
      <c r="V3618" s="23"/>
      <c r="W3618" s="23"/>
    </row>
    <row r="3619">
      <c r="U3619" s="23"/>
      <c r="V3619" s="23"/>
      <c r="W3619" s="23"/>
    </row>
    <row r="3620">
      <c r="U3620" s="23"/>
      <c r="V3620" s="23"/>
      <c r="W3620" s="23"/>
    </row>
    <row r="3621">
      <c r="U3621" s="23"/>
      <c r="V3621" s="23"/>
      <c r="W3621" s="23"/>
    </row>
    <row r="3622">
      <c r="U3622" s="23"/>
      <c r="V3622" s="23"/>
      <c r="W3622" s="23"/>
    </row>
    <row r="3623">
      <c r="U3623" s="23"/>
      <c r="V3623" s="23"/>
      <c r="W3623" s="23"/>
    </row>
    <row r="3624">
      <c r="U3624" s="23"/>
      <c r="V3624" s="23"/>
      <c r="W3624" s="23"/>
    </row>
    <row r="3625">
      <c r="U3625" s="23"/>
      <c r="V3625" s="23"/>
      <c r="W3625" s="23"/>
    </row>
    <row r="3626">
      <c r="U3626" s="23"/>
      <c r="V3626" s="23"/>
      <c r="W3626" s="23"/>
    </row>
    <row r="3627">
      <c r="U3627" s="23"/>
      <c r="V3627" s="23"/>
      <c r="W3627" s="23"/>
    </row>
    <row r="3628">
      <c r="U3628" s="23"/>
      <c r="V3628" s="23"/>
      <c r="W3628" s="23"/>
    </row>
    <row r="3629">
      <c r="U3629" s="23"/>
      <c r="V3629" s="23"/>
      <c r="W3629" s="23"/>
    </row>
    <row r="3630">
      <c r="U3630" s="23"/>
      <c r="V3630" s="23"/>
      <c r="W3630" s="23"/>
    </row>
    <row r="3631">
      <c r="U3631" s="23"/>
      <c r="V3631" s="23"/>
      <c r="W3631" s="23"/>
    </row>
    <row r="3632">
      <c r="U3632" s="23"/>
      <c r="V3632" s="23"/>
      <c r="W3632" s="23"/>
    </row>
    <row r="3633">
      <c r="U3633" s="23"/>
      <c r="V3633" s="23"/>
      <c r="W3633" s="23"/>
    </row>
    <row r="3634">
      <c r="U3634" s="23"/>
      <c r="V3634" s="23"/>
      <c r="W3634" s="23"/>
    </row>
    <row r="3635">
      <c r="U3635" s="23"/>
      <c r="V3635" s="23"/>
      <c r="W3635" s="23"/>
    </row>
    <row r="3636">
      <c r="U3636" s="23"/>
      <c r="V3636" s="23"/>
      <c r="W3636" s="23"/>
    </row>
    <row r="3637">
      <c r="U3637" s="23"/>
      <c r="V3637" s="23"/>
      <c r="W3637" s="23"/>
    </row>
    <row r="3638">
      <c r="U3638" s="23"/>
      <c r="V3638" s="23"/>
      <c r="W3638" s="23"/>
    </row>
    <row r="3639">
      <c r="U3639" s="23"/>
      <c r="V3639" s="23"/>
      <c r="W3639" s="23"/>
    </row>
    <row r="3640">
      <c r="U3640" s="23"/>
      <c r="V3640" s="23"/>
      <c r="W3640" s="23"/>
    </row>
    <row r="3641">
      <c r="U3641" s="23"/>
      <c r="V3641" s="23"/>
      <c r="W3641" s="23"/>
    </row>
    <row r="3642">
      <c r="U3642" s="23"/>
      <c r="V3642" s="23"/>
      <c r="W3642" s="23"/>
    </row>
    <row r="3643">
      <c r="U3643" s="23"/>
      <c r="V3643" s="23"/>
      <c r="W3643" s="23"/>
    </row>
    <row r="3644">
      <c r="U3644" s="23"/>
      <c r="V3644" s="23"/>
      <c r="W3644" s="23"/>
    </row>
    <row r="3645">
      <c r="U3645" s="23"/>
      <c r="V3645" s="23"/>
      <c r="W3645" s="23"/>
    </row>
    <row r="3646">
      <c r="U3646" s="23"/>
      <c r="V3646" s="23"/>
      <c r="W3646" s="23"/>
    </row>
    <row r="3647">
      <c r="U3647" s="23"/>
      <c r="V3647" s="23"/>
      <c r="W3647" s="23"/>
    </row>
    <row r="3648">
      <c r="U3648" s="23"/>
      <c r="V3648" s="23"/>
      <c r="W3648" s="23"/>
    </row>
    <row r="3649">
      <c r="U3649" s="23"/>
      <c r="V3649" s="23"/>
      <c r="W3649" s="23"/>
    </row>
    <row r="3650">
      <c r="U3650" s="23"/>
      <c r="V3650" s="23"/>
      <c r="W3650" s="23"/>
    </row>
    <row r="3651">
      <c r="U3651" s="23"/>
      <c r="V3651" s="23"/>
      <c r="W3651" s="23"/>
    </row>
    <row r="3652">
      <c r="U3652" s="23"/>
      <c r="V3652" s="23"/>
      <c r="W3652" s="23"/>
    </row>
    <row r="3653">
      <c r="U3653" s="23"/>
      <c r="V3653" s="23"/>
      <c r="W3653" s="23"/>
    </row>
    <row r="3654">
      <c r="U3654" s="23"/>
      <c r="V3654" s="23"/>
      <c r="W3654" s="23"/>
    </row>
    <row r="3655">
      <c r="U3655" s="23"/>
      <c r="V3655" s="23"/>
      <c r="W3655" s="23"/>
    </row>
    <row r="3656">
      <c r="U3656" s="23"/>
      <c r="V3656" s="23"/>
      <c r="W3656" s="23"/>
    </row>
    <row r="3657">
      <c r="U3657" s="23"/>
      <c r="V3657" s="23"/>
      <c r="W3657" s="23"/>
    </row>
    <row r="3658">
      <c r="U3658" s="23"/>
      <c r="V3658" s="23"/>
      <c r="W3658" s="23"/>
    </row>
    <row r="3659">
      <c r="U3659" s="23"/>
      <c r="V3659" s="23"/>
      <c r="W3659" s="23"/>
    </row>
    <row r="3660">
      <c r="U3660" s="23"/>
      <c r="V3660" s="23"/>
      <c r="W3660" s="23"/>
    </row>
    <row r="3661">
      <c r="U3661" s="23"/>
      <c r="V3661" s="23"/>
      <c r="W3661" s="23"/>
    </row>
    <row r="3662">
      <c r="U3662" s="23"/>
      <c r="V3662" s="23"/>
      <c r="W3662" s="23"/>
    </row>
    <row r="3663">
      <c r="U3663" s="23"/>
      <c r="V3663" s="23"/>
      <c r="W3663" s="23"/>
    </row>
    <row r="3664">
      <c r="U3664" s="23"/>
      <c r="V3664" s="23"/>
      <c r="W3664" s="23"/>
    </row>
    <row r="3665">
      <c r="U3665" s="23"/>
      <c r="V3665" s="23"/>
      <c r="W3665" s="23"/>
    </row>
    <row r="3666">
      <c r="U3666" s="23"/>
      <c r="V3666" s="23"/>
      <c r="W3666" s="23"/>
    </row>
    <row r="3667">
      <c r="U3667" s="23"/>
      <c r="V3667" s="23"/>
      <c r="W3667" s="23"/>
    </row>
    <row r="3668">
      <c r="U3668" s="23"/>
      <c r="V3668" s="23"/>
      <c r="W3668" s="23"/>
    </row>
    <row r="3669">
      <c r="U3669" s="23"/>
      <c r="V3669" s="23"/>
      <c r="W3669" s="23"/>
    </row>
    <row r="3670">
      <c r="U3670" s="23"/>
      <c r="V3670" s="23"/>
      <c r="W3670" s="23"/>
    </row>
    <row r="3671">
      <c r="U3671" s="23"/>
      <c r="V3671" s="23"/>
      <c r="W3671" s="23"/>
    </row>
    <row r="3672">
      <c r="U3672" s="23"/>
      <c r="V3672" s="23"/>
      <c r="W3672" s="23"/>
    </row>
    <row r="3673">
      <c r="U3673" s="23"/>
      <c r="V3673" s="23"/>
      <c r="W3673" s="23"/>
    </row>
    <row r="3674">
      <c r="U3674" s="23"/>
      <c r="V3674" s="23"/>
      <c r="W3674" s="23"/>
    </row>
    <row r="3675">
      <c r="U3675" s="23"/>
      <c r="V3675" s="23"/>
      <c r="W3675" s="23"/>
    </row>
    <row r="3676">
      <c r="U3676" s="23"/>
      <c r="V3676" s="23"/>
      <c r="W3676" s="23"/>
    </row>
    <row r="3677">
      <c r="U3677" s="23"/>
      <c r="V3677" s="23"/>
      <c r="W3677" s="23"/>
    </row>
    <row r="3678">
      <c r="U3678" s="23"/>
      <c r="V3678" s="23"/>
      <c r="W3678" s="23"/>
    </row>
    <row r="3679">
      <c r="U3679" s="23"/>
      <c r="V3679" s="23"/>
      <c r="W3679" s="23"/>
    </row>
    <row r="3680">
      <c r="U3680" s="23"/>
      <c r="V3680" s="23"/>
      <c r="W3680" s="23"/>
    </row>
    <row r="3681">
      <c r="U3681" s="23"/>
      <c r="V3681" s="23"/>
      <c r="W3681" s="23"/>
    </row>
    <row r="3682">
      <c r="U3682" s="23"/>
      <c r="V3682" s="23"/>
      <c r="W3682" s="23"/>
    </row>
    <row r="3683">
      <c r="U3683" s="23"/>
      <c r="V3683" s="23"/>
      <c r="W3683" s="23"/>
    </row>
    <row r="3684">
      <c r="U3684" s="23"/>
      <c r="V3684" s="23"/>
      <c r="W3684" s="23"/>
    </row>
    <row r="3685">
      <c r="U3685" s="23"/>
      <c r="V3685" s="23"/>
      <c r="W3685" s="23"/>
    </row>
    <row r="3686">
      <c r="U3686" s="23"/>
      <c r="V3686" s="23"/>
      <c r="W3686" s="23"/>
    </row>
    <row r="3687">
      <c r="U3687" s="23"/>
      <c r="V3687" s="23"/>
      <c r="W3687" s="23"/>
    </row>
    <row r="3688">
      <c r="U3688" s="23"/>
      <c r="V3688" s="23"/>
      <c r="W3688" s="23"/>
    </row>
    <row r="3689">
      <c r="U3689" s="23"/>
      <c r="V3689" s="23"/>
      <c r="W3689" s="23"/>
    </row>
    <row r="3690">
      <c r="U3690" s="23"/>
      <c r="V3690" s="23"/>
      <c r="W3690" s="23"/>
    </row>
    <row r="3691">
      <c r="U3691" s="23"/>
      <c r="V3691" s="23"/>
      <c r="W3691" s="23"/>
    </row>
    <row r="3692">
      <c r="U3692" s="23"/>
      <c r="V3692" s="23"/>
      <c r="W3692" s="23"/>
    </row>
    <row r="3693">
      <c r="U3693" s="23"/>
      <c r="V3693" s="23"/>
      <c r="W3693" s="23"/>
    </row>
    <row r="3694">
      <c r="U3694" s="23"/>
      <c r="V3694" s="23"/>
      <c r="W3694" s="23"/>
    </row>
    <row r="3695">
      <c r="U3695" s="23"/>
      <c r="V3695" s="23"/>
      <c r="W3695" s="23"/>
    </row>
    <row r="3696">
      <c r="U3696" s="23"/>
      <c r="V3696" s="23"/>
      <c r="W3696" s="23"/>
    </row>
    <row r="3697">
      <c r="U3697" s="23"/>
      <c r="V3697" s="23"/>
      <c r="W3697" s="23"/>
    </row>
    <row r="3698">
      <c r="U3698" s="23"/>
      <c r="V3698" s="23"/>
      <c r="W3698" s="23"/>
    </row>
    <row r="3699">
      <c r="U3699" s="23"/>
      <c r="V3699" s="23"/>
      <c r="W3699" s="23"/>
    </row>
    <row r="3700">
      <c r="U3700" s="23"/>
      <c r="V3700" s="23"/>
      <c r="W3700" s="23"/>
    </row>
    <row r="3701">
      <c r="U3701" s="23"/>
      <c r="V3701" s="23"/>
      <c r="W3701" s="23"/>
    </row>
    <row r="3702">
      <c r="U3702" s="23"/>
      <c r="V3702" s="23"/>
      <c r="W3702" s="23"/>
    </row>
    <row r="3703">
      <c r="U3703" s="23"/>
      <c r="V3703" s="23"/>
      <c r="W3703" s="23"/>
    </row>
    <row r="3704">
      <c r="U3704" s="23"/>
      <c r="V3704" s="23"/>
      <c r="W3704" s="23"/>
    </row>
    <row r="3705">
      <c r="U3705" s="23"/>
      <c r="V3705" s="23"/>
      <c r="W3705" s="23"/>
    </row>
    <row r="3706">
      <c r="U3706" s="23"/>
      <c r="V3706" s="23"/>
      <c r="W3706" s="23"/>
    </row>
    <row r="3707">
      <c r="U3707" s="23"/>
      <c r="V3707" s="23"/>
      <c r="W3707" s="23"/>
    </row>
    <row r="3708">
      <c r="U3708" s="23"/>
      <c r="V3708" s="23"/>
      <c r="W3708" s="23"/>
    </row>
    <row r="3709">
      <c r="U3709" s="23"/>
      <c r="V3709" s="23"/>
      <c r="W3709" s="23"/>
    </row>
    <row r="3710">
      <c r="U3710" s="23"/>
      <c r="V3710" s="23"/>
      <c r="W3710" s="23"/>
    </row>
    <row r="3711">
      <c r="U3711" s="23"/>
      <c r="V3711" s="23"/>
      <c r="W3711" s="23"/>
    </row>
    <row r="3712">
      <c r="U3712" s="23"/>
      <c r="V3712" s="23"/>
      <c r="W3712" s="23"/>
    </row>
    <row r="3713">
      <c r="U3713" s="23"/>
      <c r="V3713" s="23"/>
      <c r="W3713" s="23"/>
    </row>
    <row r="3714">
      <c r="U3714" s="23"/>
      <c r="V3714" s="23"/>
      <c r="W3714" s="23"/>
    </row>
    <row r="3715">
      <c r="U3715" s="23"/>
      <c r="V3715" s="23"/>
      <c r="W3715" s="23"/>
    </row>
    <row r="3716">
      <c r="U3716" s="23"/>
      <c r="V3716" s="23"/>
      <c r="W3716" s="23"/>
    </row>
    <row r="3717">
      <c r="U3717" s="23"/>
      <c r="V3717" s="23"/>
      <c r="W3717" s="23"/>
    </row>
    <row r="3718">
      <c r="U3718" s="23"/>
      <c r="V3718" s="23"/>
      <c r="W3718" s="23"/>
    </row>
    <row r="3719">
      <c r="U3719" s="23"/>
      <c r="V3719" s="23"/>
      <c r="W3719" s="23"/>
    </row>
    <row r="3720">
      <c r="U3720" s="23"/>
      <c r="V3720" s="23"/>
      <c r="W3720" s="23"/>
    </row>
    <row r="3721">
      <c r="U3721" s="23"/>
      <c r="V3721" s="23"/>
      <c r="W3721" s="23"/>
    </row>
    <row r="3722">
      <c r="U3722" s="23"/>
      <c r="V3722" s="23"/>
      <c r="W3722" s="23"/>
    </row>
    <row r="3723">
      <c r="U3723" s="23"/>
      <c r="V3723" s="23"/>
      <c r="W3723" s="23"/>
    </row>
    <row r="3724">
      <c r="U3724" s="23"/>
      <c r="V3724" s="23"/>
      <c r="W3724" s="23"/>
    </row>
    <row r="3725">
      <c r="U3725" s="23"/>
      <c r="V3725" s="23"/>
      <c r="W3725" s="23"/>
    </row>
    <row r="3726">
      <c r="U3726" s="23"/>
      <c r="V3726" s="23"/>
      <c r="W3726" s="23"/>
    </row>
    <row r="3727">
      <c r="U3727" s="23"/>
      <c r="V3727" s="23"/>
      <c r="W3727" s="23"/>
    </row>
    <row r="3728">
      <c r="U3728" s="23"/>
      <c r="V3728" s="23"/>
      <c r="W3728" s="23"/>
    </row>
    <row r="3729">
      <c r="U3729" s="23"/>
      <c r="V3729" s="23"/>
      <c r="W3729" s="23"/>
    </row>
    <row r="3730">
      <c r="U3730" s="23"/>
      <c r="V3730" s="23"/>
      <c r="W3730" s="23"/>
    </row>
    <row r="3731">
      <c r="U3731" s="23"/>
      <c r="V3731" s="23"/>
      <c r="W3731" s="23"/>
    </row>
    <row r="3732">
      <c r="U3732" s="23"/>
      <c r="V3732" s="23"/>
      <c r="W3732" s="23"/>
    </row>
    <row r="3733">
      <c r="U3733" s="23"/>
      <c r="V3733" s="23"/>
      <c r="W3733" s="23"/>
    </row>
    <row r="3734">
      <c r="U3734" s="23"/>
      <c r="V3734" s="23"/>
      <c r="W3734" s="23"/>
    </row>
    <row r="3735">
      <c r="U3735" s="23"/>
      <c r="V3735" s="23"/>
      <c r="W3735" s="23"/>
    </row>
    <row r="3736">
      <c r="U3736" s="23"/>
      <c r="V3736" s="23"/>
      <c r="W3736" s="23"/>
    </row>
    <row r="3737">
      <c r="U3737" s="23"/>
      <c r="V3737" s="23"/>
      <c r="W3737" s="23"/>
    </row>
    <row r="3738">
      <c r="U3738" s="23"/>
      <c r="V3738" s="23"/>
      <c r="W3738" s="23"/>
    </row>
    <row r="3739">
      <c r="U3739" s="23"/>
      <c r="V3739" s="23"/>
      <c r="W3739" s="23"/>
    </row>
    <row r="3740">
      <c r="U3740" s="23"/>
      <c r="V3740" s="23"/>
      <c r="W3740" s="23"/>
    </row>
    <row r="3741">
      <c r="U3741" s="23"/>
      <c r="V3741" s="23"/>
      <c r="W3741" s="23"/>
    </row>
    <row r="3742">
      <c r="U3742" s="23"/>
      <c r="V3742" s="23"/>
      <c r="W3742" s="23"/>
    </row>
    <row r="3743">
      <c r="U3743" s="23"/>
      <c r="V3743" s="23"/>
      <c r="W3743" s="23"/>
    </row>
    <row r="3744">
      <c r="U3744" s="23"/>
      <c r="V3744" s="23"/>
      <c r="W3744" s="23"/>
    </row>
    <row r="3745">
      <c r="U3745" s="23"/>
      <c r="V3745" s="23"/>
      <c r="W3745" s="23"/>
    </row>
    <row r="3746">
      <c r="U3746" s="23"/>
      <c r="V3746" s="23"/>
      <c r="W3746" s="23"/>
    </row>
    <row r="3747">
      <c r="U3747" s="23"/>
      <c r="V3747" s="23"/>
      <c r="W3747" s="23"/>
    </row>
    <row r="3748">
      <c r="U3748" s="23"/>
      <c r="V3748" s="23"/>
      <c r="W3748" s="23"/>
    </row>
    <row r="3749">
      <c r="U3749" s="23"/>
      <c r="V3749" s="23"/>
      <c r="W3749" s="23"/>
    </row>
    <row r="3750">
      <c r="U3750" s="23"/>
      <c r="V3750" s="23"/>
      <c r="W3750" s="23"/>
    </row>
    <row r="3751">
      <c r="U3751" s="23"/>
      <c r="V3751" s="23"/>
      <c r="W3751" s="23"/>
    </row>
    <row r="3752">
      <c r="U3752" s="23"/>
      <c r="V3752" s="23"/>
      <c r="W3752" s="23"/>
    </row>
    <row r="3753">
      <c r="U3753" s="23"/>
      <c r="V3753" s="23"/>
      <c r="W3753" s="23"/>
    </row>
    <row r="3754">
      <c r="U3754" s="23"/>
      <c r="V3754" s="23"/>
      <c r="W3754" s="23"/>
    </row>
    <row r="3755">
      <c r="U3755" s="23"/>
      <c r="V3755" s="23"/>
      <c r="W3755" s="23"/>
    </row>
    <row r="3756">
      <c r="U3756" s="23"/>
      <c r="V3756" s="23"/>
      <c r="W3756" s="23"/>
    </row>
    <row r="3757">
      <c r="U3757" s="23"/>
      <c r="V3757" s="23"/>
      <c r="W3757" s="23"/>
    </row>
    <row r="3758">
      <c r="U3758" s="23"/>
      <c r="V3758" s="23"/>
      <c r="W3758" s="23"/>
    </row>
    <row r="3759">
      <c r="U3759" s="23"/>
      <c r="V3759" s="23"/>
      <c r="W3759" s="23"/>
    </row>
    <row r="3760">
      <c r="U3760" s="23"/>
      <c r="V3760" s="23"/>
      <c r="W3760" s="23"/>
    </row>
    <row r="3761">
      <c r="U3761" s="23"/>
      <c r="V3761" s="23"/>
      <c r="W3761" s="23"/>
    </row>
    <row r="3762">
      <c r="U3762" s="23"/>
      <c r="V3762" s="23"/>
      <c r="W3762" s="23"/>
    </row>
    <row r="3763">
      <c r="U3763" s="23"/>
      <c r="V3763" s="23"/>
      <c r="W3763" s="23"/>
    </row>
    <row r="3764">
      <c r="U3764" s="23"/>
      <c r="V3764" s="23"/>
      <c r="W3764" s="23"/>
    </row>
    <row r="3765">
      <c r="U3765" s="23"/>
      <c r="V3765" s="23"/>
      <c r="W3765" s="23"/>
    </row>
    <row r="3766">
      <c r="U3766" s="23"/>
      <c r="V3766" s="23"/>
      <c r="W3766" s="23"/>
    </row>
    <row r="3767">
      <c r="U3767" s="23"/>
      <c r="V3767" s="23"/>
      <c r="W3767" s="23"/>
    </row>
    <row r="3768">
      <c r="U3768" s="23"/>
      <c r="V3768" s="23"/>
      <c r="W3768" s="23"/>
    </row>
    <row r="3769">
      <c r="U3769" s="23"/>
      <c r="V3769" s="23"/>
      <c r="W3769" s="23"/>
    </row>
    <row r="3770">
      <c r="U3770" s="23"/>
      <c r="V3770" s="23"/>
      <c r="W3770" s="23"/>
    </row>
    <row r="3771">
      <c r="U3771" s="23"/>
      <c r="V3771" s="23"/>
      <c r="W3771" s="23"/>
    </row>
    <row r="3772">
      <c r="U3772" s="23"/>
      <c r="V3772" s="23"/>
      <c r="W3772" s="23"/>
    </row>
    <row r="3773">
      <c r="U3773" s="23"/>
      <c r="V3773" s="23"/>
      <c r="W3773" s="23"/>
    </row>
    <row r="3774">
      <c r="U3774" s="23"/>
      <c r="V3774" s="23"/>
      <c r="W3774" s="23"/>
    </row>
    <row r="3775">
      <c r="U3775" s="23"/>
      <c r="V3775" s="23"/>
      <c r="W3775" s="23"/>
    </row>
    <row r="3776">
      <c r="U3776" s="23"/>
      <c r="V3776" s="23"/>
      <c r="W3776" s="23"/>
    </row>
    <row r="3777">
      <c r="U3777" s="23"/>
      <c r="V3777" s="23"/>
      <c r="W3777" s="23"/>
    </row>
    <row r="3778">
      <c r="U3778" s="23"/>
      <c r="V3778" s="23"/>
      <c r="W3778" s="23"/>
    </row>
    <row r="3779">
      <c r="U3779" s="23"/>
      <c r="V3779" s="23"/>
      <c r="W3779" s="23"/>
    </row>
    <row r="3780">
      <c r="U3780" s="23"/>
      <c r="V3780" s="23"/>
      <c r="W3780" s="23"/>
    </row>
    <row r="3781">
      <c r="U3781" s="23"/>
      <c r="V3781" s="23"/>
      <c r="W3781" s="23"/>
    </row>
    <row r="3782">
      <c r="U3782" s="23"/>
      <c r="V3782" s="23"/>
      <c r="W3782" s="23"/>
    </row>
    <row r="3783">
      <c r="U3783" s="23"/>
      <c r="V3783" s="23"/>
      <c r="W3783" s="23"/>
    </row>
    <row r="3784">
      <c r="U3784" s="23"/>
      <c r="V3784" s="23"/>
      <c r="W3784" s="23"/>
    </row>
    <row r="3785">
      <c r="U3785" s="23"/>
      <c r="V3785" s="23"/>
      <c r="W3785" s="23"/>
    </row>
    <row r="3786">
      <c r="U3786" s="23"/>
      <c r="V3786" s="23"/>
      <c r="W3786" s="23"/>
    </row>
    <row r="3787">
      <c r="U3787" s="23"/>
      <c r="V3787" s="23"/>
      <c r="W3787" s="23"/>
    </row>
    <row r="3788">
      <c r="U3788" s="23"/>
      <c r="V3788" s="23"/>
      <c r="W3788" s="23"/>
    </row>
    <row r="3789">
      <c r="U3789" s="23"/>
      <c r="V3789" s="23"/>
      <c r="W3789" s="23"/>
    </row>
    <row r="3790">
      <c r="U3790" s="23"/>
      <c r="V3790" s="23"/>
      <c r="W3790" s="23"/>
    </row>
    <row r="3791">
      <c r="U3791" s="23"/>
      <c r="V3791" s="23"/>
      <c r="W3791" s="23"/>
    </row>
    <row r="3792">
      <c r="U3792" s="23"/>
      <c r="V3792" s="23"/>
      <c r="W3792" s="23"/>
    </row>
    <row r="3793">
      <c r="U3793" s="23"/>
      <c r="V3793" s="23"/>
      <c r="W3793" s="23"/>
    </row>
    <row r="3794">
      <c r="U3794" s="23"/>
      <c r="V3794" s="23"/>
      <c r="W3794" s="23"/>
    </row>
    <row r="3795">
      <c r="U3795" s="23"/>
      <c r="V3795" s="23"/>
      <c r="W3795" s="23"/>
    </row>
    <row r="3796">
      <c r="U3796" s="23"/>
      <c r="V3796" s="23"/>
      <c r="W3796" s="23"/>
    </row>
    <row r="3797">
      <c r="U3797" s="23"/>
      <c r="V3797" s="23"/>
      <c r="W3797" s="23"/>
    </row>
    <row r="3798">
      <c r="U3798" s="23"/>
      <c r="V3798" s="23"/>
      <c r="W3798" s="23"/>
    </row>
    <row r="3799">
      <c r="U3799" s="23"/>
      <c r="V3799" s="23"/>
      <c r="W3799" s="23"/>
    </row>
    <row r="3800">
      <c r="U3800" s="23"/>
      <c r="V3800" s="23"/>
      <c r="W3800" s="23"/>
    </row>
    <row r="3801">
      <c r="U3801" s="23"/>
      <c r="V3801" s="23"/>
      <c r="W3801" s="23"/>
    </row>
    <row r="3802">
      <c r="U3802" s="23"/>
      <c r="V3802" s="23"/>
      <c r="W3802" s="23"/>
    </row>
    <row r="3803">
      <c r="U3803" s="23"/>
      <c r="V3803" s="23"/>
      <c r="W3803" s="23"/>
    </row>
    <row r="3804">
      <c r="U3804" s="23"/>
      <c r="V3804" s="23"/>
      <c r="W3804" s="23"/>
    </row>
    <row r="3805">
      <c r="U3805" s="23"/>
      <c r="V3805" s="23"/>
      <c r="W3805" s="23"/>
    </row>
    <row r="3806">
      <c r="U3806" s="23"/>
      <c r="V3806" s="23"/>
      <c r="W3806" s="23"/>
    </row>
    <row r="3807">
      <c r="U3807" s="23"/>
      <c r="V3807" s="23"/>
      <c r="W3807" s="23"/>
    </row>
    <row r="3808">
      <c r="U3808" s="23"/>
      <c r="V3808" s="23"/>
      <c r="W3808" s="23"/>
    </row>
    <row r="3809">
      <c r="U3809" s="23"/>
      <c r="V3809" s="23"/>
      <c r="W3809" s="23"/>
    </row>
    <row r="3810">
      <c r="U3810" s="23"/>
      <c r="V3810" s="23"/>
      <c r="W3810" s="23"/>
    </row>
    <row r="3811">
      <c r="U3811" s="23"/>
      <c r="V3811" s="23"/>
      <c r="W3811" s="23"/>
    </row>
    <row r="3812">
      <c r="U3812" s="23"/>
      <c r="V3812" s="23"/>
      <c r="W3812" s="23"/>
    </row>
    <row r="3813">
      <c r="U3813" s="23"/>
      <c r="V3813" s="23"/>
      <c r="W3813" s="23"/>
    </row>
    <row r="3814">
      <c r="U3814" s="23"/>
      <c r="V3814" s="23"/>
      <c r="W3814" s="23"/>
    </row>
    <row r="3815">
      <c r="U3815" s="23"/>
      <c r="V3815" s="23"/>
      <c r="W3815" s="23"/>
    </row>
    <row r="3816">
      <c r="U3816" s="23"/>
      <c r="V3816" s="23"/>
      <c r="W3816" s="23"/>
    </row>
    <row r="3817">
      <c r="U3817" s="23"/>
      <c r="V3817" s="23"/>
      <c r="W3817" s="23"/>
    </row>
    <row r="3818">
      <c r="U3818" s="23"/>
      <c r="V3818" s="23"/>
      <c r="W3818" s="23"/>
    </row>
    <row r="3819">
      <c r="U3819" s="23"/>
      <c r="V3819" s="23"/>
      <c r="W3819" s="23"/>
    </row>
    <row r="3820">
      <c r="U3820" s="23"/>
      <c r="V3820" s="23"/>
      <c r="W3820" s="23"/>
    </row>
    <row r="3821">
      <c r="U3821" s="23"/>
      <c r="V3821" s="23"/>
      <c r="W3821" s="23"/>
    </row>
    <row r="3822">
      <c r="U3822" s="23"/>
      <c r="V3822" s="23"/>
      <c r="W3822" s="23"/>
    </row>
    <row r="3823">
      <c r="U3823" s="23"/>
      <c r="V3823" s="23"/>
      <c r="W3823" s="23"/>
    </row>
    <row r="3824">
      <c r="U3824" s="23"/>
      <c r="V3824" s="23"/>
      <c r="W3824" s="23"/>
    </row>
    <row r="3825">
      <c r="U3825" s="23"/>
      <c r="V3825" s="23"/>
      <c r="W3825" s="23"/>
    </row>
    <row r="3826">
      <c r="U3826" s="23"/>
      <c r="V3826" s="23"/>
      <c r="W3826" s="23"/>
    </row>
    <row r="3827">
      <c r="U3827" s="23"/>
      <c r="V3827" s="23"/>
      <c r="W3827" s="23"/>
    </row>
    <row r="3828">
      <c r="U3828" s="23"/>
      <c r="V3828" s="23"/>
      <c r="W3828" s="23"/>
    </row>
    <row r="3829">
      <c r="U3829" s="23"/>
      <c r="V3829" s="23"/>
      <c r="W3829" s="23"/>
    </row>
    <row r="3830">
      <c r="U3830" s="23"/>
      <c r="V3830" s="23"/>
      <c r="W3830" s="23"/>
    </row>
    <row r="3831">
      <c r="U3831" s="23"/>
      <c r="V3831" s="23"/>
      <c r="W3831" s="23"/>
    </row>
    <row r="3832">
      <c r="U3832" s="23"/>
      <c r="V3832" s="23"/>
      <c r="W3832" s="23"/>
    </row>
    <row r="3833">
      <c r="U3833" s="23"/>
      <c r="V3833" s="23"/>
      <c r="W3833" s="23"/>
    </row>
    <row r="3834">
      <c r="U3834" s="23"/>
      <c r="V3834" s="23"/>
      <c r="W3834" s="23"/>
    </row>
    <row r="3835">
      <c r="U3835" s="23"/>
      <c r="V3835" s="23"/>
      <c r="W3835" s="23"/>
    </row>
    <row r="3836">
      <c r="U3836" s="23"/>
      <c r="V3836" s="23"/>
      <c r="W3836" s="23"/>
    </row>
    <row r="3837">
      <c r="U3837" s="23"/>
      <c r="V3837" s="23"/>
      <c r="W3837" s="23"/>
    </row>
    <row r="3838">
      <c r="U3838" s="23"/>
      <c r="V3838" s="23"/>
      <c r="W3838" s="23"/>
    </row>
    <row r="3839">
      <c r="U3839" s="23"/>
      <c r="V3839" s="23"/>
      <c r="W3839" s="23"/>
    </row>
    <row r="3840">
      <c r="U3840" s="23"/>
      <c r="V3840" s="23"/>
      <c r="W3840" s="23"/>
    </row>
    <row r="3841">
      <c r="U3841" s="23"/>
      <c r="V3841" s="23"/>
      <c r="W3841" s="23"/>
    </row>
    <row r="3842">
      <c r="U3842" s="23"/>
      <c r="V3842" s="23"/>
      <c r="W3842" s="23"/>
    </row>
    <row r="3843">
      <c r="U3843" s="23"/>
      <c r="V3843" s="23"/>
      <c r="W3843" s="23"/>
    </row>
    <row r="3844">
      <c r="U3844" s="23"/>
      <c r="V3844" s="23"/>
      <c r="W3844" s="23"/>
    </row>
    <row r="3845">
      <c r="U3845" s="23"/>
      <c r="V3845" s="23"/>
      <c r="W3845" s="23"/>
    </row>
    <row r="3846">
      <c r="U3846" s="23"/>
      <c r="V3846" s="23"/>
      <c r="W3846" s="23"/>
    </row>
    <row r="3847">
      <c r="U3847" s="23"/>
      <c r="V3847" s="23"/>
      <c r="W3847" s="23"/>
    </row>
    <row r="3848">
      <c r="U3848" s="23"/>
      <c r="V3848" s="23"/>
      <c r="W3848" s="23"/>
    </row>
    <row r="3849">
      <c r="U3849" s="23"/>
      <c r="V3849" s="23"/>
      <c r="W3849" s="23"/>
    </row>
    <row r="3850">
      <c r="U3850" s="23"/>
      <c r="V3850" s="23"/>
      <c r="W3850" s="23"/>
    </row>
    <row r="3851">
      <c r="U3851" s="23"/>
      <c r="V3851" s="23"/>
      <c r="W3851" s="23"/>
    </row>
    <row r="3852">
      <c r="U3852" s="23"/>
      <c r="V3852" s="23"/>
      <c r="W3852" s="23"/>
    </row>
    <row r="3853">
      <c r="U3853" s="23"/>
      <c r="V3853" s="23"/>
      <c r="W3853" s="23"/>
    </row>
    <row r="3854">
      <c r="U3854" s="23"/>
      <c r="V3854" s="23"/>
      <c r="W3854" s="23"/>
    </row>
    <row r="3855">
      <c r="U3855" s="23"/>
      <c r="V3855" s="23"/>
      <c r="W3855" s="23"/>
    </row>
    <row r="3856">
      <c r="U3856" s="23"/>
      <c r="V3856" s="23"/>
      <c r="W3856" s="23"/>
    </row>
    <row r="3857">
      <c r="U3857" s="23"/>
      <c r="V3857" s="23"/>
      <c r="W3857" s="23"/>
    </row>
    <row r="3858">
      <c r="U3858" s="23"/>
      <c r="V3858" s="23"/>
      <c r="W3858" s="23"/>
    </row>
    <row r="3859">
      <c r="U3859" s="23"/>
      <c r="V3859" s="23"/>
      <c r="W3859" s="23"/>
    </row>
    <row r="3860">
      <c r="U3860" s="23"/>
      <c r="V3860" s="23"/>
      <c r="W3860" s="23"/>
    </row>
    <row r="3861">
      <c r="U3861" s="23"/>
      <c r="V3861" s="23"/>
      <c r="W3861" s="23"/>
    </row>
    <row r="3862">
      <c r="U3862" s="23"/>
      <c r="V3862" s="23"/>
      <c r="W3862" s="23"/>
    </row>
    <row r="3863">
      <c r="U3863" s="23"/>
      <c r="V3863" s="23"/>
      <c r="W3863" s="23"/>
    </row>
    <row r="3864">
      <c r="U3864" s="23"/>
      <c r="V3864" s="23"/>
      <c r="W3864" s="23"/>
    </row>
    <row r="3865">
      <c r="U3865" s="23"/>
      <c r="V3865" s="23"/>
      <c r="W3865" s="23"/>
    </row>
    <row r="3866">
      <c r="U3866" s="23"/>
      <c r="V3866" s="23"/>
      <c r="W3866" s="23"/>
    </row>
    <row r="3867">
      <c r="U3867" s="23"/>
      <c r="V3867" s="23"/>
      <c r="W3867" s="23"/>
    </row>
    <row r="3868">
      <c r="U3868" s="23"/>
      <c r="V3868" s="23"/>
      <c r="W3868" s="23"/>
    </row>
    <row r="3869">
      <c r="U3869" s="23"/>
      <c r="V3869" s="23"/>
      <c r="W3869" s="23"/>
    </row>
    <row r="3870">
      <c r="U3870" s="23"/>
      <c r="V3870" s="23"/>
      <c r="W3870" s="23"/>
    </row>
    <row r="3871">
      <c r="U3871" s="23"/>
      <c r="V3871" s="23"/>
      <c r="W3871" s="23"/>
    </row>
    <row r="3872">
      <c r="U3872" s="23"/>
      <c r="V3872" s="23"/>
      <c r="W3872" s="23"/>
    </row>
    <row r="3873">
      <c r="U3873" s="23"/>
      <c r="V3873" s="23"/>
      <c r="W3873" s="23"/>
    </row>
    <row r="3874">
      <c r="U3874" s="23"/>
      <c r="V3874" s="23"/>
      <c r="W3874" s="23"/>
    </row>
    <row r="3875">
      <c r="U3875" s="23"/>
      <c r="V3875" s="23"/>
      <c r="W3875" s="23"/>
    </row>
    <row r="3876">
      <c r="U3876" s="23"/>
      <c r="V3876" s="23"/>
      <c r="W3876" s="23"/>
    </row>
    <row r="3877">
      <c r="U3877" s="23"/>
      <c r="V3877" s="23"/>
      <c r="W3877" s="23"/>
    </row>
    <row r="3878">
      <c r="U3878" s="23"/>
      <c r="V3878" s="23"/>
      <c r="W3878" s="23"/>
    </row>
    <row r="3879">
      <c r="U3879" s="23"/>
      <c r="V3879" s="23"/>
      <c r="W3879" s="23"/>
    </row>
    <row r="3880">
      <c r="U3880" s="23"/>
      <c r="V3880" s="23"/>
      <c r="W3880" s="23"/>
    </row>
    <row r="3881">
      <c r="U3881" s="23"/>
      <c r="V3881" s="23"/>
      <c r="W3881" s="23"/>
    </row>
    <row r="3882">
      <c r="U3882" s="23"/>
      <c r="V3882" s="23"/>
      <c r="W3882" s="23"/>
    </row>
    <row r="3883">
      <c r="U3883" s="23"/>
      <c r="V3883" s="23"/>
      <c r="W3883" s="23"/>
    </row>
    <row r="3884">
      <c r="U3884" s="23"/>
      <c r="V3884" s="23"/>
      <c r="W3884" s="23"/>
    </row>
    <row r="3885">
      <c r="U3885" s="23"/>
      <c r="V3885" s="23"/>
      <c r="W3885" s="23"/>
    </row>
    <row r="3886">
      <c r="U3886" s="23"/>
      <c r="V3886" s="23"/>
      <c r="W3886" s="23"/>
    </row>
    <row r="3887">
      <c r="U3887" s="23"/>
      <c r="V3887" s="23"/>
      <c r="W3887" s="23"/>
    </row>
    <row r="3888">
      <c r="U3888" s="23"/>
      <c r="V3888" s="23"/>
      <c r="W3888" s="23"/>
    </row>
    <row r="3889">
      <c r="U3889" s="23"/>
      <c r="V3889" s="23"/>
      <c r="W3889" s="23"/>
    </row>
    <row r="3890">
      <c r="U3890" s="23"/>
      <c r="V3890" s="23"/>
      <c r="W3890" s="23"/>
    </row>
    <row r="3891">
      <c r="U3891" s="23"/>
      <c r="V3891" s="23"/>
      <c r="W3891" s="23"/>
    </row>
    <row r="3892">
      <c r="U3892" s="23"/>
      <c r="V3892" s="23"/>
      <c r="W3892" s="23"/>
    </row>
    <row r="3893">
      <c r="U3893" s="23"/>
      <c r="V3893" s="23"/>
      <c r="W3893" s="23"/>
    </row>
    <row r="3894">
      <c r="U3894" s="23"/>
      <c r="V3894" s="23"/>
      <c r="W3894" s="23"/>
    </row>
    <row r="3895">
      <c r="U3895" s="23"/>
      <c r="V3895" s="23"/>
      <c r="W3895" s="23"/>
    </row>
    <row r="3896">
      <c r="U3896" s="23"/>
      <c r="V3896" s="23"/>
      <c r="W3896" s="23"/>
    </row>
    <row r="3897">
      <c r="U3897" s="23"/>
      <c r="V3897" s="23"/>
      <c r="W3897" s="23"/>
    </row>
    <row r="3898">
      <c r="U3898" s="23"/>
      <c r="V3898" s="23"/>
      <c r="W3898" s="23"/>
    </row>
    <row r="3899">
      <c r="U3899" s="23"/>
      <c r="V3899" s="23"/>
      <c r="W3899" s="23"/>
    </row>
    <row r="3900">
      <c r="U3900" s="23"/>
      <c r="V3900" s="23"/>
      <c r="W3900" s="23"/>
    </row>
    <row r="3901">
      <c r="U3901" s="23"/>
      <c r="V3901" s="23"/>
      <c r="W3901" s="23"/>
    </row>
    <row r="3902">
      <c r="U3902" s="23"/>
      <c r="V3902" s="23"/>
      <c r="W3902" s="23"/>
    </row>
    <row r="3903">
      <c r="U3903" s="23"/>
      <c r="V3903" s="23"/>
      <c r="W3903" s="23"/>
    </row>
    <row r="3904">
      <c r="U3904" s="23"/>
      <c r="V3904" s="23"/>
      <c r="W3904" s="23"/>
    </row>
    <row r="3905">
      <c r="U3905" s="23"/>
      <c r="V3905" s="23"/>
      <c r="W3905" s="23"/>
    </row>
    <row r="3906">
      <c r="U3906" s="23"/>
      <c r="V3906" s="23"/>
      <c r="W3906" s="23"/>
    </row>
    <row r="3907">
      <c r="U3907" s="23"/>
      <c r="V3907" s="23"/>
      <c r="W3907" s="23"/>
    </row>
    <row r="3908">
      <c r="U3908" s="23"/>
      <c r="V3908" s="23"/>
      <c r="W3908" s="23"/>
    </row>
    <row r="3909">
      <c r="U3909" s="23"/>
      <c r="V3909" s="23"/>
      <c r="W3909" s="23"/>
    </row>
    <row r="3910">
      <c r="U3910" s="23"/>
      <c r="V3910" s="23"/>
      <c r="W3910" s="23"/>
    </row>
    <row r="3911">
      <c r="U3911" s="23"/>
      <c r="V3911" s="23"/>
      <c r="W3911" s="23"/>
    </row>
    <row r="3912">
      <c r="U3912" s="23"/>
      <c r="V3912" s="23"/>
      <c r="W3912" s="23"/>
    </row>
    <row r="3913">
      <c r="U3913" s="23"/>
      <c r="V3913" s="23"/>
      <c r="W3913" s="23"/>
    </row>
    <row r="3914">
      <c r="U3914" s="23"/>
      <c r="V3914" s="23"/>
      <c r="W3914" s="23"/>
    </row>
    <row r="3915">
      <c r="U3915" s="23"/>
      <c r="V3915" s="23"/>
      <c r="W3915" s="23"/>
    </row>
    <row r="3916">
      <c r="U3916" s="23"/>
      <c r="V3916" s="23"/>
      <c r="W3916" s="23"/>
    </row>
    <row r="3917">
      <c r="U3917" s="23"/>
      <c r="V3917" s="23"/>
      <c r="W3917" s="23"/>
    </row>
    <row r="3918">
      <c r="U3918" s="23"/>
      <c r="V3918" s="23"/>
      <c r="W3918" s="23"/>
    </row>
    <row r="3919">
      <c r="U3919" s="23"/>
      <c r="V3919" s="23"/>
      <c r="W3919" s="23"/>
    </row>
    <row r="3920">
      <c r="U3920" s="23"/>
      <c r="V3920" s="23"/>
      <c r="W3920" s="23"/>
    </row>
    <row r="3921">
      <c r="U3921" s="23"/>
      <c r="V3921" s="23"/>
      <c r="W3921" s="23"/>
    </row>
    <row r="3922">
      <c r="U3922" s="23"/>
      <c r="V3922" s="23"/>
      <c r="W3922" s="23"/>
    </row>
    <row r="3923">
      <c r="U3923" s="23"/>
      <c r="V3923" s="23"/>
      <c r="W3923" s="23"/>
    </row>
    <row r="3924">
      <c r="U3924" s="23"/>
      <c r="V3924" s="23"/>
      <c r="W3924" s="23"/>
    </row>
    <row r="3925">
      <c r="U3925" s="23"/>
      <c r="V3925" s="23"/>
      <c r="W3925" s="23"/>
    </row>
    <row r="3926">
      <c r="U3926" s="23"/>
      <c r="V3926" s="23"/>
      <c r="W3926" s="23"/>
    </row>
    <row r="3927">
      <c r="U3927" s="23"/>
      <c r="V3927" s="23"/>
      <c r="W3927" s="23"/>
    </row>
    <row r="3928">
      <c r="U3928" s="23"/>
      <c r="V3928" s="23"/>
      <c r="W3928" s="23"/>
    </row>
    <row r="3929">
      <c r="U3929" s="23"/>
      <c r="V3929" s="23"/>
      <c r="W3929" s="23"/>
    </row>
    <row r="3930">
      <c r="U3930" s="23"/>
      <c r="V3930" s="23"/>
      <c r="W3930" s="23"/>
    </row>
    <row r="3931">
      <c r="U3931" s="23"/>
      <c r="V3931" s="23"/>
      <c r="W3931" s="23"/>
    </row>
    <row r="3932">
      <c r="U3932" s="23"/>
      <c r="V3932" s="23"/>
      <c r="W3932" s="23"/>
    </row>
    <row r="3933">
      <c r="U3933" s="23"/>
      <c r="V3933" s="23"/>
      <c r="W3933" s="23"/>
    </row>
    <row r="3934">
      <c r="U3934" s="23"/>
      <c r="V3934" s="23"/>
      <c r="W3934" s="23"/>
    </row>
    <row r="3935">
      <c r="U3935" s="23"/>
      <c r="V3935" s="23"/>
      <c r="W3935" s="23"/>
    </row>
    <row r="3936">
      <c r="U3936" s="23"/>
      <c r="V3936" s="23"/>
      <c r="W3936" s="23"/>
    </row>
    <row r="3937">
      <c r="U3937" s="23"/>
      <c r="V3937" s="23"/>
      <c r="W3937" s="23"/>
    </row>
    <row r="3938">
      <c r="U3938" s="23"/>
      <c r="V3938" s="23"/>
      <c r="W3938" s="23"/>
    </row>
    <row r="3939">
      <c r="U3939" s="23"/>
      <c r="V3939" s="23"/>
      <c r="W3939" s="23"/>
    </row>
    <row r="3940">
      <c r="U3940" s="23"/>
      <c r="V3940" s="23"/>
      <c r="W3940" s="23"/>
    </row>
    <row r="3941">
      <c r="U3941" s="23"/>
      <c r="V3941" s="23"/>
      <c r="W3941" s="23"/>
    </row>
    <row r="3942">
      <c r="U3942" s="23"/>
      <c r="V3942" s="23"/>
      <c r="W3942" s="23"/>
    </row>
    <row r="3943">
      <c r="U3943" s="23"/>
      <c r="V3943" s="23"/>
      <c r="W3943" s="23"/>
    </row>
    <row r="3944">
      <c r="U3944" s="23"/>
      <c r="V3944" s="23"/>
      <c r="W3944" s="23"/>
    </row>
    <row r="3945">
      <c r="U3945" s="23"/>
      <c r="V3945" s="23"/>
      <c r="W3945" s="23"/>
    </row>
    <row r="3946">
      <c r="U3946" s="23"/>
      <c r="V3946" s="23"/>
      <c r="W3946" s="23"/>
    </row>
    <row r="3947">
      <c r="U3947" s="23"/>
      <c r="V3947" s="23"/>
      <c r="W3947" s="23"/>
    </row>
    <row r="3948">
      <c r="U3948" s="23"/>
      <c r="V3948" s="23"/>
      <c r="W3948" s="23"/>
    </row>
    <row r="3949">
      <c r="U3949" s="23"/>
      <c r="V3949" s="23"/>
      <c r="W3949" s="23"/>
    </row>
    <row r="3950">
      <c r="U3950" s="23"/>
      <c r="V3950" s="23"/>
      <c r="W3950" s="23"/>
    </row>
    <row r="3951">
      <c r="U3951" s="23"/>
      <c r="V3951" s="23"/>
      <c r="W3951" s="23"/>
    </row>
    <row r="3952">
      <c r="U3952" s="23"/>
      <c r="V3952" s="23"/>
      <c r="W3952" s="23"/>
    </row>
    <row r="3953">
      <c r="U3953" s="23"/>
      <c r="V3953" s="23"/>
      <c r="W3953" s="23"/>
    </row>
    <row r="3954">
      <c r="U3954" s="23"/>
      <c r="V3954" s="23"/>
      <c r="W3954" s="23"/>
    </row>
    <row r="3955">
      <c r="U3955" s="23"/>
      <c r="V3955" s="23"/>
      <c r="W3955" s="23"/>
    </row>
    <row r="3956">
      <c r="U3956" s="23"/>
      <c r="V3956" s="23"/>
      <c r="W3956" s="23"/>
    </row>
    <row r="3957">
      <c r="U3957" s="23"/>
      <c r="V3957" s="23"/>
      <c r="W3957" s="23"/>
    </row>
    <row r="3958">
      <c r="U3958" s="23"/>
      <c r="V3958" s="23"/>
      <c r="W3958" s="23"/>
    </row>
    <row r="3959">
      <c r="U3959" s="23"/>
      <c r="V3959" s="23"/>
      <c r="W3959" s="23"/>
    </row>
    <row r="3960">
      <c r="U3960" s="23"/>
      <c r="V3960" s="23"/>
      <c r="W3960" s="23"/>
    </row>
    <row r="3961">
      <c r="U3961" s="23"/>
      <c r="V3961" s="23"/>
      <c r="W3961" s="23"/>
    </row>
    <row r="3962">
      <c r="U3962" s="23"/>
      <c r="V3962" s="23"/>
      <c r="W3962" s="23"/>
    </row>
    <row r="3963">
      <c r="U3963" s="23"/>
      <c r="V3963" s="23"/>
      <c r="W3963" s="23"/>
    </row>
    <row r="3964">
      <c r="U3964" s="23"/>
      <c r="V3964" s="23"/>
      <c r="W3964" s="23"/>
    </row>
    <row r="3965">
      <c r="U3965" s="23"/>
      <c r="V3965" s="23"/>
      <c r="W3965" s="23"/>
    </row>
    <row r="3966">
      <c r="U3966" s="23"/>
      <c r="V3966" s="23"/>
      <c r="W3966" s="23"/>
    </row>
    <row r="3967">
      <c r="U3967" s="23"/>
      <c r="V3967" s="23"/>
      <c r="W3967" s="23"/>
    </row>
    <row r="3968">
      <c r="U3968" s="23"/>
      <c r="V3968" s="23"/>
      <c r="W3968" s="23"/>
    </row>
    <row r="3969">
      <c r="U3969" s="23"/>
      <c r="V3969" s="23"/>
      <c r="W3969" s="23"/>
    </row>
    <row r="3970">
      <c r="U3970" s="23"/>
      <c r="V3970" s="23"/>
      <c r="W3970" s="23"/>
    </row>
    <row r="3971">
      <c r="U3971" s="23"/>
      <c r="V3971" s="23"/>
      <c r="W3971" s="23"/>
    </row>
    <row r="3972">
      <c r="U3972" s="23"/>
      <c r="V3972" s="23"/>
      <c r="W3972" s="23"/>
    </row>
    <row r="3973">
      <c r="U3973" s="23"/>
      <c r="V3973" s="23"/>
      <c r="W3973" s="23"/>
    </row>
    <row r="3974">
      <c r="U3974" s="23"/>
      <c r="V3974" s="23"/>
      <c r="W3974" s="23"/>
    </row>
    <row r="3975">
      <c r="U3975" s="23"/>
      <c r="V3975" s="23"/>
      <c r="W3975" s="23"/>
    </row>
    <row r="3976">
      <c r="U3976" s="23"/>
      <c r="V3976" s="23"/>
      <c r="W3976" s="23"/>
    </row>
    <row r="3977">
      <c r="U3977" s="23"/>
      <c r="V3977" s="23"/>
      <c r="W3977" s="23"/>
    </row>
    <row r="3978">
      <c r="U3978" s="23"/>
      <c r="V3978" s="23"/>
      <c r="W3978" s="23"/>
    </row>
    <row r="3979">
      <c r="U3979" s="23"/>
      <c r="V3979" s="23"/>
      <c r="W3979" s="23"/>
    </row>
    <row r="3980">
      <c r="U3980" s="23"/>
      <c r="V3980" s="23"/>
      <c r="W3980" s="23"/>
    </row>
    <row r="3981">
      <c r="U3981" s="23"/>
      <c r="V3981" s="23"/>
      <c r="W3981" s="23"/>
    </row>
    <row r="3982">
      <c r="U3982" s="23"/>
      <c r="V3982" s="23"/>
      <c r="W3982" s="23"/>
    </row>
    <row r="3983">
      <c r="U3983" s="23"/>
      <c r="V3983" s="23"/>
      <c r="W3983" s="23"/>
    </row>
    <row r="3984">
      <c r="U3984" s="23"/>
      <c r="V3984" s="23"/>
      <c r="W3984" s="23"/>
    </row>
    <row r="3985">
      <c r="U3985" s="23"/>
      <c r="V3985" s="23"/>
      <c r="W3985" s="23"/>
    </row>
    <row r="3986">
      <c r="U3986" s="23"/>
      <c r="V3986" s="23"/>
      <c r="W3986" s="23"/>
    </row>
    <row r="3987">
      <c r="U3987" s="23"/>
      <c r="V3987" s="23"/>
      <c r="W3987" s="23"/>
    </row>
    <row r="3988">
      <c r="U3988" s="23"/>
      <c r="V3988" s="23"/>
      <c r="W3988" s="23"/>
    </row>
    <row r="3989">
      <c r="U3989" s="23"/>
      <c r="V3989" s="23"/>
      <c r="W3989" s="23"/>
    </row>
    <row r="3990">
      <c r="U3990" s="23"/>
      <c r="V3990" s="23"/>
      <c r="W3990" s="23"/>
    </row>
    <row r="3991">
      <c r="U3991" s="23"/>
      <c r="V3991" s="23"/>
      <c r="W3991" s="23"/>
    </row>
    <row r="3992">
      <c r="U3992" s="23"/>
      <c r="V3992" s="23"/>
      <c r="W3992" s="23"/>
    </row>
    <row r="3993">
      <c r="U3993" s="23"/>
      <c r="V3993" s="23"/>
      <c r="W3993" s="23"/>
    </row>
    <row r="3994">
      <c r="U3994" s="23"/>
      <c r="V3994" s="23"/>
      <c r="W3994" s="23"/>
    </row>
    <row r="3995">
      <c r="U3995" s="23"/>
      <c r="V3995" s="23"/>
      <c r="W3995" s="23"/>
    </row>
    <row r="3996">
      <c r="U3996" s="23"/>
      <c r="V3996" s="23"/>
      <c r="W3996" s="23"/>
    </row>
    <row r="3997">
      <c r="U3997" s="23"/>
      <c r="V3997" s="23"/>
      <c r="W3997" s="23"/>
    </row>
    <row r="3998">
      <c r="U3998" s="23"/>
      <c r="V3998" s="23"/>
      <c r="W3998" s="23"/>
    </row>
    <row r="3999">
      <c r="U3999" s="23"/>
      <c r="V3999" s="23"/>
      <c r="W3999" s="23"/>
    </row>
    <row r="4000">
      <c r="U4000" s="23"/>
      <c r="V4000" s="23"/>
      <c r="W4000" s="23"/>
    </row>
    <row r="4001">
      <c r="U4001" s="23"/>
      <c r="V4001" s="23"/>
      <c r="W4001" s="23"/>
    </row>
    <row r="4002">
      <c r="U4002" s="23"/>
      <c r="V4002" s="23"/>
      <c r="W4002" s="23"/>
    </row>
    <row r="4003">
      <c r="U4003" s="23"/>
      <c r="V4003" s="23"/>
      <c r="W4003" s="23"/>
    </row>
    <row r="4004">
      <c r="U4004" s="23"/>
      <c r="V4004" s="23"/>
      <c r="W4004" s="23"/>
    </row>
    <row r="4005">
      <c r="U4005" s="23"/>
      <c r="V4005" s="23"/>
      <c r="W4005" s="23"/>
    </row>
    <row r="4006">
      <c r="U4006" s="23"/>
      <c r="V4006" s="23"/>
      <c r="W4006" s="23"/>
    </row>
    <row r="4007">
      <c r="U4007" s="23"/>
      <c r="V4007" s="23"/>
      <c r="W4007" s="23"/>
    </row>
    <row r="4008">
      <c r="U4008" s="23"/>
      <c r="V4008" s="23"/>
      <c r="W4008" s="23"/>
    </row>
    <row r="4009">
      <c r="U4009" s="23"/>
      <c r="V4009" s="23"/>
      <c r="W4009" s="23"/>
    </row>
    <row r="4010">
      <c r="U4010" s="23"/>
      <c r="V4010" s="23"/>
      <c r="W4010" s="23"/>
    </row>
    <row r="4011">
      <c r="U4011" s="23"/>
      <c r="V4011" s="23"/>
      <c r="W4011" s="23"/>
    </row>
    <row r="4012">
      <c r="U4012" s="23"/>
      <c r="V4012" s="23"/>
      <c r="W4012" s="23"/>
    </row>
    <row r="4013">
      <c r="U4013" s="23"/>
      <c r="V4013" s="23"/>
      <c r="W4013" s="23"/>
    </row>
    <row r="4014">
      <c r="U4014" s="23"/>
      <c r="V4014" s="23"/>
      <c r="W4014" s="23"/>
    </row>
    <row r="4015">
      <c r="U4015" s="23"/>
      <c r="V4015" s="23"/>
      <c r="W4015" s="23"/>
    </row>
    <row r="4016">
      <c r="U4016" s="23"/>
      <c r="V4016" s="23"/>
      <c r="W4016" s="23"/>
    </row>
    <row r="4017">
      <c r="U4017" s="23"/>
      <c r="V4017" s="23"/>
      <c r="W4017" s="23"/>
    </row>
    <row r="4018">
      <c r="U4018" s="23"/>
      <c r="V4018" s="23"/>
      <c r="W4018" s="23"/>
    </row>
    <row r="4019">
      <c r="U4019" s="23"/>
      <c r="V4019" s="23"/>
      <c r="W4019" s="23"/>
    </row>
    <row r="4020">
      <c r="U4020" s="23"/>
      <c r="V4020" s="23"/>
      <c r="W4020" s="23"/>
    </row>
    <row r="4021">
      <c r="U4021" s="23"/>
      <c r="V4021" s="23"/>
      <c r="W4021" s="23"/>
    </row>
    <row r="4022">
      <c r="U4022" s="23"/>
      <c r="V4022" s="23"/>
      <c r="W4022" s="23"/>
    </row>
    <row r="4023">
      <c r="U4023" s="23"/>
      <c r="V4023" s="23"/>
      <c r="W4023" s="23"/>
    </row>
    <row r="4024">
      <c r="U4024" s="23"/>
      <c r="V4024" s="23"/>
      <c r="W4024" s="23"/>
    </row>
    <row r="4025">
      <c r="U4025" s="23"/>
      <c r="V4025" s="23"/>
      <c r="W4025" s="23"/>
    </row>
    <row r="4026">
      <c r="U4026" s="23"/>
      <c r="V4026" s="23"/>
      <c r="W4026" s="23"/>
    </row>
    <row r="4027">
      <c r="U4027" s="23"/>
      <c r="V4027" s="23"/>
      <c r="W4027" s="23"/>
    </row>
    <row r="4028">
      <c r="U4028" s="23"/>
      <c r="V4028" s="23"/>
      <c r="W4028" s="23"/>
    </row>
    <row r="4029">
      <c r="U4029" s="23"/>
      <c r="V4029" s="23"/>
      <c r="W4029" s="23"/>
    </row>
    <row r="4030">
      <c r="U4030" s="23"/>
      <c r="V4030" s="23"/>
      <c r="W4030" s="23"/>
    </row>
    <row r="4031">
      <c r="U4031" s="23"/>
      <c r="V4031" s="23"/>
      <c r="W4031" s="23"/>
    </row>
    <row r="4032">
      <c r="U4032" s="23"/>
      <c r="V4032" s="23"/>
      <c r="W4032" s="23"/>
    </row>
    <row r="4033">
      <c r="U4033" s="23"/>
      <c r="V4033" s="23"/>
      <c r="W4033" s="23"/>
    </row>
    <row r="4034">
      <c r="U4034" s="23"/>
      <c r="V4034" s="23"/>
      <c r="W4034" s="23"/>
    </row>
    <row r="4035">
      <c r="U4035" s="23"/>
      <c r="V4035" s="23"/>
      <c r="W4035" s="23"/>
    </row>
    <row r="4036">
      <c r="U4036" s="23"/>
      <c r="V4036" s="23"/>
      <c r="W4036" s="23"/>
    </row>
    <row r="4037">
      <c r="U4037" s="23"/>
      <c r="V4037" s="23"/>
      <c r="W4037" s="23"/>
    </row>
    <row r="4038">
      <c r="U4038" s="23"/>
      <c r="V4038" s="23"/>
      <c r="W4038" s="23"/>
    </row>
    <row r="4039">
      <c r="U4039" s="23"/>
      <c r="V4039" s="23"/>
      <c r="W4039" s="23"/>
    </row>
    <row r="4040">
      <c r="U4040" s="23"/>
      <c r="V4040" s="23"/>
      <c r="W4040" s="23"/>
    </row>
    <row r="4041">
      <c r="U4041" s="23"/>
      <c r="V4041" s="23"/>
      <c r="W4041" s="23"/>
    </row>
    <row r="4042">
      <c r="U4042" s="23"/>
      <c r="V4042" s="23"/>
      <c r="W4042" s="23"/>
    </row>
    <row r="4043">
      <c r="U4043" s="23"/>
      <c r="V4043" s="23"/>
      <c r="W4043" s="23"/>
    </row>
    <row r="4044">
      <c r="U4044" s="23"/>
      <c r="V4044" s="23"/>
      <c r="W4044" s="23"/>
    </row>
    <row r="4045">
      <c r="U4045" s="23"/>
      <c r="V4045" s="23"/>
      <c r="W4045" s="23"/>
    </row>
    <row r="4046">
      <c r="U4046" s="23"/>
      <c r="V4046" s="23"/>
      <c r="W4046" s="23"/>
    </row>
    <row r="4047">
      <c r="U4047" s="23"/>
      <c r="V4047" s="23"/>
      <c r="W4047" s="23"/>
    </row>
    <row r="4048">
      <c r="U4048" s="23"/>
      <c r="V4048" s="23"/>
      <c r="W4048" s="23"/>
    </row>
    <row r="4049">
      <c r="U4049" s="23"/>
      <c r="V4049" s="23"/>
      <c r="W4049" s="23"/>
    </row>
    <row r="4050">
      <c r="U4050" s="23"/>
      <c r="V4050" s="23"/>
      <c r="W4050" s="23"/>
    </row>
    <row r="4051">
      <c r="U4051" s="23"/>
      <c r="V4051" s="23"/>
      <c r="W4051" s="23"/>
    </row>
    <row r="4052">
      <c r="U4052" s="23"/>
      <c r="V4052" s="23"/>
      <c r="W4052" s="23"/>
    </row>
    <row r="4053">
      <c r="U4053" s="23"/>
      <c r="V4053" s="23"/>
      <c r="W4053" s="23"/>
    </row>
    <row r="4054">
      <c r="U4054" s="23"/>
      <c r="V4054" s="23"/>
      <c r="W4054" s="23"/>
    </row>
    <row r="4055">
      <c r="U4055" s="23"/>
      <c r="V4055" s="23"/>
      <c r="W4055" s="23"/>
    </row>
    <row r="4056">
      <c r="U4056" s="23"/>
      <c r="V4056" s="23"/>
      <c r="W4056" s="23"/>
    </row>
    <row r="4057">
      <c r="U4057" s="23"/>
      <c r="V4057" s="23"/>
      <c r="W4057" s="23"/>
    </row>
    <row r="4058">
      <c r="U4058" s="23"/>
      <c r="V4058" s="23"/>
      <c r="W4058" s="23"/>
    </row>
    <row r="4059">
      <c r="U4059" s="23"/>
      <c r="V4059" s="23"/>
      <c r="W4059" s="23"/>
    </row>
    <row r="4060">
      <c r="U4060" s="23"/>
      <c r="V4060" s="23"/>
      <c r="W4060" s="23"/>
    </row>
    <row r="4061">
      <c r="U4061" s="23"/>
      <c r="V4061" s="23"/>
      <c r="W4061" s="23"/>
    </row>
    <row r="4062">
      <c r="U4062" s="23"/>
      <c r="V4062" s="23"/>
      <c r="W4062" s="23"/>
    </row>
    <row r="4063">
      <c r="U4063" s="23"/>
      <c r="V4063" s="23"/>
      <c r="W4063" s="23"/>
    </row>
    <row r="4064">
      <c r="U4064" s="23"/>
      <c r="V4064" s="23"/>
      <c r="W4064" s="23"/>
    </row>
    <row r="4065">
      <c r="U4065" s="23"/>
      <c r="V4065" s="23"/>
      <c r="W4065" s="23"/>
    </row>
    <row r="4066">
      <c r="U4066" s="23"/>
      <c r="V4066" s="23"/>
      <c r="W4066" s="23"/>
    </row>
    <row r="4067">
      <c r="U4067" s="23"/>
      <c r="V4067" s="23"/>
      <c r="W4067" s="23"/>
    </row>
    <row r="4068">
      <c r="U4068" s="23"/>
      <c r="V4068" s="23"/>
      <c r="W4068" s="23"/>
    </row>
    <row r="4069">
      <c r="U4069" s="23"/>
      <c r="V4069" s="23"/>
      <c r="W4069" s="23"/>
    </row>
    <row r="4070">
      <c r="U4070" s="23"/>
      <c r="V4070" s="23"/>
      <c r="W4070" s="23"/>
    </row>
    <row r="4071">
      <c r="U4071" s="23"/>
      <c r="V4071" s="23"/>
      <c r="W4071" s="23"/>
    </row>
    <row r="4072">
      <c r="U4072" s="23"/>
      <c r="V4072" s="23"/>
      <c r="W4072" s="23"/>
    </row>
    <row r="4073">
      <c r="U4073" s="23"/>
      <c r="V4073" s="23"/>
      <c r="W4073" s="23"/>
    </row>
    <row r="4074">
      <c r="U4074" s="23"/>
      <c r="V4074" s="23"/>
      <c r="W4074" s="23"/>
    </row>
    <row r="4075">
      <c r="U4075" s="23"/>
      <c r="V4075" s="23"/>
      <c r="W4075" s="23"/>
    </row>
    <row r="4076">
      <c r="U4076" s="23"/>
      <c r="V4076" s="23"/>
      <c r="W4076" s="23"/>
    </row>
    <row r="4077">
      <c r="U4077" s="23"/>
      <c r="V4077" s="23"/>
      <c r="W4077" s="23"/>
    </row>
    <row r="4078">
      <c r="U4078" s="23"/>
      <c r="V4078" s="23"/>
      <c r="W4078" s="23"/>
    </row>
    <row r="4079">
      <c r="U4079" s="23"/>
      <c r="V4079" s="23"/>
      <c r="W4079" s="23"/>
    </row>
    <row r="4080">
      <c r="U4080" s="23"/>
      <c r="V4080" s="23"/>
      <c r="W4080" s="23"/>
    </row>
    <row r="4081">
      <c r="U4081" s="23"/>
      <c r="V4081" s="23"/>
      <c r="W4081" s="23"/>
    </row>
    <row r="4082">
      <c r="U4082" s="23"/>
      <c r="V4082" s="23"/>
      <c r="W4082" s="23"/>
    </row>
    <row r="4083">
      <c r="U4083" s="23"/>
      <c r="V4083" s="23"/>
      <c r="W4083" s="23"/>
    </row>
    <row r="4084">
      <c r="U4084" s="23"/>
      <c r="V4084" s="23"/>
      <c r="W4084" s="23"/>
    </row>
    <row r="4085">
      <c r="U4085" s="23"/>
      <c r="V4085" s="23"/>
      <c r="W4085" s="23"/>
    </row>
    <row r="4086">
      <c r="U4086" s="23"/>
      <c r="V4086" s="23"/>
      <c r="W4086" s="23"/>
    </row>
    <row r="4087">
      <c r="U4087" s="23"/>
      <c r="V4087" s="23"/>
      <c r="W4087" s="23"/>
    </row>
    <row r="4088">
      <c r="U4088" s="23"/>
      <c r="V4088" s="23"/>
      <c r="W4088" s="23"/>
    </row>
    <row r="4089">
      <c r="U4089" s="23"/>
      <c r="V4089" s="23"/>
      <c r="W4089" s="23"/>
    </row>
    <row r="4090">
      <c r="U4090" s="23"/>
      <c r="V4090" s="23"/>
      <c r="W4090" s="23"/>
    </row>
    <row r="4091">
      <c r="U4091" s="23"/>
      <c r="V4091" s="23"/>
      <c r="W4091" s="23"/>
    </row>
    <row r="4092">
      <c r="U4092" s="23"/>
      <c r="V4092" s="23"/>
      <c r="W4092" s="23"/>
    </row>
    <row r="4093">
      <c r="U4093" s="23"/>
      <c r="V4093" s="23"/>
      <c r="W4093" s="23"/>
    </row>
    <row r="4094">
      <c r="U4094" s="23"/>
      <c r="V4094" s="23"/>
      <c r="W4094" s="23"/>
    </row>
    <row r="4095">
      <c r="U4095" s="23"/>
      <c r="V4095" s="23"/>
      <c r="W4095" s="23"/>
    </row>
    <row r="4096">
      <c r="U4096" s="23"/>
      <c r="V4096" s="23"/>
      <c r="W4096" s="23"/>
    </row>
    <row r="4097">
      <c r="U4097" s="23"/>
      <c r="V4097" s="23"/>
      <c r="W4097" s="23"/>
    </row>
    <row r="4098">
      <c r="U4098" s="23"/>
      <c r="V4098" s="23"/>
      <c r="W4098" s="23"/>
    </row>
    <row r="4099">
      <c r="U4099" s="23"/>
      <c r="V4099" s="23"/>
      <c r="W4099" s="23"/>
    </row>
    <row r="4100">
      <c r="U4100" s="23"/>
      <c r="V4100" s="23"/>
      <c r="W4100" s="23"/>
    </row>
    <row r="4101">
      <c r="U4101" s="23"/>
      <c r="V4101" s="23"/>
      <c r="W4101" s="23"/>
    </row>
    <row r="4102">
      <c r="U4102" s="23"/>
      <c r="V4102" s="23"/>
      <c r="W4102" s="23"/>
    </row>
    <row r="4103">
      <c r="U4103" s="23"/>
      <c r="V4103" s="23"/>
      <c r="W4103" s="23"/>
    </row>
    <row r="4104">
      <c r="U4104" s="23"/>
      <c r="V4104" s="23"/>
      <c r="W4104" s="23"/>
    </row>
    <row r="4105">
      <c r="U4105" s="23"/>
      <c r="V4105" s="23"/>
      <c r="W4105" s="23"/>
    </row>
    <row r="4106">
      <c r="U4106" s="23"/>
      <c r="V4106" s="23"/>
      <c r="W4106" s="23"/>
    </row>
    <row r="4107">
      <c r="U4107" s="23"/>
      <c r="V4107" s="23"/>
      <c r="W4107" s="23"/>
    </row>
    <row r="4108">
      <c r="U4108" s="23"/>
      <c r="V4108" s="23"/>
      <c r="W4108" s="23"/>
    </row>
    <row r="4109">
      <c r="U4109" s="23"/>
      <c r="V4109" s="23"/>
      <c r="W4109" s="23"/>
    </row>
    <row r="4110">
      <c r="U4110" s="23"/>
      <c r="V4110" s="23"/>
      <c r="W4110" s="23"/>
    </row>
    <row r="4111">
      <c r="U4111" s="23"/>
      <c r="V4111" s="23"/>
      <c r="W4111" s="23"/>
    </row>
    <row r="4112">
      <c r="U4112" s="23"/>
      <c r="V4112" s="23"/>
      <c r="W4112" s="23"/>
    </row>
    <row r="4113">
      <c r="U4113" s="23"/>
      <c r="V4113" s="23"/>
      <c r="W4113" s="23"/>
    </row>
    <row r="4114">
      <c r="U4114" s="23"/>
      <c r="V4114" s="23"/>
      <c r="W4114" s="23"/>
    </row>
    <row r="4115">
      <c r="U4115" s="23"/>
      <c r="V4115" s="23"/>
      <c r="W4115" s="23"/>
    </row>
    <row r="4116">
      <c r="U4116" s="23"/>
      <c r="V4116" s="23"/>
      <c r="W4116" s="23"/>
    </row>
    <row r="4117">
      <c r="U4117" s="23"/>
      <c r="V4117" s="23"/>
      <c r="W4117" s="23"/>
    </row>
    <row r="4118">
      <c r="U4118" s="23"/>
      <c r="V4118" s="23"/>
      <c r="W4118" s="23"/>
    </row>
    <row r="4119">
      <c r="U4119" s="23"/>
      <c r="V4119" s="23"/>
      <c r="W4119" s="23"/>
    </row>
    <row r="4120">
      <c r="U4120" s="23"/>
      <c r="V4120" s="23"/>
      <c r="W4120" s="23"/>
    </row>
    <row r="4121">
      <c r="U4121" s="23"/>
      <c r="V4121" s="23"/>
      <c r="W4121" s="23"/>
    </row>
    <row r="4122">
      <c r="U4122" s="23"/>
      <c r="V4122" s="23"/>
      <c r="W4122" s="23"/>
    </row>
    <row r="4123">
      <c r="U4123" s="23"/>
      <c r="V4123" s="23"/>
      <c r="W4123" s="23"/>
    </row>
    <row r="4124">
      <c r="U4124" s="23"/>
      <c r="V4124" s="23"/>
      <c r="W4124" s="23"/>
    </row>
    <row r="4125">
      <c r="U4125" s="23"/>
      <c r="V4125" s="23"/>
      <c r="W4125" s="23"/>
    </row>
    <row r="4126">
      <c r="U4126" s="23"/>
      <c r="V4126" s="23"/>
      <c r="W4126" s="23"/>
    </row>
    <row r="4127">
      <c r="U4127" s="23"/>
      <c r="V4127" s="23"/>
      <c r="W4127" s="23"/>
    </row>
    <row r="4128">
      <c r="U4128" s="23"/>
      <c r="V4128" s="23"/>
      <c r="W4128" s="23"/>
    </row>
    <row r="4129">
      <c r="U4129" s="23"/>
      <c r="V4129" s="23"/>
      <c r="W4129" s="23"/>
    </row>
    <row r="4130">
      <c r="U4130" s="23"/>
      <c r="V4130" s="23"/>
      <c r="W4130" s="23"/>
    </row>
    <row r="4131">
      <c r="U4131" s="23"/>
      <c r="V4131" s="23"/>
      <c r="W4131" s="23"/>
    </row>
    <row r="4132">
      <c r="U4132" s="23"/>
      <c r="V4132" s="23"/>
      <c r="W4132" s="23"/>
    </row>
    <row r="4133">
      <c r="U4133" s="23"/>
      <c r="V4133" s="23"/>
      <c r="W4133" s="23"/>
    </row>
    <row r="4134">
      <c r="U4134" s="23"/>
      <c r="V4134" s="23"/>
      <c r="W4134" s="23"/>
    </row>
    <row r="4135">
      <c r="U4135" s="23"/>
      <c r="V4135" s="23"/>
      <c r="W4135" s="23"/>
    </row>
    <row r="4136">
      <c r="U4136" s="23"/>
      <c r="V4136" s="23"/>
      <c r="W4136" s="23"/>
    </row>
    <row r="4137">
      <c r="U4137" s="23"/>
      <c r="V4137" s="23"/>
      <c r="W4137" s="23"/>
    </row>
    <row r="4138">
      <c r="U4138" s="23"/>
      <c r="V4138" s="23"/>
      <c r="W4138" s="23"/>
    </row>
    <row r="4139">
      <c r="U4139" s="23"/>
      <c r="V4139" s="23"/>
      <c r="W4139" s="23"/>
    </row>
    <row r="4140">
      <c r="U4140" s="23"/>
      <c r="V4140" s="23"/>
      <c r="W4140" s="23"/>
    </row>
    <row r="4141">
      <c r="U4141" s="23"/>
      <c r="V4141" s="23"/>
      <c r="W4141" s="23"/>
    </row>
    <row r="4142">
      <c r="U4142" s="23"/>
      <c r="V4142" s="23"/>
      <c r="W4142" s="23"/>
    </row>
    <row r="4143">
      <c r="U4143" s="23"/>
      <c r="V4143" s="23"/>
      <c r="W4143" s="23"/>
    </row>
    <row r="4144">
      <c r="U4144" s="23"/>
      <c r="V4144" s="23"/>
      <c r="W4144" s="23"/>
    </row>
    <row r="4145">
      <c r="U4145" s="23"/>
      <c r="V4145" s="23"/>
      <c r="W4145" s="23"/>
    </row>
    <row r="4146">
      <c r="U4146" s="23"/>
      <c r="V4146" s="23"/>
      <c r="W4146" s="23"/>
    </row>
    <row r="4147">
      <c r="U4147" s="23"/>
      <c r="V4147" s="23"/>
      <c r="W4147" s="23"/>
    </row>
    <row r="4148">
      <c r="U4148" s="23"/>
      <c r="V4148" s="23"/>
      <c r="W4148" s="23"/>
    </row>
    <row r="4149">
      <c r="U4149" s="23"/>
      <c r="V4149" s="23"/>
      <c r="W4149" s="23"/>
    </row>
    <row r="4150">
      <c r="U4150" s="23"/>
      <c r="V4150" s="23"/>
      <c r="W4150" s="23"/>
    </row>
    <row r="4151">
      <c r="U4151" s="23"/>
      <c r="V4151" s="23"/>
      <c r="W4151" s="23"/>
    </row>
    <row r="4152">
      <c r="U4152" s="23"/>
      <c r="V4152" s="23"/>
      <c r="W4152" s="23"/>
    </row>
    <row r="4153">
      <c r="U4153" s="23"/>
      <c r="V4153" s="23"/>
      <c r="W4153" s="23"/>
    </row>
    <row r="4154">
      <c r="U4154" s="23"/>
      <c r="V4154" s="23"/>
      <c r="W4154" s="23"/>
    </row>
    <row r="4155">
      <c r="U4155" s="23"/>
      <c r="V4155" s="23"/>
      <c r="W4155" s="23"/>
    </row>
    <row r="4156">
      <c r="U4156" s="23"/>
      <c r="V4156" s="23"/>
      <c r="W4156" s="23"/>
    </row>
    <row r="4157">
      <c r="U4157" s="23"/>
      <c r="V4157" s="23"/>
      <c r="W4157" s="23"/>
    </row>
    <row r="4158">
      <c r="U4158" s="23"/>
      <c r="V4158" s="23"/>
      <c r="W4158" s="23"/>
    </row>
    <row r="4159">
      <c r="U4159" s="23"/>
      <c r="V4159" s="23"/>
      <c r="W4159" s="23"/>
    </row>
    <row r="4160">
      <c r="U4160" s="23"/>
      <c r="V4160" s="23"/>
      <c r="W4160" s="23"/>
    </row>
    <row r="4161">
      <c r="U4161" s="23"/>
      <c r="V4161" s="23"/>
      <c r="W4161" s="23"/>
    </row>
    <row r="4162">
      <c r="U4162" s="23"/>
      <c r="V4162" s="23"/>
      <c r="W4162" s="23"/>
    </row>
    <row r="4163">
      <c r="U4163" s="23"/>
      <c r="V4163" s="23"/>
      <c r="W4163" s="23"/>
    </row>
    <row r="4164">
      <c r="U4164" s="23"/>
      <c r="V4164" s="23"/>
      <c r="W4164" s="23"/>
    </row>
    <row r="4165">
      <c r="U4165" s="23"/>
      <c r="V4165" s="23"/>
      <c r="W4165" s="23"/>
    </row>
    <row r="4166">
      <c r="U4166" s="23"/>
      <c r="V4166" s="23"/>
      <c r="W4166" s="23"/>
    </row>
    <row r="4167">
      <c r="U4167" s="23"/>
      <c r="V4167" s="23"/>
      <c r="W4167" s="23"/>
    </row>
    <row r="4168">
      <c r="U4168" s="23"/>
      <c r="V4168" s="23"/>
      <c r="W4168" s="23"/>
    </row>
    <row r="4169">
      <c r="U4169" s="23"/>
      <c r="V4169" s="23"/>
      <c r="W4169" s="23"/>
    </row>
    <row r="4170">
      <c r="U4170" s="23"/>
      <c r="V4170" s="23"/>
      <c r="W4170" s="23"/>
    </row>
    <row r="4171">
      <c r="U4171" s="23"/>
      <c r="V4171" s="23"/>
      <c r="W4171" s="23"/>
    </row>
    <row r="4172">
      <c r="U4172" s="23"/>
      <c r="V4172" s="23"/>
      <c r="W4172" s="23"/>
    </row>
    <row r="4173">
      <c r="U4173" s="23"/>
      <c r="V4173" s="23"/>
      <c r="W4173" s="23"/>
    </row>
    <row r="4174">
      <c r="U4174" s="23"/>
      <c r="V4174" s="23"/>
      <c r="W4174" s="23"/>
    </row>
    <row r="4175">
      <c r="U4175" s="23"/>
      <c r="V4175" s="23"/>
      <c r="W4175" s="23"/>
    </row>
    <row r="4176">
      <c r="U4176" s="23"/>
      <c r="V4176" s="23"/>
      <c r="W4176" s="23"/>
    </row>
    <row r="4177">
      <c r="U4177" s="23"/>
      <c r="V4177" s="23"/>
      <c r="W4177" s="23"/>
    </row>
    <row r="4178">
      <c r="U4178" s="23"/>
      <c r="V4178" s="23"/>
      <c r="W4178" s="23"/>
    </row>
    <row r="4179">
      <c r="U4179" s="23"/>
      <c r="V4179" s="23"/>
      <c r="W4179" s="23"/>
    </row>
    <row r="4180">
      <c r="U4180" s="23"/>
      <c r="V4180" s="23"/>
      <c r="W4180" s="23"/>
    </row>
    <row r="4181">
      <c r="U4181" s="23"/>
      <c r="V4181" s="23"/>
      <c r="W4181" s="23"/>
    </row>
    <row r="4182">
      <c r="U4182" s="23"/>
      <c r="V4182" s="23"/>
      <c r="W4182" s="23"/>
    </row>
    <row r="4183">
      <c r="U4183" s="23"/>
      <c r="V4183" s="23"/>
      <c r="W4183" s="23"/>
    </row>
    <row r="4184">
      <c r="U4184" s="23"/>
      <c r="V4184" s="23"/>
      <c r="W4184" s="23"/>
    </row>
    <row r="4185">
      <c r="U4185" s="23"/>
      <c r="V4185" s="23"/>
      <c r="W4185" s="23"/>
    </row>
    <row r="4186">
      <c r="U4186" s="23"/>
      <c r="V4186" s="23"/>
      <c r="W4186" s="23"/>
    </row>
    <row r="4187">
      <c r="U4187" s="23"/>
      <c r="V4187" s="23"/>
      <c r="W4187" s="23"/>
    </row>
    <row r="4188">
      <c r="U4188" s="23"/>
      <c r="V4188" s="23"/>
      <c r="W4188" s="23"/>
    </row>
    <row r="4189">
      <c r="U4189" s="23"/>
      <c r="V4189" s="23"/>
      <c r="W4189" s="23"/>
    </row>
    <row r="4190">
      <c r="U4190" s="23"/>
      <c r="V4190" s="23"/>
      <c r="W4190" s="23"/>
    </row>
    <row r="4191">
      <c r="U4191" s="23"/>
      <c r="V4191" s="23"/>
      <c r="W4191" s="23"/>
    </row>
    <row r="4192">
      <c r="U4192" s="23"/>
      <c r="V4192" s="23"/>
      <c r="W4192" s="23"/>
    </row>
    <row r="4193">
      <c r="U4193" s="23"/>
      <c r="V4193" s="23"/>
      <c r="W4193" s="23"/>
    </row>
    <row r="4194">
      <c r="U4194" s="23"/>
      <c r="V4194" s="23"/>
      <c r="W4194" s="23"/>
    </row>
    <row r="4195">
      <c r="U4195" s="23"/>
      <c r="V4195" s="23"/>
      <c r="W4195" s="23"/>
    </row>
    <row r="4196">
      <c r="U4196" s="23"/>
      <c r="V4196" s="23"/>
      <c r="W4196" s="23"/>
    </row>
    <row r="4197">
      <c r="U4197" s="23"/>
      <c r="V4197" s="23"/>
      <c r="W4197" s="23"/>
    </row>
    <row r="4198">
      <c r="U4198" s="23"/>
      <c r="V4198" s="23"/>
      <c r="W4198" s="23"/>
    </row>
    <row r="4199">
      <c r="U4199" s="23"/>
      <c r="V4199" s="23"/>
      <c r="W4199" s="23"/>
    </row>
    <row r="4200">
      <c r="U4200" s="23"/>
      <c r="V4200" s="23"/>
      <c r="W4200" s="23"/>
    </row>
    <row r="4201">
      <c r="U4201" s="23"/>
      <c r="V4201" s="23"/>
      <c r="W4201" s="23"/>
    </row>
    <row r="4202">
      <c r="U4202" s="23"/>
      <c r="V4202" s="23"/>
      <c r="W4202" s="23"/>
    </row>
    <row r="4203">
      <c r="U4203" s="23"/>
      <c r="V4203" s="23"/>
      <c r="W4203" s="23"/>
    </row>
    <row r="4204">
      <c r="U4204" s="23"/>
      <c r="V4204" s="23"/>
      <c r="W4204" s="23"/>
    </row>
    <row r="4205">
      <c r="U4205" s="23"/>
      <c r="V4205" s="23"/>
      <c r="W4205" s="23"/>
    </row>
    <row r="4206">
      <c r="U4206" s="23"/>
      <c r="V4206" s="23"/>
      <c r="W4206" s="23"/>
    </row>
    <row r="4207">
      <c r="U4207" s="23"/>
      <c r="V4207" s="23"/>
      <c r="W4207" s="23"/>
    </row>
    <row r="4208">
      <c r="U4208" s="23"/>
      <c r="V4208" s="23"/>
      <c r="W4208" s="23"/>
    </row>
    <row r="4209">
      <c r="U4209" s="23"/>
      <c r="V4209" s="23"/>
      <c r="W4209" s="23"/>
    </row>
    <row r="4210">
      <c r="U4210" s="23"/>
      <c r="V4210" s="23"/>
      <c r="W4210" s="23"/>
    </row>
    <row r="4211">
      <c r="U4211" s="23"/>
      <c r="V4211" s="23"/>
      <c r="W4211" s="23"/>
    </row>
    <row r="4212">
      <c r="U4212" s="23"/>
      <c r="V4212" s="23"/>
      <c r="W4212" s="23"/>
    </row>
    <row r="4213">
      <c r="U4213" s="23"/>
      <c r="V4213" s="23"/>
      <c r="W4213" s="23"/>
    </row>
    <row r="4214">
      <c r="U4214" s="23"/>
      <c r="V4214" s="23"/>
      <c r="W4214" s="23"/>
    </row>
    <row r="4215">
      <c r="U4215" s="23"/>
      <c r="V4215" s="23"/>
      <c r="W4215" s="23"/>
    </row>
    <row r="4216">
      <c r="U4216" s="23"/>
      <c r="V4216" s="23"/>
      <c r="W4216" s="23"/>
    </row>
    <row r="4217">
      <c r="U4217" s="23"/>
      <c r="V4217" s="23"/>
      <c r="W4217" s="23"/>
    </row>
    <row r="4218">
      <c r="U4218" s="23"/>
      <c r="V4218" s="23"/>
      <c r="W4218" s="23"/>
    </row>
    <row r="4219">
      <c r="U4219" s="23"/>
      <c r="V4219" s="23"/>
      <c r="W4219" s="23"/>
    </row>
    <row r="4220">
      <c r="U4220" s="23"/>
      <c r="V4220" s="23"/>
      <c r="W4220" s="23"/>
    </row>
    <row r="4221">
      <c r="U4221" s="23"/>
      <c r="V4221" s="23"/>
      <c r="W4221" s="23"/>
    </row>
    <row r="4222">
      <c r="U4222" s="23"/>
      <c r="V4222" s="23"/>
      <c r="W4222" s="23"/>
    </row>
    <row r="4223">
      <c r="U4223" s="23"/>
      <c r="V4223" s="23"/>
      <c r="W4223" s="23"/>
    </row>
    <row r="4224">
      <c r="U4224" s="23"/>
      <c r="V4224" s="23"/>
      <c r="W4224" s="23"/>
    </row>
    <row r="4225">
      <c r="U4225" s="23"/>
      <c r="V4225" s="23"/>
      <c r="W4225" s="23"/>
    </row>
    <row r="4226">
      <c r="U4226" s="23"/>
      <c r="V4226" s="23"/>
      <c r="W4226" s="23"/>
    </row>
    <row r="4227">
      <c r="U4227" s="23"/>
      <c r="V4227" s="23"/>
      <c r="W4227" s="23"/>
    </row>
    <row r="4228">
      <c r="U4228" s="23"/>
      <c r="V4228" s="23"/>
      <c r="W4228" s="23"/>
    </row>
    <row r="4229">
      <c r="U4229" s="23"/>
      <c r="V4229" s="23"/>
      <c r="W4229" s="23"/>
    </row>
    <row r="4230">
      <c r="U4230" s="23"/>
      <c r="V4230" s="23"/>
      <c r="W4230" s="23"/>
    </row>
    <row r="4231">
      <c r="U4231" s="23"/>
      <c r="V4231" s="23"/>
      <c r="W4231" s="23"/>
    </row>
    <row r="4232">
      <c r="U4232" s="23"/>
      <c r="V4232" s="23"/>
      <c r="W4232" s="23"/>
    </row>
    <row r="4233">
      <c r="U4233" s="23"/>
      <c r="V4233" s="23"/>
      <c r="W4233" s="23"/>
    </row>
    <row r="4234">
      <c r="U4234" s="23"/>
      <c r="V4234" s="23"/>
      <c r="W4234" s="23"/>
    </row>
    <row r="4235">
      <c r="U4235" s="23"/>
      <c r="V4235" s="23"/>
      <c r="W4235" s="23"/>
    </row>
    <row r="4236">
      <c r="U4236" s="23"/>
      <c r="V4236" s="23"/>
      <c r="W4236" s="23"/>
    </row>
    <row r="4237">
      <c r="U4237" s="23"/>
      <c r="V4237" s="23"/>
      <c r="W4237" s="23"/>
    </row>
    <row r="4238">
      <c r="U4238" s="23"/>
      <c r="V4238" s="23"/>
      <c r="W4238" s="23"/>
    </row>
    <row r="4239">
      <c r="U4239" s="23"/>
      <c r="V4239" s="23"/>
      <c r="W4239" s="23"/>
    </row>
    <row r="4240">
      <c r="U4240" s="23"/>
      <c r="V4240" s="23"/>
      <c r="W4240" s="23"/>
    </row>
    <row r="4241">
      <c r="U4241" s="23"/>
      <c r="V4241" s="23"/>
      <c r="W4241" s="23"/>
    </row>
    <row r="4242">
      <c r="U4242" s="23"/>
      <c r="V4242" s="23"/>
      <c r="W4242" s="23"/>
    </row>
    <row r="4243">
      <c r="U4243" s="23"/>
      <c r="V4243" s="23"/>
      <c r="W4243" s="23"/>
    </row>
    <row r="4244">
      <c r="U4244" s="23"/>
      <c r="V4244" s="23"/>
      <c r="W4244" s="23"/>
    </row>
    <row r="4245">
      <c r="U4245" s="23"/>
      <c r="V4245" s="23"/>
      <c r="W4245" s="23"/>
    </row>
    <row r="4246">
      <c r="U4246" s="23"/>
      <c r="V4246" s="23"/>
      <c r="W4246" s="23"/>
    </row>
    <row r="4247">
      <c r="U4247" s="23"/>
      <c r="V4247" s="23"/>
      <c r="W4247" s="23"/>
    </row>
    <row r="4248">
      <c r="U4248" s="23"/>
      <c r="V4248" s="23"/>
      <c r="W4248" s="23"/>
    </row>
    <row r="4249">
      <c r="U4249" s="23"/>
      <c r="V4249" s="23"/>
      <c r="W4249" s="23"/>
    </row>
    <row r="4250">
      <c r="U4250" s="23"/>
      <c r="V4250" s="23"/>
      <c r="W4250" s="23"/>
    </row>
    <row r="4251">
      <c r="U4251" s="23"/>
      <c r="V4251" s="23"/>
      <c r="W4251" s="23"/>
    </row>
    <row r="4252">
      <c r="U4252" s="23"/>
      <c r="V4252" s="23"/>
      <c r="W4252" s="23"/>
    </row>
    <row r="4253">
      <c r="U4253" s="23"/>
      <c r="V4253" s="23"/>
      <c r="W4253" s="23"/>
    </row>
    <row r="4254">
      <c r="U4254" s="23"/>
      <c r="V4254" s="23"/>
      <c r="W4254" s="23"/>
    </row>
    <row r="4255">
      <c r="U4255" s="23"/>
      <c r="V4255" s="23"/>
      <c r="W4255" s="23"/>
    </row>
    <row r="4256">
      <c r="U4256" s="23"/>
      <c r="V4256" s="23"/>
      <c r="W4256" s="23"/>
    </row>
    <row r="4257">
      <c r="U4257" s="23"/>
      <c r="V4257" s="23"/>
      <c r="W4257" s="23"/>
    </row>
    <row r="4258">
      <c r="U4258" s="23"/>
      <c r="V4258" s="23"/>
      <c r="W4258" s="23"/>
    </row>
    <row r="4259">
      <c r="U4259" s="23"/>
      <c r="V4259" s="23"/>
      <c r="W4259" s="23"/>
    </row>
    <row r="4260">
      <c r="U4260" s="23"/>
      <c r="V4260" s="23"/>
      <c r="W4260" s="23"/>
    </row>
    <row r="4261">
      <c r="U4261" s="23"/>
      <c r="V4261" s="23"/>
      <c r="W4261" s="23"/>
    </row>
    <row r="4262">
      <c r="U4262" s="23"/>
      <c r="V4262" s="23"/>
      <c r="W4262" s="23"/>
    </row>
    <row r="4263">
      <c r="U4263" s="23"/>
      <c r="V4263" s="23"/>
      <c r="W4263" s="23"/>
    </row>
    <row r="4264">
      <c r="U4264" s="23"/>
      <c r="V4264" s="23"/>
      <c r="W4264" s="23"/>
    </row>
    <row r="4265">
      <c r="U4265" s="23"/>
      <c r="V4265" s="23"/>
      <c r="W4265" s="23"/>
    </row>
    <row r="4266">
      <c r="U4266" s="23"/>
      <c r="V4266" s="23"/>
      <c r="W4266" s="23"/>
    </row>
    <row r="4267">
      <c r="U4267" s="23"/>
      <c r="V4267" s="23"/>
      <c r="W4267" s="23"/>
    </row>
    <row r="4268">
      <c r="U4268" s="23"/>
      <c r="V4268" s="23"/>
      <c r="W4268" s="23"/>
    </row>
    <row r="4269">
      <c r="U4269" s="23"/>
      <c r="V4269" s="23"/>
      <c r="W4269" s="23"/>
    </row>
    <row r="4270">
      <c r="U4270" s="23"/>
      <c r="V4270" s="23"/>
      <c r="W4270" s="23"/>
    </row>
    <row r="4271">
      <c r="U4271" s="23"/>
      <c r="V4271" s="23"/>
      <c r="W4271" s="23"/>
    </row>
    <row r="4272">
      <c r="U4272" s="23"/>
      <c r="V4272" s="23"/>
      <c r="W4272" s="23"/>
    </row>
    <row r="4273">
      <c r="U4273" s="23"/>
      <c r="V4273" s="23"/>
      <c r="W4273" s="23"/>
    </row>
    <row r="4274">
      <c r="U4274" s="23"/>
      <c r="V4274" s="23"/>
      <c r="W4274" s="23"/>
    </row>
    <row r="4275">
      <c r="U4275" s="23"/>
      <c r="V4275" s="23"/>
      <c r="W4275" s="23"/>
    </row>
    <row r="4276">
      <c r="U4276" s="23"/>
      <c r="V4276" s="23"/>
      <c r="W4276" s="23"/>
    </row>
    <row r="4277">
      <c r="U4277" s="23"/>
      <c r="V4277" s="23"/>
      <c r="W4277" s="23"/>
    </row>
    <row r="4278">
      <c r="U4278" s="23"/>
      <c r="V4278" s="23"/>
      <c r="W4278" s="23"/>
    </row>
    <row r="4279">
      <c r="U4279" s="23"/>
      <c r="V4279" s="23"/>
      <c r="W4279" s="23"/>
    </row>
    <row r="4280">
      <c r="U4280" s="23"/>
      <c r="V4280" s="23"/>
      <c r="W4280" s="23"/>
    </row>
    <row r="4281">
      <c r="U4281" s="23"/>
      <c r="V4281" s="23"/>
      <c r="W4281" s="23"/>
    </row>
    <row r="4282">
      <c r="U4282" s="23"/>
      <c r="V4282" s="23"/>
      <c r="W4282" s="23"/>
    </row>
    <row r="4283">
      <c r="U4283" s="23"/>
      <c r="V4283" s="23"/>
      <c r="W4283" s="23"/>
    </row>
    <row r="4284">
      <c r="U4284" s="23"/>
      <c r="V4284" s="23"/>
      <c r="W4284" s="23"/>
    </row>
    <row r="4285">
      <c r="U4285" s="23"/>
      <c r="V4285" s="23"/>
      <c r="W4285" s="23"/>
    </row>
    <row r="4286">
      <c r="U4286" s="23"/>
      <c r="V4286" s="23"/>
      <c r="W4286" s="23"/>
    </row>
    <row r="4287">
      <c r="U4287" s="23"/>
      <c r="V4287" s="23"/>
      <c r="W4287" s="23"/>
    </row>
    <row r="4288">
      <c r="U4288" s="23"/>
      <c r="V4288" s="23"/>
      <c r="W4288" s="23"/>
    </row>
    <row r="4289">
      <c r="U4289" s="23"/>
      <c r="V4289" s="23"/>
      <c r="W4289" s="23"/>
    </row>
    <row r="4290">
      <c r="U4290" s="23"/>
      <c r="V4290" s="23"/>
      <c r="W4290" s="23"/>
    </row>
    <row r="4291">
      <c r="U4291" s="23"/>
      <c r="V4291" s="23"/>
      <c r="W4291" s="23"/>
    </row>
    <row r="4292">
      <c r="U4292" s="23"/>
      <c r="V4292" s="23"/>
      <c r="W4292" s="23"/>
    </row>
    <row r="4293">
      <c r="U4293" s="23"/>
      <c r="V4293" s="23"/>
      <c r="W4293" s="23"/>
    </row>
    <row r="4294">
      <c r="U4294" s="23"/>
      <c r="V4294" s="23"/>
      <c r="W4294" s="23"/>
    </row>
    <row r="4295">
      <c r="U4295" s="23"/>
      <c r="V4295" s="23"/>
      <c r="W4295" s="23"/>
    </row>
    <row r="4296">
      <c r="U4296" s="23"/>
      <c r="V4296" s="23"/>
      <c r="W4296" s="23"/>
    </row>
    <row r="4297">
      <c r="U4297" s="23"/>
      <c r="V4297" s="23"/>
      <c r="W4297" s="23"/>
    </row>
    <row r="4298">
      <c r="U4298" s="23"/>
      <c r="V4298" s="23"/>
      <c r="W4298" s="23"/>
    </row>
    <row r="4299">
      <c r="U4299" s="23"/>
      <c r="V4299" s="23"/>
      <c r="W4299" s="23"/>
    </row>
    <row r="4300">
      <c r="U4300" s="23"/>
      <c r="V4300" s="23"/>
      <c r="W4300" s="23"/>
    </row>
    <row r="4301">
      <c r="U4301" s="23"/>
      <c r="V4301" s="23"/>
      <c r="W4301" s="23"/>
    </row>
    <row r="4302">
      <c r="U4302" s="23"/>
      <c r="V4302" s="23"/>
      <c r="W4302" s="23"/>
    </row>
    <row r="4303">
      <c r="U4303" s="23"/>
      <c r="V4303" s="23"/>
      <c r="W4303" s="23"/>
    </row>
    <row r="4304">
      <c r="U4304" s="23"/>
      <c r="V4304" s="23"/>
      <c r="W4304" s="23"/>
    </row>
    <row r="4305">
      <c r="U4305" s="23"/>
      <c r="V4305" s="23"/>
      <c r="W4305" s="23"/>
    </row>
    <row r="4306">
      <c r="U4306" s="23"/>
      <c r="V4306" s="23"/>
      <c r="W4306" s="23"/>
    </row>
    <row r="4307">
      <c r="U4307" s="23"/>
      <c r="V4307" s="23"/>
      <c r="W4307" s="23"/>
    </row>
    <row r="4308">
      <c r="U4308" s="23"/>
      <c r="V4308" s="23"/>
      <c r="W4308" s="23"/>
    </row>
    <row r="4309">
      <c r="U4309" s="23"/>
      <c r="V4309" s="23"/>
      <c r="W4309" s="23"/>
    </row>
    <row r="4310">
      <c r="U4310" s="23"/>
      <c r="V4310" s="23"/>
      <c r="W4310" s="23"/>
    </row>
    <row r="4311">
      <c r="U4311" s="23"/>
      <c r="V4311" s="23"/>
      <c r="W4311" s="23"/>
    </row>
    <row r="4312">
      <c r="U4312" s="23"/>
      <c r="V4312" s="23"/>
      <c r="W4312" s="23"/>
    </row>
    <row r="4313">
      <c r="U4313" s="23"/>
      <c r="V4313" s="23"/>
      <c r="W4313" s="23"/>
    </row>
    <row r="4314">
      <c r="U4314" s="23"/>
      <c r="V4314" s="23"/>
      <c r="W4314" s="23"/>
    </row>
    <row r="4315">
      <c r="U4315" s="23"/>
      <c r="V4315" s="23"/>
      <c r="W4315" s="23"/>
    </row>
    <row r="4316">
      <c r="U4316" s="23"/>
      <c r="V4316" s="23"/>
      <c r="W4316" s="23"/>
    </row>
    <row r="4317">
      <c r="U4317" s="23"/>
      <c r="V4317" s="23"/>
      <c r="W4317" s="23"/>
    </row>
    <row r="4318">
      <c r="U4318" s="23"/>
      <c r="V4318" s="23"/>
      <c r="W4318" s="23"/>
    </row>
    <row r="4319">
      <c r="U4319" s="23"/>
      <c r="V4319" s="23"/>
      <c r="W4319" s="23"/>
    </row>
    <row r="4320">
      <c r="U4320" s="23"/>
      <c r="V4320" s="23"/>
      <c r="W4320" s="23"/>
    </row>
    <row r="4321">
      <c r="U4321" s="23"/>
      <c r="V4321" s="23"/>
      <c r="W4321" s="23"/>
    </row>
    <row r="4322">
      <c r="U4322" s="23"/>
      <c r="V4322" s="23"/>
      <c r="W4322" s="23"/>
    </row>
    <row r="4323">
      <c r="U4323" s="23"/>
      <c r="V4323" s="23"/>
      <c r="W4323" s="23"/>
    </row>
    <row r="4324">
      <c r="U4324" s="23"/>
      <c r="V4324" s="23"/>
      <c r="W4324" s="23"/>
    </row>
    <row r="4325">
      <c r="U4325" s="23"/>
      <c r="V4325" s="23"/>
      <c r="W4325" s="23"/>
    </row>
    <row r="4326">
      <c r="U4326" s="23"/>
      <c r="V4326" s="23"/>
      <c r="W4326" s="23"/>
    </row>
    <row r="4327">
      <c r="U4327" s="23"/>
      <c r="V4327" s="23"/>
      <c r="W4327" s="23"/>
    </row>
    <row r="4328">
      <c r="U4328" s="23"/>
      <c r="V4328" s="23"/>
      <c r="W4328" s="23"/>
    </row>
    <row r="4329">
      <c r="U4329" s="23"/>
      <c r="V4329" s="23"/>
      <c r="W4329" s="23"/>
    </row>
    <row r="4330">
      <c r="U4330" s="23"/>
      <c r="V4330" s="23"/>
      <c r="W4330" s="23"/>
    </row>
    <row r="4331">
      <c r="U4331" s="23"/>
      <c r="V4331" s="23"/>
      <c r="W4331" s="23"/>
    </row>
    <row r="4332">
      <c r="U4332" s="23"/>
      <c r="V4332" s="23"/>
      <c r="W4332" s="23"/>
    </row>
    <row r="4333">
      <c r="U4333" s="23"/>
      <c r="V4333" s="23"/>
      <c r="W4333" s="23"/>
    </row>
    <row r="4334">
      <c r="U4334" s="23"/>
      <c r="V4334" s="23"/>
      <c r="W4334" s="23"/>
    </row>
    <row r="4335">
      <c r="U4335" s="23"/>
      <c r="V4335" s="23"/>
      <c r="W4335" s="23"/>
    </row>
    <row r="4336">
      <c r="U4336" s="23"/>
      <c r="V4336" s="23"/>
      <c r="W4336" s="23"/>
    </row>
    <row r="4337">
      <c r="U4337" s="23"/>
      <c r="V4337" s="23"/>
      <c r="W4337" s="23"/>
    </row>
    <row r="4338">
      <c r="U4338" s="23"/>
      <c r="V4338" s="23"/>
      <c r="W4338" s="23"/>
    </row>
    <row r="4339">
      <c r="U4339" s="23"/>
      <c r="V4339" s="23"/>
      <c r="W4339" s="23"/>
    </row>
    <row r="4340">
      <c r="U4340" s="23"/>
      <c r="V4340" s="23"/>
      <c r="W4340" s="23"/>
    </row>
    <row r="4341">
      <c r="U4341" s="23"/>
      <c r="V4341" s="23"/>
      <c r="W4341" s="23"/>
    </row>
    <row r="4342">
      <c r="U4342" s="23"/>
      <c r="V4342" s="23"/>
      <c r="W4342" s="23"/>
    </row>
    <row r="4343">
      <c r="U4343" s="23"/>
      <c r="V4343" s="23"/>
      <c r="W4343" s="23"/>
    </row>
    <row r="4344">
      <c r="U4344" s="23"/>
      <c r="V4344" s="23"/>
      <c r="W4344" s="23"/>
    </row>
    <row r="4345">
      <c r="U4345" s="23"/>
      <c r="V4345" s="23"/>
      <c r="W4345" s="23"/>
    </row>
    <row r="4346">
      <c r="U4346" s="23"/>
      <c r="V4346" s="23"/>
      <c r="W4346" s="23"/>
    </row>
    <row r="4347">
      <c r="U4347" s="23"/>
      <c r="V4347" s="23"/>
      <c r="W4347" s="23"/>
    </row>
    <row r="4348">
      <c r="U4348" s="23"/>
      <c r="V4348" s="23"/>
      <c r="W4348" s="23"/>
    </row>
    <row r="4349">
      <c r="U4349" s="23"/>
      <c r="V4349" s="23"/>
      <c r="W4349" s="23"/>
    </row>
    <row r="4350">
      <c r="U4350" s="23"/>
      <c r="V4350" s="23"/>
      <c r="W4350" s="23"/>
    </row>
    <row r="4351">
      <c r="U4351" s="23"/>
      <c r="V4351" s="23"/>
      <c r="W4351" s="23"/>
    </row>
    <row r="4352">
      <c r="U4352" s="23"/>
      <c r="V4352" s="23"/>
      <c r="W4352" s="23"/>
    </row>
    <row r="4353">
      <c r="U4353" s="23"/>
      <c r="V4353" s="23"/>
      <c r="W4353" s="23"/>
    </row>
    <row r="4354">
      <c r="U4354" s="23"/>
      <c r="V4354" s="23"/>
      <c r="W4354" s="23"/>
    </row>
    <row r="4355">
      <c r="U4355" s="23"/>
      <c r="V4355" s="23"/>
      <c r="W4355" s="23"/>
    </row>
    <row r="4356">
      <c r="U4356" s="23"/>
      <c r="V4356" s="23"/>
      <c r="W4356" s="23"/>
    </row>
    <row r="4357">
      <c r="U4357" s="23"/>
      <c r="V4357" s="23"/>
      <c r="W4357" s="23"/>
    </row>
    <row r="4358">
      <c r="U4358" s="23"/>
      <c r="V4358" s="23"/>
      <c r="W4358" s="23"/>
    </row>
    <row r="4359">
      <c r="U4359" s="23"/>
      <c r="V4359" s="23"/>
      <c r="W4359" s="23"/>
    </row>
    <row r="4360">
      <c r="U4360" s="23"/>
      <c r="V4360" s="23"/>
      <c r="W4360" s="23"/>
    </row>
    <row r="4361">
      <c r="U4361" s="23"/>
      <c r="V4361" s="23"/>
      <c r="W4361" s="23"/>
    </row>
    <row r="4362">
      <c r="U4362" s="23"/>
      <c r="V4362" s="23"/>
      <c r="W4362" s="23"/>
    </row>
    <row r="4363">
      <c r="U4363" s="23"/>
      <c r="V4363" s="23"/>
      <c r="W4363" s="23"/>
    </row>
    <row r="4364">
      <c r="U4364" s="23"/>
      <c r="V4364" s="23"/>
      <c r="W4364" s="23"/>
    </row>
    <row r="4365">
      <c r="U4365" s="23"/>
      <c r="V4365" s="23"/>
      <c r="W4365" s="23"/>
    </row>
    <row r="4366">
      <c r="U4366" s="23"/>
      <c r="V4366" s="23"/>
      <c r="W4366" s="23"/>
    </row>
    <row r="4367">
      <c r="U4367" s="23"/>
      <c r="V4367" s="23"/>
      <c r="W4367" s="23"/>
    </row>
    <row r="4368">
      <c r="U4368" s="23"/>
      <c r="V4368" s="23"/>
      <c r="W4368" s="23"/>
    </row>
    <row r="4369">
      <c r="U4369" s="23"/>
      <c r="V4369" s="23"/>
      <c r="W4369" s="23"/>
    </row>
    <row r="4370">
      <c r="U4370" s="23"/>
      <c r="V4370" s="23"/>
      <c r="W4370" s="23"/>
    </row>
    <row r="4371">
      <c r="U4371" s="23"/>
      <c r="V4371" s="23"/>
      <c r="W4371" s="23"/>
    </row>
    <row r="4372">
      <c r="U4372" s="23"/>
      <c r="V4372" s="23"/>
      <c r="W4372" s="23"/>
    </row>
    <row r="4373">
      <c r="U4373" s="23"/>
      <c r="V4373" s="23"/>
      <c r="W4373" s="23"/>
    </row>
    <row r="4374">
      <c r="U4374" s="23"/>
      <c r="V4374" s="23"/>
      <c r="W4374" s="23"/>
    </row>
    <row r="4375">
      <c r="U4375" s="23"/>
      <c r="V4375" s="23"/>
      <c r="W4375" s="23"/>
    </row>
    <row r="4376">
      <c r="U4376" s="23"/>
      <c r="V4376" s="23"/>
      <c r="W4376" s="23"/>
    </row>
    <row r="4377">
      <c r="U4377" s="23"/>
      <c r="V4377" s="23"/>
      <c r="W4377" s="23"/>
    </row>
    <row r="4378">
      <c r="U4378" s="23"/>
      <c r="V4378" s="23"/>
      <c r="W4378" s="23"/>
    </row>
    <row r="4379">
      <c r="U4379" s="23"/>
      <c r="V4379" s="23"/>
      <c r="W4379" s="23"/>
    </row>
    <row r="4380">
      <c r="U4380" s="23"/>
      <c r="V4380" s="23"/>
      <c r="W4380" s="23"/>
    </row>
    <row r="4381">
      <c r="U4381" s="23"/>
      <c r="V4381" s="23"/>
      <c r="W4381" s="23"/>
    </row>
    <row r="4382">
      <c r="U4382" s="23"/>
      <c r="V4382" s="23"/>
      <c r="W4382" s="23"/>
    </row>
    <row r="4383">
      <c r="U4383" s="23"/>
      <c r="V4383" s="23"/>
      <c r="W4383" s="23"/>
    </row>
    <row r="4384">
      <c r="U4384" s="23"/>
      <c r="V4384" s="23"/>
      <c r="W4384" s="23"/>
    </row>
    <row r="4385">
      <c r="U4385" s="23"/>
      <c r="V4385" s="23"/>
      <c r="W4385" s="23"/>
    </row>
    <row r="4386">
      <c r="U4386" s="23"/>
      <c r="V4386" s="23"/>
      <c r="W4386" s="23"/>
    </row>
    <row r="4387">
      <c r="U4387" s="23"/>
      <c r="V4387" s="23"/>
      <c r="W4387" s="23"/>
    </row>
    <row r="4388">
      <c r="U4388" s="23"/>
      <c r="V4388" s="23"/>
      <c r="W4388" s="23"/>
    </row>
    <row r="4389">
      <c r="U4389" s="23"/>
      <c r="V4389" s="23"/>
      <c r="W4389" s="23"/>
    </row>
    <row r="4390">
      <c r="U4390" s="23"/>
      <c r="V4390" s="23"/>
      <c r="W4390" s="23"/>
    </row>
    <row r="4391">
      <c r="U4391" s="23"/>
      <c r="V4391" s="23"/>
      <c r="W4391" s="23"/>
    </row>
    <row r="4392">
      <c r="U4392" s="23"/>
      <c r="V4392" s="23"/>
      <c r="W4392" s="23"/>
    </row>
    <row r="4393">
      <c r="U4393" s="23"/>
      <c r="V4393" s="23"/>
      <c r="W4393" s="23"/>
    </row>
    <row r="4394">
      <c r="U4394" s="23"/>
      <c r="V4394" s="23"/>
      <c r="W4394" s="23"/>
    </row>
    <row r="4395">
      <c r="U4395" s="23"/>
      <c r="V4395" s="23"/>
      <c r="W4395" s="23"/>
    </row>
    <row r="4396">
      <c r="U4396" s="23"/>
      <c r="V4396" s="23"/>
      <c r="W4396" s="23"/>
    </row>
    <row r="4397">
      <c r="U4397" s="23"/>
      <c r="V4397" s="23"/>
      <c r="W4397" s="23"/>
    </row>
    <row r="4398">
      <c r="U4398" s="23"/>
      <c r="V4398" s="23"/>
      <c r="W4398" s="23"/>
    </row>
    <row r="4399">
      <c r="U4399" s="23"/>
      <c r="V4399" s="23"/>
      <c r="W4399" s="23"/>
    </row>
    <row r="4400">
      <c r="U4400" s="23"/>
      <c r="V4400" s="23"/>
      <c r="W4400" s="23"/>
    </row>
    <row r="4401">
      <c r="U4401" s="23"/>
      <c r="V4401" s="23"/>
      <c r="W4401" s="23"/>
    </row>
    <row r="4402">
      <c r="U4402" s="23"/>
      <c r="V4402" s="23"/>
      <c r="W4402" s="23"/>
    </row>
    <row r="4403">
      <c r="U4403" s="23"/>
      <c r="V4403" s="23"/>
      <c r="W4403" s="23"/>
    </row>
    <row r="4404">
      <c r="U4404" s="23"/>
      <c r="V4404" s="23"/>
      <c r="W4404" s="23"/>
    </row>
    <row r="4405">
      <c r="U4405" s="23"/>
      <c r="V4405" s="23"/>
      <c r="W4405" s="23"/>
    </row>
    <row r="4406">
      <c r="U4406" s="23"/>
      <c r="V4406" s="23"/>
      <c r="W4406" s="23"/>
    </row>
    <row r="4407">
      <c r="U4407" s="23"/>
      <c r="V4407" s="23"/>
      <c r="W4407" s="23"/>
    </row>
    <row r="4408">
      <c r="U4408" s="23"/>
      <c r="V4408" s="23"/>
      <c r="W4408" s="23"/>
    </row>
    <row r="4409">
      <c r="U4409" s="23"/>
      <c r="V4409" s="23"/>
      <c r="W4409" s="23"/>
    </row>
    <row r="4410">
      <c r="U4410" s="23"/>
      <c r="V4410" s="23"/>
      <c r="W4410" s="23"/>
    </row>
    <row r="4411">
      <c r="U4411" s="23"/>
      <c r="V4411" s="23"/>
      <c r="W4411" s="23"/>
    </row>
    <row r="4412">
      <c r="U4412" s="23"/>
      <c r="V4412" s="23"/>
      <c r="W4412" s="23"/>
    </row>
    <row r="4413">
      <c r="U4413" s="23"/>
      <c r="V4413" s="23"/>
      <c r="W4413" s="23"/>
    </row>
    <row r="4414">
      <c r="U4414" s="23"/>
      <c r="V4414" s="23"/>
      <c r="W4414" s="23"/>
    </row>
    <row r="4415">
      <c r="U4415" s="23"/>
      <c r="V4415" s="23"/>
      <c r="W4415" s="23"/>
    </row>
    <row r="4416">
      <c r="U4416" s="23"/>
      <c r="V4416" s="23"/>
      <c r="W4416" s="23"/>
    </row>
    <row r="4417">
      <c r="U4417" s="23"/>
      <c r="V4417" s="23"/>
      <c r="W4417" s="23"/>
    </row>
    <row r="4418">
      <c r="U4418" s="23"/>
      <c r="V4418" s="23"/>
      <c r="W4418" s="23"/>
    </row>
    <row r="4419">
      <c r="U4419" s="23"/>
      <c r="V4419" s="23"/>
      <c r="W4419" s="23"/>
    </row>
    <row r="4420">
      <c r="U4420" s="23"/>
      <c r="V4420" s="23"/>
      <c r="W4420" s="23"/>
    </row>
    <row r="4421">
      <c r="U4421" s="23"/>
      <c r="V4421" s="23"/>
      <c r="W4421" s="23"/>
    </row>
    <row r="4422">
      <c r="U4422" s="23"/>
      <c r="V4422" s="23"/>
      <c r="W4422" s="23"/>
    </row>
    <row r="4423">
      <c r="U4423" s="23"/>
      <c r="V4423" s="23"/>
      <c r="W4423" s="23"/>
    </row>
    <row r="4424">
      <c r="U4424" s="23"/>
      <c r="V4424" s="23"/>
      <c r="W4424" s="23"/>
    </row>
    <row r="4425">
      <c r="U4425" s="23"/>
      <c r="V4425" s="23"/>
      <c r="W4425" s="23"/>
    </row>
    <row r="4426">
      <c r="U4426" s="23"/>
      <c r="V4426" s="23"/>
      <c r="W4426" s="23"/>
    </row>
    <row r="4427">
      <c r="U4427" s="23"/>
      <c r="V4427" s="23"/>
      <c r="W4427" s="23"/>
    </row>
    <row r="4428">
      <c r="U4428" s="23"/>
      <c r="V4428" s="23"/>
      <c r="W4428" s="23"/>
    </row>
    <row r="4429">
      <c r="U4429" s="23"/>
      <c r="V4429" s="23"/>
      <c r="W4429" s="23"/>
    </row>
    <row r="4430">
      <c r="U4430" s="23"/>
      <c r="V4430" s="23"/>
      <c r="W4430" s="23"/>
    </row>
    <row r="4431">
      <c r="U4431" s="23"/>
      <c r="V4431" s="23"/>
      <c r="W4431" s="23"/>
    </row>
    <row r="4432">
      <c r="U4432" s="23"/>
      <c r="V4432" s="23"/>
      <c r="W4432" s="23"/>
    </row>
    <row r="4433">
      <c r="U4433" s="23"/>
      <c r="V4433" s="23"/>
      <c r="W4433" s="23"/>
    </row>
    <row r="4434">
      <c r="U4434" s="23"/>
      <c r="V4434" s="23"/>
      <c r="W4434" s="23"/>
    </row>
    <row r="4435">
      <c r="U4435" s="23"/>
      <c r="V4435" s="23"/>
      <c r="W4435" s="23"/>
    </row>
    <row r="4436">
      <c r="U4436" s="23"/>
      <c r="V4436" s="23"/>
      <c r="W4436" s="23"/>
    </row>
    <row r="4437">
      <c r="U4437" s="23"/>
      <c r="V4437" s="23"/>
      <c r="W4437" s="23"/>
    </row>
    <row r="4438">
      <c r="U4438" s="23"/>
      <c r="V4438" s="23"/>
      <c r="W4438" s="23"/>
    </row>
    <row r="4439">
      <c r="U4439" s="23"/>
      <c r="V4439" s="23"/>
      <c r="W4439" s="23"/>
    </row>
    <row r="4440">
      <c r="U4440" s="23"/>
      <c r="V4440" s="23"/>
      <c r="W4440" s="23"/>
    </row>
    <row r="4441">
      <c r="U4441" s="23"/>
      <c r="V4441" s="23"/>
      <c r="W4441" s="23"/>
    </row>
    <row r="4442">
      <c r="U4442" s="23"/>
      <c r="V4442" s="23"/>
      <c r="W4442" s="23"/>
    </row>
    <row r="4443">
      <c r="U4443" s="23"/>
      <c r="V4443" s="23"/>
      <c r="W4443" s="23"/>
    </row>
    <row r="4444">
      <c r="U4444" s="23"/>
      <c r="V4444" s="23"/>
      <c r="W4444" s="23"/>
    </row>
    <row r="4445">
      <c r="U4445" s="23"/>
      <c r="V4445" s="23"/>
      <c r="W4445" s="23"/>
    </row>
    <row r="4446">
      <c r="U4446" s="23"/>
      <c r="V4446" s="23"/>
      <c r="W4446" s="23"/>
    </row>
    <row r="4447">
      <c r="U4447" s="23"/>
      <c r="V4447" s="23"/>
      <c r="W4447" s="23"/>
    </row>
    <row r="4448">
      <c r="U4448" s="23"/>
      <c r="V4448" s="23"/>
      <c r="W4448" s="23"/>
    </row>
    <row r="4449">
      <c r="U4449" s="23"/>
      <c r="V4449" s="23"/>
      <c r="W4449" s="23"/>
    </row>
    <row r="4450">
      <c r="U4450" s="23"/>
      <c r="V4450" s="23"/>
      <c r="W4450" s="23"/>
    </row>
    <row r="4451">
      <c r="U4451" s="23"/>
      <c r="V4451" s="23"/>
      <c r="W4451" s="23"/>
    </row>
    <row r="4452">
      <c r="U4452" s="23"/>
      <c r="V4452" s="23"/>
      <c r="W4452" s="23"/>
    </row>
    <row r="4453">
      <c r="U4453" s="23"/>
      <c r="V4453" s="23"/>
      <c r="W4453" s="23"/>
    </row>
    <row r="4454">
      <c r="U4454" s="23"/>
      <c r="V4454" s="23"/>
      <c r="W4454" s="23"/>
    </row>
    <row r="4455">
      <c r="U4455" s="23"/>
      <c r="V4455" s="23"/>
      <c r="W4455" s="23"/>
    </row>
    <row r="4456">
      <c r="U4456" s="23"/>
      <c r="V4456" s="23"/>
      <c r="W4456" s="23"/>
    </row>
    <row r="4457">
      <c r="U4457" s="23"/>
      <c r="V4457" s="23"/>
      <c r="W4457" s="23"/>
    </row>
    <row r="4458">
      <c r="U4458" s="23"/>
      <c r="V4458" s="23"/>
      <c r="W4458" s="23"/>
    </row>
    <row r="4459">
      <c r="U4459" s="23"/>
      <c r="V4459" s="23"/>
      <c r="W4459" s="23"/>
    </row>
    <row r="4460">
      <c r="U4460" s="23"/>
      <c r="V4460" s="23"/>
      <c r="W4460" s="23"/>
    </row>
    <row r="4461">
      <c r="U4461" s="23"/>
      <c r="V4461" s="23"/>
      <c r="W4461" s="23"/>
    </row>
    <row r="4462">
      <c r="U4462" s="23"/>
      <c r="V4462" s="23"/>
      <c r="W4462" s="23"/>
    </row>
    <row r="4463">
      <c r="U4463" s="23"/>
      <c r="V4463" s="23"/>
      <c r="W4463" s="23"/>
    </row>
    <row r="4464">
      <c r="U4464" s="23"/>
      <c r="V4464" s="23"/>
      <c r="W4464" s="23"/>
    </row>
    <row r="4465">
      <c r="U4465" s="23"/>
      <c r="V4465" s="23"/>
      <c r="W4465" s="23"/>
    </row>
    <row r="4466">
      <c r="U4466" s="23"/>
      <c r="V4466" s="23"/>
      <c r="W4466" s="23"/>
    </row>
    <row r="4467">
      <c r="U4467" s="23"/>
      <c r="V4467" s="23"/>
      <c r="W4467" s="23"/>
    </row>
    <row r="4468">
      <c r="U4468" s="23"/>
      <c r="V4468" s="23"/>
      <c r="W4468" s="23"/>
    </row>
    <row r="4469">
      <c r="U4469" s="23"/>
      <c r="V4469" s="23"/>
      <c r="W4469" s="23"/>
    </row>
    <row r="4470">
      <c r="U4470" s="23"/>
      <c r="V4470" s="23"/>
      <c r="W4470" s="23"/>
    </row>
    <row r="4471">
      <c r="U4471" s="23"/>
      <c r="V4471" s="23"/>
      <c r="W4471" s="23"/>
    </row>
    <row r="4472">
      <c r="U4472" s="23"/>
      <c r="V4472" s="23"/>
      <c r="W4472" s="23"/>
    </row>
    <row r="4473">
      <c r="U4473" s="23"/>
      <c r="V4473" s="23"/>
      <c r="W4473" s="23"/>
    </row>
    <row r="4474">
      <c r="U4474" s="23"/>
      <c r="V4474" s="23"/>
      <c r="W4474" s="23"/>
    </row>
    <row r="4475">
      <c r="U4475" s="23"/>
      <c r="V4475" s="23"/>
      <c r="W4475" s="23"/>
    </row>
    <row r="4476">
      <c r="U4476" s="23"/>
      <c r="V4476" s="23"/>
      <c r="W4476" s="23"/>
    </row>
    <row r="4477">
      <c r="U4477" s="23"/>
      <c r="V4477" s="23"/>
      <c r="W4477" s="23"/>
    </row>
    <row r="4478">
      <c r="U4478" s="23"/>
      <c r="V4478" s="23"/>
      <c r="W4478" s="23"/>
    </row>
    <row r="4479">
      <c r="U4479" s="23"/>
      <c r="V4479" s="23"/>
      <c r="W4479" s="23"/>
    </row>
    <row r="4480">
      <c r="U4480" s="23"/>
      <c r="V4480" s="23"/>
      <c r="W4480" s="23"/>
    </row>
    <row r="4481">
      <c r="U4481" s="23"/>
      <c r="V4481" s="23"/>
      <c r="W4481" s="23"/>
    </row>
    <row r="4482">
      <c r="U4482" s="23"/>
      <c r="V4482" s="23"/>
      <c r="W4482" s="23"/>
    </row>
    <row r="4483">
      <c r="U4483" s="23"/>
      <c r="V4483" s="23"/>
      <c r="W4483" s="23"/>
    </row>
    <row r="4484">
      <c r="U4484" s="23"/>
      <c r="V4484" s="23"/>
      <c r="W4484" s="23"/>
    </row>
    <row r="4485">
      <c r="U4485" s="23"/>
      <c r="V4485" s="23"/>
      <c r="W4485" s="23"/>
    </row>
    <row r="4486">
      <c r="U4486" s="23"/>
      <c r="V4486" s="23"/>
      <c r="W4486" s="23"/>
    </row>
    <row r="4487">
      <c r="U4487" s="23"/>
      <c r="V4487" s="23"/>
      <c r="W4487" s="23"/>
    </row>
    <row r="4488">
      <c r="U4488" s="23"/>
      <c r="V4488" s="23"/>
      <c r="W4488" s="23"/>
    </row>
    <row r="4489">
      <c r="U4489" s="23"/>
      <c r="V4489" s="23"/>
      <c r="W4489" s="23"/>
    </row>
    <row r="4490">
      <c r="U4490" s="23"/>
      <c r="V4490" s="23"/>
      <c r="W4490" s="23"/>
    </row>
    <row r="4491">
      <c r="U4491" s="23"/>
      <c r="V4491" s="23"/>
      <c r="W4491" s="23"/>
    </row>
    <row r="4492">
      <c r="U4492" s="23"/>
      <c r="V4492" s="23"/>
      <c r="W4492" s="23"/>
    </row>
    <row r="4493">
      <c r="U4493" s="23"/>
      <c r="V4493" s="23"/>
      <c r="W4493" s="23"/>
    </row>
    <row r="4494">
      <c r="U4494" s="23"/>
      <c r="V4494" s="23"/>
      <c r="W4494" s="23"/>
    </row>
    <row r="4495">
      <c r="U4495" s="23"/>
      <c r="V4495" s="23"/>
      <c r="W4495" s="23"/>
    </row>
    <row r="4496">
      <c r="U4496" s="23"/>
      <c r="V4496" s="23"/>
      <c r="W4496" s="23"/>
    </row>
    <row r="4497">
      <c r="U4497" s="23"/>
      <c r="V4497" s="23"/>
      <c r="W4497" s="23"/>
    </row>
    <row r="4498">
      <c r="U4498" s="23"/>
      <c r="V4498" s="23"/>
      <c r="W4498" s="23"/>
    </row>
    <row r="4499">
      <c r="U4499" s="23"/>
      <c r="V4499" s="23"/>
      <c r="W4499" s="23"/>
    </row>
    <row r="4500">
      <c r="U4500" s="23"/>
      <c r="V4500" s="23"/>
      <c r="W4500" s="23"/>
    </row>
    <row r="4501">
      <c r="U4501" s="23"/>
      <c r="V4501" s="23"/>
      <c r="W4501" s="23"/>
    </row>
    <row r="4502">
      <c r="U4502" s="23"/>
      <c r="V4502" s="23"/>
      <c r="W4502" s="23"/>
    </row>
    <row r="4503">
      <c r="U4503" s="23"/>
      <c r="V4503" s="23"/>
      <c r="W4503" s="23"/>
    </row>
    <row r="4504">
      <c r="U4504" s="23"/>
      <c r="V4504" s="23"/>
      <c r="W4504" s="23"/>
    </row>
    <row r="4505">
      <c r="U4505" s="23"/>
      <c r="V4505" s="23"/>
      <c r="W4505" s="23"/>
    </row>
    <row r="4506">
      <c r="U4506" s="23"/>
      <c r="V4506" s="23"/>
      <c r="W4506" s="23"/>
    </row>
    <row r="4507">
      <c r="U4507" s="23"/>
      <c r="V4507" s="23"/>
      <c r="W4507" s="23"/>
    </row>
    <row r="4508">
      <c r="U4508" s="23"/>
      <c r="V4508" s="23"/>
      <c r="W4508" s="23"/>
    </row>
    <row r="4509">
      <c r="U4509" s="23"/>
      <c r="V4509" s="23"/>
      <c r="W4509" s="23"/>
    </row>
    <row r="4510">
      <c r="U4510" s="23"/>
      <c r="V4510" s="23"/>
      <c r="W4510" s="23"/>
    </row>
    <row r="4511">
      <c r="U4511" s="23"/>
      <c r="V4511" s="23"/>
      <c r="W4511" s="23"/>
    </row>
    <row r="4512">
      <c r="U4512" s="23"/>
      <c r="V4512" s="23"/>
      <c r="W4512" s="23"/>
    </row>
    <row r="4513">
      <c r="U4513" s="23"/>
      <c r="V4513" s="23"/>
      <c r="W4513" s="23"/>
    </row>
    <row r="4514">
      <c r="U4514" s="23"/>
      <c r="V4514" s="23"/>
      <c r="W4514" s="23"/>
    </row>
    <row r="4515">
      <c r="U4515" s="23"/>
      <c r="V4515" s="23"/>
      <c r="W4515" s="23"/>
    </row>
    <row r="4516">
      <c r="U4516" s="23"/>
      <c r="V4516" s="23"/>
      <c r="W4516" s="23"/>
    </row>
    <row r="4517">
      <c r="U4517" s="23"/>
      <c r="V4517" s="23"/>
      <c r="W4517" s="23"/>
    </row>
    <row r="4518">
      <c r="U4518" s="23"/>
      <c r="V4518" s="23"/>
      <c r="W4518" s="23"/>
    </row>
    <row r="4519">
      <c r="U4519" s="23"/>
      <c r="V4519" s="23"/>
      <c r="W4519" s="23"/>
    </row>
    <row r="4520">
      <c r="U4520" s="23"/>
      <c r="V4520" s="23"/>
      <c r="W4520" s="23"/>
    </row>
    <row r="4521">
      <c r="U4521" s="23"/>
      <c r="V4521" s="23"/>
      <c r="W4521" s="23"/>
    </row>
    <row r="4522">
      <c r="U4522" s="23"/>
      <c r="V4522" s="23"/>
      <c r="W4522" s="23"/>
    </row>
    <row r="4523">
      <c r="U4523" s="23"/>
      <c r="V4523" s="23"/>
      <c r="W4523" s="23"/>
    </row>
    <row r="4524">
      <c r="U4524" s="23"/>
      <c r="V4524" s="23"/>
      <c r="W4524" s="23"/>
    </row>
    <row r="4525">
      <c r="U4525" s="23"/>
      <c r="V4525" s="23"/>
      <c r="W4525" s="23"/>
    </row>
    <row r="4526">
      <c r="U4526" s="23"/>
      <c r="V4526" s="23"/>
      <c r="W4526" s="23"/>
    </row>
    <row r="4527">
      <c r="U4527" s="23"/>
      <c r="V4527" s="23"/>
      <c r="W4527" s="23"/>
    </row>
    <row r="4528">
      <c r="U4528" s="23"/>
      <c r="V4528" s="23"/>
      <c r="W4528" s="23"/>
    </row>
    <row r="4529">
      <c r="U4529" s="23"/>
      <c r="V4529" s="23"/>
      <c r="W4529" s="23"/>
    </row>
    <row r="4530">
      <c r="U4530" s="23"/>
      <c r="V4530" s="23"/>
      <c r="W4530" s="23"/>
    </row>
    <row r="4531">
      <c r="U4531" s="23"/>
      <c r="V4531" s="23"/>
      <c r="W4531" s="23"/>
    </row>
    <row r="4532">
      <c r="U4532" s="23"/>
      <c r="V4532" s="23"/>
      <c r="W4532" s="23"/>
    </row>
    <row r="4533">
      <c r="U4533" s="23"/>
      <c r="V4533" s="23"/>
      <c r="W4533" s="23"/>
    </row>
    <row r="4534">
      <c r="U4534" s="23"/>
      <c r="V4534" s="23"/>
      <c r="W4534" s="23"/>
    </row>
    <row r="4535">
      <c r="U4535" s="23"/>
      <c r="V4535" s="23"/>
      <c r="W4535" s="23"/>
    </row>
    <row r="4536">
      <c r="U4536" s="23"/>
      <c r="V4536" s="23"/>
      <c r="W4536" s="23"/>
    </row>
    <row r="4537">
      <c r="U4537" s="23"/>
      <c r="V4537" s="23"/>
      <c r="W4537" s="23"/>
    </row>
    <row r="4538">
      <c r="U4538" s="23"/>
      <c r="V4538" s="23"/>
      <c r="W4538" s="23"/>
    </row>
    <row r="4539">
      <c r="U4539" s="23"/>
      <c r="V4539" s="23"/>
      <c r="W4539" s="23"/>
    </row>
    <row r="4540">
      <c r="U4540" s="23"/>
      <c r="V4540" s="23"/>
      <c r="W4540" s="23"/>
    </row>
    <row r="4541">
      <c r="U4541" s="23"/>
      <c r="V4541" s="23"/>
      <c r="W4541" s="23"/>
    </row>
    <row r="4542">
      <c r="U4542" s="23"/>
      <c r="V4542" s="23"/>
      <c r="W4542" s="23"/>
    </row>
    <row r="4543">
      <c r="U4543" s="23"/>
      <c r="V4543" s="23"/>
      <c r="W4543" s="23"/>
    </row>
    <row r="4544">
      <c r="U4544" s="23"/>
      <c r="V4544" s="23"/>
      <c r="W4544" s="23"/>
    </row>
    <row r="4545">
      <c r="U4545" s="23"/>
      <c r="V4545" s="23"/>
      <c r="W4545" s="23"/>
    </row>
    <row r="4546">
      <c r="U4546" s="23"/>
      <c r="V4546" s="23"/>
      <c r="W4546" s="23"/>
    </row>
    <row r="4547">
      <c r="U4547" s="23"/>
      <c r="V4547" s="23"/>
      <c r="W4547" s="23"/>
    </row>
    <row r="4548">
      <c r="U4548" s="23"/>
      <c r="V4548" s="23"/>
      <c r="W4548" s="23"/>
    </row>
    <row r="4549">
      <c r="U4549" s="23"/>
      <c r="V4549" s="23"/>
      <c r="W4549" s="23"/>
    </row>
    <row r="4550">
      <c r="U4550" s="23"/>
      <c r="V4550" s="23"/>
      <c r="W4550" s="23"/>
    </row>
    <row r="4551">
      <c r="U4551" s="23"/>
      <c r="V4551" s="23"/>
      <c r="W4551" s="23"/>
    </row>
    <row r="4552">
      <c r="U4552" s="23"/>
      <c r="V4552" s="23"/>
      <c r="W4552" s="23"/>
    </row>
    <row r="4553">
      <c r="U4553" s="23"/>
      <c r="V4553" s="23"/>
      <c r="W4553" s="23"/>
    </row>
    <row r="4554">
      <c r="U4554" s="23"/>
      <c r="V4554" s="23"/>
      <c r="W4554" s="23"/>
    </row>
    <row r="4555">
      <c r="U4555" s="23"/>
      <c r="V4555" s="23"/>
      <c r="W4555" s="23"/>
    </row>
    <row r="4556">
      <c r="U4556" s="23"/>
      <c r="V4556" s="23"/>
      <c r="W4556" s="23"/>
    </row>
    <row r="4557">
      <c r="U4557" s="23"/>
      <c r="V4557" s="23"/>
      <c r="W4557" s="23"/>
    </row>
    <row r="4558">
      <c r="U4558" s="23"/>
      <c r="V4558" s="23"/>
      <c r="W4558" s="23"/>
    </row>
    <row r="4559">
      <c r="U4559" s="23"/>
      <c r="V4559" s="23"/>
      <c r="W4559" s="23"/>
    </row>
    <row r="4560">
      <c r="U4560" s="23"/>
      <c r="V4560" s="23"/>
      <c r="W4560" s="23"/>
    </row>
    <row r="4561">
      <c r="U4561" s="23"/>
      <c r="V4561" s="23"/>
      <c r="W4561" s="23"/>
    </row>
    <row r="4562">
      <c r="U4562" s="23"/>
      <c r="V4562" s="23"/>
      <c r="W4562" s="23"/>
    </row>
    <row r="4563">
      <c r="U4563" s="23"/>
      <c r="V4563" s="23"/>
      <c r="W4563" s="23"/>
    </row>
    <row r="4564">
      <c r="U4564" s="23"/>
      <c r="V4564" s="23"/>
      <c r="W4564" s="23"/>
    </row>
    <row r="4565">
      <c r="U4565" s="23"/>
      <c r="V4565" s="23"/>
      <c r="W4565" s="23"/>
    </row>
    <row r="4566">
      <c r="U4566" s="23"/>
      <c r="V4566" s="23"/>
      <c r="W4566" s="23"/>
    </row>
    <row r="4567">
      <c r="U4567" s="23"/>
      <c r="V4567" s="23"/>
      <c r="W4567" s="23"/>
    </row>
    <row r="4568">
      <c r="U4568" s="23"/>
      <c r="V4568" s="23"/>
      <c r="W4568" s="23"/>
    </row>
    <row r="4569">
      <c r="U4569" s="23"/>
      <c r="V4569" s="23"/>
      <c r="W4569" s="23"/>
    </row>
    <row r="4570">
      <c r="U4570" s="23"/>
      <c r="V4570" s="23"/>
      <c r="W4570" s="23"/>
    </row>
    <row r="4571">
      <c r="U4571" s="23"/>
      <c r="V4571" s="23"/>
      <c r="W4571" s="23"/>
    </row>
    <row r="4572">
      <c r="U4572" s="23"/>
      <c r="V4572" s="23"/>
      <c r="W4572" s="23"/>
    </row>
    <row r="4573">
      <c r="U4573" s="23"/>
      <c r="V4573" s="23"/>
      <c r="W4573" s="23"/>
    </row>
    <row r="4574">
      <c r="U4574" s="23"/>
      <c r="V4574" s="23"/>
      <c r="W4574" s="23"/>
    </row>
    <row r="4575">
      <c r="U4575" s="23"/>
      <c r="V4575" s="23"/>
      <c r="W4575" s="23"/>
    </row>
    <row r="4576">
      <c r="U4576" s="23"/>
      <c r="V4576" s="23"/>
      <c r="W4576" s="23"/>
    </row>
    <row r="4577">
      <c r="U4577" s="23"/>
      <c r="V4577" s="23"/>
      <c r="W4577" s="23"/>
    </row>
    <row r="4578">
      <c r="U4578" s="23"/>
      <c r="V4578" s="23"/>
      <c r="W4578" s="23"/>
    </row>
    <row r="4579">
      <c r="U4579" s="23"/>
      <c r="V4579" s="23"/>
      <c r="W4579" s="23"/>
    </row>
    <row r="4580">
      <c r="U4580" s="23"/>
      <c r="V4580" s="23"/>
      <c r="W4580" s="23"/>
    </row>
    <row r="4581">
      <c r="U4581" s="23"/>
      <c r="V4581" s="23"/>
      <c r="W4581" s="23"/>
    </row>
    <row r="4582">
      <c r="U4582" s="23"/>
      <c r="V4582" s="23"/>
      <c r="W4582" s="23"/>
    </row>
    <row r="4583">
      <c r="U4583" s="23"/>
      <c r="V4583" s="23"/>
      <c r="W4583" s="23"/>
    </row>
    <row r="4584">
      <c r="U4584" s="23"/>
      <c r="V4584" s="23"/>
      <c r="W4584" s="23"/>
    </row>
    <row r="4585">
      <c r="U4585" s="23"/>
      <c r="V4585" s="23"/>
      <c r="W4585" s="23"/>
    </row>
    <row r="4586">
      <c r="U4586" s="23"/>
      <c r="V4586" s="23"/>
      <c r="W4586" s="23"/>
    </row>
    <row r="4587">
      <c r="U4587" s="23"/>
      <c r="V4587" s="23"/>
      <c r="W4587" s="23"/>
    </row>
    <row r="4588">
      <c r="U4588" s="23"/>
      <c r="V4588" s="23"/>
      <c r="W4588" s="23"/>
    </row>
    <row r="4589">
      <c r="U4589" s="23"/>
      <c r="V4589" s="23"/>
      <c r="W4589" s="23"/>
    </row>
    <row r="4590">
      <c r="U4590" s="23"/>
      <c r="V4590" s="23"/>
      <c r="W4590" s="23"/>
    </row>
    <row r="4591">
      <c r="U4591" s="23"/>
      <c r="V4591" s="23"/>
      <c r="W4591" s="23"/>
    </row>
    <row r="4592">
      <c r="U4592" s="23"/>
      <c r="V4592" s="23"/>
      <c r="W4592" s="23"/>
    </row>
    <row r="4593">
      <c r="U4593" s="23"/>
      <c r="V4593" s="23"/>
      <c r="W4593" s="23"/>
    </row>
    <row r="4594">
      <c r="U4594" s="23"/>
      <c r="V4594" s="23"/>
      <c r="W4594" s="23"/>
    </row>
    <row r="4595">
      <c r="U4595" s="23"/>
      <c r="V4595" s="23"/>
      <c r="W4595" s="23"/>
    </row>
    <row r="4596">
      <c r="U4596" s="23"/>
      <c r="V4596" s="23"/>
      <c r="W4596" s="23"/>
    </row>
    <row r="4597">
      <c r="U4597" s="23"/>
      <c r="V4597" s="23"/>
      <c r="W4597" s="23"/>
    </row>
    <row r="4598">
      <c r="U4598" s="23"/>
      <c r="V4598" s="23"/>
      <c r="W4598" s="23"/>
    </row>
    <row r="4599">
      <c r="U4599" s="23"/>
      <c r="V4599" s="23"/>
      <c r="W4599" s="23"/>
    </row>
    <row r="4600">
      <c r="U4600" s="23"/>
      <c r="V4600" s="23"/>
      <c r="W4600" s="23"/>
    </row>
    <row r="4601">
      <c r="U4601" s="23"/>
      <c r="V4601" s="23"/>
      <c r="W4601" s="23"/>
    </row>
    <row r="4602">
      <c r="U4602" s="23"/>
      <c r="V4602" s="23"/>
      <c r="W4602" s="23"/>
    </row>
    <row r="4603">
      <c r="U4603" s="23"/>
      <c r="V4603" s="23"/>
      <c r="W4603" s="23"/>
    </row>
    <row r="4604">
      <c r="U4604" s="23"/>
      <c r="V4604" s="23"/>
      <c r="W4604" s="23"/>
    </row>
    <row r="4605">
      <c r="U4605" s="23"/>
      <c r="V4605" s="23"/>
      <c r="W4605" s="23"/>
    </row>
    <row r="4606">
      <c r="U4606" s="23"/>
      <c r="V4606" s="23"/>
      <c r="W4606" s="23"/>
    </row>
    <row r="4607">
      <c r="U4607" s="23"/>
      <c r="V4607" s="23"/>
      <c r="W4607" s="23"/>
    </row>
    <row r="4608">
      <c r="U4608" s="23"/>
      <c r="V4608" s="23"/>
      <c r="W4608" s="23"/>
    </row>
    <row r="4609">
      <c r="U4609" s="23"/>
      <c r="V4609" s="23"/>
      <c r="W4609" s="23"/>
    </row>
    <row r="4610">
      <c r="U4610" s="23"/>
      <c r="V4610" s="23"/>
      <c r="W4610" s="23"/>
    </row>
    <row r="4611">
      <c r="U4611" s="23"/>
      <c r="V4611" s="23"/>
      <c r="W4611" s="23"/>
    </row>
    <row r="4612">
      <c r="U4612" s="23"/>
      <c r="V4612" s="23"/>
      <c r="W4612" s="23"/>
    </row>
    <row r="4613">
      <c r="U4613" s="23"/>
      <c r="V4613" s="23"/>
      <c r="W4613" s="23"/>
    </row>
    <row r="4614">
      <c r="U4614" s="23"/>
      <c r="V4614" s="23"/>
      <c r="W4614" s="23"/>
    </row>
    <row r="4615">
      <c r="U4615" s="23"/>
      <c r="V4615" s="23"/>
      <c r="W4615" s="23"/>
    </row>
    <row r="4616">
      <c r="U4616" s="23"/>
      <c r="V4616" s="23"/>
      <c r="W4616" s="23"/>
    </row>
    <row r="4617">
      <c r="U4617" s="23"/>
      <c r="V4617" s="23"/>
      <c r="W4617" s="23"/>
    </row>
    <row r="4618">
      <c r="U4618" s="23"/>
      <c r="V4618" s="23"/>
      <c r="W4618" s="23"/>
    </row>
    <row r="4619">
      <c r="U4619" s="23"/>
      <c r="V4619" s="23"/>
      <c r="W4619" s="23"/>
    </row>
    <row r="4620">
      <c r="U4620" s="23"/>
      <c r="V4620" s="23"/>
      <c r="W4620" s="23"/>
    </row>
    <row r="4621">
      <c r="U4621" s="23"/>
      <c r="V4621" s="23"/>
      <c r="W4621" s="23"/>
    </row>
    <row r="4622">
      <c r="U4622" s="23"/>
      <c r="V4622" s="23"/>
      <c r="W4622" s="23"/>
    </row>
    <row r="4623">
      <c r="U4623" s="23"/>
      <c r="V4623" s="23"/>
      <c r="W4623" s="23"/>
    </row>
    <row r="4624">
      <c r="U4624" s="23"/>
      <c r="V4624" s="23"/>
      <c r="W4624" s="23"/>
    </row>
    <row r="4625">
      <c r="U4625" s="23"/>
      <c r="V4625" s="23"/>
      <c r="W4625" s="23"/>
    </row>
    <row r="4626">
      <c r="U4626" s="23"/>
      <c r="V4626" s="23"/>
      <c r="W4626" s="23"/>
    </row>
    <row r="4627">
      <c r="U4627" s="23"/>
      <c r="V4627" s="23"/>
      <c r="W4627" s="23"/>
    </row>
    <row r="4628">
      <c r="U4628" s="23"/>
      <c r="V4628" s="23"/>
      <c r="W4628" s="23"/>
    </row>
    <row r="4629">
      <c r="U4629" s="23"/>
      <c r="V4629" s="23"/>
      <c r="W4629" s="23"/>
    </row>
    <row r="4630">
      <c r="U4630" s="23"/>
      <c r="V4630" s="23"/>
      <c r="W4630" s="23"/>
    </row>
    <row r="4631">
      <c r="U4631" s="23"/>
      <c r="V4631" s="23"/>
      <c r="W4631" s="23"/>
    </row>
    <row r="4632">
      <c r="U4632" s="23"/>
      <c r="V4632" s="23"/>
      <c r="W4632" s="23"/>
    </row>
    <row r="4633">
      <c r="U4633" s="23"/>
      <c r="V4633" s="23"/>
      <c r="W4633" s="23"/>
    </row>
    <row r="4634">
      <c r="U4634" s="23"/>
      <c r="V4634" s="23"/>
      <c r="W4634" s="23"/>
    </row>
    <row r="4635">
      <c r="U4635" s="23"/>
      <c r="V4635" s="23"/>
      <c r="W4635" s="23"/>
    </row>
    <row r="4636">
      <c r="U4636" s="23"/>
      <c r="V4636" s="23"/>
      <c r="W4636" s="23"/>
    </row>
    <row r="4637">
      <c r="U4637" s="23"/>
      <c r="V4637" s="23"/>
      <c r="W4637" s="23"/>
    </row>
    <row r="4638">
      <c r="U4638" s="23"/>
      <c r="V4638" s="23"/>
      <c r="W4638" s="23"/>
    </row>
    <row r="4639">
      <c r="U4639" s="23"/>
      <c r="V4639" s="23"/>
      <c r="W4639" s="23"/>
    </row>
    <row r="4640">
      <c r="U4640" s="23"/>
      <c r="V4640" s="23"/>
      <c r="W4640" s="23"/>
    </row>
    <row r="4641">
      <c r="U4641" s="23"/>
      <c r="V4641" s="23"/>
      <c r="W4641" s="23"/>
    </row>
    <row r="4642">
      <c r="U4642" s="23"/>
      <c r="V4642" s="23"/>
      <c r="W4642" s="23"/>
    </row>
    <row r="4643">
      <c r="U4643" s="23"/>
      <c r="V4643" s="23"/>
      <c r="W4643" s="23"/>
    </row>
    <row r="4644">
      <c r="U4644" s="23"/>
      <c r="V4644" s="23"/>
      <c r="W4644" s="23"/>
    </row>
    <row r="4645">
      <c r="U4645" s="23"/>
      <c r="V4645" s="23"/>
      <c r="W4645" s="23"/>
    </row>
    <row r="4646">
      <c r="U4646" s="23"/>
      <c r="V4646" s="23"/>
      <c r="W4646" s="23"/>
    </row>
    <row r="4647">
      <c r="U4647" s="23"/>
      <c r="V4647" s="23"/>
      <c r="W4647" s="23"/>
    </row>
    <row r="4648">
      <c r="U4648" s="23"/>
      <c r="V4648" s="23"/>
      <c r="W4648" s="23"/>
    </row>
    <row r="4649">
      <c r="U4649" s="23"/>
      <c r="V4649" s="23"/>
      <c r="W4649" s="23"/>
    </row>
    <row r="4650">
      <c r="U4650" s="23"/>
      <c r="V4650" s="23"/>
      <c r="W4650" s="23"/>
    </row>
    <row r="4651">
      <c r="U4651" s="23"/>
      <c r="V4651" s="23"/>
      <c r="W4651" s="23"/>
    </row>
    <row r="4652">
      <c r="U4652" s="23"/>
      <c r="V4652" s="23"/>
      <c r="W4652" s="23"/>
    </row>
    <row r="4653">
      <c r="U4653" s="23"/>
      <c r="V4653" s="23"/>
      <c r="W4653" s="23"/>
    </row>
    <row r="4654">
      <c r="U4654" s="23"/>
      <c r="V4654" s="23"/>
      <c r="W4654" s="23"/>
    </row>
    <row r="4655">
      <c r="U4655" s="23"/>
      <c r="V4655" s="23"/>
      <c r="W4655" s="23"/>
    </row>
    <row r="4656">
      <c r="U4656" s="23"/>
      <c r="V4656" s="23"/>
      <c r="W4656" s="23"/>
    </row>
    <row r="4657">
      <c r="U4657" s="23"/>
      <c r="V4657" s="23"/>
      <c r="W4657" s="23"/>
    </row>
    <row r="4658">
      <c r="U4658" s="23"/>
      <c r="V4658" s="23"/>
      <c r="W4658" s="23"/>
    </row>
    <row r="4659">
      <c r="U4659" s="23"/>
      <c r="V4659" s="23"/>
      <c r="W4659" s="23"/>
    </row>
    <row r="4660">
      <c r="U4660" s="23"/>
      <c r="V4660" s="23"/>
      <c r="W4660" s="23"/>
    </row>
    <row r="4661">
      <c r="U4661" s="23"/>
      <c r="V4661" s="23"/>
      <c r="W4661" s="23"/>
    </row>
    <row r="4662">
      <c r="U4662" s="23"/>
      <c r="V4662" s="23"/>
      <c r="W4662" s="23"/>
    </row>
    <row r="4663">
      <c r="U4663" s="23"/>
      <c r="V4663" s="23"/>
      <c r="W4663" s="23"/>
    </row>
    <row r="4664">
      <c r="U4664" s="23"/>
      <c r="V4664" s="23"/>
      <c r="W4664" s="23"/>
    </row>
    <row r="4665">
      <c r="U4665" s="23"/>
      <c r="V4665" s="23"/>
      <c r="W4665" s="23"/>
    </row>
    <row r="4666">
      <c r="U4666" s="23"/>
      <c r="V4666" s="23"/>
      <c r="W4666" s="23"/>
    </row>
    <row r="4667">
      <c r="U4667" s="23"/>
      <c r="V4667" s="23"/>
      <c r="W4667" s="23"/>
    </row>
    <row r="4668">
      <c r="U4668" s="23"/>
      <c r="V4668" s="23"/>
      <c r="W4668" s="23"/>
    </row>
    <row r="4669">
      <c r="U4669" s="23"/>
      <c r="V4669" s="23"/>
      <c r="W4669" s="23"/>
    </row>
    <row r="4670">
      <c r="U4670" s="23"/>
      <c r="V4670" s="23"/>
      <c r="W4670" s="23"/>
    </row>
    <row r="4671">
      <c r="U4671" s="23"/>
      <c r="V4671" s="23"/>
      <c r="W4671" s="23"/>
    </row>
    <row r="4672">
      <c r="U4672" s="23"/>
      <c r="V4672" s="23"/>
      <c r="W4672" s="23"/>
    </row>
    <row r="4673">
      <c r="U4673" s="23"/>
      <c r="V4673" s="23"/>
      <c r="W4673" s="23"/>
    </row>
  </sheetData>
  <autoFilter ref="$A$1:$AB$467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1.25"/>
    <col customWidth="1" min="2" max="2" width="37.25"/>
  </cols>
  <sheetData>
    <row r="1"/>
    <row r="2">
      <c r="G2" s="6" t="str">
        <f>IFERROR(__xludf.DUMMYFUNCTION("QUERY(A:C,""select B where (A='Capital Goods')"")"),"COUNTA of Issuer Name")</f>
        <v>COUNTA of Issuer Name</v>
      </c>
    </row>
    <row r="3">
      <c r="G3" s="6">
        <f>IFERROR(__xludf.DUMMYFUNCTION("""COMPUTED_VALUE"""),16.0)</f>
        <v>16</v>
      </c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</sheetData>
  <drawing r:id="rId2"/>
</worksheet>
</file>